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656C1C53-4E9F-42C8-A53B-AD27CC70C688}" xr6:coauthVersionLast="47" xr6:coauthVersionMax="47" xr10:uidLastSave="{00000000-0000-0000-0000-000000000000}"/>
  <bookViews>
    <workbookView xWindow="28680" yWindow="-120" windowWidth="29040" windowHeight="15840" xr2:uid="{00000000-000D-0000-FFFF-FFFF00000000}"/>
  </bookViews>
  <sheets>
    <sheet name="Intro_SM_Health" sheetId="22" r:id="rId1"/>
    <sheet name="HE_update" sheetId="18" r:id="rId2"/>
    <sheet name="HE_glossary" sheetId="31" r:id="rId3"/>
    <sheet name="HE_prescribed_parameters" sheetId="20" r:id="rId4"/>
    <sheet name="HE_calculation_documentation" sheetId="26" r:id="rId5"/>
    <sheet name="HE_contract_groups" sheetId="21" r:id="rId6"/>
    <sheet name="HE_VWK" sheetId="28" r:id="rId7"/>
    <sheet name="HE_LZV_CF_(classic)" sheetId="4" state="hidden" r:id="rId8"/>
    <sheet name="HE_LZV_CF" sheetId="32" r:id="rId9"/>
    <sheet name="HE_CV_Leistungen" sheetId="35" r:id="rId10"/>
    <sheet name="HE_ins_risk_EK" sheetId="5" r:id="rId11"/>
    <sheet name="HE_ins_risk_KTG" sheetId="17" r:id="rId12"/>
    <sheet name="HE_expected_result" sheetId="3" r:id="rId13"/>
    <sheet name="HE_MVM" sheetId="6" r:id="rId14"/>
    <sheet name="HE_input_SST_template" sheetId="9" r:id="rId15"/>
    <sheet name="HE_CG1" sheetId="24" r:id="rId16"/>
    <sheet name="HE_CG2" sheetId="36" r:id="rId17"/>
    <sheet name="HE_CG3" sheetId="37" r:id="rId18"/>
    <sheet name="HE_CG4" sheetId="38" r:id="rId19"/>
    <sheet name="HE_CG5" sheetId="39" r:id="rId20"/>
    <sheet name="HE_CG6" sheetId="40" r:id="rId21"/>
    <sheet name="HE_CG7" sheetId="41" r:id="rId22"/>
    <sheet name="HE_CG8" sheetId="42" r:id="rId23"/>
    <sheet name="HE_CG9" sheetId="43" r:id="rId24"/>
    <sheet name="HE_CG10" sheetId="44" r:id="rId25"/>
    <sheet name="HE_CG11" sheetId="45" r:id="rId26"/>
    <sheet name="HE_CG12" sheetId="46" r:id="rId27"/>
    <sheet name="HE_CG13" sheetId="47" r:id="rId28"/>
    <sheet name="HE_CG14" sheetId="48" r:id="rId29"/>
    <sheet name="HE_CG15" sheetId="49" r:id="rId30"/>
    <sheet name="Configuration" sheetId="53" r:id="rId31"/>
  </sheets>
  <definedNames>
    <definedName name="anscount" hidden="1">1</definedName>
    <definedName name="Eta" localSheetId="9">HE_CV_Leistungen!$C$7</definedName>
    <definedName name="HE_1ToMaxEntryCG_">HE_contract_groups!$A$10:$A$25</definedName>
    <definedName name="HE_alpha">HE_prescribed_parameters!$C$36</definedName>
    <definedName name="HE_AsIfCY">HE_prescribed_parameters!$A$83:$I$87</definedName>
    <definedName name="HE_CF_label">Intro_SM_Health!$B$52</definedName>
    <definedName name="HE_CG">HE_contract_groups!$A$10:$S$24</definedName>
    <definedName name="HE_CGSheetsNr">HE_prescribed_parameters!$C$120</definedName>
    <definedName name="HE_CoC_rate">HE_prescribed_parameters!$C$33</definedName>
    <definedName name="HE_company_name">Intro_SM_Health!$E$22</definedName>
    <definedName name="HE_CY">Intro_SM_Health!$E$20</definedName>
    <definedName name="HE_disc_curve">HE_prescribed_parameters!$C$15:$AZ$15</definedName>
    <definedName name="HE_down_label">HE_prescribed_parameters!$D$44</definedName>
    <definedName name="HE_F_label">HE_prescribed_parameters!$B$124</definedName>
    <definedName name="HE_fact_qF">HE_prescribed_parameters!$C$124</definedName>
    <definedName name="HE_fact_qM">HE_prescribed_parameters!$C$123</definedName>
    <definedName name="HE_Kosten_label">Intro_SM_Health!$B$51</definedName>
    <definedName name="HE_label">HE_glossary!$B:$C</definedName>
    <definedName name="HE_language">Intro_SM_Health!$E$18</definedName>
    <definedName name="HE_Leistungen_label">Intro_SM_Health!$B$50</definedName>
    <definedName name="HE_LZV_label">Intro_SM_Health!$B$52</definedName>
    <definedName name="HE_M_label">HE_prescribed_parameters!$B$123</definedName>
    <definedName name="HE_MortalityLapsesCY">HE_prescribed_parameters!$B$134:$AJ$244</definedName>
    <definedName name="HE_PG1_label">HE_prescribed_parameters!$B$83</definedName>
    <definedName name="HE_PG2_label">HE_prescribed_parameters!$B$84</definedName>
    <definedName name="HE_PG3_label">HE_prescribed_parameters!$B$85</definedName>
    <definedName name="HE_PG4_label">HE_prescribed_parameters!$B$86</definedName>
    <definedName name="HE_PG5_label">HE_prescribed_parameters!$B$87</definedName>
    <definedName name="HE_PGlist">HE_prescribed_parameters!$B$83:$B$87</definedName>
    <definedName name="HE_PGSPGlist">HE_prescribed_parameters!$B$91:$B$97</definedName>
    <definedName name="HE_PGTot_label">HE_prescribed_parameters!$B$88</definedName>
    <definedName name="HE_Praemium_label">Intro_SM_Health!$B$49</definedName>
    <definedName name="HE_PY1">HE_prescribed_parameters!$C$25</definedName>
    <definedName name="HE_PY2">HE_prescribed_parameters!$D$25</definedName>
    <definedName name="HE_PY3">HE_prescribed_parameters!$E$25</definedName>
    <definedName name="HE_RFCY_label">HE_prescribed_parameters!$B$66</definedName>
    <definedName name="HE_RFk_label">HE_prescribed_parameters!$B$47</definedName>
    <definedName name="HE_RFk_sensi_years">HE_prescribed_parameters!$E$47:$BB$47</definedName>
    <definedName name="HE_RFl_label">HE_prescribed_parameters!$B$48</definedName>
    <definedName name="HE_RFl_sensi_years">HE_prescribed_parameters!$E$48:$BB$48</definedName>
    <definedName name="HE_RFq_label">HE_prescribed_parameters!$B$45</definedName>
    <definedName name="HE_RFq_sensi_years">HE_prescribed_parameters!$E$45:$BB$45</definedName>
    <definedName name="HE_RFs_label">HE_prescribed_parameters!$B$46</definedName>
    <definedName name="HE_RFs_sensi_years">HE_prescribed_parameters!$E$46:$BB$46</definedName>
    <definedName name="HE_SPGTTlist">HE_prescribed_parameters!$B$104:$B$111</definedName>
    <definedName name="HE_suffix">Intro_SM_Health!$E$24</definedName>
    <definedName name="HE_up_label">HE_prescribed_parameters!$C$44</definedName>
    <definedName name="HE_VKPY1">HE_prescribed_parameters!$C$30</definedName>
    <definedName name="HE_VKPY2">HE_prescribed_parameters!$D$30</definedName>
    <definedName name="HE_VKPY3">HE_prescribed_parameters!$E$30</definedName>
    <definedName name="HE_VWK_rates">HE_VWK!$A$80:$D$84</definedName>
    <definedName name="HE_weight_BesBegin">HE_prescribed_parameters!$C$127</definedName>
    <definedName name="HE_yn">HE_prescribed_parameters!$B$114:$B$115</definedName>
    <definedName name="Health_CR">'HE_LZV_CF_(classic)'!$C$4</definedName>
    <definedName name="Health_JahrPCap">'HE_LZV_CF_(classic)'!$C$5</definedName>
    <definedName name="limcount" hidden="1">2</definedName>
    <definedName name="Xi" localSheetId="9">HE_CV_Leistungen!$C$6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3" l="1"/>
  <c r="BL16" i="49"/>
  <c r="BM16" i="49"/>
  <c r="BL17" i="49"/>
  <c r="BM17" i="49"/>
  <c r="BL18" i="49"/>
  <c r="BM18" i="49"/>
  <c r="BL19" i="49"/>
  <c r="BV19" i="49" s="1"/>
  <c r="BM19" i="49"/>
  <c r="BL20" i="49"/>
  <c r="BM20" i="49"/>
  <c r="BL21" i="49"/>
  <c r="BM21" i="49"/>
  <c r="BL22" i="49"/>
  <c r="BM22" i="49"/>
  <c r="BL23" i="49"/>
  <c r="BV23" i="49" s="1"/>
  <c r="BM23" i="49"/>
  <c r="BL24" i="49"/>
  <c r="BM24" i="49"/>
  <c r="BL25" i="49"/>
  <c r="BM25" i="49"/>
  <c r="BL26" i="49"/>
  <c r="BM26" i="49"/>
  <c r="BL27" i="49"/>
  <c r="BV27" i="49" s="1"/>
  <c r="BM27" i="49"/>
  <c r="BL28" i="49"/>
  <c r="BM28" i="49"/>
  <c r="BL29" i="49"/>
  <c r="BM29" i="49"/>
  <c r="BL30" i="49"/>
  <c r="BM30" i="49"/>
  <c r="BL31" i="49"/>
  <c r="BV31" i="49" s="1"/>
  <c r="BM31" i="49"/>
  <c r="BL32" i="49"/>
  <c r="BM32" i="49"/>
  <c r="BL33" i="49"/>
  <c r="BM33" i="49"/>
  <c r="BL34" i="49"/>
  <c r="BM34" i="49"/>
  <c r="BL35" i="49"/>
  <c r="BV35" i="49" s="1"/>
  <c r="BM35" i="49"/>
  <c r="BL36" i="49"/>
  <c r="BM36" i="49"/>
  <c r="BL37" i="49"/>
  <c r="BM37" i="49"/>
  <c r="BL38" i="49"/>
  <c r="BM38" i="49"/>
  <c r="BL39" i="49"/>
  <c r="BV39" i="49" s="1"/>
  <c r="BM39" i="49"/>
  <c r="BL40" i="49"/>
  <c r="BM40" i="49"/>
  <c r="BL41" i="49"/>
  <c r="BM41" i="49"/>
  <c r="BL42" i="49"/>
  <c r="BM42" i="49"/>
  <c r="BL43" i="49"/>
  <c r="BV43" i="49" s="1"/>
  <c r="BM43" i="49"/>
  <c r="BL44" i="49"/>
  <c r="BM44" i="49"/>
  <c r="BL45" i="49"/>
  <c r="BM45" i="49"/>
  <c r="BL46" i="49"/>
  <c r="BM46" i="49"/>
  <c r="BL47" i="49"/>
  <c r="BV47" i="49" s="1"/>
  <c r="BM47" i="49"/>
  <c r="BL48" i="49"/>
  <c r="BM48" i="49"/>
  <c r="BL49" i="49"/>
  <c r="BM49" i="49"/>
  <c r="BL50" i="49"/>
  <c r="BM50" i="49"/>
  <c r="BL51" i="49"/>
  <c r="BV51" i="49" s="1"/>
  <c r="BM51" i="49"/>
  <c r="BL52" i="49"/>
  <c r="BM52" i="49"/>
  <c r="BL53" i="49"/>
  <c r="BM53" i="49"/>
  <c r="BL54" i="49"/>
  <c r="BM54" i="49"/>
  <c r="BL55" i="49"/>
  <c r="BV55" i="49" s="1"/>
  <c r="BM55" i="49"/>
  <c r="BL56" i="49"/>
  <c r="BM56" i="49"/>
  <c r="BL57" i="49"/>
  <c r="BM57" i="49"/>
  <c r="BL58" i="49"/>
  <c r="BM58" i="49"/>
  <c r="BL59" i="49"/>
  <c r="BR59" i="49" s="1"/>
  <c r="BM59" i="49"/>
  <c r="BL60" i="49"/>
  <c r="BM60" i="49"/>
  <c r="BL61" i="49"/>
  <c r="BM61" i="49"/>
  <c r="BL62" i="49"/>
  <c r="BM62" i="49"/>
  <c r="BL63" i="49"/>
  <c r="BV63" i="49" s="1"/>
  <c r="BM63" i="49"/>
  <c r="BL64" i="49"/>
  <c r="BM64" i="49"/>
  <c r="BL65" i="49"/>
  <c r="BM65" i="49"/>
  <c r="BL66" i="49"/>
  <c r="BM66" i="49"/>
  <c r="BL67" i="49"/>
  <c r="BR67" i="49" s="1"/>
  <c r="BM67" i="49"/>
  <c r="BL68" i="49"/>
  <c r="BM68" i="49"/>
  <c r="BL69" i="49"/>
  <c r="BM69" i="49"/>
  <c r="BL70" i="49"/>
  <c r="BM70" i="49"/>
  <c r="BL71" i="49"/>
  <c r="BV71" i="49" s="1"/>
  <c r="BM71" i="49"/>
  <c r="BL72" i="49"/>
  <c r="BM72" i="49"/>
  <c r="BL73" i="49"/>
  <c r="BM73" i="49"/>
  <c r="BL74" i="49"/>
  <c r="BM74" i="49"/>
  <c r="BL75" i="49"/>
  <c r="BR75" i="49" s="1"/>
  <c r="BM75" i="49"/>
  <c r="BL76" i="49"/>
  <c r="BM76" i="49"/>
  <c r="BL77" i="49"/>
  <c r="BM77" i="49"/>
  <c r="BL78" i="49"/>
  <c r="BM78" i="49"/>
  <c r="BL79" i="49"/>
  <c r="BV79" i="49" s="1"/>
  <c r="BM79" i="49"/>
  <c r="BL80" i="49"/>
  <c r="BM80" i="49"/>
  <c r="BL81" i="49"/>
  <c r="BM81" i="49"/>
  <c r="BL82" i="49"/>
  <c r="BM82" i="49"/>
  <c r="BL83" i="49"/>
  <c r="BV83" i="49" s="1"/>
  <c r="BM83" i="49"/>
  <c r="BL84" i="49"/>
  <c r="BM84" i="49"/>
  <c r="BL85" i="49"/>
  <c r="BM85" i="49"/>
  <c r="BL86" i="49"/>
  <c r="BM86" i="49"/>
  <c r="BL87" i="49"/>
  <c r="BV87" i="49" s="1"/>
  <c r="BM87" i="49"/>
  <c r="BL88" i="49"/>
  <c r="BM88" i="49"/>
  <c r="BL89" i="49"/>
  <c r="BM89" i="49"/>
  <c r="BL90" i="49"/>
  <c r="BM90" i="49"/>
  <c r="BL91" i="49"/>
  <c r="BV91" i="49" s="1"/>
  <c r="BM91" i="49"/>
  <c r="BL92" i="49"/>
  <c r="BM92" i="49"/>
  <c r="BL93" i="49"/>
  <c r="BM93" i="49"/>
  <c r="BL94" i="49"/>
  <c r="BM94" i="49"/>
  <c r="BL95" i="49"/>
  <c r="BR95" i="49" s="1"/>
  <c r="BM95" i="49"/>
  <c r="BL96" i="49"/>
  <c r="BM96" i="49"/>
  <c r="BL97" i="49"/>
  <c r="BM97" i="49"/>
  <c r="BL98" i="49"/>
  <c r="BM98" i="49"/>
  <c r="BL99" i="49"/>
  <c r="BV99" i="49" s="1"/>
  <c r="BM99" i="49"/>
  <c r="BL100" i="49"/>
  <c r="BM100" i="49"/>
  <c r="BL101" i="49"/>
  <c r="BM101" i="49"/>
  <c r="BL102" i="49"/>
  <c r="BM102" i="49"/>
  <c r="BL103" i="49"/>
  <c r="BR103" i="49" s="1"/>
  <c r="BM103" i="49"/>
  <c r="BL104" i="49"/>
  <c r="BM104" i="49"/>
  <c r="BL105" i="49"/>
  <c r="BM105" i="49"/>
  <c r="BL106" i="49"/>
  <c r="BM106" i="49"/>
  <c r="BL107" i="49"/>
  <c r="BV107" i="49" s="1"/>
  <c r="BM107" i="49"/>
  <c r="BL108" i="49"/>
  <c r="BM108" i="49"/>
  <c r="BL109" i="49"/>
  <c r="BM109" i="49"/>
  <c r="BL110" i="49"/>
  <c r="BM110" i="49"/>
  <c r="BL111" i="49"/>
  <c r="BV111" i="49" s="1"/>
  <c r="BM111" i="49"/>
  <c r="BL112" i="49"/>
  <c r="BM112" i="49"/>
  <c r="BL113" i="49"/>
  <c r="BM113" i="49"/>
  <c r="BL114" i="49"/>
  <c r="BM114" i="49"/>
  <c r="BL115" i="49"/>
  <c r="BV115" i="49" s="1"/>
  <c r="BM115" i="49"/>
  <c r="BL116" i="49"/>
  <c r="BM116" i="49"/>
  <c r="BL117" i="49"/>
  <c r="BM117" i="49"/>
  <c r="BL118" i="49"/>
  <c r="BM118" i="49"/>
  <c r="BL119" i="49"/>
  <c r="BV119" i="49" s="1"/>
  <c r="BM119" i="49"/>
  <c r="BL120" i="49"/>
  <c r="BM120" i="49"/>
  <c r="BL121" i="49"/>
  <c r="BM121" i="49"/>
  <c r="BL122" i="49"/>
  <c r="BM122" i="49"/>
  <c r="BL123" i="49"/>
  <c r="BV123" i="49" s="1"/>
  <c r="BM123" i="49"/>
  <c r="BL124" i="49"/>
  <c r="BM124" i="49"/>
  <c r="BL125" i="49"/>
  <c r="BM125" i="49"/>
  <c r="BM15" i="49"/>
  <c r="BL15" i="49"/>
  <c r="AW16" i="49"/>
  <c r="AX16" i="49"/>
  <c r="AW17" i="49"/>
  <c r="AX17" i="49"/>
  <c r="AW18" i="49"/>
  <c r="AX18" i="49"/>
  <c r="AW19" i="49"/>
  <c r="AX19" i="49"/>
  <c r="AX14" i="49" s="1"/>
  <c r="BH14" i="49" s="1"/>
  <c r="AW20" i="49"/>
  <c r="AX20" i="49"/>
  <c r="AW21" i="49"/>
  <c r="AX21" i="49"/>
  <c r="AW22" i="49"/>
  <c r="AX22" i="49"/>
  <c r="AW23" i="49"/>
  <c r="AX23" i="49"/>
  <c r="BH23" i="49" s="1"/>
  <c r="AW24" i="49"/>
  <c r="AX24" i="49"/>
  <c r="AW25" i="49"/>
  <c r="AX25" i="49"/>
  <c r="AW26" i="49"/>
  <c r="AX26" i="49"/>
  <c r="AW27" i="49"/>
  <c r="AX27" i="49"/>
  <c r="BH27" i="49" s="1"/>
  <c r="AW28" i="49"/>
  <c r="AX28" i="49"/>
  <c r="AW29" i="49"/>
  <c r="AX29" i="49"/>
  <c r="AW30" i="49"/>
  <c r="AX30" i="49"/>
  <c r="AW31" i="49"/>
  <c r="AX31" i="49"/>
  <c r="BH31" i="49" s="1"/>
  <c r="AW32" i="49"/>
  <c r="AX32" i="49"/>
  <c r="AW33" i="49"/>
  <c r="AX33" i="49"/>
  <c r="AW34" i="49"/>
  <c r="AX34" i="49"/>
  <c r="AW35" i="49"/>
  <c r="AX35" i="49"/>
  <c r="BH35" i="49" s="1"/>
  <c r="AW36" i="49"/>
  <c r="AX36" i="49"/>
  <c r="AW37" i="49"/>
  <c r="AX37" i="49"/>
  <c r="AW38" i="49"/>
  <c r="AX38" i="49"/>
  <c r="AW39" i="49"/>
  <c r="AX39" i="49"/>
  <c r="BH39" i="49" s="1"/>
  <c r="AW40" i="49"/>
  <c r="AX40" i="49"/>
  <c r="AW41" i="49"/>
  <c r="AX41" i="49"/>
  <c r="AW42" i="49"/>
  <c r="AX42" i="49"/>
  <c r="AW43" i="49"/>
  <c r="AX43" i="49"/>
  <c r="BD43" i="49" s="1"/>
  <c r="AW44" i="49"/>
  <c r="AX44" i="49"/>
  <c r="AW45" i="49"/>
  <c r="AX45" i="49"/>
  <c r="AW46" i="49"/>
  <c r="AX46" i="49"/>
  <c r="AW47" i="49"/>
  <c r="AX47" i="49"/>
  <c r="BH47" i="49" s="1"/>
  <c r="AW48" i="49"/>
  <c r="AX48" i="49"/>
  <c r="AW49" i="49"/>
  <c r="AX49" i="49"/>
  <c r="AW50" i="49"/>
  <c r="AX50" i="49"/>
  <c r="AW51" i="49"/>
  <c r="AX51" i="49"/>
  <c r="BH51" i="49" s="1"/>
  <c r="AW52" i="49"/>
  <c r="AX52" i="49"/>
  <c r="AW53" i="49"/>
  <c r="AX53" i="49"/>
  <c r="AW54" i="49"/>
  <c r="AX54" i="49"/>
  <c r="AW55" i="49"/>
  <c r="AX55" i="49"/>
  <c r="BH55" i="49" s="1"/>
  <c r="AW56" i="49"/>
  <c r="AX56" i="49"/>
  <c r="AW57" i="49"/>
  <c r="AX57" i="49"/>
  <c r="AW58" i="49"/>
  <c r="AX58" i="49"/>
  <c r="AW59" i="49"/>
  <c r="AX59" i="49"/>
  <c r="BH59" i="49" s="1"/>
  <c r="AW60" i="49"/>
  <c r="AX60" i="49"/>
  <c r="AW61" i="49"/>
  <c r="AX61" i="49"/>
  <c r="AW62" i="49"/>
  <c r="AX62" i="49"/>
  <c r="AW63" i="49"/>
  <c r="AX63" i="49"/>
  <c r="BH63" i="49" s="1"/>
  <c r="AW64" i="49"/>
  <c r="AX64" i="49"/>
  <c r="AW65" i="49"/>
  <c r="AX65" i="49"/>
  <c r="AW66" i="49"/>
  <c r="AX66" i="49"/>
  <c r="AW67" i="49"/>
  <c r="AX67" i="49"/>
  <c r="BD67" i="49" s="1"/>
  <c r="AW68" i="49"/>
  <c r="AX68" i="49"/>
  <c r="AW69" i="49"/>
  <c r="AX69" i="49"/>
  <c r="AW70" i="49"/>
  <c r="AX70" i="49"/>
  <c r="AW71" i="49"/>
  <c r="AX71" i="49"/>
  <c r="BD71" i="49" s="1"/>
  <c r="AW72" i="49"/>
  <c r="AX72" i="49"/>
  <c r="AW73" i="49"/>
  <c r="AX73" i="49"/>
  <c r="AW74" i="49"/>
  <c r="AX74" i="49"/>
  <c r="AW75" i="49"/>
  <c r="AX75" i="49"/>
  <c r="BD75" i="49" s="1"/>
  <c r="AW76" i="49"/>
  <c r="AX76" i="49"/>
  <c r="AW77" i="49"/>
  <c r="AX77" i="49"/>
  <c r="AW78" i="49"/>
  <c r="AX78" i="49"/>
  <c r="AW79" i="49"/>
  <c r="AX79" i="49"/>
  <c r="BH79" i="49" s="1"/>
  <c r="AW80" i="49"/>
  <c r="AX80" i="49"/>
  <c r="AW81" i="49"/>
  <c r="AX81" i="49"/>
  <c r="AW82" i="49"/>
  <c r="AX82" i="49"/>
  <c r="AW83" i="49"/>
  <c r="AX83" i="49"/>
  <c r="BH83" i="49" s="1"/>
  <c r="AW84" i="49"/>
  <c r="AX84" i="49"/>
  <c r="AW85" i="49"/>
  <c r="AX85" i="49"/>
  <c r="AW86" i="49"/>
  <c r="AX86" i="49"/>
  <c r="AW87" i="49"/>
  <c r="AX87" i="49"/>
  <c r="BH87" i="49" s="1"/>
  <c r="AW88" i="49"/>
  <c r="AX88" i="49"/>
  <c r="AW89" i="49"/>
  <c r="AX89" i="49"/>
  <c r="AW90" i="49"/>
  <c r="AX90" i="49"/>
  <c r="AW91" i="49"/>
  <c r="AX91" i="49"/>
  <c r="BH91" i="49" s="1"/>
  <c r="AW92" i="49"/>
  <c r="AX92" i="49"/>
  <c r="AW93" i="49"/>
  <c r="AX93" i="49"/>
  <c r="AW94" i="49"/>
  <c r="AX94" i="49"/>
  <c r="AW95" i="49"/>
  <c r="AX95" i="49"/>
  <c r="BH95" i="49" s="1"/>
  <c r="AW96" i="49"/>
  <c r="AX96" i="49"/>
  <c r="AW97" i="49"/>
  <c r="AX97" i="49"/>
  <c r="AW98" i="49"/>
  <c r="AX98" i="49"/>
  <c r="AW99" i="49"/>
  <c r="AX99" i="49"/>
  <c r="BH99" i="49" s="1"/>
  <c r="AW100" i="49"/>
  <c r="AX100" i="49"/>
  <c r="AW101" i="49"/>
  <c r="AX101" i="49"/>
  <c r="AW102" i="49"/>
  <c r="AX102" i="49"/>
  <c r="AW103" i="49"/>
  <c r="AX103" i="49"/>
  <c r="BH103" i="49" s="1"/>
  <c r="AW104" i="49"/>
  <c r="AX104" i="49"/>
  <c r="AW105" i="49"/>
  <c r="AX105" i="49"/>
  <c r="AW106" i="49"/>
  <c r="AX106" i="49"/>
  <c r="AW107" i="49"/>
  <c r="AX107" i="49"/>
  <c r="BH107" i="49" s="1"/>
  <c r="AW108" i="49"/>
  <c r="AX108" i="49"/>
  <c r="AW109" i="49"/>
  <c r="AX109" i="49"/>
  <c r="AW110" i="49"/>
  <c r="AX110" i="49"/>
  <c r="AW111" i="49"/>
  <c r="AX111" i="49"/>
  <c r="BH111" i="49" s="1"/>
  <c r="AW112" i="49"/>
  <c r="AX112" i="49"/>
  <c r="AW113" i="49"/>
  <c r="AX113" i="49"/>
  <c r="AW114" i="49"/>
  <c r="AX114" i="49"/>
  <c r="AW115" i="49"/>
  <c r="AX115" i="49"/>
  <c r="BD115" i="49" s="1"/>
  <c r="AW116" i="49"/>
  <c r="AX116" i="49"/>
  <c r="AW117" i="49"/>
  <c r="AX117" i="49"/>
  <c r="AW118" i="49"/>
  <c r="AX118" i="49"/>
  <c r="AW119" i="49"/>
  <c r="AX119" i="49"/>
  <c r="BH119" i="49" s="1"/>
  <c r="AW120" i="49"/>
  <c r="AX120" i="49"/>
  <c r="AW121" i="49"/>
  <c r="AX121" i="49"/>
  <c r="AW122" i="49"/>
  <c r="AX122" i="49"/>
  <c r="AW123" i="49"/>
  <c r="AX123" i="49"/>
  <c r="BD123" i="49" s="1"/>
  <c r="AW124" i="49"/>
  <c r="AX124" i="49"/>
  <c r="AW125" i="49"/>
  <c r="AX125" i="49"/>
  <c r="AX15" i="49"/>
  <c r="AW15" i="49"/>
  <c r="AH16" i="49"/>
  <c r="AI16" i="49"/>
  <c r="AH17" i="49"/>
  <c r="AI17" i="49"/>
  <c r="AH18" i="49"/>
  <c r="AI18" i="49"/>
  <c r="AH19" i="49"/>
  <c r="AI19" i="49"/>
  <c r="AS19" i="49" s="1"/>
  <c r="AH20" i="49"/>
  <c r="AI20" i="49"/>
  <c r="AH21" i="49"/>
  <c r="AI21" i="49"/>
  <c r="AH22" i="49"/>
  <c r="AI22" i="49"/>
  <c r="AH23" i="49"/>
  <c r="AI23" i="49"/>
  <c r="AS23" i="49" s="1"/>
  <c r="AH24" i="49"/>
  <c r="AI24" i="49"/>
  <c r="AH25" i="49"/>
  <c r="AI25" i="49"/>
  <c r="AH26" i="49"/>
  <c r="AI26" i="49"/>
  <c r="AH27" i="49"/>
  <c r="AI27" i="49"/>
  <c r="AS27" i="49" s="1"/>
  <c r="AH28" i="49"/>
  <c r="AI28" i="49"/>
  <c r="AH29" i="49"/>
  <c r="AI29" i="49"/>
  <c r="AH30" i="49"/>
  <c r="AI30" i="49"/>
  <c r="AH31" i="49"/>
  <c r="AI31" i="49"/>
  <c r="AO31" i="49" s="1"/>
  <c r="AH32" i="49"/>
  <c r="AI32" i="49"/>
  <c r="AH33" i="49"/>
  <c r="AI33" i="49"/>
  <c r="AH34" i="49"/>
  <c r="AI34" i="49"/>
  <c r="AH35" i="49"/>
  <c r="AI35" i="49"/>
  <c r="AS35" i="49" s="1"/>
  <c r="AH36" i="49"/>
  <c r="AI36" i="49"/>
  <c r="AH37" i="49"/>
  <c r="AI37" i="49"/>
  <c r="AH38" i="49"/>
  <c r="AI38" i="49"/>
  <c r="AH39" i="49"/>
  <c r="AI39" i="49"/>
  <c r="AS39" i="49" s="1"/>
  <c r="AH40" i="49"/>
  <c r="AI40" i="49"/>
  <c r="AH41" i="49"/>
  <c r="AI41" i="49"/>
  <c r="AH42" i="49"/>
  <c r="AI42" i="49"/>
  <c r="AH43" i="49"/>
  <c r="AI43" i="49"/>
  <c r="AS43" i="49" s="1"/>
  <c r="AH44" i="49"/>
  <c r="AI44" i="49"/>
  <c r="AH45" i="49"/>
  <c r="AI45" i="49"/>
  <c r="AH46" i="49"/>
  <c r="AI46" i="49"/>
  <c r="AH47" i="49"/>
  <c r="AI47" i="49"/>
  <c r="AS47" i="49" s="1"/>
  <c r="AH48" i="49"/>
  <c r="AI48" i="49"/>
  <c r="AH49" i="49"/>
  <c r="AI49" i="49"/>
  <c r="AH50" i="49"/>
  <c r="AI50" i="49"/>
  <c r="AH51" i="49"/>
  <c r="AI51" i="49"/>
  <c r="AO51" i="49" s="1"/>
  <c r="AH52" i="49"/>
  <c r="AI52" i="49"/>
  <c r="AH53" i="49"/>
  <c r="AI53" i="49"/>
  <c r="AH54" i="49"/>
  <c r="AI54" i="49"/>
  <c r="AH55" i="49"/>
  <c r="AI55" i="49"/>
  <c r="AS55" i="49" s="1"/>
  <c r="AH56" i="49"/>
  <c r="AI56" i="49"/>
  <c r="AH57" i="49"/>
  <c r="AI57" i="49"/>
  <c r="AH58" i="49"/>
  <c r="AI58" i="49"/>
  <c r="AH59" i="49"/>
  <c r="AI59" i="49"/>
  <c r="AO59" i="49" s="1"/>
  <c r="AH60" i="49"/>
  <c r="AI60" i="49"/>
  <c r="AH61" i="49"/>
  <c r="AI61" i="49"/>
  <c r="AH62" i="49"/>
  <c r="AI62" i="49"/>
  <c r="AH63" i="49"/>
  <c r="AI63" i="49"/>
  <c r="AS63" i="49" s="1"/>
  <c r="AH64" i="49"/>
  <c r="AI64" i="49"/>
  <c r="AH65" i="49"/>
  <c r="AI65" i="49"/>
  <c r="AH66" i="49"/>
  <c r="AI66" i="49"/>
  <c r="AH67" i="49"/>
  <c r="AI67" i="49"/>
  <c r="AO67" i="49" s="1"/>
  <c r="AH68" i="49"/>
  <c r="AI68" i="49"/>
  <c r="AH69" i="49"/>
  <c r="AI69" i="49"/>
  <c r="AH70" i="49"/>
  <c r="AI70" i="49"/>
  <c r="AH71" i="49"/>
  <c r="AI71" i="49"/>
  <c r="AS71" i="49" s="1"/>
  <c r="AH72" i="49"/>
  <c r="AI72" i="49"/>
  <c r="AH73" i="49"/>
  <c r="AI73" i="49"/>
  <c r="AH74" i="49"/>
  <c r="AI74" i="49"/>
  <c r="AH75" i="49"/>
  <c r="AI75" i="49"/>
  <c r="AO75" i="49" s="1"/>
  <c r="AH76" i="49"/>
  <c r="AI76" i="49"/>
  <c r="AH77" i="49"/>
  <c r="AI77" i="49"/>
  <c r="AH78" i="49"/>
  <c r="AI78" i="49"/>
  <c r="AH79" i="49"/>
  <c r="AI79" i="49"/>
  <c r="AS79" i="49" s="1"/>
  <c r="AH80" i="49"/>
  <c r="AI80" i="49"/>
  <c r="AH81" i="49"/>
  <c r="AI81" i="49"/>
  <c r="AH82" i="49"/>
  <c r="AI82" i="49"/>
  <c r="AH83" i="49"/>
  <c r="AI83" i="49"/>
  <c r="AS83" i="49" s="1"/>
  <c r="AH84" i="49"/>
  <c r="AI84" i="49"/>
  <c r="AH85" i="49"/>
  <c r="AI85" i="49"/>
  <c r="AH86" i="49"/>
  <c r="AI86" i="49"/>
  <c r="AH87" i="49"/>
  <c r="AI87" i="49"/>
  <c r="AO87" i="49" s="1"/>
  <c r="AH88" i="49"/>
  <c r="AI88" i="49"/>
  <c r="AH89" i="49"/>
  <c r="AI89" i="49"/>
  <c r="AH90" i="49"/>
  <c r="AI90" i="49"/>
  <c r="AH91" i="49"/>
  <c r="AI91" i="49"/>
  <c r="AO91" i="49" s="1"/>
  <c r="AH92" i="49"/>
  <c r="AI92" i="49"/>
  <c r="AH93" i="49"/>
  <c r="AI93" i="49"/>
  <c r="AH94" i="49"/>
  <c r="AI94" i="49"/>
  <c r="AH95" i="49"/>
  <c r="AI95" i="49"/>
  <c r="AS95" i="49" s="1"/>
  <c r="AH96" i="49"/>
  <c r="AI96" i="49"/>
  <c r="AH97" i="49"/>
  <c r="AI97" i="49"/>
  <c r="AH98" i="49"/>
  <c r="AI98" i="49"/>
  <c r="AH99" i="49"/>
  <c r="AI99" i="49"/>
  <c r="AO99" i="49" s="1"/>
  <c r="AH100" i="49"/>
  <c r="AI100" i="49"/>
  <c r="AH101" i="49"/>
  <c r="AI101" i="49"/>
  <c r="AH102" i="49"/>
  <c r="AI102" i="49"/>
  <c r="AH103" i="49"/>
  <c r="AI103" i="49"/>
  <c r="AS103" i="49" s="1"/>
  <c r="AH104" i="49"/>
  <c r="AI104" i="49"/>
  <c r="AH105" i="49"/>
  <c r="AI105" i="49"/>
  <c r="AH106" i="49"/>
  <c r="AI106" i="49"/>
  <c r="AH107" i="49"/>
  <c r="AI107" i="49"/>
  <c r="AS107" i="49" s="1"/>
  <c r="AH108" i="49"/>
  <c r="AI108" i="49"/>
  <c r="AH109" i="49"/>
  <c r="AI109" i="49"/>
  <c r="AH110" i="49"/>
  <c r="AI110" i="49"/>
  <c r="AH111" i="49"/>
  <c r="AI111" i="49"/>
  <c r="AO111" i="49" s="1"/>
  <c r="AH112" i="49"/>
  <c r="AI112" i="49"/>
  <c r="AH113" i="49"/>
  <c r="AI113" i="49"/>
  <c r="AH114" i="49"/>
  <c r="AI114" i="49"/>
  <c r="AH115" i="49"/>
  <c r="AI115" i="49"/>
  <c r="AS115" i="49" s="1"/>
  <c r="AH116" i="49"/>
  <c r="AI116" i="49"/>
  <c r="AH117" i="49"/>
  <c r="AI117" i="49"/>
  <c r="AH118" i="49"/>
  <c r="AI118" i="49"/>
  <c r="AH119" i="49"/>
  <c r="AI119" i="49"/>
  <c r="AS119" i="49" s="1"/>
  <c r="AH120" i="49"/>
  <c r="AI120" i="49"/>
  <c r="AH121" i="49"/>
  <c r="AI121" i="49"/>
  <c r="AH122" i="49"/>
  <c r="AI122" i="49"/>
  <c r="AH123" i="49"/>
  <c r="AI123" i="49"/>
  <c r="AS123" i="49" s="1"/>
  <c r="AH124" i="49"/>
  <c r="AI124" i="49"/>
  <c r="AH125" i="49"/>
  <c r="AI125" i="49"/>
  <c r="AI15" i="49"/>
  <c r="AH15" i="49"/>
  <c r="BL16" i="48"/>
  <c r="BM16" i="48"/>
  <c r="BL17" i="48"/>
  <c r="BM17" i="48"/>
  <c r="BL18" i="48"/>
  <c r="BM18" i="48"/>
  <c r="BL19" i="48"/>
  <c r="BM19" i="48"/>
  <c r="BW19" i="48" s="1"/>
  <c r="BL20" i="48"/>
  <c r="BM20" i="48"/>
  <c r="BL21" i="48"/>
  <c r="BM21" i="48"/>
  <c r="BL22" i="48"/>
  <c r="BM22" i="48"/>
  <c r="BL23" i="48"/>
  <c r="BM23" i="48"/>
  <c r="BS23" i="48" s="1"/>
  <c r="BL24" i="48"/>
  <c r="BM24" i="48"/>
  <c r="BL25" i="48"/>
  <c r="BM25" i="48"/>
  <c r="BL26" i="48"/>
  <c r="BM26" i="48"/>
  <c r="BL27" i="48"/>
  <c r="BM27" i="48"/>
  <c r="BW27" i="48" s="1"/>
  <c r="BL28" i="48"/>
  <c r="BM28" i="48"/>
  <c r="BL29" i="48"/>
  <c r="BM29" i="48"/>
  <c r="BL30" i="48"/>
  <c r="BM30" i="48"/>
  <c r="BL31" i="48"/>
  <c r="BM31" i="48"/>
  <c r="BS31" i="48" s="1"/>
  <c r="BL32" i="48"/>
  <c r="BM32" i="48"/>
  <c r="BL33" i="48"/>
  <c r="BM33" i="48"/>
  <c r="BL34" i="48"/>
  <c r="BM34" i="48"/>
  <c r="BL35" i="48"/>
  <c r="BM35" i="48"/>
  <c r="BW35" i="48" s="1"/>
  <c r="BL36" i="48"/>
  <c r="BM36" i="48"/>
  <c r="BL37" i="48"/>
  <c r="BM37" i="48"/>
  <c r="BL38" i="48"/>
  <c r="BM38" i="48"/>
  <c r="BL39" i="48"/>
  <c r="BM39" i="48"/>
  <c r="BS39" i="48" s="1"/>
  <c r="BL40" i="48"/>
  <c r="BM40" i="48"/>
  <c r="BL41" i="48"/>
  <c r="BM41" i="48"/>
  <c r="BL42" i="48"/>
  <c r="BM42" i="48"/>
  <c r="BL43" i="48"/>
  <c r="BM43" i="48"/>
  <c r="BW43" i="48" s="1"/>
  <c r="BL44" i="48"/>
  <c r="BM44" i="48"/>
  <c r="BL45" i="48"/>
  <c r="BM45" i="48"/>
  <c r="BL46" i="48"/>
  <c r="BM46" i="48"/>
  <c r="BL47" i="48"/>
  <c r="BM47" i="48"/>
  <c r="BW47" i="48" s="1"/>
  <c r="BL48" i="48"/>
  <c r="BM48" i="48"/>
  <c r="BL49" i="48"/>
  <c r="BM49" i="48"/>
  <c r="BL50" i="48"/>
  <c r="BM50" i="48"/>
  <c r="BL51" i="48"/>
  <c r="BM51" i="48"/>
  <c r="BW51" i="48" s="1"/>
  <c r="BL52" i="48"/>
  <c r="BM52" i="48"/>
  <c r="BL53" i="48"/>
  <c r="BM53" i="48"/>
  <c r="BL54" i="48"/>
  <c r="BM54" i="48"/>
  <c r="BL55" i="48"/>
  <c r="BM55" i="48"/>
  <c r="BW55" i="48" s="1"/>
  <c r="BL56" i="48"/>
  <c r="BM56" i="48"/>
  <c r="BL57" i="48"/>
  <c r="BM57" i="48"/>
  <c r="BL58" i="48"/>
  <c r="BM58" i="48"/>
  <c r="BL59" i="48"/>
  <c r="BM59" i="48"/>
  <c r="BW59" i="48" s="1"/>
  <c r="BL60" i="48"/>
  <c r="BM60" i="48"/>
  <c r="BL61" i="48"/>
  <c r="BM61" i="48"/>
  <c r="BL62" i="48"/>
  <c r="BM62" i="48"/>
  <c r="BL63" i="48"/>
  <c r="BM63" i="48"/>
  <c r="BW63" i="48" s="1"/>
  <c r="BL64" i="48"/>
  <c r="BM64" i="48"/>
  <c r="BL65" i="48"/>
  <c r="BM65" i="48"/>
  <c r="BL66" i="48"/>
  <c r="BM66" i="48"/>
  <c r="BL67" i="48"/>
  <c r="BM67" i="48"/>
  <c r="BW67" i="48" s="1"/>
  <c r="BL68" i="48"/>
  <c r="BM68" i="48"/>
  <c r="BL69" i="48"/>
  <c r="BM69" i="48"/>
  <c r="BL70" i="48"/>
  <c r="BM70" i="48"/>
  <c r="BL71" i="48"/>
  <c r="BM71" i="48"/>
  <c r="BS71" i="48" s="1"/>
  <c r="BL72" i="48"/>
  <c r="BM72" i="48"/>
  <c r="BL73" i="48"/>
  <c r="BM73" i="48"/>
  <c r="BL74" i="48"/>
  <c r="BM74" i="48"/>
  <c r="BL75" i="48"/>
  <c r="BM75" i="48"/>
  <c r="BW75" i="48" s="1"/>
  <c r="BL76" i="48"/>
  <c r="BM76" i="48"/>
  <c r="BL77" i="48"/>
  <c r="BM77" i="48"/>
  <c r="BL78" i="48"/>
  <c r="BM78" i="48"/>
  <c r="BL79" i="48"/>
  <c r="BM79" i="48"/>
  <c r="BW79" i="48" s="1"/>
  <c r="BL80" i="48"/>
  <c r="BM80" i="48"/>
  <c r="BL81" i="48"/>
  <c r="BM81" i="48"/>
  <c r="BL82" i="48"/>
  <c r="BM82" i="48"/>
  <c r="BL83" i="48"/>
  <c r="BM83" i="48"/>
  <c r="BW83" i="48" s="1"/>
  <c r="BL84" i="48"/>
  <c r="BM84" i="48"/>
  <c r="BL85" i="48"/>
  <c r="BM85" i="48"/>
  <c r="BL86" i="48"/>
  <c r="BM86" i="48"/>
  <c r="BL87" i="48"/>
  <c r="BM87" i="48"/>
  <c r="BW87" i="48" s="1"/>
  <c r="BL88" i="48"/>
  <c r="BM88" i="48"/>
  <c r="BL89" i="48"/>
  <c r="BM89" i="48"/>
  <c r="BL90" i="48"/>
  <c r="BM90" i="48"/>
  <c r="BL91" i="48"/>
  <c r="BM91" i="48"/>
  <c r="BW91" i="48" s="1"/>
  <c r="BL92" i="48"/>
  <c r="BM92" i="48"/>
  <c r="BL93" i="48"/>
  <c r="BM93" i="48"/>
  <c r="BL94" i="48"/>
  <c r="BM94" i="48"/>
  <c r="BL95" i="48"/>
  <c r="BM95" i="48"/>
  <c r="BS95" i="48" s="1"/>
  <c r="BL96" i="48"/>
  <c r="BM96" i="48"/>
  <c r="BL97" i="48"/>
  <c r="BM97" i="48"/>
  <c r="BL98" i="48"/>
  <c r="BM98" i="48"/>
  <c r="BL99" i="48"/>
  <c r="BM99" i="48"/>
  <c r="BW99" i="48" s="1"/>
  <c r="BL100" i="48"/>
  <c r="BM100" i="48"/>
  <c r="BL101" i="48"/>
  <c r="BM101" i="48"/>
  <c r="BL102" i="48"/>
  <c r="BM102" i="48"/>
  <c r="BL103" i="48"/>
  <c r="BM103" i="48"/>
  <c r="BW103" i="48" s="1"/>
  <c r="BL104" i="48"/>
  <c r="BM104" i="48"/>
  <c r="BL105" i="48"/>
  <c r="BM105" i="48"/>
  <c r="BL106" i="48"/>
  <c r="BM106" i="48"/>
  <c r="BL107" i="48"/>
  <c r="BM107" i="48"/>
  <c r="BW107" i="48" s="1"/>
  <c r="BL108" i="48"/>
  <c r="BM108" i="48"/>
  <c r="BL109" i="48"/>
  <c r="BM109" i="48"/>
  <c r="BL110" i="48"/>
  <c r="BM110" i="48"/>
  <c r="BL111" i="48"/>
  <c r="BM111" i="48"/>
  <c r="BS111" i="48" s="1"/>
  <c r="BL112" i="48"/>
  <c r="BM112" i="48"/>
  <c r="BL113" i="48"/>
  <c r="BM113" i="48"/>
  <c r="BL114" i="48"/>
  <c r="BM114" i="48"/>
  <c r="BL115" i="48"/>
  <c r="BM115" i="48"/>
  <c r="BW115" i="48" s="1"/>
  <c r="BL116" i="48"/>
  <c r="BM116" i="48"/>
  <c r="BL117" i="48"/>
  <c r="BM117" i="48"/>
  <c r="BL118" i="48"/>
  <c r="BM118" i="48"/>
  <c r="BL119" i="48"/>
  <c r="BM119" i="48"/>
  <c r="BW119" i="48" s="1"/>
  <c r="BL120" i="48"/>
  <c r="BM120" i="48"/>
  <c r="BL121" i="48"/>
  <c r="BM121" i="48"/>
  <c r="BL122" i="48"/>
  <c r="BM122" i="48"/>
  <c r="BL123" i="48"/>
  <c r="BM123" i="48"/>
  <c r="BW123" i="48" s="1"/>
  <c r="BL124" i="48"/>
  <c r="BM124" i="48"/>
  <c r="BL125" i="48"/>
  <c r="BM125" i="48"/>
  <c r="BM15" i="48"/>
  <c r="BL15" i="48"/>
  <c r="AW16" i="48"/>
  <c r="AX16" i="48"/>
  <c r="AW17" i="48"/>
  <c r="AX17" i="48"/>
  <c r="AW18" i="48"/>
  <c r="AX18" i="48"/>
  <c r="AW19" i="48"/>
  <c r="BC19" i="48" s="1"/>
  <c r="AX19" i="48"/>
  <c r="AW20" i="48"/>
  <c r="AX20" i="48"/>
  <c r="AW21" i="48"/>
  <c r="AX21" i="48"/>
  <c r="AW22" i="48"/>
  <c r="AX22" i="48"/>
  <c r="AW23" i="48"/>
  <c r="BG23" i="48" s="1"/>
  <c r="AX23" i="48"/>
  <c r="AW24" i="48"/>
  <c r="AX24" i="48"/>
  <c r="AW25" i="48"/>
  <c r="AX25" i="48"/>
  <c r="AW26" i="48"/>
  <c r="AX26" i="48"/>
  <c r="AW27" i="48"/>
  <c r="BG27" i="48" s="1"/>
  <c r="AX27" i="48"/>
  <c r="AW28" i="48"/>
  <c r="AX28" i="48"/>
  <c r="AW29" i="48"/>
  <c r="AX29" i="48"/>
  <c r="AW30" i="48"/>
  <c r="AX30" i="48"/>
  <c r="AW31" i="48"/>
  <c r="BC31" i="48" s="1"/>
  <c r="AX31" i="48"/>
  <c r="AW32" i="48"/>
  <c r="AX32" i="48"/>
  <c r="AW33" i="48"/>
  <c r="AX33" i="48"/>
  <c r="AW34" i="48"/>
  <c r="AX34" i="48"/>
  <c r="AW35" i="48"/>
  <c r="BG35" i="48" s="1"/>
  <c r="AX35" i="48"/>
  <c r="AW36" i="48"/>
  <c r="AX36" i="48"/>
  <c r="AW37" i="48"/>
  <c r="AX37" i="48"/>
  <c r="AW38" i="48"/>
  <c r="AX38" i="48"/>
  <c r="AW39" i="48"/>
  <c r="BG39" i="48" s="1"/>
  <c r="AX39" i="48"/>
  <c r="AW40" i="48"/>
  <c r="AX40" i="48"/>
  <c r="AW41" i="48"/>
  <c r="AX41" i="48"/>
  <c r="AW42" i="48"/>
  <c r="AX42" i="48"/>
  <c r="AW43" i="48"/>
  <c r="BG43" i="48" s="1"/>
  <c r="AX43" i="48"/>
  <c r="AW44" i="48"/>
  <c r="AX44" i="48"/>
  <c r="AW45" i="48"/>
  <c r="AX45" i="48"/>
  <c r="AW46" i="48"/>
  <c r="AX46" i="48"/>
  <c r="AW47" i="48"/>
  <c r="BG47" i="48" s="1"/>
  <c r="AX47" i="48"/>
  <c r="AW48" i="48"/>
  <c r="AX48" i="48"/>
  <c r="AW49" i="48"/>
  <c r="AX49" i="48"/>
  <c r="AW50" i="48"/>
  <c r="AX50" i="48"/>
  <c r="AW51" i="48"/>
  <c r="BG51" i="48" s="1"/>
  <c r="AX51" i="48"/>
  <c r="AW52" i="48"/>
  <c r="AX52" i="48"/>
  <c r="AW53" i="48"/>
  <c r="AX53" i="48"/>
  <c r="AW54" i="48"/>
  <c r="AX54" i="48"/>
  <c r="AW55" i="48"/>
  <c r="BG55" i="48" s="1"/>
  <c r="AX55" i="48"/>
  <c r="AW56" i="48"/>
  <c r="AX56" i="48"/>
  <c r="AW57" i="48"/>
  <c r="AX57" i="48"/>
  <c r="AW58" i="48"/>
  <c r="AX58" i="48"/>
  <c r="AW59" i="48"/>
  <c r="BG59" i="48" s="1"/>
  <c r="AX59" i="48"/>
  <c r="AW60" i="48"/>
  <c r="AX60" i="48"/>
  <c r="AW61" i="48"/>
  <c r="AX61" i="48"/>
  <c r="AW62" i="48"/>
  <c r="AX62" i="48"/>
  <c r="AW63" i="48"/>
  <c r="BG63" i="48" s="1"/>
  <c r="AX63" i="48"/>
  <c r="AW64" i="48"/>
  <c r="AX64" i="48"/>
  <c r="AW65" i="48"/>
  <c r="AX65" i="48"/>
  <c r="AW66" i="48"/>
  <c r="AX66" i="48"/>
  <c r="AW67" i="48"/>
  <c r="BG67" i="48" s="1"/>
  <c r="AX67" i="48"/>
  <c r="AW68" i="48"/>
  <c r="AX68" i="48"/>
  <c r="AW69" i="48"/>
  <c r="AX69" i="48"/>
  <c r="AW70" i="48"/>
  <c r="AX70" i="48"/>
  <c r="AW71" i="48"/>
  <c r="BG71" i="48" s="1"/>
  <c r="AX71" i="48"/>
  <c r="AW72" i="48"/>
  <c r="AX72" i="48"/>
  <c r="AW73" i="48"/>
  <c r="AX73" i="48"/>
  <c r="AW74" i="48"/>
  <c r="AX74" i="48"/>
  <c r="AW75" i="48"/>
  <c r="BG75" i="48" s="1"/>
  <c r="AX75" i="48"/>
  <c r="AW76" i="48"/>
  <c r="AX76" i="48"/>
  <c r="AW77" i="48"/>
  <c r="AX77" i="48"/>
  <c r="AW78" i="48"/>
  <c r="AX78" i="48"/>
  <c r="AW79" i="48"/>
  <c r="BG79" i="48" s="1"/>
  <c r="AX79" i="48"/>
  <c r="AW80" i="48"/>
  <c r="AX80" i="48"/>
  <c r="AW81" i="48"/>
  <c r="AX81" i="48"/>
  <c r="AW82" i="48"/>
  <c r="AX82" i="48"/>
  <c r="AW83" i="48"/>
  <c r="BC83" i="48" s="1"/>
  <c r="AX83" i="48"/>
  <c r="AW84" i="48"/>
  <c r="AX84" i="48"/>
  <c r="AW85" i="48"/>
  <c r="AX85" i="48"/>
  <c r="AW86" i="48"/>
  <c r="AX86" i="48"/>
  <c r="AW87" i="48"/>
  <c r="BG87" i="48" s="1"/>
  <c r="AX87" i="48"/>
  <c r="AW88" i="48"/>
  <c r="AX88" i="48"/>
  <c r="AW89" i="48"/>
  <c r="AX89" i="48"/>
  <c r="AW90" i="48"/>
  <c r="AX90" i="48"/>
  <c r="AW91" i="48"/>
  <c r="BG91" i="48" s="1"/>
  <c r="AX91" i="48"/>
  <c r="AW92" i="48"/>
  <c r="AX92" i="48"/>
  <c r="AW93" i="48"/>
  <c r="AX93" i="48"/>
  <c r="AW94" i="48"/>
  <c r="AX94" i="48"/>
  <c r="AW95" i="48"/>
  <c r="BG95" i="48" s="1"/>
  <c r="AX95" i="48"/>
  <c r="AW96" i="48"/>
  <c r="AX96" i="48"/>
  <c r="AW97" i="48"/>
  <c r="AX97" i="48"/>
  <c r="AW98" i="48"/>
  <c r="AX98" i="48"/>
  <c r="AW99" i="48"/>
  <c r="BG99" i="48" s="1"/>
  <c r="AX99" i="48"/>
  <c r="AW100" i="48"/>
  <c r="AX100" i="48"/>
  <c r="AW101" i="48"/>
  <c r="AX101" i="48"/>
  <c r="AW102" i="48"/>
  <c r="AX102" i="48"/>
  <c r="AW103" i="48"/>
  <c r="BC103" i="48" s="1"/>
  <c r="AX103" i="48"/>
  <c r="AW104" i="48"/>
  <c r="AX104" i="48"/>
  <c r="AW105" i="48"/>
  <c r="AX105" i="48"/>
  <c r="AW106" i="48"/>
  <c r="AX106" i="48"/>
  <c r="AW107" i="48"/>
  <c r="BG107" i="48" s="1"/>
  <c r="AX107" i="48"/>
  <c r="AW108" i="48"/>
  <c r="AX108" i="48"/>
  <c r="AW109" i="48"/>
  <c r="AX109" i="48"/>
  <c r="AW110" i="48"/>
  <c r="AX110" i="48"/>
  <c r="AW111" i="48"/>
  <c r="BG111" i="48" s="1"/>
  <c r="AX111" i="48"/>
  <c r="AW112" i="48"/>
  <c r="AX112" i="48"/>
  <c r="AW113" i="48"/>
  <c r="AX113" i="48"/>
  <c r="AW114" i="48"/>
  <c r="AX114" i="48"/>
  <c r="AW115" i="48"/>
  <c r="BG115" i="48" s="1"/>
  <c r="AX115" i="48"/>
  <c r="AW116" i="48"/>
  <c r="AX116" i="48"/>
  <c r="AW117" i="48"/>
  <c r="AX117" i="48"/>
  <c r="AW118" i="48"/>
  <c r="AX118" i="48"/>
  <c r="AW119" i="48"/>
  <c r="BC119" i="48" s="1"/>
  <c r="AX119" i="48"/>
  <c r="AW120" i="48"/>
  <c r="AX120" i="48"/>
  <c r="AW121" i="48"/>
  <c r="AX121" i="48"/>
  <c r="AW122" i="48"/>
  <c r="AX122" i="48"/>
  <c r="AW123" i="48"/>
  <c r="BG123" i="48" s="1"/>
  <c r="AX123" i="48"/>
  <c r="AW124" i="48"/>
  <c r="AX124" i="48"/>
  <c r="AW125" i="48"/>
  <c r="AX125" i="48"/>
  <c r="AX15" i="48"/>
  <c r="AW15" i="48"/>
  <c r="AH16" i="48"/>
  <c r="AI16" i="48"/>
  <c r="AH17" i="48"/>
  <c r="AI17" i="48"/>
  <c r="AH18" i="48"/>
  <c r="AI18" i="48"/>
  <c r="AH19" i="48"/>
  <c r="AH14" i="48" s="1"/>
  <c r="AR14" i="48" s="1"/>
  <c r="AI19" i="48"/>
  <c r="AH20" i="48"/>
  <c r="AI20" i="48"/>
  <c r="AH21" i="48"/>
  <c r="AI21" i="48"/>
  <c r="AH22" i="48"/>
  <c r="AI22" i="48"/>
  <c r="AH23" i="48"/>
  <c r="AN23" i="48" s="1"/>
  <c r="AI23" i="48"/>
  <c r="AH24" i="48"/>
  <c r="AI24" i="48"/>
  <c r="AH25" i="48"/>
  <c r="AI25" i="48"/>
  <c r="AH26" i="48"/>
  <c r="AI26" i="48"/>
  <c r="AH27" i="48"/>
  <c r="AN27" i="48" s="1"/>
  <c r="AI27" i="48"/>
  <c r="AH28" i="48"/>
  <c r="AI28" i="48"/>
  <c r="AH29" i="48"/>
  <c r="AI29" i="48"/>
  <c r="AH30" i="48"/>
  <c r="AI30" i="48"/>
  <c r="AH31" i="48"/>
  <c r="AR31" i="48" s="1"/>
  <c r="AI31" i="48"/>
  <c r="AH32" i="48"/>
  <c r="AI32" i="48"/>
  <c r="AH33" i="48"/>
  <c r="AI33" i="48"/>
  <c r="AH34" i="48"/>
  <c r="AI34" i="48"/>
  <c r="AH35" i="48"/>
  <c r="AR35" i="48" s="1"/>
  <c r="AI35" i="48"/>
  <c r="AH36" i="48"/>
  <c r="AI36" i="48"/>
  <c r="AH37" i="48"/>
  <c r="AI37" i="48"/>
  <c r="AH38" i="48"/>
  <c r="AI38" i="48"/>
  <c r="AH39" i="48"/>
  <c r="AR39" i="48" s="1"/>
  <c r="AI39" i="48"/>
  <c r="AH40" i="48"/>
  <c r="AI40" i="48"/>
  <c r="AH41" i="48"/>
  <c r="AI41" i="48"/>
  <c r="AH42" i="48"/>
  <c r="AI42" i="48"/>
  <c r="AH43" i="48"/>
  <c r="AR43" i="48" s="1"/>
  <c r="AI43" i="48"/>
  <c r="AH44" i="48"/>
  <c r="AI44" i="48"/>
  <c r="AH45" i="48"/>
  <c r="AI45" i="48"/>
  <c r="AH46" i="48"/>
  <c r="AI46" i="48"/>
  <c r="AH47" i="48"/>
  <c r="AN47" i="48" s="1"/>
  <c r="AI47" i="48"/>
  <c r="AH48" i="48"/>
  <c r="AI48" i="48"/>
  <c r="AH49" i="48"/>
  <c r="AI49" i="48"/>
  <c r="AH50" i="48"/>
  <c r="AI50" i="48"/>
  <c r="AH51" i="48"/>
  <c r="AR51" i="48" s="1"/>
  <c r="AI51" i="48"/>
  <c r="AH52" i="48"/>
  <c r="AI52" i="48"/>
  <c r="AH53" i="48"/>
  <c r="AI53" i="48"/>
  <c r="AH54" i="48"/>
  <c r="AI54" i="48"/>
  <c r="AH55" i="48"/>
  <c r="AN55" i="48" s="1"/>
  <c r="AI55" i="48"/>
  <c r="AH56" i="48"/>
  <c r="AI56" i="48"/>
  <c r="AH57" i="48"/>
  <c r="AI57" i="48"/>
  <c r="AH58" i="48"/>
  <c r="AI58" i="48"/>
  <c r="AH59" i="48"/>
  <c r="AN59" i="48" s="1"/>
  <c r="AI59" i="48"/>
  <c r="AH60" i="48"/>
  <c r="AI60" i="48"/>
  <c r="AH61" i="48"/>
  <c r="AI61" i="48"/>
  <c r="AH62" i="48"/>
  <c r="AI62" i="48"/>
  <c r="AH63" i="48"/>
  <c r="AR63" i="48" s="1"/>
  <c r="AI63" i="48"/>
  <c r="AH64" i="48"/>
  <c r="AI64" i="48"/>
  <c r="AH65" i="48"/>
  <c r="AI65" i="48"/>
  <c r="AH66" i="48"/>
  <c r="AI66" i="48"/>
  <c r="AH67" i="48"/>
  <c r="AN67" i="48" s="1"/>
  <c r="AI67" i="48"/>
  <c r="AH68" i="48"/>
  <c r="AI68" i="48"/>
  <c r="AH69" i="48"/>
  <c r="AI69" i="48"/>
  <c r="AH70" i="48"/>
  <c r="AI70" i="48"/>
  <c r="AH71" i="48"/>
  <c r="AN71" i="48" s="1"/>
  <c r="AI71" i="48"/>
  <c r="AH72" i="48"/>
  <c r="AI72" i="48"/>
  <c r="AH73" i="48"/>
  <c r="AI73" i="48"/>
  <c r="AH74" i="48"/>
  <c r="AI74" i="48"/>
  <c r="AH75" i="48"/>
  <c r="AN75" i="48" s="1"/>
  <c r="AI75" i="48"/>
  <c r="AH76" i="48"/>
  <c r="AI76" i="48"/>
  <c r="AH77" i="48"/>
  <c r="AI77" i="48"/>
  <c r="AH78" i="48"/>
  <c r="AI78" i="48"/>
  <c r="AH79" i="48"/>
  <c r="AR79" i="48" s="1"/>
  <c r="AI79" i="48"/>
  <c r="AH80" i="48"/>
  <c r="AI80" i="48"/>
  <c r="AH81" i="48"/>
  <c r="AI81" i="48"/>
  <c r="AH82" i="48"/>
  <c r="AI82" i="48"/>
  <c r="AH83" i="48"/>
  <c r="AR83" i="48" s="1"/>
  <c r="AI83" i="48"/>
  <c r="AH84" i="48"/>
  <c r="AI84" i="48"/>
  <c r="AH85" i="48"/>
  <c r="AI85" i="48"/>
  <c r="AH86" i="48"/>
  <c r="AI86" i="48"/>
  <c r="AH87" i="48"/>
  <c r="AR87" i="48" s="1"/>
  <c r="AI87" i="48"/>
  <c r="AH88" i="48"/>
  <c r="AI88" i="48"/>
  <c r="AH89" i="48"/>
  <c r="AI89" i="48"/>
  <c r="AH90" i="48"/>
  <c r="AI90" i="48"/>
  <c r="AH91" i="48"/>
  <c r="AR91" i="48" s="1"/>
  <c r="AI91" i="48"/>
  <c r="AH92" i="48"/>
  <c r="AI92" i="48"/>
  <c r="AH93" i="48"/>
  <c r="AI93" i="48"/>
  <c r="AH94" i="48"/>
  <c r="AI94" i="48"/>
  <c r="AH95" i="48"/>
  <c r="AR95" i="48" s="1"/>
  <c r="AI95" i="48"/>
  <c r="AH96" i="48"/>
  <c r="AI96" i="48"/>
  <c r="AH97" i="48"/>
  <c r="AI97" i="48"/>
  <c r="AH98" i="48"/>
  <c r="AI98" i="48"/>
  <c r="AH99" i="48"/>
  <c r="AR99" i="48" s="1"/>
  <c r="AI99" i="48"/>
  <c r="AH100" i="48"/>
  <c r="AI100" i="48"/>
  <c r="AH101" i="48"/>
  <c r="AI101" i="48"/>
  <c r="AH102" i="48"/>
  <c r="AI102" i="48"/>
  <c r="AH103" i="48"/>
  <c r="AN103" i="48" s="1"/>
  <c r="AI103" i="48"/>
  <c r="AH104" i="48"/>
  <c r="AI104" i="48"/>
  <c r="AH105" i="48"/>
  <c r="AI105" i="48"/>
  <c r="AH106" i="48"/>
  <c r="AI106" i="48"/>
  <c r="AH107" i="48"/>
  <c r="AR107" i="48" s="1"/>
  <c r="AI107" i="48"/>
  <c r="AH108" i="48"/>
  <c r="AI108" i="48"/>
  <c r="AH109" i="48"/>
  <c r="AI109" i="48"/>
  <c r="AH110" i="48"/>
  <c r="AI110" i="48"/>
  <c r="AH111" i="48"/>
  <c r="AR111" i="48" s="1"/>
  <c r="AI111" i="48"/>
  <c r="AH112" i="48"/>
  <c r="AI112" i="48"/>
  <c r="AH113" i="48"/>
  <c r="AI113" i="48"/>
  <c r="AH114" i="48"/>
  <c r="AI114" i="48"/>
  <c r="AH115" i="48"/>
  <c r="AN115" i="48" s="1"/>
  <c r="AI115" i="48"/>
  <c r="AH116" i="48"/>
  <c r="AI116" i="48"/>
  <c r="AH117" i="48"/>
  <c r="AI117" i="48"/>
  <c r="AH118" i="48"/>
  <c r="AI118" i="48"/>
  <c r="AH119" i="48"/>
  <c r="AR119" i="48" s="1"/>
  <c r="AI119" i="48"/>
  <c r="AH120" i="48"/>
  <c r="AI120" i="48"/>
  <c r="AH121" i="48"/>
  <c r="AI121" i="48"/>
  <c r="AH122" i="48"/>
  <c r="AI122" i="48"/>
  <c r="AH123" i="48"/>
  <c r="AN123" i="48" s="1"/>
  <c r="AI123" i="48"/>
  <c r="AH124" i="48"/>
  <c r="AI124" i="48"/>
  <c r="AH125" i="48"/>
  <c r="AI125" i="48"/>
  <c r="AI15" i="48"/>
  <c r="AH15" i="48"/>
  <c r="BL16" i="47"/>
  <c r="BM16" i="47"/>
  <c r="BL17" i="47"/>
  <c r="BM17" i="47"/>
  <c r="BL18" i="47"/>
  <c r="BM18" i="47"/>
  <c r="BL19" i="47"/>
  <c r="BM19" i="47"/>
  <c r="BS19" i="47" s="1"/>
  <c r="BL20" i="47"/>
  <c r="BM20" i="47"/>
  <c r="BL21" i="47"/>
  <c r="BM21" i="47"/>
  <c r="BL22" i="47"/>
  <c r="BM22" i="47"/>
  <c r="BL23" i="47"/>
  <c r="BM23" i="47"/>
  <c r="BS23" i="47" s="1"/>
  <c r="BL24" i="47"/>
  <c r="BM24" i="47"/>
  <c r="BL25" i="47"/>
  <c r="BM25" i="47"/>
  <c r="BL26" i="47"/>
  <c r="BM26" i="47"/>
  <c r="BL27" i="47"/>
  <c r="BM27" i="47"/>
  <c r="BW27" i="47" s="1"/>
  <c r="BL28" i="47"/>
  <c r="BM28" i="47"/>
  <c r="BL29" i="47"/>
  <c r="BM29" i="47"/>
  <c r="BL30" i="47"/>
  <c r="BM30" i="47"/>
  <c r="BL31" i="47"/>
  <c r="BM31" i="47"/>
  <c r="BW31" i="47" s="1"/>
  <c r="BL32" i="47"/>
  <c r="BM32" i="47"/>
  <c r="BL33" i="47"/>
  <c r="BM33" i="47"/>
  <c r="BL34" i="47"/>
  <c r="BM34" i="47"/>
  <c r="BL35" i="47"/>
  <c r="BM35" i="47"/>
  <c r="BS35" i="47" s="1"/>
  <c r="BL36" i="47"/>
  <c r="BM36" i="47"/>
  <c r="BL37" i="47"/>
  <c r="BM37" i="47"/>
  <c r="BL38" i="47"/>
  <c r="BM38" i="47"/>
  <c r="BL39" i="47"/>
  <c r="BM39" i="47"/>
  <c r="BW39" i="47" s="1"/>
  <c r="BL40" i="47"/>
  <c r="BM40" i="47"/>
  <c r="BL41" i="47"/>
  <c r="BM41" i="47"/>
  <c r="BL42" i="47"/>
  <c r="BM42" i="47"/>
  <c r="BL43" i="47"/>
  <c r="BM43" i="47"/>
  <c r="BW43" i="47" s="1"/>
  <c r="BL44" i="47"/>
  <c r="BM44" i="47"/>
  <c r="BL45" i="47"/>
  <c r="BM45" i="47"/>
  <c r="BL46" i="47"/>
  <c r="BM46" i="47"/>
  <c r="BL47" i="47"/>
  <c r="BM47" i="47"/>
  <c r="BW47" i="47" s="1"/>
  <c r="BL48" i="47"/>
  <c r="BM48" i="47"/>
  <c r="BL49" i="47"/>
  <c r="BM49" i="47"/>
  <c r="BL50" i="47"/>
  <c r="BM50" i="47"/>
  <c r="BL51" i="47"/>
  <c r="BM51" i="47"/>
  <c r="BW51" i="47" s="1"/>
  <c r="BL52" i="47"/>
  <c r="BM52" i="47"/>
  <c r="BL53" i="47"/>
  <c r="BM53" i="47"/>
  <c r="BL54" i="47"/>
  <c r="BM54" i="47"/>
  <c r="BL55" i="47"/>
  <c r="BM55" i="47"/>
  <c r="BS55" i="47" s="1"/>
  <c r="BL56" i="47"/>
  <c r="BM56" i="47"/>
  <c r="BL57" i="47"/>
  <c r="BM57" i="47"/>
  <c r="BL58" i="47"/>
  <c r="BM58" i="47"/>
  <c r="BL59" i="47"/>
  <c r="BM59" i="47"/>
  <c r="BW59" i="47" s="1"/>
  <c r="BL60" i="47"/>
  <c r="BM60" i="47"/>
  <c r="BL61" i="47"/>
  <c r="BM61" i="47"/>
  <c r="BL62" i="47"/>
  <c r="BM62" i="47"/>
  <c r="BL63" i="47"/>
  <c r="BM63" i="47"/>
  <c r="BS63" i="47" s="1"/>
  <c r="BL64" i="47"/>
  <c r="BM64" i="47"/>
  <c r="BL65" i="47"/>
  <c r="BM65" i="47"/>
  <c r="BL66" i="47"/>
  <c r="BM66" i="47"/>
  <c r="BL67" i="47"/>
  <c r="BM67" i="47"/>
  <c r="BW67" i="47" s="1"/>
  <c r="BL68" i="47"/>
  <c r="BM68" i="47"/>
  <c r="BL69" i="47"/>
  <c r="BM69" i="47"/>
  <c r="BL70" i="47"/>
  <c r="BM70" i="47"/>
  <c r="BL71" i="47"/>
  <c r="BM71" i="47"/>
  <c r="BW71" i="47" s="1"/>
  <c r="BL72" i="47"/>
  <c r="BM72" i="47"/>
  <c r="BL73" i="47"/>
  <c r="BM73" i="47"/>
  <c r="BL74" i="47"/>
  <c r="BM74" i="47"/>
  <c r="BL75" i="47"/>
  <c r="BM75" i="47"/>
  <c r="BW75" i="47" s="1"/>
  <c r="BL76" i="47"/>
  <c r="BM76" i="47"/>
  <c r="BL77" i="47"/>
  <c r="BM77" i="47"/>
  <c r="BL78" i="47"/>
  <c r="BM78" i="47"/>
  <c r="BL79" i="47"/>
  <c r="BM79" i="47"/>
  <c r="BW79" i="47" s="1"/>
  <c r="BL80" i="47"/>
  <c r="BM80" i="47"/>
  <c r="BL81" i="47"/>
  <c r="BM81" i="47"/>
  <c r="BL82" i="47"/>
  <c r="BM82" i="47"/>
  <c r="BL83" i="47"/>
  <c r="BM83" i="47"/>
  <c r="BS83" i="47" s="1"/>
  <c r="BL84" i="47"/>
  <c r="BM84" i="47"/>
  <c r="BL85" i="47"/>
  <c r="BM85" i="47"/>
  <c r="BL86" i="47"/>
  <c r="BM86" i="47"/>
  <c r="BL87" i="47"/>
  <c r="BM87" i="47"/>
  <c r="BW87" i="47" s="1"/>
  <c r="BL88" i="47"/>
  <c r="BM88" i="47"/>
  <c r="BL89" i="47"/>
  <c r="BM89" i="47"/>
  <c r="BL90" i="47"/>
  <c r="BM90" i="47"/>
  <c r="BL91" i="47"/>
  <c r="BM91" i="47"/>
  <c r="BS91" i="47" s="1"/>
  <c r="BL92" i="47"/>
  <c r="BM92" i="47"/>
  <c r="BL93" i="47"/>
  <c r="BM93" i="47"/>
  <c r="BL94" i="47"/>
  <c r="BM94" i="47"/>
  <c r="BL95" i="47"/>
  <c r="BM95" i="47"/>
  <c r="BS95" i="47" s="1"/>
  <c r="BL96" i="47"/>
  <c r="BM96" i="47"/>
  <c r="BL97" i="47"/>
  <c r="BM97" i="47"/>
  <c r="BL98" i="47"/>
  <c r="BM98" i="47"/>
  <c r="BL99" i="47"/>
  <c r="BM99" i="47"/>
  <c r="BW99" i="47" s="1"/>
  <c r="BL100" i="47"/>
  <c r="BM100" i="47"/>
  <c r="BL101" i="47"/>
  <c r="BM101" i="47"/>
  <c r="BL102" i="47"/>
  <c r="BM102" i="47"/>
  <c r="BL103" i="47"/>
  <c r="BM103" i="47"/>
  <c r="BW103" i="47" s="1"/>
  <c r="BL104" i="47"/>
  <c r="BM104" i="47"/>
  <c r="BL105" i="47"/>
  <c r="BM105" i="47"/>
  <c r="BL106" i="47"/>
  <c r="BM106" i="47"/>
  <c r="BL107" i="47"/>
  <c r="BM107" i="47"/>
  <c r="BS107" i="47" s="1"/>
  <c r="BL108" i="47"/>
  <c r="BM108" i="47"/>
  <c r="BL109" i="47"/>
  <c r="BM109" i="47"/>
  <c r="BL110" i="47"/>
  <c r="BM110" i="47"/>
  <c r="BL111" i="47"/>
  <c r="BM111" i="47"/>
  <c r="BW111" i="47" s="1"/>
  <c r="BL112" i="47"/>
  <c r="BM112" i="47"/>
  <c r="BL113" i="47"/>
  <c r="BM113" i="47"/>
  <c r="BL114" i="47"/>
  <c r="BM114" i="47"/>
  <c r="BL115" i="47"/>
  <c r="BM115" i="47"/>
  <c r="BW115" i="47" s="1"/>
  <c r="BL116" i="47"/>
  <c r="BM116" i="47"/>
  <c r="BL117" i="47"/>
  <c r="BM117" i="47"/>
  <c r="BL118" i="47"/>
  <c r="BM118" i="47"/>
  <c r="BL119" i="47"/>
  <c r="BM119" i="47"/>
  <c r="BS119" i="47" s="1"/>
  <c r="BL120" i="47"/>
  <c r="BM120" i="47"/>
  <c r="BL121" i="47"/>
  <c r="BM121" i="47"/>
  <c r="BL122" i="47"/>
  <c r="BM122" i="47"/>
  <c r="BL123" i="47"/>
  <c r="BM123" i="47"/>
  <c r="BW123" i="47" s="1"/>
  <c r="BL124" i="47"/>
  <c r="BM124" i="47"/>
  <c r="BL125" i="47"/>
  <c r="BM125" i="47"/>
  <c r="BM15" i="47"/>
  <c r="BL15" i="47"/>
  <c r="AW16" i="47"/>
  <c r="AX16" i="47"/>
  <c r="AW17" i="47"/>
  <c r="AX17" i="47"/>
  <c r="AW18" i="47"/>
  <c r="AX18" i="47"/>
  <c r="AW19" i="47"/>
  <c r="AW14" i="47" s="1"/>
  <c r="BG14" i="47" s="1"/>
  <c r="AX19" i="47"/>
  <c r="AW20" i="47"/>
  <c r="AX20" i="47"/>
  <c r="AW21" i="47"/>
  <c r="AX21" i="47"/>
  <c r="AW22" i="47"/>
  <c r="AX22" i="47"/>
  <c r="AW23" i="47"/>
  <c r="BG23" i="47" s="1"/>
  <c r="AX23" i="47"/>
  <c r="AW24" i="47"/>
  <c r="AX24" i="47"/>
  <c r="AW25" i="47"/>
  <c r="AX25" i="47"/>
  <c r="AW26" i="47"/>
  <c r="AX26" i="47"/>
  <c r="AW27" i="47"/>
  <c r="BG27" i="47" s="1"/>
  <c r="AX27" i="47"/>
  <c r="AW28" i="47"/>
  <c r="AX28" i="47"/>
  <c r="AW29" i="47"/>
  <c r="AX29" i="47"/>
  <c r="AW30" i="47"/>
  <c r="AX30" i="47"/>
  <c r="AW31" i="47"/>
  <c r="BG31" i="47" s="1"/>
  <c r="AX31" i="47"/>
  <c r="AW32" i="47"/>
  <c r="AX32" i="47"/>
  <c r="AW33" i="47"/>
  <c r="AX33" i="47"/>
  <c r="AW34" i="47"/>
  <c r="AX34" i="47"/>
  <c r="AW35" i="47"/>
  <c r="BG35" i="47" s="1"/>
  <c r="AX35" i="47"/>
  <c r="AW36" i="47"/>
  <c r="AX36" i="47"/>
  <c r="AW37" i="47"/>
  <c r="AX37" i="47"/>
  <c r="AW38" i="47"/>
  <c r="AX38" i="47"/>
  <c r="AW39" i="47"/>
  <c r="BC39" i="47" s="1"/>
  <c r="AX39" i="47"/>
  <c r="AW40" i="47"/>
  <c r="AX40" i="47"/>
  <c r="AW41" i="47"/>
  <c r="AX41" i="47"/>
  <c r="AW42" i="47"/>
  <c r="AX42" i="47"/>
  <c r="AW43" i="47"/>
  <c r="BG43" i="47" s="1"/>
  <c r="AX43" i="47"/>
  <c r="AW44" i="47"/>
  <c r="AX44" i="47"/>
  <c r="AW45" i="47"/>
  <c r="AX45" i="47"/>
  <c r="AW46" i="47"/>
  <c r="AX46" i="47"/>
  <c r="AW47" i="47"/>
  <c r="BG47" i="47" s="1"/>
  <c r="AX47" i="47"/>
  <c r="AW48" i="47"/>
  <c r="AX48" i="47"/>
  <c r="AW49" i="47"/>
  <c r="AX49" i="47"/>
  <c r="AW50" i="47"/>
  <c r="AX50" i="47"/>
  <c r="AW51" i="47"/>
  <c r="BG51" i="47" s="1"/>
  <c r="AX51" i="47"/>
  <c r="AW52" i="47"/>
  <c r="AX52" i="47"/>
  <c r="AW53" i="47"/>
  <c r="AX53" i="47"/>
  <c r="AW54" i="47"/>
  <c r="AX54" i="47"/>
  <c r="AW55" i="47"/>
  <c r="BG55" i="47" s="1"/>
  <c r="AX55" i="47"/>
  <c r="AW56" i="47"/>
  <c r="AX56" i="47"/>
  <c r="AW57" i="47"/>
  <c r="AX57" i="47"/>
  <c r="AW58" i="47"/>
  <c r="AX58" i="47"/>
  <c r="AW59" i="47"/>
  <c r="BC59" i="47" s="1"/>
  <c r="AX59" i="47"/>
  <c r="AW60" i="47"/>
  <c r="AX60" i="47"/>
  <c r="AW61" i="47"/>
  <c r="AX61" i="47"/>
  <c r="AW62" i="47"/>
  <c r="AX62" i="47"/>
  <c r="AW63" i="47"/>
  <c r="BG63" i="47" s="1"/>
  <c r="AX63" i="47"/>
  <c r="AW64" i="47"/>
  <c r="AX64" i="47"/>
  <c r="AW65" i="47"/>
  <c r="AX65" i="47"/>
  <c r="AW66" i="47"/>
  <c r="AX66" i="47"/>
  <c r="AW67" i="47"/>
  <c r="BG67" i="47" s="1"/>
  <c r="AX67" i="47"/>
  <c r="AW68" i="47"/>
  <c r="AX68" i="47"/>
  <c r="AW69" i="47"/>
  <c r="AX69" i="47"/>
  <c r="AW70" i="47"/>
  <c r="AX70" i="47"/>
  <c r="AW71" i="47"/>
  <c r="BG71" i="47" s="1"/>
  <c r="AX71" i="47"/>
  <c r="AW72" i="47"/>
  <c r="AX72" i="47"/>
  <c r="AW73" i="47"/>
  <c r="AX73" i="47"/>
  <c r="AW74" i="47"/>
  <c r="AX74" i="47"/>
  <c r="AW75" i="47"/>
  <c r="BC75" i="47" s="1"/>
  <c r="AX75" i="47"/>
  <c r="AW76" i="47"/>
  <c r="AX76" i="47"/>
  <c r="AW77" i="47"/>
  <c r="AX77" i="47"/>
  <c r="AW78" i="47"/>
  <c r="AX78" i="47"/>
  <c r="AW79" i="47"/>
  <c r="BG79" i="47" s="1"/>
  <c r="AX79" i="47"/>
  <c r="AW80" i="47"/>
  <c r="AX80" i="47"/>
  <c r="AW81" i="47"/>
  <c r="AX81" i="47"/>
  <c r="AW82" i="47"/>
  <c r="AX82" i="47"/>
  <c r="AW83" i="47"/>
  <c r="BG83" i="47" s="1"/>
  <c r="AX83" i="47"/>
  <c r="AW84" i="47"/>
  <c r="AX84" i="47"/>
  <c r="AW85" i="47"/>
  <c r="AX85" i="47"/>
  <c r="AW86" i="47"/>
  <c r="AX86" i="47"/>
  <c r="AW87" i="47"/>
  <c r="BG87" i="47" s="1"/>
  <c r="AX87" i="47"/>
  <c r="AW88" i="47"/>
  <c r="AX88" i="47"/>
  <c r="AW89" i="47"/>
  <c r="AX89" i="47"/>
  <c r="AW90" i="47"/>
  <c r="AX90" i="47"/>
  <c r="AW91" i="47"/>
  <c r="BG91" i="47" s="1"/>
  <c r="AX91" i="47"/>
  <c r="AW92" i="47"/>
  <c r="AX92" i="47"/>
  <c r="AW93" i="47"/>
  <c r="AX93" i="47"/>
  <c r="AW94" i="47"/>
  <c r="AX94" i="47"/>
  <c r="AW95" i="47"/>
  <c r="BG95" i="47" s="1"/>
  <c r="AX95" i="47"/>
  <c r="AW96" i="47"/>
  <c r="AX96" i="47"/>
  <c r="AW97" i="47"/>
  <c r="AX97" i="47"/>
  <c r="AW98" i="47"/>
  <c r="AX98" i="47"/>
  <c r="AW99" i="47"/>
  <c r="BC99" i="47" s="1"/>
  <c r="AX99" i="47"/>
  <c r="AW100" i="47"/>
  <c r="AX100" i="47"/>
  <c r="AW101" i="47"/>
  <c r="AX101" i="47"/>
  <c r="AW102" i="47"/>
  <c r="AX102" i="47"/>
  <c r="AW103" i="47"/>
  <c r="BG103" i="47" s="1"/>
  <c r="AX103" i="47"/>
  <c r="AW104" i="47"/>
  <c r="AX104" i="47"/>
  <c r="AW105" i="47"/>
  <c r="AX105" i="47"/>
  <c r="AW106" i="47"/>
  <c r="AX106" i="47"/>
  <c r="AW107" i="47"/>
  <c r="BG107" i="47" s="1"/>
  <c r="AX107" i="47"/>
  <c r="AW108" i="47"/>
  <c r="AX108" i="47"/>
  <c r="AW109" i="47"/>
  <c r="AX109" i="47"/>
  <c r="AW110" i="47"/>
  <c r="AX110" i="47"/>
  <c r="AW111" i="47"/>
  <c r="BC111" i="47" s="1"/>
  <c r="AX111" i="47"/>
  <c r="AW112" i="47"/>
  <c r="AX112" i="47"/>
  <c r="AW113" i="47"/>
  <c r="AX113" i="47"/>
  <c r="AW114" i="47"/>
  <c r="AX114" i="47"/>
  <c r="AW115" i="47"/>
  <c r="BC115" i="47" s="1"/>
  <c r="AX115" i="47"/>
  <c r="AW116" i="47"/>
  <c r="AX116" i="47"/>
  <c r="AW117" i="47"/>
  <c r="AX117" i="47"/>
  <c r="AW118" i="47"/>
  <c r="AX118" i="47"/>
  <c r="AW119" i="47"/>
  <c r="BG119" i="47" s="1"/>
  <c r="AX119" i="47"/>
  <c r="AW120" i="47"/>
  <c r="AX120" i="47"/>
  <c r="AW121" i="47"/>
  <c r="AX121" i="47"/>
  <c r="AW122" i="47"/>
  <c r="AX122" i="47"/>
  <c r="AW123" i="47"/>
  <c r="BG123" i="47" s="1"/>
  <c r="AX123" i="47"/>
  <c r="AW124" i="47"/>
  <c r="AX124" i="47"/>
  <c r="AW125" i="47"/>
  <c r="AX125" i="47"/>
  <c r="AX15" i="47"/>
  <c r="AW15" i="47"/>
  <c r="AH16" i="47"/>
  <c r="AI16" i="47"/>
  <c r="AH17" i="47"/>
  <c r="AI17" i="47"/>
  <c r="AH18" i="47"/>
  <c r="AI18" i="47"/>
  <c r="AH19" i="47"/>
  <c r="AI19" i="47"/>
  <c r="AS19" i="47" s="1"/>
  <c r="AH20" i="47"/>
  <c r="AI20" i="47"/>
  <c r="AH21" i="47"/>
  <c r="AI21" i="47"/>
  <c r="AH22" i="47"/>
  <c r="AI22" i="47"/>
  <c r="AH23" i="47"/>
  <c r="AI23" i="47"/>
  <c r="AO23" i="47" s="1"/>
  <c r="AH24" i="47"/>
  <c r="AI24" i="47"/>
  <c r="AH25" i="47"/>
  <c r="AI25" i="47"/>
  <c r="AH26" i="47"/>
  <c r="AI26" i="47"/>
  <c r="AH27" i="47"/>
  <c r="AI27" i="47"/>
  <c r="AO27" i="47" s="1"/>
  <c r="AH28" i="47"/>
  <c r="AI28" i="47"/>
  <c r="AH29" i="47"/>
  <c r="AI29" i="47"/>
  <c r="AH30" i="47"/>
  <c r="AI30" i="47"/>
  <c r="AH31" i="47"/>
  <c r="AI31" i="47"/>
  <c r="AO31" i="47" s="1"/>
  <c r="AH32" i="47"/>
  <c r="AI32" i="47"/>
  <c r="AH33" i="47"/>
  <c r="AI33" i="47"/>
  <c r="AH34" i="47"/>
  <c r="AI34" i="47"/>
  <c r="AH35" i="47"/>
  <c r="AI35" i="47"/>
  <c r="AS35" i="47" s="1"/>
  <c r="AH36" i="47"/>
  <c r="AI36" i="47"/>
  <c r="AH37" i="47"/>
  <c r="AI37" i="47"/>
  <c r="AH38" i="47"/>
  <c r="AI38" i="47"/>
  <c r="AH39" i="47"/>
  <c r="AI39" i="47"/>
  <c r="AS39" i="47" s="1"/>
  <c r="AH40" i="47"/>
  <c r="AI40" i="47"/>
  <c r="AH41" i="47"/>
  <c r="AI41" i="47"/>
  <c r="AH42" i="47"/>
  <c r="AI42" i="47"/>
  <c r="AH43" i="47"/>
  <c r="AI43" i="47"/>
  <c r="AS43" i="47" s="1"/>
  <c r="AH44" i="47"/>
  <c r="AI44" i="47"/>
  <c r="AH45" i="47"/>
  <c r="AI45" i="47"/>
  <c r="AH46" i="47"/>
  <c r="AI46" i="47"/>
  <c r="AH47" i="47"/>
  <c r="AI47" i="47"/>
  <c r="AS47" i="47" s="1"/>
  <c r="AH48" i="47"/>
  <c r="AI48" i="47"/>
  <c r="AH49" i="47"/>
  <c r="AI49" i="47"/>
  <c r="AH50" i="47"/>
  <c r="AI50" i="47"/>
  <c r="AH51" i="47"/>
  <c r="AI51" i="47"/>
  <c r="AS51" i="47" s="1"/>
  <c r="AH52" i="47"/>
  <c r="AI52" i="47"/>
  <c r="AH53" i="47"/>
  <c r="AI53" i="47"/>
  <c r="AH54" i="47"/>
  <c r="AI54" i="47"/>
  <c r="AH55" i="47"/>
  <c r="AI55" i="47"/>
  <c r="AS55" i="47" s="1"/>
  <c r="AH56" i="47"/>
  <c r="AI56" i="47"/>
  <c r="AH57" i="47"/>
  <c r="AI57" i="47"/>
  <c r="AH58" i="47"/>
  <c r="AI58" i="47"/>
  <c r="AH59" i="47"/>
  <c r="AI59" i="47"/>
  <c r="AS59" i="47" s="1"/>
  <c r="AH60" i="47"/>
  <c r="AI60" i="47"/>
  <c r="AH61" i="47"/>
  <c r="AI61" i="47"/>
  <c r="AH62" i="47"/>
  <c r="AI62" i="47"/>
  <c r="AH63" i="47"/>
  <c r="AI63" i="47"/>
  <c r="AS63" i="47" s="1"/>
  <c r="AH64" i="47"/>
  <c r="AI64" i="47"/>
  <c r="AH65" i="47"/>
  <c r="AI65" i="47"/>
  <c r="AH66" i="47"/>
  <c r="AI66" i="47"/>
  <c r="AH67" i="47"/>
  <c r="AI67" i="47"/>
  <c r="AS67" i="47" s="1"/>
  <c r="AH68" i="47"/>
  <c r="AI68" i="47"/>
  <c r="AH69" i="47"/>
  <c r="AI69" i="47"/>
  <c r="AH70" i="47"/>
  <c r="AI70" i="47"/>
  <c r="AH71" i="47"/>
  <c r="AI71" i="47"/>
  <c r="AS71" i="47" s="1"/>
  <c r="AH72" i="47"/>
  <c r="AI72" i="47"/>
  <c r="AH73" i="47"/>
  <c r="AI73" i="47"/>
  <c r="AH74" i="47"/>
  <c r="AI74" i="47"/>
  <c r="AH75" i="47"/>
  <c r="AI75" i="47"/>
  <c r="AS75" i="47" s="1"/>
  <c r="AH76" i="47"/>
  <c r="AI76" i="47"/>
  <c r="AH77" i="47"/>
  <c r="AI77" i="47"/>
  <c r="AH78" i="47"/>
  <c r="AI78" i="47"/>
  <c r="AH79" i="47"/>
  <c r="AI79" i="47"/>
  <c r="AS79" i="47" s="1"/>
  <c r="AH80" i="47"/>
  <c r="AI80" i="47"/>
  <c r="AH81" i="47"/>
  <c r="AI81" i="47"/>
  <c r="AH82" i="47"/>
  <c r="AI82" i="47"/>
  <c r="AH83" i="47"/>
  <c r="AI83" i="47"/>
  <c r="AS83" i="47" s="1"/>
  <c r="AH84" i="47"/>
  <c r="AI84" i="47"/>
  <c r="AH85" i="47"/>
  <c r="AI85" i="47"/>
  <c r="AH86" i="47"/>
  <c r="AI86" i="47"/>
  <c r="AH87" i="47"/>
  <c r="AI87" i="47"/>
  <c r="AS87" i="47" s="1"/>
  <c r="AH88" i="47"/>
  <c r="AI88" i="47"/>
  <c r="AH89" i="47"/>
  <c r="AI89" i="47"/>
  <c r="AH90" i="47"/>
  <c r="AI90" i="47"/>
  <c r="AH91" i="47"/>
  <c r="AI91" i="47"/>
  <c r="AS91" i="47" s="1"/>
  <c r="AH92" i="47"/>
  <c r="AI92" i="47"/>
  <c r="AH93" i="47"/>
  <c r="AI93" i="47"/>
  <c r="AH94" i="47"/>
  <c r="AI94" i="47"/>
  <c r="AH95" i="47"/>
  <c r="AI95" i="47"/>
  <c r="AO95" i="47" s="1"/>
  <c r="AH96" i="47"/>
  <c r="AI96" i="47"/>
  <c r="AH97" i="47"/>
  <c r="AI97" i="47"/>
  <c r="AH98" i="47"/>
  <c r="AI98" i="47"/>
  <c r="AH99" i="47"/>
  <c r="AI99" i="47"/>
  <c r="AS99" i="47" s="1"/>
  <c r="AH100" i="47"/>
  <c r="AI100" i="47"/>
  <c r="AH101" i="47"/>
  <c r="AI101" i="47"/>
  <c r="AH102" i="47"/>
  <c r="AI102" i="47"/>
  <c r="AH103" i="47"/>
  <c r="AI103" i="47"/>
  <c r="AS103" i="47" s="1"/>
  <c r="AH104" i="47"/>
  <c r="AI104" i="47"/>
  <c r="AH105" i="47"/>
  <c r="AI105" i="47"/>
  <c r="AH106" i="47"/>
  <c r="AI106" i="47"/>
  <c r="AH107" i="47"/>
  <c r="AI107" i="47"/>
  <c r="AS107" i="47" s="1"/>
  <c r="AH108" i="47"/>
  <c r="AI108" i="47"/>
  <c r="AH109" i="47"/>
  <c r="AI109" i="47"/>
  <c r="AH110" i="47"/>
  <c r="AI110" i="47"/>
  <c r="AH111" i="47"/>
  <c r="AI111" i="47"/>
  <c r="AS111" i="47" s="1"/>
  <c r="AH112" i="47"/>
  <c r="AI112" i="47"/>
  <c r="AH113" i="47"/>
  <c r="AI113" i="47"/>
  <c r="AH114" i="47"/>
  <c r="AI114" i="47"/>
  <c r="AH115" i="47"/>
  <c r="AI115" i="47"/>
  <c r="AS115" i="47" s="1"/>
  <c r="AH116" i="47"/>
  <c r="AI116" i="47"/>
  <c r="AH117" i="47"/>
  <c r="AI117" i="47"/>
  <c r="AH118" i="47"/>
  <c r="AI118" i="47"/>
  <c r="AH119" i="47"/>
  <c r="AI119" i="47"/>
  <c r="AS119" i="47" s="1"/>
  <c r="AH120" i="47"/>
  <c r="AI120" i="47"/>
  <c r="AH121" i="47"/>
  <c r="AI121" i="47"/>
  <c r="AH122" i="47"/>
  <c r="AI122" i="47"/>
  <c r="AH123" i="47"/>
  <c r="AI123" i="47"/>
  <c r="AO123" i="47" s="1"/>
  <c r="AH124" i="47"/>
  <c r="AI124" i="47"/>
  <c r="AH125" i="47"/>
  <c r="AI125" i="47"/>
  <c r="AI15" i="47"/>
  <c r="AH15" i="47"/>
  <c r="BL16" i="46"/>
  <c r="BM16" i="46"/>
  <c r="BL17" i="46"/>
  <c r="BM17" i="46"/>
  <c r="BL18" i="46"/>
  <c r="BM18" i="46"/>
  <c r="BL19" i="46"/>
  <c r="BV19" i="46" s="1"/>
  <c r="BM19" i="46"/>
  <c r="BL20" i="46"/>
  <c r="BM20" i="46"/>
  <c r="BL21" i="46"/>
  <c r="BM21" i="46"/>
  <c r="BL22" i="46"/>
  <c r="BM22" i="46"/>
  <c r="BL23" i="46"/>
  <c r="BV23" i="46" s="1"/>
  <c r="BM23" i="46"/>
  <c r="BL24" i="46"/>
  <c r="BM24" i="46"/>
  <c r="BL25" i="46"/>
  <c r="BM25" i="46"/>
  <c r="BL26" i="46"/>
  <c r="BM26" i="46"/>
  <c r="BL27" i="46"/>
  <c r="BV27" i="46" s="1"/>
  <c r="BM27" i="46"/>
  <c r="BL28" i="46"/>
  <c r="BM28" i="46"/>
  <c r="BL29" i="46"/>
  <c r="BM29" i="46"/>
  <c r="BL30" i="46"/>
  <c r="BM30" i="46"/>
  <c r="BL31" i="46"/>
  <c r="BV31" i="46" s="1"/>
  <c r="BM31" i="46"/>
  <c r="BL32" i="46"/>
  <c r="BM32" i="46"/>
  <c r="BL33" i="46"/>
  <c r="BM33" i="46"/>
  <c r="BL34" i="46"/>
  <c r="BM34" i="46"/>
  <c r="BL35" i="46"/>
  <c r="BV35" i="46" s="1"/>
  <c r="BM35" i="46"/>
  <c r="BL36" i="46"/>
  <c r="BM36" i="46"/>
  <c r="BL37" i="46"/>
  <c r="BM37" i="46"/>
  <c r="BL38" i="46"/>
  <c r="BM38" i="46"/>
  <c r="BL39" i="46"/>
  <c r="BM39" i="46"/>
  <c r="BL40" i="46"/>
  <c r="BM40" i="46"/>
  <c r="BL41" i="46"/>
  <c r="BM41" i="46"/>
  <c r="BL42" i="46"/>
  <c r="BM42" i="46"/>
  <c r="BL43" i="46"/>
  <c r="BR43" i="46" s="1"/>
  <c r="BV43" i="46" s="1"/>
  <c r="BM43" i="46"/>
  <c r="BL44" i="46"/>
  <c r="BM44" i="46"/>
  <c r="BL45" i="46"/>
  <c r="BM45" i="46"/>
  <c r="BL46" i="46"/>
  <c r="BM46" i="46"/>
  <c r="BL47" i="46"/>
  <c r="BR47" i="46" s="1"/>
  <c r="BV47" i="46" s="1"/>
  <c r="BM47" i="46"/>
  <c r="BL48" i="46"/>
  <c r="BM48" i="46"/>
  <c r="BL49" i="46"/>
  <c r="BM49" i="46"/>
  <c r="BL50" i="46"/>
  <c r="BM50" i="46"/>
  <c r="BL51" i="46"/>
  <c r="BM51" i="46"/>
  <c r="BL52" i="46"/>
  <c r="BM52" i="46"/>
  <c r="BL53" i="46"/>
  <c r="BM53" i="46"/>
  <c r="BL54" i="46"/>
  <c r="BM54" i="46"/>
  <c r="BL55" i="46"/>
  <c r="BM55" i="46"/>
  <c r="BL56" i="46"/>
  <c r="BM56" i="46"/>
  <c r="BL57" i="46"/>
  <c r="BM57" i="46"/>
  <c r="BL58" i="46"/>
  <c r="BM58" i="46"/>
  <c r="BL59" i="46"/>
  <c r="BM59" i="46"/>
  <c r="BL60" i="46"/>
  <c r="BM60" i="46"/>
  <c r="BL61" i="46"/>
  <c r="BM61" i="46"/>
  <c r="BL62" i="46"/>
  <c r="BM62" i="46"/>
  <c r="BL63" i="46"/>
  <c r="BM63" i="46"/>
  <c r="BL64" i="46"/>
  <c r="BM64" i="46"/>
  <c r="BL65" i="46"/>
  <c r="BM65" i="46"/>
  <c r="BL66" i="46"/>
  <c r="BM66" i="46"/>
  <c r="BL67" i="46"/>
  <c r="BM67" i="46"/>
  <c r="BL68" i="46"/>
  <c r="BM68" i="46"/>
  <c r="BL69" i="46"/>
  <c r="BM69" i="46"/>
  <c r="BL70" i="46"/>
  <c r="BM70" i="46"/>
  <c r="BL71" i="46"/>
  <c r="BM71" i="46"/>
  <c r="BL72" i="46"/>
  <c r="BM72" i="46"/>
  <c r="BL73" i="46"/>
  <c r="BM73" i="46"/>
  <c r="BL74" i="46"/>
  <c r="BM74" i="46"/>
  <c r="BL75" i="46"/>
  <c r="BM75" i="46"/>
  <c r="BL76" i="46"/>
  <c r="BM76" i="46"/>
  <c r="BL77" i="46"/>
  <c r="BM77" i="46"/>
  <c r="BL78" i="46"/>
  <c r="BM78" i="46"/>
  <c r="BL79" i="46"/>
  <c r="BM79" i="46"/>
  <c r="BL80" i="46"/>
  <c r="BM80" i="46"/>
  <c r="BL81" i="46"/>
  <c r="BM81" i="46"/>
  <c r="BL82" i="46"/>
  <c r="BM82" i="46"/>
  <c r="BL83" i="46"/>
  <c r="BR83" i="46" s="1"/>
  <c r="BM83" i="46"/>
  <c r="BL84" i="46"/>
  <c r="BM84" i="46"/>
  <c r="BL85" i="46"/>
  <c r="BM85" i="46"/>
  <c r="BL86" i="46"/>
  <c r="BM86" i="46"/>
  <c r="BL87" i="46"/>
  <c r="BR87" i="46" s="1"/>
  <c r="BM87" i="46"/>
  <c r="BL88" i="46"/>
  <c r="BM88" i="46"/>
  <c r="BL89" i="46"/>
  <c r="BM89" i="46"/>
  <c r="BL90" i="46"/>
  <c r="BM90" i="46"/>
  <c r="BL91" i="46"/>
  <c r="BR91" i="46" s="1"/>
  <c r="BM91" i="46"/>
  <c r="BL92" i="46"/>
  <c r="BM92" i="46"/>
  <c r="BL93" i="46"/>
  <c r="BM93" i="46"/>
  <c r="BL94" i="46"/>
  <c r="BM94" i="46"/>
  <c r="BL95" i="46"/>
  <c r="BV95" i="46" s="1"/>
  <c r="BM95" i="46"/>
  <c r="BL96" i="46"/>
  <c r="BM96" i="46"/>
  <c r="BL97" i="46"/>
  <c r="BM97" i="46"/>
  <c r="BL98" i="46"/>
  <c r="BM98" i="46"/>
  <c r="BL99" i="46"/>
  <c r="BR99" i="46" s="1"/>
  <c r="BM99" i="46"/>
  <c r="BL100" i="46"/>
  <c r="BM100" i="46"/>
  <c r="BL101" i="46"/>
  <c r="BM101" i="46"/>
  <c r="BL102" i="46"/>
  <c r="BM102" i="46"/>
  <c r="BL103" i="46"/>
  <c r="BV103" i="46" s="1"/>
  <c r="BM103" i="46"/>
  <c r="BL104" i="46"/>
  <c r="BM104" i="46"/>
  <c r="BL105" i="46"/>
  <c r="BM105" i="46"/>
  <c r="BL106" i="46"/>
  <c r="BM106" i="46"/>
  <c r="BL107" i="46"/>
  <c r="BV107" i="46" s="1"/>
  <c r="BM107" i="46"/>
  <c r="BL108" i="46"/>
  <c r="BM108" i="46"/>
  <c r="BL109" i="46"/>
  <c r="BM109" i="46"/>
  <c r="BL110" i="46"/>
  <c r="BM110" i="46"/>
  <c r="BL111" i="46"/>
  <c r="BR111" i="46" s="1"/>
  <c r="BM111" i="46"/>
  <c r="BL112" i="46"/>
  <c r="BM112" i="46"/>
  <c r="BL113" i="46"/>
  <c r="BM113" i="46"/>
  <c r="BL114" i="46"/>
  <c r="BM114" i="46"/>
  <c r="BL115" i="46"/>
  <c r="BV115" i="46" s="1"/>
  <c r="BM115" i="46"/>
  <c r="BL116" i="46"/>
  <c r="BM116" i="46"/>
  <c r="BL117" i="46"/>
  <c r="BM117" i="46"/>
  <c r="BL118" i="46"/>
  <c r="BM118" i="46"/>
  <c r="BL119" i="46"/>
  <c r="BV119" i="46" s="1"/>
  <c r="BM119" i="46"/>
  <c r="BL120" i="46"/>
  <c r="BM120" i="46"/>
  <c r="BL121" i="46"/>
  <c r="BM121" i="46"/>
  <c r="BL122" i="46"/>
  <c r="BM122" i="46"/>
  <c r="BL123" i="46"/>
  <c r="BV123" i="46" s="1"/>
  <c r="BM123" i="46"/>
  <c r="BL124" i="46"/>
  <c r="BM124" i="46"/>
  <c r="BL125" i="46"/>
  <c r="BM125" i="46"/>
  <c r="BM15" i="46"/>
  <c r="BL15" i="46"/>
  <c r="AW16" i="46"/>
  <c r="AX16" i="46"/>
  <c r="AW17" i="46"/>
  <c r="AX17" i="46"/>
  <c r="AW18" i="46"/>
  <c r="AX18" i="46"/>
  <c r="AW19" i="46"/>
  <c r="BC19" i="46" s="1"/>
  <c r="AX19" i="46"/>
  <c r="AX14" i="46" s="1"/>
  <c r="AW20" i="46"/>
  <c r="AX20" i="46"/>
  <c r="AW21" i="46"/>
  <c r="AX21" i="46"/>
  <c r="AW22" i="46"/>
  <c r="AX22" i="46"/>
  <c r="AW23" i="46"/>
  <c r="BG23" i="46" s="1"/>
  <c r="AX23" i="46"/>
  <c r="BH23" i="46" s="1"/>
  <c r="AW24" i="46"/>
  <c r="AX24" i="46"/>
  <c r="AW25" i="46"/>
  <c r="AX25" i="46"/>
  <c r="AW26" i="46"/>
  <c r="AX26" i="46"/>
  <c r="AW27" i="46"/>
  <c r="BC27" i="46" s="1"/>
  <c r="AX27" i="46"/>
  <c r="BH27" i="46" s="1"/>
  <c r="AW28" i="46"/>
  <c r="AX28" i="46"/>
  <c r="AW29" i="46"/>
  <c r="AX29" i="46"/>
  <c r="AW30" i="46"/>
  <c r="AX30" i="46"/>
  <c r="AW31" i="46"/>
  <c r="BG31" i="46" s="1"/>
  <c r="AX31" i="46"/>
  <c r="BD31" i="46" s="1"/>
  <c r="AW32" i="46"/>
  <c r="AX32" i="46"/>
  <c r="AW33" i="46"/>
  <c r="AX33" i="46"/>
  <c r="AW34" i="46"/>
  <c r="AX34" i="46"/>
  <c r="AW35" i="46"/>
  <c r="BG35" i="46" s="1"/>
  <c r="AX35" i="46"/>
  <c r="BH35" i="46" s="1"/>
  <c r="AW36" i="46"/>
  <c r="AX36" i="46"/>
  <c r="AW37" i="46"/>
  <c r="AX37" i="46"/>
  <c r="AW38" i="46"/>
  <c r="AX38" i="46"/>
  <c r="AW39" i="46"/>
  <c r="BC39" i="46" s="1"/>
  <c r="BG39" i="46" s="1"/>
  <c r="AX39" i="46"/>
  <c r="AW40" i="46"/>
  <c r="AX40" i="46"/>
  <c r="AW41" i="46"/>
  <c r="AX41" i="46"/>
  <c r="AW42" i="46"/>
  <c r="AX42" i="46"/>
  <c r="AW43" i="46"/>
  <c r="AX43" i="46"/>
  <c r="AW44" i="46"/>
  <c r="AX44" i="46"/>
  <c r="AW45" i="46"/>
  <c r="AX45" i="46"/>
  <c r="AW46" i="46"/>
  <c r="AX46" i="46"/>
  <c r="AW47" i="46"/>
  <c r="AX47" i="46"/>
  <c r="AW48" i="46"/>
  <c r="AX48" i="46"/>
  <c r="AW49" i="46"/>
  <c r="AX49" i="46"/>
  <c r="AW50" i="46"/>
  <c r="AX50" i="46"/>
  <c r="AW51" i="46"/>
  <c r="AX51" i="46"/>
  <c r="AW52" i="46"/>
  <c r="AX52" i="46"/>
  <c r="AW53" i="46"/>
  <c r="AX53" i="46"/>
  <c r="AW54" i="46"/>
  <c r="AX54" i="46"/>
  <c r="AW55" i="46"/>
  <c r="AX55" i="46"/>
  <c r="AW56" i="46"/>
  <c r="AX56" i="46"/>
  <c r="AW57" i="46"/>
  <c r="AX57" i="46"/>
  <c r="AW58" i="46"/>
  <c r="AX58" i="46"/>
  <c r="AW59" i="46"/>
  <c r="AX59" i="46"/>
  <c r="AW60" i="46"/>
  <c r="AX60" i="46"/>
  <c r="AW61" i="46"/>
  <c r="AX61" i="46"/>
  <c r="AW62" i="46"/>
  <c r="AX62" i="46"/>
  <c r="AW63" i="46"/>
  <c r="AX63" i="46"/>
  <c r="AW64" i="46"/>
  <c r="AX64" i="46"/>
  <c r="AW65" i="46"/>
  <c r="AX65" i="46"/>
  <c r="AW66" i="46"/>
  <c r="AX66" i="46"/>
  <c r="AW67" i="46"/>
  <c r="AX67" i="46"/>
  <c r="AW68" i="46"/>
  <c r="AX68" i="46"/>
  <c r="AW69" i="46"/>
  <c r="AX69" i="46"/>
  <c r="AW70" i="46"/>
  <c r="AX70" i="46"/>
  <c r="AW71" i="46"/>
  <c r="AX71" i="46"/>
  <c r="AW72" i="46"/>
  <c r="AX72" i="46"/>
  <c r="AW73" i="46"/>
  <c r="AX73" i="46"/>
  <c r="AW74" i="46"/>
  <c r="AX74" i="46"/>
  <c r="AW75" i="46"/>
  <c r="AX75" i="46"/>
  <c r="AW76" i="46"/>
  <c r="AX76" i="46"/>
  <c r="AW77" i="46"/>
  <c r="AX77" i="46"/>
  <c r="AW78" i="46"/>
  <c r="AX78" i="46"/>
  <c r="AW79" i="46"/>
  <c r="AX79" i="46"/>
  <c r="AW80" i="46"/>
  <c r="AX80" i="46"/>
  <c r="AW81" i="46"/>
  <c r="AX81" i="46"/>
  <c r="AW82" i="46"/>
  <c r="AX82" i="46"/>
  <c r="AW83" i="46"/>
  <c r="BC83" i="46" s="1"/>
  <c r="AX83" i="46"/>
  <c r="BH83" i="46" s="1"/>
  <c r="AW84" i="46"/>
  <c r="AX84" i="46"/>
  <c r="AW85" i="46"/>
  <c r="AX85" i="46"/>
  <c r="AW86" i="46"/>
  <c r="AX86" i="46"/>
  <c r="AW87" i="46"/>
  <c r="BC87" i="46" s="1"/>
  <c r="AX87" i="46"/>
  <c r="BD87" i="46" s="1"/>
  <c r="AW88" i="46"/>
  <c r="AX88" i="46"/>
  <c r="AW89" i="46"/>
  <c r="AX89" i="46"/>
  <c r="AW90" i="46"/>
  <c r="AX90" i="46"/>
  <c r="AW91" i="46"/>
  <c r="BG91" i="46" s="1"/>
  <c r="AX91" i="46"/>
  <c r="BH91" i="46" s="1"/>
  <c r="AW92" i="46"/>
  <c r="AX92" i="46"/>
  <c r="AW93" i="46"/>
  <c r="AX93" i="46"/>
  <c r="AW94" i="46"/>
  <c r="AX94" i="46"/>
  <c r="AW95" i="46"/>
  <c r="BG95" i="46" s="1"/>
  <c r="AX95" i="46"/>
  <c r="BH95" i="46" s="1"/>
  <c r="AW96" i="46"/>
  <c r="AX96" i="46"/>
  <c r="AW97" i="46"/>
  <c r="AX97" i="46"/>
  <c r="AW98" i="46"/>
  <c r="AX98" i="46"/>
  <c r="AW99" i="46"/>
  <c r="BC99" i="46" s="1"/>
  <c r="AX99" i="46"/>
  <c r="BH99" i="46" s="1"/>
  <c r="AW100" i="46"/>
  <c r="AX100" i="46"/>
  <c r="AW101" i="46"/>
  <c r="AX101" i="46"/>
  <c r="AW102" i="46"/>
  <c r="AX102" i="46"/>
  <c r="AW103" i="46"/>
  <c r="BC103" i="46" s="1"/>
  <c r="AX103" i="46"/>
  <c r="BH103" i="46" s="1"/>
  <c r="AW104" i="46"/>
  <c r="AX104" i="46"/>
  <c r="AW105" i="46"/>
  <c r="AX105" i="46"/>
  <c r="AW106" i="46"/>
  <c r="AX106" i="46"/>
  <c r="AW107" i="46"/>
  <c r="BG107" i="46" s="1"/>
  <c r="AX107" i="46"/>
  <c r="BH107" i="46" s="1"/>
  <c r="AW108" i="46"/>
  <c r="AX108" i="46"/>
  <c r="AW109" i="46"/>
  <c r="AX109" i="46"/>
  <c r="AW110" i="46"/>
  <c r="AX110" i="46"/>
  <c r="AW111" i="46"/>
  <c r="BC111" i="46" s="1"/>
  <c r="AX111" i="46"/>
  <c r="BH111" i="46" s="1"/>
  <c r="AW112" i="46"/>
  <c r="AX112" i="46"/>
  <c r="AW113" i="46"/>
  <c r="AX113" i="46"/>
  <c r="AW114" i="46"/>
  <c r="AX114" i="46"/>
  <c r="AW115" i="46"/>
  <c r="BC115" i="46" s="1"/>
  <c r="AX115" i="46"/>
  <c r="BH115" i="46" s="1"/>
  <c r="AW116" i="46"/>
  <c r="AX116" i="46"/>
  <c r="AW117" i="46"/>
  <c r="AX117" i="46"/>
  <c r="AW118" i="46"/>
  <c r="AX118" i="46"/>
  <c r="AW119" i="46"/>
  <c r="BG119" i="46" s="1"/>
  <c r="AX119" i="46"/>
  <c r="BD119" i="46" s="1"/>
  <c r="AW120" i="46"/>
  <c r="AX120" i="46"/>
  <c r="AW121" i="46"/>
  <c r="AX121" i="46"/>
  <c r="AW122" i="46"/>
  <c r="AX122" i="46"/>
  <c r="AW123" i="46"/>
  <c r="BG123" i="46" s="1"/>
  <c r="AX123" i="46"/>
  <c r="BH123" i="46" s="1"/>
  <c r="AW124" i="46"/>
  <c r="AX124" i="46"/>
  <c r="AW125" i="46"/>
  <c r="AX125" i="46"/>
  <c r="AX15" i="46"/>
  <c r="AW15" i="46"/>
  <c r="AH16" i="46"/>
  <c r="AI16" i="46"/>
  <c r="AH17" i="46"/>
  <c r="AI17" i="46"/>
  <c r="AH18" i="46"/>
  <c r="AI18" i="46"/>
  <c r="AH19" i="46"/>
  <c r="AI19" i="46"/>
  <c r="AO19" i="46" s="1"/>
  <c r="AH20" i="46"/>
  <c r="AI20" i="46"/>
  <c r="AH21" i="46"/>
  <c r="AI21" i="46"/>
  <c r="AH22" i="46"/>
  <c r="AI22" i="46"/>
  <c r="AH23" i="46"/>
  <c r="AI23" i="46"/>
  <c r="AS23" i="46" s="1"/>
  <c r="AH24" i="46"/>
  <c r="AI24" i="46"/>
  <c r="AH25" i="46"/>
  <c r="AI25" i="46"/>
  <c r="AH26" i="46"/>
  <c r="AI26" i="46"/>
  <c r="AH27" i="46"/>
  <c r="AI27" i="46"/>
  <c r="AS27" i="46" s="1"/>
  <c r="AH28" i="46"/>
  <c r="AI28" i="46"/>
  <c r="AH29" i="46"/>
  <c r="AI29" i="46"/>
  <c r="AH30" i="46"/>
  <c r="AI30" i="46"/>
  <c r="AH31" i="46"/>
  <c r="AI31" i="46"/>
  <c r="AS31" i="46" s="1"/>
  <c r="AH32" i="46"/>
  <c r="AI32" i="46"/>
  <c r="AH33" i="46"/>
  <c r="AI33" i="46"/>
  <c r="AH34" i="46"/>
  <c r="AI34" i="46"/>
  <c r="AH35" i="46"/>
  <c r="AI35" i="46"/>
  <c r="AS35" i="46" s="1"/>
  <c r="AH36" i="46"/>
  <c r="AI36" i="46"/>
  <c r="AH37" i="46"/>
  <c r="AI37" i="46"/>
  <c r="AH38" i="46"/>
  <c r="AI38" i="46"/>
  <c r="AH39" i="46"/>
  <c r="AI39" i="46"/>
  <c r="AH40" i="46"/>
  <c r="AI40" i="46"/>
  <c r="AH41" i="46"/>
  <c r="AI41" i="46"/>
  <c r="AH42" i="46"/>
  <c r="AI42" i="46"/>
  <c r="AH43" i="46"/>
  <c r="AI43" i="46"/>
  <c r="AH44" i="46"/>
  <c r="AI44" i="46"/>
  <c r="AH45" i="46"/>
  <c r="AI45" i="46"/>
  <c r="AH46" i="46"/>
  <c r="AI46" i="46"/>
  <c r="AH47" i="46"/>
  <c r="AI47" i="46"/>
  <c r="AH48" i="46"/>
  <c r="AI48" i="46"/>
  <c r="AH49" i="46"/>
  <c r="AI49" i="46"/>
  <c r="AH50" i="46"/>
  <c r="AI50" i="46"/>
  <c r="AH51" i="46"/>
  <c r="AI51" i="46"/>
  <c r="AH52" i="46"/>
  <c r="AI52" i="46"/>
  <c r="AH53" i="46"/>
  <c r="AI53" i="46"/>
  <c r="AH54" i="46"/>
  <c r="AI54" i="46"/>
  <c r="AH55" i="46"/>
  <c r="AI55" i="46"/>
  <c r="AH56" i="46"/>
  <c r="AI56" i="46"/>
  <c r="AH57" i="46"/>
  <c r="AI57" i="46"/>
  <c r="AH58" i="46"/>
  <c r="AI58" i="46"/>
  <c r="AH59" i="46"/>
  <c r="AI59" i="46"/>
  <c r="AH60" i="46"/>
  <c r="AI60" i="46"/>
  <c r="AH61" i="46"/>
  <c r="AI61" i="46"/>
  <c r="AH62" i="46"/>
  <c r="AI62" i="46"/>
  <c r="AH63" i="46"/>
  <c r="AI63" i="46"/>
  <c r="AH64" i="46"/>
  <c r="AI64" i="46"/>
  <c r="AH65" i="46"/>
  <c r="AI65" i="46"/>
  <c r="AH66" i="46"/>
  <c r="AI66" i="46"/>
  <c r="AH67" i="46"/>
  <c r="AI67" i="46"/>
  <c r="AH68" i="46"/>
  <c r="AI68" i="46"/>
  <c r="AH69" i="46"/>
  <c r="AI69" i="46"/>
  <c r="AH70" i="46"/>
  <c r="AI70" i="46"/>
  <c r="AH71" i="46"/>
  <c r="AI71" i="46"/>
  <c r="AH72" i="46"/>
  <c r="AI72" i="46"/>
  <c r="AH73" i="46"/>
  <c r="AI73" i="46"/>
  <c r="AH74" i="46"/>
  <c r="AI74" i="46"/>
  <c r="AH75" i="46"/>
  <c r="AI75" i="46"/>
  <c r="AH76" i="46"/>
  <c r="AI76" i="46"/>
  <c r="AH77" i="46"/>
  <c r="AI77" i="46"/>
  <c r="AH78" i="46"/>
  <c r="AI78" i="46"/>
  <c r="AH79" i="46"/>
  <c r="AI79" i="46"/>
  <c r="AO79" i="46" s="1"/>
  <c r="AS79" i="46" s="1"/>
  <c r="AH80" i="46"/>
  <c r="AI80" i="46"/>
  <c r="AH81" i="46"/>
  <c r="AI81" i="46"/>
  <c r="AH82" i="46"/>
  <c r="AI82" i="46"/>
  <c r="AH83" i="46"/>
  <c r="AI83" i="46"/>
  <c r="AO83" i="46" s="1"/>
  <c r="AH84" i="46"/>
  <c r="AI84" i="46"/>
  <c r="AH85" i="46"/>
  <c r="AI85" i="46"/>
  <c r="AH86" i="46"/>
  <c r="AI86" i="46"/>
  <c r="AH87" i="46"/>
  <c r="AI87" i="46"/>
  <c r="AO87" i="46" s="1"/>
  <c r="AH88" i="46"/>
  <c r="AI88" i="46"/>
  <c r="AH89" i="46"/>
  <c r="AI89" i="46"/>
  <c r="AH90" i="46"/>
  <c r="AI90" i="46"/>
  <c r="AH91" i="46"/>
  <c r="AI91" i="46"/>
  <c r="AS91" i="46" s="1"/>
  <c r="AH92" i="46"/>
  <c r="AI92" i="46"/>
  <c r="AH93" i="46"/>
  <c r="AI93" i="46"/>
  <c r="AH94" i="46"/>
  <c r="AI94" i="46"/>
  <c r="AH95" i="46"/>
  <c r="AI95" i="46"/>
  <c r="AS95" i="46" s="1"/>
  <c r="AH96" i="46"/>
  <c r="AI96" i="46"/>
  <c r="AH97" i="46"/>
  <c r="AI97" i="46"/>
  <c r="AH98" i="46"/>
  <c r="AI98" i="46"/>
  <c r="AH99" i="46"/>
  <c r="AI99" i="46"/>
  <c r="AS99" i="46" s="1"/>
  <c r="AH100" i="46"/>
  <c r="AI100" i="46"/>
  <c r="AH101" i="46"/>
  <c r="AI101" i="46"/>
  <c r="AH102" i="46"/>
  <c r="AI102" i="46"/>
  <c r="AH103" i="46"/>
  <c r="AI103" i="46"/>
  <c r="AO103" i="46" s="1"/>
  <c r="AH104" i="46"/>
  <c r="AI104" i="46"/>
  <c r="AH105" i="46"/>
  <c r="AI105" i="46"/>
  <c r="AH106" i="46"/>
  <c r="AI106" i="46"/>
  <c r="AH107" i="46"/>
  <c r="AI107" i="46"/>
  <c r="AS107" i="46" s="1"/>
  <c r="AH108" i="46"/>
  <c r="AI108" i="46"/>
  <c r="AH109" i="46"/>
  <c r="AI109" i="46"/>
  <c r="AH110" i="46"/>
  <c r="AI110" i="46"/>
  <c r="AH111" i="46"/>
  <c r="AI111" i="46"/>
  <c r="AS111" i="46" s="1"/>
  <c r="AH112" i="46"/>
  <c r="AI112" i="46"/>
  <c r="AH113" i="46"/>
  <c r="AI113" i="46"/>
  <c r="AH114" i="46"/>
  <c r="AI114" i="46"/>
  <c r="AH115" i="46"/>
  <c r="AI115" i="46"/>
  <c r="AS115" i="46" s="1"/>
  <c r="AH116" i="46"/>
  <c r="AI116" i="46"/>
  <c r="AH117" i="46"/>
  <c r="AI117" i="46"/>
  <c r="AH118" i="46"/>
  <c r="AI118" i="46"/>
  <c r="AH119" i="46"/>
  <c r="AI119" i="46"/>
  <c r="AS119" i="46" s="1"/>
  <c r="AH120" i="46"/>
  <c r="AI120" i="46"/>
  <c r="AH121" i="46"/>
  <c r="AI121" i="46"/>
  <c r="AH122" i="46"/>
  <c r="AI122" i="46"/>
  <c r="AH123" i="46"/>
  <c r="AI123" i="46"/>
  <c r="AS123" i="46" s="1"/>
  <c r="AH124" i="46"/>
  <c r="AI124" i="46"/>
  <c r="AH125" i="46"/>
  <c r="AI125" i="46"/>
  <c r="AI15" i="46"/>
  <c r="AH15" i="46"/>
  <c r="BL16" i="45"/>
  <c r="BM16" i="45"/>
  <c r="BL17" i="45"/>
  <c r="BM17" i="45"/>
  <c r="BL18" i="45"/>
  <c r="BM18" i="45"/>
  <c r="BL19" i="45"/>
  <c r="BM19" i="45"/>
  <c r="BL20" i="45"/>
  <c r="BM20" i="45"/>
  <c r="BL21" i="45"/>
  <c r="BM21" i="45"/>
  <c r="BL22" i="45"/>
  <c r="BM22" i="45"/>
  <c r="BL23" i="45"/>
  <c r="BM23" i="45"/>
  <c r="BS23" i="45" s="1"/>
  <c r="BW23" i="45" s="1"/>
  <c r="BL24" i="45"/>
  <c r="BM24" i="45"/>
  <c r="BL25" i="45"/>
  <c r="BM25" i="45"/>
  <c r="BL26" i="45"/>
  <c r="BM26" i="45"/>
  <c r="BL27" i="45"/>
  <c r="BM27" i="45"/>
  <c r="BL28" i="45"/>
  <c r="BM28" i="45"/>
  <c r="BL29" i="45"/>
  <c r="BM29" i="45"/>
  <c r="BL30" i="45"/>
  <c r="BM30" i="45"/>
  <c r="BL31" i="45"/>
  <c r="BM31" i="45"/>
  <c r="BL32" i="45"/>
  <c r="BM32" i="45"/>
  <c r="BL33" i="45"/>
  <c r="BM33" i="45"/>
  <c r="BL34" i="45"/>
  <c r="BM34" i="45"/>
  <c r="BL35" i="45"/>
  <c r="BM35" i="45"/>
  <c r="BL36" i="45"/>
  <c r="BM36" i="45"/>
  <c r="BL37" i="45"/>
  <c r="BM37" i="45"/>
  <c r="BL38" i="45"/>
  <c r="BM38" i="45"/>
  <c r="BL39" i="45"/>
  <c r="BM39" i="45"/>
  <c r="BL40" i="45"/>
  <c r="BM40" i="45"/>
  <c r="BL41" i="45"/>
  <c r="BM41" i="45"/>
  <c r="BL42" i="45"/>
  <c r="BM42" i="45"/>
  <c r="BL43" i="45"/>
  <c r="BM43" i="45"/>
  <c r="BL44" i="45"/>
  <c r="BM44" i="45"/>
  <c r="BL45" i="45"/>
  <c r="BM45" i="45"/>
  <c r="BL46" i="45"/>
  <c r="BM46" i="45"/>
  <c r="BL47" i="45"/>
  <c r="BM47" i="45"/>
  <c r="BL48" i="45"/>
  <c r="BM48" i="45"/>
  <c r="BL49" i="45"/>
  <c r="BM49" i="45"/>
  <c r="BL50" i="45"/>
  <c r="BM50" i="45"/>
  <c r="BL51" i="45"/>
  <c r="BM51" i="45"/>
  <c r="BL52" i="45"/>
  <c r="BM52" i="45"/>
  <c r="BL53" i="45"/>
  <c r="BM53" i="45"/>
  <c r="BL54" i="45"/>
  <c r="BM54" i="45"/>
  <c r="BL55" i="45"/>
  <c r="BM55" i="45"/>
  <c r="BL56" i="45"/>
  <c r="BM56" i="45"/>
  <c r="BL57" i="45"/>
  <c r="BM57" i="45"/>
  <c r="BL58" i="45"/>
  <c r="BM58" i="45"/>
  <c r="BL59" i="45"/>
  <c r="BM59" i="45"/>
  <c r="BL60" i="45"/>
  <c r="BM60" i="45"/>
  <c r="BL61" i="45"/>
  <c r="BM61" i="45"/>
  <c r="BL62" i="45"/>
  <c r="BM62" i="45"/>
  <c r="BL63" i="45"/>
  <c r="BM63" i="45"/>
  <c r="BL64" i="45"/>
  <c r="BM64" i="45"/>
  <c r="BL65" i="45"/>
  <c r="BM65" i="45"/>
  <c r="BL66" i="45"/>
  <c r="BM66" i="45"/>
  <c r="BL67" i="45"/>
  <c r="BM67" i="45"/>
  <c r="BL68" i="45"/>
  <c r="BM68" i="45"/>
  <c r="BL69" i="45"/>
  <c r="BM69" i="45"/>
  <c r="BL70" i="45"/>
  <c r="BM70" i="45"/>
  <c r="BL71" i="45"/>
  <c r="BM71" i="45"/>
  <c r="BL72" i="45"/>
  <c r="BM72" i="45"/>
  <c r="BL73" i="45"/>
  <c r="BM73" i="45"/>
  <c r="BL74" i="45"/>
  <c r="BM74" i="45"/>
  <c r="BL75" i="45"/>
  <c r="BM75" i="45"/>
  <c r="BL76" i="45"/>
  <c r="BM76" i="45"/>
  <c r="BL77" i="45"/>
  <c r="BM77" i="45"/>
  <c r="BL78" i="45"/>
  <c r="BM78" i="45"/>
  <c r="BL79" i="45"/>
  <c r="BM79" i="45"/>
  <c r="BL80" i="45"/>
  <c r="BM80" i="45"/>
  <c r="BL81" i="45"/>
  <c r="BM81" i="45"/>
  <c r="BL82" i="45"/>
  <c r="BM82" i="45"/>
  <c r="BL83" i="45"/>
  <c r="BM83" i="45"/>
  <c r="BL84" i="45"/>
  <c r="BM84" i="45"/>
  <c r="BL85" i="45"/>
  <c r="BM85" i="45"/>
  <c r="BL86" i="45"/>
  <c r="BM86" i="45"/>
  <c r="BL87" i="45"/>
  <c r="BM87" i="45"/>
  <c r="BL88" i="45"/>
  <c r="BM88" i="45"/>
  <c r="BL89" i="45"/>
  <c r="BM89" i="45"/>
  <c r="BL90" i="45"/>
  <c r="BM90" i="45"/>
  <c r="BL91" i="45"/>
  <c r="BM91" i="45"/>
  <c r="BL92" i="45"/>
  <c r="BM92" i="45"/>
  <c r="BL93" i="45"/>
  <c r="BM93" i="45"/>
  <c r="BL94" i="45"/>
  <c r="BM94" i="45"/>
  <c r="BL95" i="45"/>
  <c r="BM95" i="45"/>
  <c r="BL96" i="45"/>
  <c r="BM96" i="45"/>
  <c r="BL97" i="45"/>
  <c r="BM97" i="45"/>
  <c r="BL98" i="45"/>
  <c r="BM98" i="45"/>
  <c r="BL99" i="45"/>
  <c r="BM99" i="45"/>
  <c r="BL100" i="45"/>
  <c r="BM100" i="45"/>
  <c r="BL101" i="45"/>
  <c r="BM101" i="45"/>
  <c r="BL102" i="45"/>
  <c r="BM102" i="45"/>
  <c r="BL103" i="45"/>
  <c r="BM103" i="45"/>
  <c r="BL104" i="45"/>
  <c r="BM104" i="45"/>
  <c r="BL105" i="45"/>
  <c r="BM105" i="45"/>
  <c r="BL106" i="45"/>
  <c r="BM106" i="45"/>
  <c r="BL107" i="45"/>
  <c r="BM107" i="45"/>
  <c r="BL108" i="45"/>
  <c r="BM108" i="45"/>
  <c r="BL109" i="45"/>
  <c r="BM109" i="45"/>
  <c r="BL110" i="45"/>
  <c r="BM110" i="45"/>
  <c r="BL111" i="45"/>
  <c r="BM111" i="45"/>
  <c r="BL112" i="45"/>
  <c r="BM112" i="45"/>
  <c r="BL113" i="45"/>
  <c r="BM113" i="45"/>
  <c r="BL114" i="45"/>
  <c r="BM114" i="45"/>
  <c r="BL115" i="45"/>
  <c r="BM115" i="45"/>
  <c r="BL116" i="45"/>
  <c r="BM116" i="45"/>
  <c r="BL117" i="45"/>
  <c r="BM117" i="45"/>
  <c r="BL118" i="45"/>
  <c r="BM118" i="45"/>
  <c r="BL119" i="45"/>
  <c r="BM119" i="45"/>
  <c r="BW119" i="45" s="1"/>
  <c r="BL120" i="45"/>
  <c r="BM120" i="45"/>
  <c r="BL121" i="45"/>
  <c r="BM121" i="45"/>
  <c r="BL122" i="45"/>
  <c r="BM122" i="45"/>
  <c r="BL123" i="45"/>
  <c r="BM123" i="45"/>
  <c r="BW123" i="45" s="1"/>
  <c r="BL124" i="45"/>
  <c r="BM124" i="45"/>
  <c r="BL125" i="45"/>
  <c r="BM125" i="45"/>
  <c r="BM15" i="45"/>
  <c r="BL15" i="45"/>
  <c r="AW16" i="45"/>
  <c r="AX16" i="45"/>
  <c r="AW17" i="45"/>
  <c r="AX17" i="45"/>
  <c r="AW18" i="45"/>
  <c r="AX18" i="45"/>
  <c r="AW19" i="45"/>
  <c r="AX19" i="45"/>
  <c r="AX14" i="45" s="1"/>
  <c r="AW20" i="45"/>
  <c r="AX20" i="45"/>
  <c r="AW21" i="45"/>
  <c r="AX21" i="45"/>
  <c r="AW22" i="45"/>
  <c r="AX22" i="45"/>
  <c r="AW23" i="45"/>
  <c r="AX23" i="45"/>
  <c r="AW24" i="45"/>
  <c r="AX24" i="45"/>
  <c r="AW25" i="45"/>
  <c r="AX25" i="45"/>
  <c r="AW26" i="45"/>
  <c r="AX26" i="45"/>
  <c r="AW27" i="45"/>
  <c r="AX27" i="45"/>
  <c r="AW28" i="45"/>
  <c r="AX28" i="45"/>
  <c r="AW29" i="45"/>
  <c r="AX29" i="45"/>
  <c r="AW30" i="45"/>
  <c r="AX30" i="45"/>
  <c r="AW31" i="45"/>
  <c r="AX31" i="45"/>
  <c r="AW32" i="45"/>
  <c r="AX32" i="45"/>
  <c r="AW33" i="45"/>
  <c r="AX33" i="45"/>
  <c r="AW34" i="45"/>
  <c r="AX34" i="45"/>
  <c r="AW35" i="45"/>
  <c r="AX35" i="45"/>
  <c r="AW36" i="45"/>
  <c r="AX36" i="45"/>
  <c r="AW37" i="45"/>
  <c r="AX37" i="45"/>
  <c r="AW38" i="45"/>
  <c r="AX38" i="45"/>
  <c r="AW39" i="45"/>
  <c r="AX39" i="45"/>
  <c r="AW40" i="45"/>
  <c r="AX40" i="45"/>
  <c r="AW41" i="45"/>
  <c r="AX41" i="45"/>
  <c r="AW42" i="45"/>
  <c r="AX42" i="45"/>
  <c r="AW43" i="45"/>
  <c r="AX43" i="45"/>
  <c r="AW44" i="45"/>
  <c r="AX44" i="45"/>
  <c r="AW45" i="45"/>
  <c r="AX45" i="45"/>
  <c r="AW46" i="45"/>
  <c r="AX46" i="45"/>
  <c r="AW47" i="45"/>
  <c r="AX47" i="45"/>
  <c r="AW48" i="45"/>
  <c r="AX48" i="45"/>
  <c r="AW49" i="45"/>
  <c r="AX49" i="45"/>
  <c r="AW50" i="45"/>
  <c r="AX50" i="45"/>
  <c r="AW51" i="45"/>
  <c r="AX51" i="45"/>
  <c r="AW52" i="45"/>
  <c r="AX52" i="45"/>
  <c r="AW53" i="45"/>
  <c r="AX53" i="45"/>
  <c r="AW54" i="45"/>
  <c r="AX54" i="45"/>
  <c r="AW55" i="45"/>
  <c r="AX55" i="45"/>
  <c r="AW56" i="45"/>
  <c r="AX56" i="45"/>
  <c r="AW57" i="45"/>
  <c r="AX57" i="45"/>
  <c r="AW58" i="45"/>
  <c r="AX58" i="45"/>
  <c r="AW59" i="45"/>
  <c r="AX59" i="45"/>
  <c r="AW60" i="45"/>
  <c r="AX60" i="45"/>
  <c r="AW61" i="45"/>
  <c r="AX61" i="45"/>
  <c r="AW62" i="45"/>
  <c r="AX62" i="45"/>
  <c r="AW63" i="45"/>
  <c r="AX63" i="45"/>
  <c r="AW64" i="45"/>
  <c r="AX64" i="45"/>
  <c r="AW65" i="45"/>
  <c r="AX65" i="45"/>
  <c r="AW66" i="45"/>
  <c r="AX66" i="45"/>
  <c r="AW67" i="45"/>
  <c r="AX67" i="45"/>
  <c r="AW68" i="45"/>
  <c r="AX68" i="45"/>
  <c r="AW69" i="45"/>
  <c r="AX69" i="45"/>
  <c r="AW70" i="45"/>
  <c r="AX70" i="45"/>
  <c r="AW71" i="45"/>
  <c r="AX71" i="45"/>
  <c r="AW72" i="45"/>
  <c r="AX72" i="45"/>
  <c r="AW73" i="45"/>
  <c r="AX73" i="45"/>
  <c r="AW74" i="45"/>
  <c r="AX74" i="45"/>
  <c r="AW75" i="45"/>
  <c r="AX75" i="45"/>
  <c r="AW76" i="45"/>
  <c r="AX76" i="45"/>
  <c r="AW77" i="45"/>
  <c r="AX77" i="45"/>
  <c r="AW78" i="45"/>
  <c r="AX78" i="45"/>
  <c r="AW79" i="45"/>
  <c r="AX79" i="45"/>
  <c r="AW80" i="45"/>
  <c r="AX80" i="45"/>
  <c r="AW81" i="45"/>
  <c r="AX81" i="45"/>
  <c r="AW82" i="45"/>
  <c r="AX82" i="45"/>
  <c r="AW83" i="45"/>
  <c r="AX83" i="45"/>
  <c r="AW84" i="45"/>
  <c r="AX84" i="45"/>
  <c r="AW85" i="45"/>
  <c r="AX85" i="45"/>
  <c r="AW86" i="45"/>
  <c r="AX86" i="45"/>
  <c r="AW87" i="45"/>
  <c r="AX87" i="45"/>
  <c r="AW88" i="45"/>
  <c r="AX88" i="45"/>
  <c r="AW89" i="45"/>
  <c r="AX89" i="45"/>
  <c r="AW90" i="45"/>
  <c r="AX90" i="45"/>
  <c r="AW91" i="45"/>
  <c r="AX91" i="45"/>
  <c r="AW92" i="45"/>
  <c r="AX92" i="45"/>
  <c r="AW93" i="45"/>
  <c r="AX93" i="45"/>
  <c r="AW94" i="45"/>
  <c r="AX94" i="45"/>
  <c r="AW95" i="45"/>
  <c r="AX95" i="45"/>
  <c r="AW96" i="45"/>
  <c r="AX96" i="45"/>
  <c r="AW97" i="45"/>
  <c r="AX97" i="45"/>
  <c r="AW98" i="45"/>
  <c r="AX98" i="45"/>
  <c r="AW99" i="45"/>
  <c r="AX99" i="45"/>
  <c r="AW100" i="45"/>
  <c r="AX100" i="45"/>
  <c r="AW101" i="45"/>
  <c r="AX101" i="45"/>
  <c r="AW102" i="45"/>
  <c r="AX102" i="45"/>
  <c r="AW103" i="45"/>
  <c r="AX103" i="45"/>
  <c r="AW104" i="45"/>
  <c r="AX104" i="45"/>
  <c r="AW105" i="45"/>
  <c r="AX105" i="45"/>
  <c r="AW106" i="45"/>
  <c r="AX106" i="45"/>
  <c r="AW107" i="45"/>
  <c r="AX107" i="45"/>
  <c r="AW108" i="45"/>
  <c r="AX108" i="45"/>
  <c r="AW109" i="45"/>
  <c r="AX109" i="45"/>
  <c r="AW110" i="45"/>
  <c r="AX110" i="45"/>
  <c r="AW111" i="45"/>
  <c r="AX111" i="45"/>
  <c r="AW112" i="45"/>
  <c r="AX112" i="45"/>
  <c r="AW113" i="45"/>
  <c r="AX113" i="45"/>
  <c r="AW114" i="45"/>
  <c r="AX114" i="45"/>
  <c r="AW115" i="45"/>
  <c r="AX115" i="45"/>
  <c r="AW116" i="45"/>
  <c r="AX116" i="45"/>
  <c r="AW117" i="45"/>
  <c r="AX117" i="45"/>
  <c r="AW118" i="45"/>
  <c r="AX118" i="45"/>
  <c r="AW119" i="45"/>
  <c r="AX119" i="45"/>
  <c r="BH119" i="45" s="1"/>
  <c r="AW120" i="45"/>
  <c r="AX120" i="45"/>
  <c r="AW121" i="45"/>
  <c r="AX121" i="45"/>
  <c r="AW122" i="45"/>
  <c r="AX122" i="45"/>
  <c r="AW123" i="45"/>
  <c r="AX123" i="45"/>
  <c r="BD123" i="45" s="1"/>
  <c r="AW124" i="45"/>
  <c r="AX124" i="45"/>
  <c r="AW125" i="45"/>
  <c r="AX125" i="45"/>
  <c r="AX15" i="45"/>
  <c r="AW15" i="45"/>
  <c r="AH16" i="45"/>
  <c r="AI16" i="45"/>
  <c r="AH17" i="45"/>
  <c r="AI17" i="45"/>
  <c r="AH18" i="45"/>
  <c r="AI18" i="45"/>
  <c r="AH19" i="45"/>
  <c r="AI19" i="45"/>
  <c r="AI14" i="45" s="1"/>
  <c r="AH20" i="45"/>
  <c r="AI20" i="45"/>
  <c r="AH21" i="45"/>
  <c r="AI21" i="45"/>
  <c r="AH22" i="45"/>
  <c r="AI22" i="45"/>
  <c r="AH23" i="45"/>
  <c r="AI23" i="45"/>
  <c r="AH24" i="45"/>
  <c r="AI24" i="45"/>
  <c r="AH25" i="45"/>
  <c r="AI25" i="45"/>
  <c r="AH26" i="45"/>
  <c r="AI26" i="45"/>
  <c r="AH27" i="45"/>
  <c r="AI27" i="45"/>
  <c r="AH28" i="45"/>
  <c r="AI28" i="45"/>
  <c r="AH29" i="45"/>
  <c r="AI29" i="45"/>
  <c r="AH30" i="45"/>
  <c r="AI30" i="45"/>
  <c r="AH31" i="45"/>
  <c r="AI31" i="45"/>
  <c r="AH32" i="45"/>
  <c r="AI32" i="45"/>
  <c r="AH33" i="45"/>
  <c r="AI33" i="45"/>
  <c r="AH34" i="45"/>
  <c r="AI34" i="45"/>
  <c r="AH35" i="45"/>
  <c r="AI35" i="45"/>
  <c r="AH36" i="45"/>
  <c r="AI36" i="45"/>
  <c r="AH37" i="45"/>
  <c r="AI37" i="45"/>
  <c r="AH38" i="45"/>
  <c r="AI38" i="45"/>
  <c r="AH39" i="45"/>
  <c r="AI39" i="45"/>
  <c r="AH40" i="45"/>
  <c r="AI40" i="45"/>
  <c r="AH41" i="45"/>
  <c r="AI41" i="45"/>
  <c r="AH42" i="45"/>
  <c r="AI42" i="45"/>
  <c r="AH43" i="45"/>
  <c r="AI43" i="45"/>
  <c r="AH44" i="45"/>
  <c r="AI44" i="45"/>
  <c r="AH45" i="45"/>
  <c r="AI45" i="45"/>
  <c r="AH46" i="45"/>
  <c r="AI46" i="45"/>
  <c r="AH47" i="45"/>
  <c r="AI47" i="45"/>
  <c r="AH48" i="45"/>
  <c r="AI48" i="45"/>
  <c r="AH49" i="45"/>
  <c r="AI49" i="45"/>
  <c r="AH50" i="45"/>
  <c r="AI50" i="45"/>
  <c r="AH51" i="45"/>
  <c r="AI51" i="45"/>
  <c r="AH52" i="45"/>
  <c r="AI52" i="45"/>
  <c r="AH53" i="45"/>
  <c r="AI53" i="45"/>
  <c r="AH54" i="45"/>
  <c r="AI54" i="45"/>
  <c r="AH55" i="45"/>
  <c r="AI55" i="45"/>
  <c r="AH56" i="45"/>
  <c r="AI56" i="45"/>
  <c r="AH57" i="45"/>
  <c r="AI57" i="45"/>
  <c r="AH58" i="45"/>
  <c r="AI58" i="45"/>
  <c r="AH59" i="45"/>
  <c r="AI59" i="45"/>
  <c r="AH60" i="45"/>
  <c r="AI60" i="45"/>
  <c r="AH61" i="45"/>
  <c r="AI61" i="45"/>
  <c r="AH62" i="45"/>
  <c r="AI62" i="45"/>
  <c r="AH63" i="45"/>
  <c r="AI63" i="45"/>
  <c r="AH64" i="45"/>
  <c r="AI64" i="45"/>
  <c r="AH65" i="45"/>
  <c r="AI65" i="45"/>
  <c r="AH66" i="45"/>
  <c r="AI66" i="45"/>
  <c r="AH67" i="45"/>
  <c r="AI67" i="45"/>
  <c r="AH68" i="45"/>
  <c r="AI68" i="45"/>
  <c r="AH69" i="45"/>
  <c r="AI69" i="45"/>
  <c r="AH70" i="45"/>
  <c r="AI70" i="45"/>
  <c r="AH71" i="45"/>
  <c r="AI71" i="45"/>
  <c r="AH72" i="45"/>
  <c r="AI72" i="45"/>
  <c r="AH73" i="45"/>
  <c r="AI73" i="45"/>
  <c r="AH74" i="45"/>
  <c r="AI74" i="45"/>
  <c r="AH75" i="45"/>
  <c r="AI75" i="45"/>
  <c r="AH76" i="45"/>
  <c r="AI76" i="45"/>
  <c r="AH77" i="45"/>
  <c r="AI77" i="45"/>
  <c r="AH78" i="45"/>
  <c r="AI78" i="45"/>
  <c r="AH79" i="45"/>
  <c r="AI79" i="45"/>
  <c r="AH80" i="45"/>
  <c r="AI80" i="45"/>
  <c r="AH81" i="45"/>
  <c r="AI81" i="45"/>
  <c r="AH82" i="45"/>
  <c r="AI82" i="45"/>
  <c r="AH83" i="45"/>
  <c r="AI83" i="45"/>
  <c r="AH84" i="45"/>
  <c r="AI84" i="45"/>
  <c r="AH85" i="45"/>
  <c r="AI85" i="45"/>
  <c r="AH86" i="45"/>
  <c r="AI86" i="45"/>
  <c r="AH87" i="45"/>
  <c r="AI87" i="45"/>
  <c r="AH88" i="45"/>
  <c r="AI88" i="45"/>
  <c r="AH89" i="45"/>
  <c r="AI89" i="45"/>
  <c r="AH90" i="45"/>
  <c r="AI90" i="45"/>
  <c r="AH91" i="45"/>
  <c r="AI91" i="45"/>
  <c r="AH92" i="45"/>
  <c r="AI92" i="45"/>
  <c r="AH93" i="45"/>
  <c r="AI93" i="45"/>
  <c r="AH94" i="45"/>
  <c r="AI94" i="45"/>
  <c r="AH95" i="45"/>
  <c r="AI95" i="45"/>
  <c r="AH96" i="45"/>
  <c r="AI96" i="45"/>
  <c r="AH97" i="45"/>
  <c r="AI97" i="45"/>
  <c r="AH98" i="45"/>
  <c r="AI98" i="45"/>
  <c r="AH99" i="45"/>
  <c r="AI99" i="45"/>
  <c r="AH100" i="45"/>
  <c r="AI100" i="45"/>
  <c r="AH101" i="45"/>
  <c r="AI101" i="45"/>
  <c r="AH102" i="45"/>
  <c r="AI102" i="45"/>
  <c r="AH103" i="45"/>
  <c r="AI103" i="45"/>
  <c r="AH104" i="45"/>
  <c r="AI104" i="45"/>
  <c r="AH105" i="45"/>
  <c r="AI105" i="45"/>
  <c r="AH106" i="45"/>
  <c r="AI106" i="45"/>
  <c r="AH107" i="45"/>
  <c r="AI107" i="45"/>
  <c r="AH108" i="45"/>
  <c r="AI108" i="45"/>
  <c r="AH109" i="45"/>
  <c r="AI109" i="45"/>
  <c r="AH110" i="45"/>
  <c r="AI110" i="45"/>
  <c r="AH111" i="45"/>
  <c r="AI111" i="45"/>
  <c r="AH112" i="45"/>
  <c r="AI112" i="45"/>
  <c r="AH113" i="45"/>
  <c r="AI113" i="45"/>
  <c r="AH114" i="45"/>
  <c r="AI114" i="45"/>
  <c r="AH115" i="45"/>
  <c r="AI115" i="45"/>
  <c r="AH116" i="45"/>
  <c r="AI116" i="45"/>
  <c r="AH117" i="45"/>
  <c r="AI117" i="45"/>
  <c r="AH118" i="45"/>
  <c r="AI118" i="45"/>
  <c r="AH119" i="45"/>
  <c r="AI119" i="45"/>
  <c r="AS119" i="45" s="1"/>
  <c r="AH120" i="45"/>
  <c r="AI120" i="45"/>
  <c r="AH121" i="45"/>
  <c r="AI121" i="45"/>
  <c r="AH122" i="45"/>
  <c r="AI122" i="45"/>
  <c r="AH123" i="45"/>
  <c r="AI123" i="45"/>
  <c r="AO123" i="45" s="1"/>
  <c r="AH124" i="45"/>
  <c r="AI124" i="45"/>
  <c r="AH125" i="45"/>
  <c r="AI125" i="45"/>
  <c r="AI15" i="45"/>
  <c r="AH15" i="45"/>
  <c r="BL16" i="44"/>
  <c r="BM16" i="44"/>
  <c r="BL17" i="44"/>
  <c r="BM17" i="44"/>
  <c r="BL18" i="44"/>
  <c r="BM18" i="44"/>
  <c r="BL19" i="44"/>
  <c r="BM19" i="44"/>
  <c r="BS19" i="44" s="1"/>
  <c r="BW19" i="44" s="1"/>
  <c r="BL20" i="44"/>
  <c r="BM20" i="44"/>
  <c r="BL21" i="44"/>
  <c r="BM21" i="44"/>
  <c r="BL22" i="44"/>
  <c r="BM22" i="44"/>
  <c r="BL23" i="44"/>
  <c r="BM23" i="44"/>
  <c r="BS23" i="44" s="1"/>
  <c r="BW23" i="44" s="1"/>
  <c r="BL24" i="44"/>
  <c r="BM24" i="44"/>
  <c r="BL25" i="44"/>
  <c r="BM25" i="44"/>
  <c r="BL26" i="44"/>
  <c r="BM26" i="44"/>
  <c r="BL27" i="44"/>
  <c r="BM27" i="44"/>
  <c r="BS27" i="44" s="1"/>
  <c r="BW27" i="44" s="1"/>
  <c r="BL28" i="44"/>
  <c r="BM28" i="44"/>
  <c r="BL29" i="44"/>
  <c r="BM29" i="44"/>
  <c r="BL30" i="44"/>
  <c r="BM30" i="44"/>
  <c r="BL31" i="44"/>
  <c r="BM31" i="44"/>
  <c r="BS31" i="44" s="1"/>
  <c r="BW31" i="44" s="1"/>
  <c r="BL32" i="44"/>
  <c r="BM32" i="44"/>
  <c r="BL33" i="44"/>
  <c r="BM33" i="44"/>
  <c r="BL34" i="44"/>
  <c r="BM34" i="44"/>
  <c r="BL35" i="44"/>
  <c r="BM35" i="44"/>
  <c r="BL36" i="44"/>
  <c r="BM36" i="44"/>
  <c r="BL37" i="44"/>
  <c r="BM37" i="44"/>
  <c r="BL38" i="44"/>
  <c r="BM38" i="44"/>
  <c r="BL39" i="44"/>
  <c r="BM39" i="44"/>
  <c r="BL40" i="44"/>
  <c r="BM40" i="44"/>
  <c r="BL41" i="44"/>
  <c r="BM41" i="44"/>
  <c r="BL42" i="44"/>
  <c r="BM42" i="44"/>
  <c r="BL43" i="44"/>
  <c r="BM43" i="44"/>
  <c r="BL44" i="44"/>
  <c r="BM44" i="44"/>
  <c r="BL45" i="44"/>
  <c r="BM45" i="44"/>
  <c r="BL46" i="44"/>
  <c r="BM46" i="44"/>
  <c r="BL47" i="44"/>
  <c r="BM47" i="44"/>
  <c r="BL48" i="44"/>
  <c r="BM48" i="44"/>
  <c r="BL49" i="44"/>
  <c r="BM49" i="44"/>
  <c r="BL50" i="44"/>
  <c r="BM50" i="44"/>
  <c r="BL51" i="44"/>
  <c r="BM51" i="44"/>
  <c r="BL52" i="44"/>
  <c r="BM52" i="44"/>
  <c r="BL53" i="44"/>
  <c r="BM53" i="44"/>
  <c r="BL54" i="44"/>
  <c r="BM54" i="44"/>
  <c r="BL55" i="44"/>
  <c r="BM55" i="44"/>
  <c r="BL56" i="44"/>
  <c r="BM56" i="44"/>
  <c r="BL57" i="44"/>
  <c r="BM57" i="44"/>
  <c r="BL58" i="44"/>
  <c r="BM58" i="44"/>
  <c r="BL59" i="44"/>
  <c r="BM59" i="44"/>
  <c r="BL60" i="44"/>
  <c r="BM60" i="44"/>
  <c r="BL61" i="44"/>
  <c r="BM61" i="44"/>
  <c r="BL62" i="44"/>
  <c r="BM62" i="44"/>
  <c r="BL63" i="44"/>
  <c r="BM63" i="44"/>
  <c r="BL64" i="44"/>
  <c r="BM64" i="44"/>
  <c r="BL65" i="44"/>
  <c r="BM65" i="44"/>
  <c r="BL66" i="44"/>
  <c r="BM66" i="44"/>
  <c r="BL67" i="44"/>
  <c r="BM67" i="44"/>
  <c r="BL68" i="44"/>
  <c r="BM68" i="44"/>
  <c r="BL69" i="44"/>
  <c r="BM69" i="44"/>
  <c r="BL70" i="44"/>
  <c r="BM70" i="44"/>
  <c r="BL71" i="44"/>
  <c r="BM71" i="44"/>
  <c r="BL72" i="44"/>
  <c r="BM72" i="44"/>
  <c r="BL73" i="44"/>
  <c r="BM73" i="44"/>
  <c r="BL74" i="44"/>
  <c r="BM74" i="44"/>
  <c r="BL75" i="44"/>
  <c r="BM75" i="44"/>
  <c r="BL76" i="44"/>
  <c r="BM76" i="44"/>
  <c r="BL77" i="44"/>
  <c r="BM77" i="44"/>
  <c r="BL78" i="44"/>
  <c r="BM78" i="44"/>
  <c r="BL79" i="44"/>
  <c r="BM79" i="44"/>
  <c r="BL80" i="44"/>
  <c r="BM80" i="44"/>
  <c r="BL81" i="44"/>
  <c r="BM81" i="44"/>
  <c r="BL82" i="44"/>
  <c r="BM82" i="44"/>
  <c r="BL83" i="44"/>
  <c r="BM83" i="44"/>
  <c r="BL84" i="44"/>
  <c r="BM84" i="44"/>
  <c r="BL85" i="44"/>
  <c r="BM85" i="44"/>
  <c r="BL86" i="44"/>
  <c r="BM86" i="44"/>
  <c r="BL87" i="44"/>
  <c r="BM87" i="44"/>
  <c r="BL88" i="44"/>
  <c r="BM88" i="44"/>
  <c r="BL89" i="44"/>
  <c r="BM89" i="44"/>
  <c r="BL90" i="44"/>
  <c r="BM90" i="44"/>
  <c r="BL91" i="44"/>
  <c r="BM91" i="44"/>
  <c r="BL92" i="44"/>
  <c r="BM92" i="44"/>
  <c r="BL93" i="44"/>
  <c r="BM93" i="44"/>
  <c r="BL94" i="44"/>
  <c r="BM94" i="44"/>
  <c r="BL95" i="44"/>
  <c r="BM95" i="44"/>
  <c r="BL96" i="44"/>
  <c r="BM96" i="44"/>
  <c r="BL97" i="44"/>
  <c r="BM97" i="44"/>
  <c r="BL98" i="44"/>
  <c r="BM98" i="44"/>
  <c r="BL99" i="44"/>
  <c r="BM99" i="44"/>
  <c r="BL100" i="44"/>
  <c r="BM100" i="44"/>
  <c r="BL101" i="44"/>
  <c r="BM101" i="44"/>
  <c r="BL102" i="44"/>
  <c r="BM102" i="44"/>
  <c r="BL103" i="44"/>
  <c r="BM103" i="44"/>
  <c r="BL104" i="44"/>
  <c r="BM104" i="44"/>
  <c r="BL105" i="44"/>
  <c r="BM105" i="44"/>
  <c r="BL106" i="44"/>
  <c r="BM106" i="44"/>
  <c r="BL107" i="44"/>
  <c r="BM107" i="44"/>
  <c r="BL108" i="44"/>
  <c r="BM108" i="44"/>
  <c r="BL109" i="44"/>
  <c r="BM109" i="44"/>
  <c r="BL110" i="44"/>
  <c r="BM110" i="44"/>
  <c r="BL111" i="44"/>
  <c r="BM111" i="44"/>
  <c r="BL112" i="44"/>
  <c r="BM112" i="44"/>
  <c r="BL113" i="44"/>
  <c r="BM113" i="44"/>
  <c r="BL114" i="44"/>
  <c r="BM114" i="44"/>
  <c r="BL115" i="44"/>
  <c r="BM115" i="44"/>
  <c r="BL116" i="44"/>
  <c r="BM116" i="44"/>
  <c r="BL117" i="44"/>
  <c r="BM117" i="44"/>
  <c r="BL118" i="44"/>
  <c r="BM118" i="44"/>
  <c r="BL119" i="44"/>
  <c r="BM119" i="44"/>
  <c r="BW119" i="44" s="1"/>
  <c r="BL120" i="44"/>
  <c r="BM120" i="44"/>
  <c r="BL121" i="44"/>
  <c r="BM121" i="44"/>
  <c r="BL122" i="44"/>
  <c r="BM122" i="44"/>
  <c r="BL123" i="44"/>
  <c r="BM123" i="44"/>
  <c r="BW123" i="44" s="1"/>
  <c r="BL124" i="44"/>
  <c r="BM124" i="44"/>
  <c r="BL125" i="44"/>
  <c r="BM125" i="44"/>
  <c r="BM15" i="44"/>
  <c r="BL15" i="44"/>
  <c r="AW16" i="44"/>
  <c r="AX16" i="44"/>
  <c r="AW17" i="44"/>
  <c r="AX17" i="44"/>
  <c r="AW18" i="44"/>
  <c r="AX18" i="44"/>
  <c r="AW19" i="44"/>
  <c r="AX19" i="44"/>
  <c r="AW20" i="44"/>
  <c r="AX20" i="44"/>
  <c r="AW21" i="44"/>
  <c r="AX21" i="44"/>
  <c r="AW22" i="44"/>
  <c r="AX22" i="44"/>
  <c r="AW23" i="44"/>
  <c r="AX23" i="44"/>
  <c r="AW24" i="44"/>
  <c r="AX24" i="44"/>
  <c r="AW25" i="44"/>
  <c r="AX25" i="44"/>
  <c r="AW26" i="44"/>
  <c r="AX26" i="44"/>
  <c r="AW27" i="44"/>
  <c r="AX27" i="44"/>
  <c r="AW28" i="44"/>
  <c r="AX28" i="44"/>
  <c r="AW29" i="44"/>
  <c r="AX29" i="44"/>
  <c r="AW30" i="44"/>
  <c r="AX30" i="44"/>
  <c r="AW31" i="44"/>
  <c r="AX31" i="44"/>
  <c r="AW32" i="44"/>
  <c r="AX32" i="44"/>
  <c r="AW33" i="44"/>
  <c r="AX33" i="44"/>
  <c r="AW34" i="44"/>
  <c r="AX34" i="44"/>
  <c r="AW35" i="44"/>
  <c r="AX35" i="44"/>
  <c r="AW36" i="44"/>
  <c r="AX36" i="44"/>
  <c r="AW37" i="44"/>
  <c r="AX37" i="44"/>
  <c r="AW38" i="44"/>
  <c r="AX38" i="44"/>
  <c r="AW39" i="44"/>
  <c r="AX39" i="44"/>
  <c r="AW40" i="44"/>
  <c r="AX40" i="44"/>
  <c r="AW41" i="44"/>
  <c r="AX41" i="44"/>
  <c r="AW42" i="44"/>
  <c r="AX42" i="44"/>
  <c r="AW43" i="44"/>
  <c r="AX43" i="44"/>
  <c r="AW44" i="44"/>
  <c r="AX44" i="44"/>
  <c r="AW45" i="44"/>
  <c r="AX45" i="44"/>
  <c r="AW46" i="44"/>
  <c r="AX46" i="44"/>
  <c r="AW47" i="44"/>
  <c r="AX47" i="44"/>
  <c r="AW48" i="44"/>
  <c r="AX48" i="44"/>
  <c r="AW49" i="44"/>
  <c r="AX49" i="44"/>
  <c r="AW50" i="44"/>
  <c r="AX50" i="44"/>
  <c r="AW51" i="44"/>
  <c r="BC51" i="44" s="1"/>
  <c r="BG51" i="44" s="1"/>
  <c r="AX51" i="44"/>
  <c r="AW52" i="44"/>
  <c r="AX52" i="44"/>
  <c r="AW53" i="44"/>
  <c r="AX53" i="44"/>
  <c r="AW54" i="44"/>
  <c r="AX54" i="44"/>
  <c r="AW55" i="44"/>
  <c r="AX55" i="44"/>
  <c r="AW56" i="44"/>
  <c r="AX56" i="44"/>
  <c r="AW57" i="44"/>
  <c r="AX57" i="44"/>
  <c r="AW58" i="44"/>
  <c r="AX58" i="44"/>
  <c r="AW59" i="44"/>
  <c r="AX59" i="44"/>
  <c r="AW60" i="44"/>
  <c r="AX60" i="44"/>
  <c r="AW61" i="44"/>
  <c r="AX61" i="44"/>
  <c r="AW62" i="44"/>
  <c r="AX62" i="44"/>
  <c r="AW63" i="44"/>
  <c r="AX63" i="44"/>
  <c r="AW64" i="44"/>
  <c r="AX64" i="44"/>
  <c r="AW65" i="44"/>
  <c r="AX65" i="44"/>
  <c r="AW66" i="44"/>
  <c r="AX66" i="44"/>
  <c r="AW67" i="44"/>
  <c r="AX67" i="44"/>
  <c r="AW68" i="44"/>
  <c r="AX68" i="44"/>
  <c r="AW69" i="44"/>
  <c r="AX69" i="44"/>
  <c r="AW70" i="44"/>
  <c r="AX70" i="44"/>
  <c r="AW71" i="44"/>
  <c r="AX71" i="44"/>
  <c r="AW72" i="44"/>
  <c r="AX72" i="44"/>
  <c r="AW73" i="44"/>
  <c r="AX73" i="44"/>
  <c r="AW74" i="44"/>
  <c r="AX74" i="44"/>
  <c r="AW75" i="44"/>
  <c r="AX75" i="44"/>
  <c r="AW76" i="44"/>
  <c r="AX76" i="44"/>
  <c r="AW77" i="44"/>
  <c r="AX77" i="44"/>
  <c r="AW78" i="44"/>
  <c r="AX78" i="44"/>
  <c r="AW79" i="44"/>
  <c r="AX79" i="44"/>
  <c r="AW80" i="44"/>
  <c r="AX80" i="44"/>
  <c r="AW81" i="44"/>
  <c r="AX81" i="44"/>
  <c r="AW82" i="44"/>
  <c r="AX82" i="44"/>
  <c r="AW83" i="44"/>
  <c r="AX83" i="44"/>
  <c r="AW84" i="44"/>
  <c r="AX84" i="44"/>
  <c r="AW85" i="44"/>
  <c r="AX85" i="44"/>
  <c r="AW86" i="44"/>
  <c r="AX86" i="44"/>
  <c r="AW87" i="44"/>
  <c r="AX87" i="44"/>
  <c r="AW88" i="44"/>
  <c r="AX88" i="44"/>
  <c r="AW89" i="44"/>
  <c r="AX89" i="44"/>
  <c r="AW90" i="44"/>
  <c r="AX90" i="44"/>
  <c r="AW91" i="44"/>
  <c r="AX91" i="44"/>
  <c r="AW92" i="44"/>
  <c r="AX92" i="44"/>
  <c r="AW93" i="44"/>
  <c r="AX93" i="44"/>
  <c r="AW94" i="44"/>
  <c r="AX94" i="44"/>
  <c r="AW95" i="44"/>
  <c r="AX95" i="44"/>
  <c r="AW96" i="44"/>
  <c r="AX96" i="44"/>
  <c r="AW97" i="44"/>
  <c r="AX97" i="44"/>
  <c r="AW98" i="44"/>
  <c r="AX98" i="44"/>
  <c r="AW99" i="44"/>
  <c r="AX99" i="44"/>
  <c r="AW100" i="44"/>
  <c r="AX100" i="44"/>
  <c r="AW101" i="44"/>
  <c r="AX101" i="44"/>
  <c r="AW102" i="44"/>
  <c r="AX102" i="44"/>
  <c r="AW103" i="44"/>
  <c r="AX103" i="44"/>
  <c r="AW104" i="44"/>
  <c r="AX104" i="44"/>
  <c r="AW105" i="44"/>
  <c r="AX105" i="44"/>
  <c r="AW106" i="44"/>
  <c r="AX106" i="44"/>
  <c r="AW107" i="44"/>
  <c r="AX107" i="44"/>
  <c r="AW108" i="44"/>
  <c r="AX108" i="44"/>
  <c r="AW109" i="44"/>
  <c r="AX109" i="44"/>
  <c r="AW110" i="44"/>
  <c r="AX110" i="44"/>
  <c r="AW111" i="44"/>
  <c r="AX111" i="44"/>
  <c r="AW112" i="44"/>
  <c r="AX112" i="44"/>
  <c r="AW113" i="44"/>
  <c r="AX113" i="44"/>
  <c r="AW114" i="44"/>
  <c r="AX114" i="44"/>
  <c r="AW115" i="44"/>
  <c r="AX115" i="44"/>
  <c r="AW116" i="44"/>
  <c r="AX116" i="44"/>
  <c r="AW117" i="44"/>
  <c r="AX117" i="44"/>
  <c r="AW118" i="44"/>
  <c r="AX118" i="44"/>
  <c r="AW119" i="44"/>
  <c r="BG119" i="44" s="1"/>
  <c r="AX119" i="44"/>
  <c r="AW120" i="44"/>
  <c r="AX120" i="44"/>
  <c r="AW121" i="44"/>
  <c r="AX121" i="44"/>
  <c r="AW122" i="44"/>
  <c r="AX122" i="44"/>
  <c r="AW123" i="44"/>
  <c r="BG123" i="44" s="1"/>
  <c r="AX123" i="44"/>
  <c r="AW124" i="44"/>
  <c r="AX124" i="44"/>
  <c r="AW125" i="44"/>
  <c r="AX125" i="44"/>
  <c r="AX15" i="44"/>
  <c r="AW15" i="44"/>
  <c r="AH16" i="44"/>
  <c r="AI16" i="44"/>
  <c r="AH17" i="44"/>
  <c r="AI17" i="44"/>
  <c r="AH18" i="44"/>
  <c r="AI18" i="44"/>
  <c r="AH19" i="44"/>
  <c r="AI19" i="44"/>
  <c r="AO19" i="44" s="1"/>
  <c r="AS19" i="44" s="1"/>
  <c r="AH20" i="44"/>
  <c r="AI20" i="44"/>
  <c r="AH21" i="44"/>
  <c r="AI21" i="44"/>
  <c r="AH22" i="44"/>
  <c r="AI22" i="44"/>
  <c r="AH23" i="44"/>
  <c r="AN23" i="44" s="1"/>
  <c r="AR23" i="44" s="1"/>
  <c r="AI23" i="44"/>
  <c r="AH24" i="44"/>
  <c r="AI24" i="44"/>
  <c r="AH25" i="44"/>
  <c r="AI25" i="44"/>
  <c r="AH26" i="44"/>
  <c r="AI26" i="44"/>
  <c r="AH27" i="44"/>
  <c r="AN27" i="44" s="1"/>
  <c r="AR27" i="44" s="1"/>
  <c r="AI27" i="44"/>
  <c r="AO27" i="44" s="1"/>
  <c r="AS27" i="44" s="1"/>
  <c r="AH28" i="44"/>
  <c r="AI28" i="44"/>
  <c r="AH29" i="44"/>
  <c r="AI29" i="44"/>
  <c r="AH30" i="44"/>
  <c r="AI30" i="44"/>
  <c r="AH31" i="44"/>
  <c r="AN31" i="44" s="1"/>
  <c r="AR31" i="44" s="1"/>
  <c r="AI31" i="44"/>
  <c r="AH32" i="44"/>
  <c r="AI32" i="44"/>
  <c r="AH33" i="44"/>
  <c r="AI33" i="44"/>
  <c r="AH34" i="44"/>
  <c r="AI34" i="44"/>
  <c r="AH35" i="44"/>
  <c r="AI35" i="44"/>
  <c r="AH36" i="44"/>
  <c r="AI36" i="44"/>
  <c r="AH37" i="44"/>
  <c r="AI37" i="44"/>
  <c r="AH38" i="44"/>
  <c r="AI38" i="44"/>
  <c r="AH39" i="44"/>
  <c r="AI39" i="44"/>
  <c r="AH40" i="44"/>
  <c r="AI40" i="44"/>
  <c r="AH41" i="44"/>
  <c r="AI41" i="44"/>
  <c r="AH42" i="44"/>
  <c r="AI42" i="44"/>
  <c r="AH43" i="44"/>
  <c r="AI43" i="44"/>
  <c r="AH44" i="44"/>
  <c r="AI44" i="44"/>
  <c r="AH45" i="44"/>
  <c r="AI45" i="44"/>
  <c r="AH46" i="44"/>
  <c r="AI46" i="44"/>
  <c r="AH47" i="44"/>
  <c r="AI47" i="44"/>
  <c r="AH48" i="44"/>
  <c r="AI48" i="44"/>
  <c r="AH49" i="44"/>
  <c r="AI49" i="44"/>
  <c r="AH50" i="44"/>
  <c r="AI50" i="44"/>
  <c r="AH51" i="44"/>
  <c r="AI51" i="44"/>
  <c r="AH52" i="44"/>
  <c r="AI52" i="44"/>
  <c r="AH53" i="44"/>
  <c r="AI53" i="44"/>
  <c r="AH54" i="44"/>
  <c r="AI54" i="44"/>
  <c r="AH55" i="44"/>
  <c r="AI55" i="44"/>
  <c r="AO55" i="44" s="1"/>
  <c r="AS55" i="44" s="1"/>
  <c r="AH56" i="44"/>
  <c r="AI56" i="44"/>
  <c r="AH57" i="44"/>
  <c r="AI57" i="44"/>
  <c r="AH58" i="44"/>
  <c r="AI58" i="44"/>
  <c r="AH59" i="44"/>
  <c r="AI59" i="44"/>
  <c r="AH60" i="44"/>
  <c r="AI60" i="44"/>
  <c r="AH61" i="44"/>
  <c r="AI61" i="44"/>
  <c r="AH62" i="44"/>
  <c r="AI62" i="44"/>
  <c r="AH63" i="44"/>
  <c r="AI63" i="44"/>
  <c r="AH64" i="44"/>
  <c r="AI64" i="44"/>
  <c r="AH65" i="44"/>
  <c r="AI65" i="44"/>
  <c r="AH66" i="44"/>
  <c r="AI66" i="44"/>
  <c r="AH67" i="44"/>
  <c r="AI67" i="44"/>
  <c r="AH68" i="44"/>
  <c r="AI68" i="44"/>
  <c r="AH69" i="44"/>
  <c r="AI69" i="44"/>
  <c r="AH70" i="44"/>
  <c r="AI70" i="44"/>
  <c r="AH71" i="44"/>
  <c r="AI71" i="44"/>
  <c r="AH72" i="44"/>
  <c r="AI72" i="44"/>
  <c r="AH73" i="44"/>
  <c r="AI73" i="44"/>
  <c r="AH74" i="44"/>
  <c r="AI74" i="44"/>
  <c r="AH75" i="44"/>
  <c r="AI75" i="44"/>
  <c r="AH76" i="44"/>
  <c r="AI76" i="44"/>
  <c r="AH77" i="44"/>
  <c r="AI77" i="44"/>
  <c r="AH78" i="44"/>
  <c r="AI78" i="44"/>
  <c r="AH79" i="44"/>
  <c r="AI79" i="44"/>
  <c r="AH80" i="44"/>
  <c r="AI80" i="44"/>
  <c r="AH81" i="44"/>
  <c r="AI81" i="44"/>
  <c r="AH82" i="44"/>
  <c r="AI82" i="44"/>
  <c r="AH83" i="44"/>
  <c r="AI83" i="44"/>
  <c r="AH84" i="44"/>
  <c r="AI84" i="44"/>
  <c r="AH85" i="44"/>
  <c r="AI85" i="44"/>
  <c r="AH86" i="44"/>
  <c r="AI86" i="44"/>
  <c r="AH87" i="44"/>
  <c r="AI87" i="44"/>
  <c r="AO87" i="44" s="1"/>
  <c r="AS87" i="44" s="1"/>
  <c r="AH88" i="44"/>
  <c r="AI88" i="44"/>
  <c r="AH89" i="44"/>
  <c r="AI89" i="44"/>
  <c r="AH90" i="44"/>
  <c r="AI90" i="44"/>
  <c r="AH91" i="44"/>
  <c r="AI91" i="44"/>
  <c r="AO91" i="44" s="1"/>
  <c r="AS91" i="44" s="1"/>
  <c r="AH92" i="44"/>
  <c r="AI92" i="44"/>
  <c r="AH93" i="44"/>
  <c r="AI93" i="44"/>
  <c r="AH94" i="44"/>
  <c r="AI94" i="44"/>
  <c r="AH95" i="44"/>
  <c r="AI95" i="44"/>
  <c r="AH96" i="44"/>
  <c r="AI96" i="44"/>
  <c r="AH97" i="44"/>
  <c r="AI97" i="44"/>
  <c r="AH98" i="44"/>
  <c r="AI98" i="44"/>
  <c r="AH99" i="44"/>
  <c r="AI99" i="44"/>
  <c r="AH100" i="44"/>
  <c r="AI100" i="44"/>
  <c r="AH101" i="44"/>
  <c r="AI101" i="44"/>
  <c r="AH102" i="44"/>
  <c r="AI102" i="44"/>
  <c r="AH103" i="44"/>
  <c r="AI103" i="44"/>
  <c r="AH104" i="44"/>
  <c r="AI104" i="44"/>
  <c r="AH105" i="44"/>
  <c r="AI105" i="44"/>
  <c r="AH106" i="44"/>
  <c r="AI106" i="44"/>
  <c r="AH107" i="44"/>
  <c r="AI107" i="44"/>
  <c r="AH108" i="44"/>
  <c r="AI108" i="44"/>
  <c r="AH109" i="44"/>
  <c r="AI109" i="44"/>
  <c r="AH110" i="44"/>
  <c r="AI110" i="44"/>
  <c r="AH111" i="44"/>
  <c r="AI111" i="44"/>
  <c r="AH112" i="44"/>
  <c r="AI112" i="44"/>
  <c r="AH113" i="44"/>
  <c r="AI113" i="44"/>
  <c r="AH114" i="44"/>
  <c r="AI114" i="44"/>
  <c r="AH115" i="44"/>
  <c r="AI115" i="44"/>
  <c r="AH116" i="44"/>
  <c r="AI116" i="44"/>
  <c r="AH117" i="44"/>
  <c r="AI117" i="44"/>
  <c r="AH118" i="44"/>
  <c r="AI118" i="44"/>
  <c r="AH119" i="44"/>
  <c r="AN119" i="44" s="1"/>
  <c r="AI119" i="44"/>
  <c r="AO119" i="44" s="1"/>
  <c r="AH120" i="44"/>
  <c r="AI120" i="44"/>
  <c r="AH121" i="44"/>
  <c r="AI121" i="44"/>
  <c r="AH122" i="44"/>
  <c r="AI122" i="44"/>
  <c r="AH123" i="44"/>
  <c r="AN123" i="44" s="1"/>
  <c r="AI123" i="44"/>
  <c r="AO123" i="44" s="1"/>
  <c r="AH124" i="44"/>
  <c r="AI124" i="44"/>
  <c r="AH125" i="44"/>
  <c r="AI125" i="44"/>
  <c r="AI15" i="44"/>
  <c r="AH15" i="44"/>
  <c r="BL16" i="43"/>
  <c r="BL14" i="43" s="1"/>
  <c r="BM16" i="43"/>
  <c r="BL17" i="43"/>
  <c r="BM17" i="43"/>
  <c r="BL18" i="43"/>
  <c r="BM18" i="43"/>
  <c r="BM14" i="43" s="1"/>
  <c r="BL19" i="43"/>
  <c r="BR19" i="43" s="1"/>
  <c r="BV19" i="43" s="1"/>
  <c r="BM19" i="43"/>
  <c r="BL20" i="43"/>
  <c r="BM20" i="43"/>
  <c r="BL21" i="43"/>
  <c r="BM21" i="43"/>
  <c r="BL22" i="43"/>
  <c r="BM22" i="43"/>
  <c r="BS22" i="43" s="1"/>
  <c r="BW22" i="43" s="1"/>
  <c r="BL23" i="43"/>
  <c r="BR23" i="43" s="1"/>
  <c r="BV23" i="43" s="1"/>
  <c r="BM23" i="43"/>
  <c r="BL24" i="43"/>
  <c r="BM24" i="43"/>
  <c r="BL25" i="43"/>
  <c r="BM25" i="43"/>
  <c r="BL26" i="43"/>
  <c r="BM26" i="43"/>
  <c r="BS26" i="43" s="1"/>
  <c r="BW26" i="43" s="1"/>
  <c r="BL27" i="43"/>
  <c r="BM27" i="43"/>
  <c r="BL28" i="43"/>
  <c r="BM28" i="43"/>
  <c r="BL29" i="43"/>
  <c r="BM29" i="43"/>
  <c r="BL30" i="43"/>
  <c r="BM30" i="43"/>
  <c r="BL31" i="43"/>
  <c r="BM31" i="43"/>
  <c r="BL32" i="43"/>
  <c r="BM32" i="43"/>
  <c r="BL33" i="43"/>
  <c r="BM33" i="43"/>
  <c r="BL34" i="43"/>
  <c r="BM34" i="43"/>
  <c r="BL35" i="43"/>
  <c r="BM35" i="43"/>
  <c r="BL36" i="43"/>
  <c r="BM36" i="43"/>
  <c r="BL37" i="43"/>
  <c r="BM37" i="43"/>
  <c r="BL38" i="43"/>
  <c r="BM38" i="43"/>
  <c r="BL39" i="43"/>
  <c r="BM39" i="43"/>
  <c r="BL40" i="43"/>
  <c r="BM40" i="43"/>
  <c r="BL41" i="43"/>
  <c r="BM41" i="43"/>
  <c r="BL42" i="43"/>
  <c r="BM42" i="43"/>
  <c r="BL43" i="43"/>
  <c r="BM43" i="43"/>
  <c r="BL44" i="43"/>
  <c r="BM44" i="43"/>
  <c r="BL45" i="43"/>
  <c r="BM45" i="43"/>
  <c r="BL46" i="43"/>
  <c r="BM46" i="43"/>
  <c r="BL47" i="43"/>
  <c r="BM47" i="43"/>
  <c r="BL48" i="43"/>
  <c r="BM48" i="43"/>
  <c r="BL49" i="43"/>
  <c r="BM49" i="43"/>
  <c r="BL50" i="43"/>
  <c r="BM50" i="43"/>
  <c r="BL51" i="43"/>
  <c r="BM51" i="43"/>
  <c r="BL52" i="43"/>
  <c r="BM52" i="43"/>
  <c r="BL53" i="43"/>
  <c r="BM53" i="43"/>
  <c r="BL54" i="43"/>
  <c r="BM54" i="43"/>
  <c r="BL55" i="43"/>
  <c r="BM55" i="43"/>
  <c r="BL56" i="43"/>
  <c r="BM56" i="43"/>
  <c r="BL57" i="43"/>
  <c r="BM57" i="43"/>
  <c r="BL58" i="43"/>
  <c r="BM58" i="43"/>
  <c r="BL59" i="43"/>
  <c r="BM59" i="43"/>
  <c r="BL60" i="43"/>
  <c r="BM60" i="43"/>
  <c r="BL61" i="43"/>
  <c r="BM61" i="43"/>
  <c r="BL62" i="43"/>
  <c r="BM62" i="43"/>
  <c r="BL63" i="43"/>
  <c r="BM63" i="43"/>
  <c r="BL64" i="43"/>
  <c r="BM64" i="43"/>
  <c r="BL65" i="43"/>
  <c r="BM65" i="43"/>
  <c r="BL66" i="43"/>
  <c r="BM66" i="43"/>
  <c r="BL67" i="43"/>
  <c r="BM67" i="43"/>
  <c r="BL68" i="43"/>
  <c r="BM68" i="43"/>
  <c r="BL69" i="43"/>
  <c r="BM69" i="43"/>
  <c r="BL70" i="43"/>
  <c r="BM70" i="43"/>
  <c r="BL71" i="43"/>
  <c r="BM71" i="43"/>
  <c r="BL72" i="43"/>
  <c r="BM72" i="43"/>
  <c r="BL73" i="43"/>
  <c r="BM73" i="43"/>
  <c r="BL74" i="43"/>
  <c r="BM74" i="43"/>
  <c r="BL75" i="43"/>
  <c r="BM75" i="43"/>
  <c r="BL76" i="43"/>
  <c r="BM76" i="43"/>
  <c r="BL77" i="43"/>
  <c r="BM77" i="43"/>
  <c r="BL78" i="43"/>
  <c r="BM78" i="43"/>
  <c r="BL79" i="43"/>
  <c r="BM79" i="43"/>
  <c r="BL80" i="43"/>
  <c r="BM80" i="43"/>
  <c r="BL81" i="43"/>
  <c r="BM81" i="43"/>
  <c r="BL82" i="43"/>
  <c r="BM82" i="43"/>
  <c r="BL83" i="43"/>
  <c r="BM83" i="43"/>
  <c r="BL84" i="43"/>
  <c r="BM84" i="43"/>
  <c r="BL85" i="43"/>
  <c r="BM85" i="43"/>
  <c r="BL86" i="43"/>
  <c r="BM86" i="43"/>
  <c r="BL87" i="43"/>
  <c r="BM87" i="43"/>
  <c r="BL88" i="43"/>
  <c r="BM88" i="43"/>
  <c r="BL89" i="43"/>
  <c r="BM89" i="43"/>
  <c r="BL90" i="43"/>
  <c r="BM90" i="43"/>
  <c r="BL91" i="43"/>
  <c r="BM91" i="43"/>
  <c r="BL92" i="43"/>
  <c r="BM92" i="43"/>
  <c r="BL93" i="43"/>
  <c r="BM93" i="43"/>
  <c r="BL94" i="43"/>
  <c r="BM94" i="43"/>
  <c r="BL95" i="43"/>
  <c r="BM95" i="43"/>
  <c r="BL96" i="43"/>
  <c r="BM96" i="43"/>
  <c r="BL97" i="43"/>
  <c r="BM97" i="43"/>
  <c r="BL98" i="43"/>
  <c r="BM98" i="43"/>
  <c r="BL99" i="43"/>
  <c r="BM99" i="43"/>
  <c r="BL100" i="43"/>
  <c r="BM100" i="43"/>
  <c r="BL101" i="43"/>
  <c r="BM101" i="43"/>
  <c r="BL102" i="43"/>
  <c r="BM102" i="43"/>
  <c r="BL103" i="43"/>
  <c r="BM103" i="43"/>
  <c r="BL104" i="43"/>
  <c r="BM104" i="43"/>
  <c r="BL105" i="43"/>
  <c r="BM105" i="43"/>
  <c r="BL106" i="43"/>
  <c r="BM106" i="43"/>
  <c r="BL107" i="43"/>
  <c r="BM107" i="43"/>
  <c r="BL108" i="43"/>
  <c r="BM108" i="43"/>
  <c r="BL109" i="43"/>
  <c r="BM109" i="43"/>
  <c r="BL110" i="43"/>
  <c r="BM110" i="43"/>
  <c r="BL111" i="43"/>
  <c r="BM111" i="43"/>
  <c r="BL112" i="43"/>
  <c r="BM112" i="43"/>
  <c r="BL113" i="43"/>
  <c r="BM113" i="43"/>
  <c r="BL114" i="43"/>
  <c r="BM114" i="43"/>
  <c r="BL115" i="43"/>
  <c r="BV115" i="43" s="1"/>
  <c r="BM115" i="43"/>
  <c r="BL116" i="43"/>
  <c r="BR116" i="43" s="1"/>
  <c r="BM116" i="43"/>
  <c r="BL117" i="43"/>
  <c r="BM117" i="43"/>
  <c r="BL118" i="43"/>
  <c r="BM118" i="43"/>
  <c r="BW118" i="43" s="1"/>
  <c r="BL119" i="43"/>
  <c r="BV119" i="43" s="1"/>
  <c r="BM119" i="43"/>
  <c r="BL120" i="43"/>
  <c r="BR120" i="43" s="1"/>
  <c r="BM120" i="43"/>
  <c r="BL121" i="43"/>
  <c r="BM121" i="43"/>
  <c r="BL122" i="43"/>
  <c r="BM122" i="43"/>
  <c r="BW122" i="43" s="1"/>
  <c r="BL123" i="43"/>
  <c r="BR123" i="43" s="1"/>
  <c r="BM123" i="43"/>
  <c r="BL124" i="43"/>
  <c r="BV124" i="43" s="1"/>
  <c r="BM124" i="43"/>
  <c r="BL125" i="43"/>
  <c r="BM125" i="43"/>
  <c r="BM15" i="43"/>
  <c r="BL15" i="43"/>
  <c r="AW16" i="43"/>
  <c r="AX16" i="43"/>
  <c r="AW17" i="43"/>
  <c r="AX17" i="43"/>
  <c r="AW18" i="43"/>
  <c r="AX18" i="43"/>
  <c r="AW19" i="43"/>
  <c r="AW14" i="43" s="1"/>
  <c r="AX19" i="43"/>
  <c r="AW20" i="43"/>
  <c r="AX20" i="43"/>
  <c r="AW21" i="43"/>
  <c r="AX21" i="43"/>
  <c r="AW22" i="43"/>
  <c r="AX22" i="43"/>
  <c r="AW23" i="43"/>
  <c r="AX23" i="43"/>
  <c r="AW24" i="43"/>
  <c r="AX24" i="43"/>
  <c r="AW25" i="43"/>
  <c r="AX25" i="43"/>
  <c r="AW26" i="43"/>
  <c r="AX26" i="43"/>
  <c r="AW27" i="43"/>
  <c r="AX27" i="43"/>
  <c r="AW28" i="43"/>
  <c r="AX28" i="43"/>
  <c r="AW29" i="43"/>
  <c r="AX29" i="43"/>
  <c r="AW30" i="43"/>
  <c r="AX30" i="43"/>
  <c r="AW31" i="43"/>
  <c r="BC31" i="43" s="1"/>
  <c r="BG31" i="43" s="1"/>
  <c r="AX31" i="43"/>
  <c r="AW32" i="43"/>
  <c r="AX32" i="43"/>
  <c r="AW33" i="43"/>
  <c r="AX33" i="43"/>
  <c r="AW34" i="43"/>
  <c r="AX34" i="43"/>
  <c r="AW35" i="43"/>
  <c r="AX35" i="43"/>
  <c r="AW36" i="43"/>
  <c r="AX36" i="43"/>
  <c r="AW37" i="43"/>
  <c r="AX37" i="43"/>
  <c r="AW38" i="43"/>
  <c r="AX38" i="43"/>
  <c r="AW39" i="43"/>
  <c r="AX39" i="43"/>
  <c r="AW40" i="43"/>
  <c r="AX40" i="43"/>
  <c r="AW41" i="43"/>
  <c r="AX41" i="43"/>
  <c r="AW42" i="43"/>
  <c r="AX42" i="43"/>
  <c r="AW43" i="43"/>
  <c r="AX43" i="43"/>
  <c r="AW44" i="43"/>
  <c r="AX44" i="43"/>
  <c r="AW45" i="43"/>
  <c r="AX45" i="43"/>
  <c r="AW46" i="43"/>
  <c r="AX46" i="43"/>
  <c r="AW47" i="43"/>
  <c r="AX47" i="43"/>
  <c r="AW48" i="43"/>
  <c r="AX48" i="43"/>
  <c r="AW49" i="43"/>
  <c r="AX49" i="43"/>
  <c r="AW50" i="43"/>
  <c r="AX50" i="43"/>
  <c r="AW51" i="43"/>
  <c r="AX51" i="43"/>
  <c r="AW52" i="43"/>
  <c r="AX52" i="43"/>
  <c r="AW53" i="43"/>
  <c r="AX53" i="43"/>
  <c r="AW54" i="43"/>
  <c r="AX54" i="43"/>
  <c r="AW55" i="43"/>
  <c r="AX55" i="43"/>
  <c r="AW56" i="43"/>
  <c r="AX56" i="43"/>
  <c r="AW57" i="43"/>
  <c r="AX57" i="43"/>
  <c r="AW58" i="43"/>
  <c r="AX58" i="43"/>
  <c r="AW59" i="43"/>
  <c r="AX59" i="43"/>
  <c r="AW60" i="43"/>
  <c r="AX60" i="43"/>
  <c r="AW61" i="43"/>
  <c r="AX61" i="43"/>
  <c r="AW62" i="43"/>
  <c r="AX62" i="43"/>
  <c r="AW63" i="43"/>
  <c r="AX63" i="43"/>
  <c r="AW64" i="43"/>
  <c r="AX64" i="43"/>
  <c r="AW65" i="43"/>
  <c r="AX65" i="43"/>
  <c r="AW66" i="43"/>
  <c r="AX66" i="43"/>
  <c r="AW67" i="43"/>
  <c r="AX67" i="43"/>
  <c r="AW68" i="43"/>
  <c r="AX68" i="43"/>
  <c r="AW69" i="43"/>
  <c r="AX69" i="43"/>
  <c r="AW70" i="43"/>
  <c r="AX70" i="43"/>
  <c r="AW71" i="43"/>
  <c r="AX71" i="43"/>
  <c r="AW72" i="43"/>
  <c r="AX72" i="43"/>
  <c r="AW73" i="43"/>
  <c r="AX73" i="43"/>
  <c r="AW74" i="43"/>
  <c r="AX74" i="43"/>
  <c r="AW75" i="43"/>
  <c r="AX75" i="43"/>
  <c r="AW76" i="43"/>
  <c r="AX76" i="43"/>
  <c r="AW77" i="43"/>
  <c r="AX77" i="43"/>
  <c r="AW78" i="43"/>
  <c r="AX78" i="43"/>
  <c r="AW79" i="43"/>
  <c r="AX79" i="43"/>
  <c r="AW80" i="43"/>
  <c r="AX80" i="43"/>
  <c r="AW81" i="43"/>
  <c r="AX81" i="43"/>
  <c r="AW82" i="43"/>
  <c r="AX82" i="43"/>
  <c r="AW83" i="43"/>
  <c r="AX83" i="43"/>
  <c r="AW84" i="43"/>
  <c r="AX84" i="43"/>
  <c r="AW85" i="43"/>
  <c r="AX85" i="43"/>
  <c r="AW86" i="43"/>
  <c r="AX86" i="43"/>
  <c r="AW87" i="43"/>
  <c r="AX87" i="43"/>
  <c r="AW88" i="43"/>
  <c r="AX88" i="43"/>
  <c r="AW89" i="43"/>
  <c r="AX89" i="43"/>
  <c r="AW90" i="43"/>
  <c r="AX90" i="43"/>
  <c r="AW91" i="43"/>
  <c r="AX91" i="43"/>
  <c r="AW92" i="43"/>
  <c r="AX92" i="43"/>
  <c r="AW93" i="43"/>
  <c r="AX93" i="43"/>
  <c r="AW94" i="43"/>
  <c r="AX94" i="43"/>
  <c r="AW95" i="43"/>
  <c r="AX95" i="43"/>
  <c r="AW96" i="43"/>
  <c r="AX96" i="43"/>
  <c r="AW97" i="43"/>
  <c r="AX97" i="43"/>
  <c r="AW98" i="43"/>
  <c r="AX98" i="43"/>
  <c r="AW99" i="43"/>
  <c r="AX99" i="43"/>
  <c r="AW100" i="43"/>
  <c r="AX100" i="43"/>
  <c r="AW101" i="43"/>
  <c r="AX101" i="43"/>
  <c r="AW102" i="43"/>
  <c r="AX102" i="43"/>
  <c r="AW103" i="43"/>
  <c r="AX103" i="43"/>
  <c r="AW104" i="43"/>
  <c r="AX104" i="43"/>
  <c r="AW105" i="43"/>
  <c r="AX105" i="43"/>
  <c r="AW106" i="43"/>
  <c r="AX106" i="43"/>
  <c r="AW107" i="43"/>
  <c r="AX107" i="43"/>
  <c r="AW108" i="43"/>
  <c r="AX108" i="43"/>
  <c r="AW109" i="43"/>
  <c r="AX109" i="43"/>
  <c r="AW110" i="43"/>
  <c r="AX110" i="43"/>
  <c r="AW111" i="43"/>
  <c r="AX111" i="43"/>
  <c r="AW112" i="43"/>
  <c r="AX112" i="43"/>
  <c r="AW113" i="43"/>
  <c r="AX113" i="43"/>
  <c r="AW114" i="43"/>
  <c r="AX114" i="43"/>
  <c r="AW115" i="43"/>
  <c r="AX115" i="43"/>
  <c r="AW116" i="43"/>
  <c r="AX116" i="43"/>
  <c r="AW117" i="43"/>
  <c r="AX117" i="43"/>
  <c r="AW118" i="43"/>
  <c r="AX118" i="43"/>
  <c r="AW119" i="43"/>
  <c r="BC119" i="43" s="1"/>
  <c r="AX119" i="43"/>
  <c r="AW120" i="43"/>
  <c r="AX120" i="43"/>
  <c r="AW121" i="43"/>
  <c r="AX121" i="43"/>
  <c r="AW122" i="43"/>
  <c r="AX122" i="43"/>
  <c r="AW123" i="43"/>
  <c r="BG123" i="43" s="1"/>
  <c r="AX123" i="43"/>
  <c r="AW124" i="43"/>
  <c r="AX124" i="43"/>
  <c r="AW125" i="43"/>
  <c r="AX125" i="43"/>
  <c r="AX15" i="43"/>
  <c r="AW15" i="43"/>
  <c r="AH16" i="43"/>
  <c r="AI16" i="43"/>
  <c r="AH17" i="43"/>
  <c r="AI17" i="43"/>
  <c r="AH18" i="43"/>
  <c r="AI18" i="43"/>
  <c r="AH19" i="43"/>
  <c r="AI19" i="43"/>
  <c r="AH20" i="43"/>
  <c r="AI20" i="43"/>
  <c r="AH21" i="43"/>
  <c r="AI21" i="43"/>
  <c r="AH22" i="43"/>
  <c r="AI22" i="43"/>
  <c r="AH23" i="43"/>
  <c r="AI23" i="43"/>
  <c r="AH24" i="43"/>
  <c r="AI24" i="43"/>
  <c r="AH25" i="43"/>
  <c r="AI25" i="43"/>
  <c r="AH26" i="43"/>
  <c r="AI26" i="43"/>
  <c r="AH27" i="43"/>
  <c r="AI27" i="43"/>
  <c r="AH28" i="43"/>
  <c r="AI28" i="43"/>
  <c r="AH29" i="43"/>
  <c r="AI29" i="43"/>
  <c r="AH30" i="43"/>
  <c r="AI30" i="43"/>
  <c r="AH31" i="43"/>
  <c r="AI31" i="43"/>
  <c r="AH32" i="43"/>
  <c r="AI32" i="43"/>
  <c r="AH33" i="43"/>
  <c r="AI33" i="43"/>
  <c r="AH34" i="43"/>
  <c r="AI34" i="43"/>
  <c r="AH35" i="43"/>
  <c r="AI35" i="43"/>
  <c r="AH36" i="43"/>
  <c r="AI36" i="43"/>
  <c r="AH37" i="43"/>
  <c r="AI37" i="43"/>
  <c r="AH38" i="43"/>
  <c r="AI38" i="43"/>
  <c r="AH39" i="43"/>
  <c r="AI39" i="43"/>
  <c r="AH40" i="43"/>
  <c r="AI40" i="43"/>
  <c r="AH41" i="43"/>
  <c r="AI41" i="43"/>
  <c r="AH42" i="43"/>
  <c r="AI42" i="43"/>
  <c r="AH43" i="43"/>
  <c r="AI43" i="43"/>
  <c r="AH44" i="43"/>
  <c r="AI44" i="43"/>
  <c r="AH45" i="43"/>
  <c r="AI45" i="43"/>
  <c r="AH46" i="43"/>
  <c r="AI46" i="43"/>
  <c r="AH47" i="43"/>
  <c r="AI47" i="43"/>
  <c r="AH48" i="43"/>
  <c r="AI48" i="43"/>
  <c r="AH49" i="43"/>
  <c r="AI49" i="43"/>
  <c r="AH50" i="43"/>
  <c r="AI50" i="43"/>
  <c r="AH51" i="43"/>
  <c r="AI51" i="43"/>
  <c r="AH52" i="43"/>
  <c r="AI52" i="43"/>
  <c r="AH53" i="43"/>
  <c r="AI53" i="43"/>
  <c r="AH54" i="43"/>
  <c r="AI54" i="43"/>
  <c r="AH55" i="43"/>
  <c r="AI55" i="43"/>
  <c r="AH56" i="43"/>
  <c r="AI56" i="43"/>
  <c r="AH57" i="43"/>
  <c r="AI57" i="43"/>
  <c r="AH58" i="43"/>
  <c r="AI58" i="43"/>
  <c r="AH59" i="43"/>
  <c r="AI59" i="43"/>
  <c r="AO59" i="43" s="1"/>
  <c r="AS59" i="43" s="1"/>
  <c r="AH60" i="43"/>
  <c r="AI60" i="43"/>
  <c r="AH61" i="43"/>
  <c r="AI61" i="43"/>
  <c r="AH62" i="43"/>
  <c r="AI62" i="43"/>
  <c r="AH63" i="43"/>
  <c r="AI63" i="43"/>
  <c r="AH64" i="43"/>
  <c r="AI64" i="43"/>
  <c r="AH65" i="43"/>
  <c r="AI65" i="43"/>
  <c r="AH66" i="43"/>
  <c r="AI66" i="43"/>
  <c r="AH67" i="43"/>
  <c r="AI67" i="43"/>
  <c r="AH68" i="43"/>
  <c r="AI68" i="43"/>
  <c r="AH69" i="43"/>
  <c r="AI69" i="43"/>
  <c r="AH70" i="43"/>
  <c r="AI70" i="43"/>
  <c r="AH71" i="43"/>
  <c r="AI71" i="43"/>
  <c r="AH72" i="43"/>
  <c r="AI72" i="43"/>
  <c r="AH73" i="43"/>
  <c r="AI73" i="43"/>
  <c r="AH74" i="43"/>
  <c r="AI74" i="43"/>
  <c r="AH75" i="43"/>
  <c r="AI75" i="43"/>
  <c r="AH76" i="43"/>
  <c r="AI76" i="43"/>
  <c r="AH77" i="43"/>
  <c r="AI77" i="43"/>
  <c r="AH78" i="43"/>
  <c r="AI78" i="43"/>
  <c r="AH79" i="43"/>
  <c r="AI79" i="43"/>
  <c r="AH80" i="43"/>
  <c r="AI80" i="43"/>
  <c r="AH81" i="43"/>
  <c r="AI81" i="43"/>
  <c r="AH82" i="43"/>
  <c r="AI82" i="43"/>
  <c r="AH83" i="43"/>
  <c r="AI83" i="43"/>
  <c r="AH84" i="43"/>
  <c r="AI84" i="43"/>
  <c r="AH85" i="43"/>
  <c r="AI85" i="43"/>
  <c r="AH86" i="43"/>
  <c r="AI86" i="43"/>
  <c r="AH87" i="43"/>
  <c r="AI87" i="43"/>
  <c r="AH88" i="43"/>
  <c r="AI88" i="43"/>
  <c r="AH89" i="43"/>
  <c r="AI89" i="43"/>
  <c r="AH90" i="43"/>
  <c r="AI90" i="43"/>
  <c r="AH91" i="43"/>
  <c r="AI91" i="43"/>
  <c r="AH92" i="43"/>
  <c r="AI92" i="43"/>
  <c r="AH93" i="43"/>
  <c r="AI93" i="43"/>
  <c r="AH94" i="43"/>
  <c r="AI94" i="43"/>
  <c r="AH95" i="43"/>
  <c r="AI95" i="43"/>
  <c r="AH96" i="43"/>
  <c r="AI96" i="43"/>
  <c r="AH97" i="43"/>
  <c r="AI97" i="43"/>
  <c r="AH98" i="43"/>
  <c r="AI98" i="43"/>
  <c r="AH99" i="43"/>
  <c r="AI99" i="43"/>
  <c r="AH100" i="43"/>
  <c r="AI100" i="43"/>
  <c r="AH101" i="43"/>
  <c r="AI101" i="43"/>
  <c r="AH102" i="43"/>
  <c r="AI102" i="43"/>
  <c r="AH103" i="43"/>
  <c r="AI103" i="43"/>
  <c r="AH104" i="43"/>
  <c r="AI104" i="43"/>
  <c r="AH105" i="43"/>
  <c r="AI105" i="43"/>
  <c r="AH106" i="43"/>
  <c r="AI106" i="43"/>
  <c r="AH107" i="43"/>
  <c r="AI107" i="43"/>
  <c r="AH108" i="43"/>
  <c r="AI108" i="43"/>
  <c r="AH109" i="43"/>
  <c r="AI109" i="43"/>
  <c r="AH110" i="43"/>
  <c r="AI110" i="43"/>
  <c r="AH111" i="43"/>
  <c r="AI111" i="43"/>
  <c r="AH112" i="43"/>
  <c r="AI112" i="43"/>
  <c r="AH113" i="43"/>
  <c r="AI113" i="43"/>
  <c r="AH114" i="43"/>
  <c r="AI114" i="43"/>
  <c r="AH115" i="43"/>
  <c r="AI115" i="43"/>
  <c r="AH116" i="43"/>
  <c r="AI116" i="43"/>
  <c r="AH117" i="43"/>
  <c r="AI117" i="43"/>
  <c r="AH118" i="43"/>
  <c r="AI118" i="43"/>
  <c r="AH119" i="43"/>
  <c r="AI119" i="43"/>
  <c r="AO119" i="43" s="1"/>
  <c r="AH120" i="43"/>
  <c r="AI120" i="43"/>
  <c r="AH121" i="43"/>
  <c r="AI121" i="43"/>
  <c r="AH122" i="43"/>
  <c r="AI122" i="43"/>
  <c r="AH123" i="43"/>
  <c r="AI123" i="43"/>
  <c r="AS123" i="43" s="1"/>
  <c r="AH124" i="43"/>
  <c r="AI124" i="43"/>
  <c r="AH125" i="43"/>
  <c r="AI125" i="43"/>
  <c r="AI15" i="43"/>
  <c r="AH15" i="43"/>
  <c r="BL16" i="42"/>
  <c r="BM16" i="42"/>
  <c r="BL17" i="42"/>
  <c r="BM17" i="42"/>
  <c r="BL18" i="42"/>
  <c r="BM18" i="42"/>
  <c r="BL19" i="42"/>
  <c r="BM19" i="42"/>
  <c r="BM14" i="42" s="1"/>
  <c r="BL20" i="42"/>
  <c r="BM20" i="42"/>
  <c r="BL21" i="42"/>
  <c r="BM21" i="42"/>
  <c r="BL22" i="42"/>
  <c r="BM22" i="42"/>
  <c r="BL23" i="42"/>
  <c r="BM23" i="42"/>
  <c r="BL24" i="42"/>
  <c r="BM24" i="42"/>
  <c r="BL25" i="42"/>
  <c r="BM25" i="42"/>
  <c r="BL26" i="42"/>
  <c r="BM26" i="42"/>
  <c r="BL27" i="42"/>
  <c r="BM27" i="42"/>
  <c r="BS27" i="42" s="1"/>
  <c r="BW27" i="42" s="1"/>
  <c r="BL28" i="42"/>
  <c r="BM28" i="42"/>
  <c r="BL29" i="42"/>
  <c r="BM29" i="42"/>
  <c r="BL30" i="42"/>
  <c r="BM30" i="42"/>
  <c r="BL31" i="42"/>
  <c r="BM31" i="42"/>
  <c r="BS31" i="42" s="1"/>
  <c r="BW31" i="42" s="1"/>
  <c r="BL32" i="42"/>
  <c r="BM32" i="42"/>
  <c r="BL33" i="42"/>
  <c r="BM33" i="42"/>
  <c r="BL34" i="42"/>
  <c r="BM34" i="42"/>
  <c r="BL35" i="42"/>
  <c r="BM35" i="42"/>
  <c r="BS35" i="42" s="1"/>
  <c r="BW35" i="42" s="1"/>
  <c r="BL36" i="42"/>
  <c r="BM36" i="42"/>
  <c r="BL37" i="42"/>
  <c r="BM37" i="42"/>
  <c r="BL38" i="42"/>
  <c r="BM38" i="42"/>
  <c r="BL39" i="42"/>
  <c r="BM39" i="42"/>
  <c r="BL40" i="42"/>
  <c r="BM40" i="42"/>
  <c r="BL41" i="42"/>
  <c r="BM41" i="42"/>
  <c r="BL42" i="42"/>
  <c r="BM42" i="42"/>
  <c r="BL43" i="42"/>
  <c r="BM43" i="42"/>
  <c r="BL44" i="42"/>
  <c r="BM44" i="42"/>
  <c r="BL45" i="42"/>
  <c r="BM45" i="42"/>
  <c r="BL46" i="42"/>
  <c r="BM46" i="42"/>
  <c r="BL47" i="42"/>
  <c r="BM47" i="42"/>
  <c r="BL48" i="42"/>
  <c r="BM48" i="42"/>
  <c r="BL49" i="42"/>
  <c r="BM49" i="42"/>
  <c r="BL50" i="42"/>
  <c r="BM50" i="42"/>
  <c r="BL51" i="42"/>
  <c r="BM51" i="42"/>
  <c r="BL52" i="42"/>
  <c r="BM52" i="42"/>
  <c r="BL53" i="42"/>
  <c r="BM53" i="42"/>
  <c r="BL54" i="42"/>
  <c r="BM54" i="42"/>
  <c r="BL55" i="42"/>
  <c r="BM55" i="42"/>
  <c r="BS55" i="42" s="1"/>
  <c r="BW55" i="42" s="1"/>
  <c r="BL56" i="42"/>
  <c r="BM56" i="42"/>
  <c r="BL57" i="42"/>
  <c r="BM57" i="42"/>
  <c r="BL58" i="42"/>
  <c r="BM58" i="42"/>
  <c r="BL59" i="42"/>
  <c r="BM59" i="42"/>
  <c r="BS59" i="42" s="1"/>
  <c r="BW59" i="42" s="1"/>
  <c r="BL60" i="42"/>
  <c r="BM60" i="42"/>
  <c r="BL61" i="42"/>
  <c r="BM61" i="42"/>
  <c r="BL62" i="42"/>
  <c r="BM62" i="42"/>
  <c r="BL63" i="42"/>
  <c r="BM63" i="42"/>
  <c r="BL64" i="42"/>
  <c r="BM64" i="42"/>
  <c r="BL65" i="42"/>
  <c r="BM65" i="42"/>
  <c r="BL66" i="42"/>
  <c r="BM66" i="42"/>
  <c r="BL67" i="42"/>
  <c r="BM67" i="42"/>
  <c r="BL68" i="42"/>
  <c r="BM68" i="42"/>
  <c r="BL69" i="42"/>
  <c r="BM69" i="42"/>
  <c r="BL70" i="42"/>
  <c r="BM70" i="42"/>
  <c r="BL71" i="42"/>
  <c r="BM71" i="42"/>
  <c r="BS71" i="42" s="1"/>
  <c r="BW71" i="42" s="1"/>
  <c r="BL72" i="42"/>
  <c r="BM72" i="42"/>
  <c r="BL73" i="42"/>
  <c r="BM73" i="42"/>
  <c r="BL74" i="42"/>
  <c r="BM74" i="42"/>
  <c r="BL75" i="42"/>
  <c r="BM75" i="42"/>
  <c r="BL76" i="42"/>
  <c r="BM76" i="42"/>
  <c r="BL77" i="42"/>
  <c r="BM77" i="42"/>
  <c r="BL78" i="42"/>
  <c r="BM78" i="42"/>
  <c r="BL79" i="42"/>
  <c r="BM79" i="42"/>
  <c r="BL80" i="42"/>
  <c r="BM80" i="42"/>
  <c r="BL81" i="42"/>
  <c r="BM81" i="42"/>
  <c r="BL82" i="42"/>
  <c r="BM82" i="42"/>
  <c r="BL83" i="42"/>
  <c r="BM83" i="42"/>
  <c r="BL84" i="42"/>
  <c r="BM84" i="42"/>
  <c r="BL85" i="42"/>
  <c r="BM85" i="42"/>
  <c r="BL86" i="42"/>
  <c r="BM86" i="42"/>
  <c r="BL87" i="42"/>
  <c r="BM87" i="42"/>
  <c r="BL88" i="42"/>
  <c r="BM88" i="42"/>
  <c r="BL89" i="42"/>
  <c r="BM89" i="42"/>
  <c r="BL90" i="42"/>
  <c r="BM90" i="42"/>
  <c r="BL91" i="42"/>
  <c r="BM91" i="42"/>
  <c r="BL92" i="42"/>
  <c r="BM92" i="42"/>
  <c r="BL93" i="42"/>
  <c r="BM93" i="42"/>
  <c r="BL94" i="42"/>
  <c r="BM94" i="42"/>
  <c r="BL95" i="42"/>
  <c r="BM95" i="42"/>
  <c r="BL96" i="42"/>
  <c r="BM96" i="42"/>
  <c r="BL97" i="42"/>
  <c r="BM97" i="42"/>
  <c r="BL98" i="42"/>
  <c r="BM98" i="42"/>
  <c r="BL99" i="42"/>
  <c r="BM99" i="42"/>
  <c r="BL100" i="42"/>
  <c r="BM100" i="42"/>
  <c r="BL101" i="42"/>
  <c r="BM101" i="42"/>
  <c r="BL102" i="42"/>
  <c r="BM102" i="42"/>
  <c r="BL103" i="42"/>
  <c r="BM103" i="42"/>
  <c r="BL104" i="42"/>
  <c r="BM104" i="42"/>
  <c r="BL105" i="42"/>
  <c r="BM105" i="42"/>
  <c r="BL106" i="42"/>
  <c r="BM106" i="42"/>
  <c r="BL107" i="42"/>
  <c r="BM107" i="42"/>
  <c r="BS107" i="42" s="1"/>
  <c r="BW107" i="42" s="1"/>
  <c r="BL108" i="42"/>
  <c r="BM108" i="42"/>
  <c r="BL109" i="42"/>
  <c r="BM109" i="42"/>
  <c r="BL110" i="42"/>
  <c r="BM110" i="42"/>
  <c r="BL111" i="42"/>
  <c r="BM111" i="42"/>
  <c r="BL112" i="42"/>
  <c r="BM112" i="42"/>
  <c r="BL113" i="42"/>
  <c r="BM113" i="42"/>
  <c r="BL114" i="42"/>
  <c r="BM114" i="42"/>
  <c r="BL115" i="42"/>
  <c r="BM115" i="42"/>
  <c r="BW115" i="42" s="1"/>
  <c r="BL116" i="42"/>
  <c r="BM116" i="42"/>
  <c r="BL117" i="42"/>
  <c r="BM117" i="42"/>
  <c r="BL118" i="42"/>
  <c r="BM118" i="42"/>
  <c r="BL119" i="42"/>
  <c r="BM119" i="42"/>
  <c r="BW119" i="42" s="1"/>
  <c r="BL120" i="42"/>
  <c r="BM120" i="42"/>
  <c r="BL121" i="42"/>
  <c r="BM121" i="42"/>
  <c r="BL122" i="42"/>
  <c r="BM122" i="42"/>
  <c r="BL123" i="42"/>
  <c r="BM123" i="42"/>
  <c r="BW123" i="42" s="1"/>
  <c r="BL124" i="42"/>
  <c r="BM124" i="42"/>
  <c r="BL125" i="42"/>
  <c r="BM125" i="42"/>
  <c r="BM15" i="42"/>
  <c r="BL15" i="42"/>
  <c r="AW16" i="42"/>
  <c r="AX16" i="42"/>
  <c r="AW17" i="42"/>
  <c r="AX17" i="42"/>
  <c r="AW18" i="42"/>
  <c r="AX18" i="42"/>
  <c r="AW19" i="42"/>
  <c r="AX19" i="42"/>
  <c r="AX14" i="42" s="1"/>
  <c r="AW20" i="42"/>
  <c r="AX20" i="42"/>
  <c r="AW21" i="42"/>
  <c r="AX21" i="42"/>
  <c r="AW22" i="42"/>
  <c r="AX22" i="42"/>
  <c r="AW23" i="42"/>
  <c r="AX23" i="42"/>
  <c r="BD23" i="42" s="1"/>
  <c r="BH23" i="42" s="1"/>
  <c r="AW24" i="42"/>
  <c r="AX24" i="42"/>
  <c r="AW25" i="42"/>
  <c r="AX25" i="42"/>
  <c r="AW26" i="42"/>
  <c r="AX26" i="42"/>
  <c r="AW27" i="42"/>
  <c r="AX27" i="42"/>
  <c r="AW28" i="42"/>
  <c r="AX28" i="42"/>
  <c r="AW29" i="42"/>
  <c r="AX29" i="42"/>
  <c r="AW30" i="42"/>
  <c r="AX30" i="42"/>
  <c r="AW31" i="42"/>
  <c r="AX31" i="42"/>
  <c r="AW32" i="42"/>
  <c r="AX32" i="42"/>
  <c r="AW33" i="42"/>
  <c r="AX33" i="42"/>
  <c r="AW34" i="42"/>
  <c r="AX34" i="42"/>
  <c r="AW35" i="42"/>
  <c r="AX35" i="42"/>
  <c r="AW36" i="42"/>
  <c r="AX36" i="42"/>
  <c r="AW37" i="42"/>
  <c r="AX37" i="42"/>
  <c r="AW38" i="42"/>
  <c r="AX38" i="42"/>
  <c r="AW39" i="42"/>
  <c r="AX39" i="42"/>
  <c r="BD39" i="42" s="1"/>
  <c r="BH39" i="42" s="1"/>
  <c r="AW40" i="42"/>
  <c r="AX40" i="42"/>
  <c r="AW41" i="42"/>
  <c r="AX41" i="42"/>
  <c r="AW42" i="42"/>
  <c r="AX42" i="42"/>
  <c r="AW43" i="42"/>
  <c r="AX43" i="42"/>
  <c r="AW44" i="42"/>
  <c r="AX44" i="42"/>
  <c r="AW45" i="42"/>
  <c r="AX45" i="42"/>
  <c r="AW46" i="42"/>
  <c r="AX46" i="42"/>
  <c r="AW47" i="42"/>
  <c r="AX47" i="42"/>
  <c r="AW48" i="42"/>
  <c r="AX48" i="42"/>
  <c r="AW49" i="42"/>
  <c r="AX49" i="42"/>
  <c r="AW50" i="42"/>
  <c r="AX50" i="42"/>
  <c r="AW51" i="42"/>
  <c r="AX51" i="42"/>
  <c r="AW52" i="42"/>
  <c r="AX52" i="42"/>
  <c r="AW53" i="42"/>
  <c r="AX53" i="42"/>
  <c r="AW54" i="42"/>
  <c r="AX54" i="42"/>
  <c r="AW55" i="42"/>
  <c r="AX55" i="42"/>
  <c r="AW56" i="42"/>
  <c r="AX56" i="42"/>
  <c r="AW57" i="42"/>
  <c r="AX57" i="42"/>
  <c r="AW58" i="42"/>
  <c r="AX58" i="42"/>
  <c r="AW59" i="42"/>
  <c r="AX59" i="42"/>
  <c r="AW60" i="42"/>
  <c r="AX60" i="42"/>
  <c r="AW61" i="42"/>
  <c r="AX61" i="42"/>
  <c r="AW62" i="42"/>
  <c r="AX62" i="42"/>
  <c r="AW63" i="42"/>
  <c r="AX63" i="42"/>
  <c r="AW64" i="42"/>
  <c r="AX64" i="42"/>
  <c r="AW65" i="42"/>
  <c r="AX65" i="42"/>
  <c r="AW66" i="42"/>
  <c r="AX66" i="42"/>
  <c r="AW67" i="42"/>
  <c r="AX67" i="42"/>
  <c r="AW68" i="42"/>
  <c r="AX68" i="42"/>
  <c r="AW69" i="42"/>
  <c r="AX69" i="42"/>
  <c r="AW70" i="42"/>
  <c r="AX70" i="42"/>
  <c r="AW71" i="42"/>
  <c r="AX71" i="42"/>
  <c r="AW72" i="42"/>
  <c r="AX72" i="42"/>
  <c r="AW73" i="42"/>
  <c r="AX73" i="42"/>
  <c r="AW74" i="42"/>
  <c r="AX74" i="42"/>
  <c r="AW75" i="42"/>
  <c r="AX75" i="42"/>
  <c r="AW76" i="42"/>
  <c r="AX76" i="42"/>
  <c r="AW77" i="42"/>
  <c r="AX77" i="42"/>
  <c r="AW78" i="42"/>
  <c r="AX78" i="42"/>
  <c r="AW79" i="42"/>
  <c r="AX79" i="42"/>
  <c r="AW80" i="42"/>
  <c r="AX80" i="42"/>
  <c r="AW81" i="42"/>
  <c r="AX81" i="42"/>
  <c r="AW82" i="42"/>
  <c r="AX82" i="42"/>
  <c r="AW83" i="42"/>
  <c r="AX83" i="42"/>
  <c r="AW84" i="42"/>
  <c r="AX84" i="42"/>
  <c r="AW85" i="42"/>
  <c r="AX85" i="42"/>
  <c r="AW86" i="42"/>
  <c r="AX86" i="42"/>
  <c r="AW87" i="42"/>
  <c r="AX87" i="42"/>
  <c r="AW88" i="42"/>
  <c r="AX88" i="42"/>
  <c r="AW89" i="42"/>
  <c r="AX89" i="42"/>
  <c r="AW90" i="42"/>
  <c r="AX90" i="42"/>
  <c r="AW91" i="42"/>
  <c r="AX91" i="42"/>
  <c r="AW92" i="42"/>
  <c r="AX92" i="42"/>
  <c r="AW93" i="42"/>
  <c r="AX93" i="42"/>
  <c r="AW94" i="42"/>
  <c r="AX94" i="42"/>
  <c r="AW95" i="42"/>
  <c r="AX95" i="42"/>
  <c r="AW96" i="42"/>
  <c r="AX96" i="42"/>
  <c r="AW97" i="42"/>
  <c r="AX97" i="42"/>
  <c r="AW98" i="42"/>
  <c r="AX98" i="42"/>
  <c r="AW99" i="42"/>
  <c r="AX99" i="42"/>
  <c r="AW100" i="42"/>
  <c r="AX100" i="42"/>
  <c r="AW101" i="42"/>
  <c r="AX101" i="42"/>
  <c r="AW102" i="42"/>
  <c r="AX102" i="42"/>
  <c r="AW103" i="42"/>
  <c r="AX103" i="42"/>
  <c r="AW104" i="42"/>
  <c r="AX104" i="42"/>
  <c r="AW105" i="42"/>
  <c r="AX105" i="42"/>
  <c r="AW106" i="42"/>
  <c r="AX106" i="42"/>
  <c r="AW107" i="42"/>
  <c r="AX107" i="42"/>
  <c r="AW108" i="42"/>
  <c r="AX108" i="42"/>
  <c r="AW109" i="42"/>
  <c r="AX109" i="42"/>
  <c r="AW110" i="42"/>
  <c r="AX110" i="42"/>
  <c r="AW111" i="42"/>
  <c r="AX111" i="42"/>
  <c r="AW112" i="42"/>
  <c r="AX112" i="42"/>
  <c r="AW113" i="42"/>
  <c r="AX113" i="42"/>
  <c r="AW114" i="42"/>
  <c r="AX114" i="42"/>
  <c r="AW115" i="42"/>
  <c r="AX115" i="42"/>
  <c r="AW116" i="42"/>
  <c r="AX116" i="42"/>
  <c r="AW117" i="42"/>
  <c r="AX117" i="42"/>
  <c r="AW118" i="42"/>
  <c r="AX118" i="42"/>
  <c r="AW119" i="42"/>
  <c r="AX119" i="42"/>
  <c r="BH119" i="42" s="1"/>
  <c r="AW120" i="42"/>
  <c r="AX120" i="42"/>
  <c r="AW121" i="42"/>
  <c r="AX121" i="42"/>
  <c r="AW122" i="42"/>
  <c r="AX122" i="42"/>
  <c r="AW123" i="42"/>
  <c r="AX123" i="42"/>
  <c r="BH123" i="42" s="1"/>
  <c r="AW124" i="42"/>
  <c r="AX124" i="42"/>
  <c r="AW125" i="42"/>
  <c r="AX125" i="42"/>
  <c r="AX15" i="42"/>
  <c r="AW15" i="42"/>
  <c r="AH16" i="42"/>
  <c r="AI16" i="42"/>
  <c r="AH17" i="42"/>
  <c r="AI17" i="42"/>
  <c r="AH18" i="42"/>
  <c r="AI18" i="42"/>
  <c r="AH19" i="42"/>
  <c r="AI19" i="42"/>
  <c r="AS19" i="42" s="1"/>
  <c r="AH20" i="42"/>
  <c r="AI20" i="42"/>
  <c r="AH21" i="42"/>
  <c r="AI21" i="42"/>
  <c r="AH22" i="42"/>
  <c r="AI22" i="42"/>
  <c r="AH23" i="42"/>
  <c r="AI23" i="42"/>
  <c r="AO23" i="42" s="1"/>
  <c r="AS23" i="42" s="1"/>
  <c r="AH24" i="42"/>
  <c r="AI24" i="42"/>
  <c r="AH25" i="42"/>
  <c r="AI25" i="42"/>
  <c r="AH26" i="42"/>
  <c r="AI26" i="42"/>
  <c r="AH27" i="42"/>
  <c r="AI27" i="42"/>
  <c r="AH28" i="42"/>
  <c r="AI28" i="42"/>
  <c r="AH29" i="42"/>
  <c r="AI29" i="42"/>
  <c r="AH30" i="42"/>
  <c r="AI30" i="42"/>
  <c r="AH31" i="42"/>
  <c r="AI31" i="42"/>
  <c r="AH32" i="42"/>
  <c r="AI32" i="42"/>
  <c r="AH33" i="42"/>
  <c r="AI33" i="42"/>
  <c r="AH34" i="42"/>
  <c r="AI34" i="42"/>
  <c r="AH35" i="42"/>
  <c r="AI35" i="42"/>
  <c r="AH36" i="42"/>
  <c r="AI36" i="42"/>
  <c r="AH37" i="42"/>
  <c r="AI37" i="42"/>
  <c r="AH38" i="42"/>
  <c r="AI38" i="42"/>
  <c r="AH39" i="42"/>
  <c r="AI39" i="42"/>
  <c r="AH40" i="42"/>
  <c r="AI40" i="42"/>
  <c r="AH41" i="42"/>
  <c r="AI41" i="42"/>
  <c r="AH42" i="42"/>
  <c r="AI42" i="42"/>
  <c r="AH43" i="42"/>
  <c r="AI43" i="42"/>
  <c r="AH44" i="42"/>
  <c r="AI44" i="42"/>
  <c r="AH45" i="42"/>
  <c r="AI45" i="42"/>
  <c r="AH46" i="42"/>
  <c r="AI46" i="42"/>
  <c r="AH47" i="42"/>
  <c r="AI47" i="42"/>
  <c r="AH48" i="42"/>
  <c r="AI48" i="42"/>
  <c r="AH49" i="42"/>
  <c r="AI49" i="42"/>
  <c r="AH50" i="42"/>
  <c r="AI50" i="42"/>
  <c r="AH51" i="42"/>
  <c r="AI51" i="42"/>
  <c r="AH52" i="42"/>
  <c r="AI52" i="42"/>
  <c r="AH53" i="42"/>
  <c r="AI53" i="42"/>
  <c r="AH54" i="42"/>
  <c r="AI54" i="42"/>
  <c r="AH55" i="42"/>
  <c r="AI55" i="42"/>
  <c r="AH56" i="42"/>
  <c r="AI56" i="42"/>
  <c r="AH57" i="42"/>
  <c r="AI57" i="42"/>
  <c r="AH58" i="42"/>
  <c r="AI58" i="42"/>
  <c r="AH59" i="42"/>
  <c r="AI59" i="42"/>
  <c r="AH60" i="42"/>
  <c r="AI60" i="42"/>
  <c r="AH61" i="42"/>
  <c r="AI61" i="42"/>
  <c r="AH62" i="42"/>
  <c r="AI62" i="42"/>
  <c r="AH63" i="42"/>
  <c r="AI63" i="42"/>
  <c r="AH64" i="42"/>
  <c r="AI64" i="42"/>
  <c r="AH65" i="42"/>
  <c r="AI65" i="42"/>
  <c r="AH66" i="42"/>
  <c r="AI66" i="42"/>
  <c r="AH67" i="42"/>
  <c r="AI67" i="42"/>
  <c r="AH68" i="42"/>
  <c r="AI68" i="42"/>
  <c r="AH69" i="42"/>
  <c r="AI69" i="42"/>
  <c r="AH70" i="42"/>
  <c r="AI70" i="42"/>
  <c r="AH71" i="42"/>
  <c r="AI71" i="42"/>
  <c r="AO71" i="42" s="1"/>
  <c r="AS71" i="42" s="1"/>
  <c r="AH72" i="42"/>
  <c r="AI72" i="42"/>
  <c r="AH73" i="42"/>
  <c r="AI73" i="42"/>
  <c r="AH74" i="42"/>
  <c r="AI74" i="42"/>
  <c r="AH75" i="42"/>
  <c r="AI75" i="42"/>
  <c r="AO75" i="42" s="1"/>
  <c r="AS75" i="42" s="1"/>
  <c r="AH76" i="42"/>
  <c r="AI76" i="42"/>
  <c r="AH77" i="42"/>
  <c r="AI77" i="42"/>
  <c r="AH78" i="42"/>
  <c r="AI78" i="42"/>
  <c r="AH79" i="42"/>
  <c r="AI79" i="42"/>
  <c r="AH80" i="42"/>
  <c r="AI80" i="42"/>
  <c r="AH81" i="42"/>
  <c r="AI81" i="42"/>
  <c r="AH82" i="42"/>
  <c r="AI82" i="42"/>
  <c r="AH83" i="42"/>
  <c r="AI83" i="42"/>
  <c r="AH84" i="42"/>
  <c r="AI84" i="42"/>
  <c r="AH85" i="42"/>
  <c r="AI85" i="42"/>
  <c r="AH86" i="42"/>
  <c r="AI86" i="42"/>
  <c r="AH87" i="42"/>
  <c r="AI87" i="42"/>
  <c r="AH88" i="42"/>
  <c r="AI88" i="42"/>
  <c r="AH89" i="42"/>
  <c r="AI89" i="42"/>
  <c r="AH90" i="42"/>
  <c r="AI90" i="42"/>
  <c r="AH91" i="42"/>
  <c r="AI91" i="42"/>
  <c r="AO91" i="42" s="1"/>
  <c r="AS91" i="42" s="1"/>
  <c r="AH92" i="42"/>
  <c r="AI92" i="42"/>
  <c r="AH93" i="42"/>
  <c r="AI93" i="42"/>
  <c r="AH94" i="42"/>
  <c r="AI94" i="42"/>
  <c r="AH95" i="42"/>
  <c r="AI95" i="42"/>
  <c r="AH96" i="42"/>
  <c r="AI96" i="42"/>
  <c r="AH97" i="42"/>
  <c r="AI97" i="42"/>
  <c r="AH98" i="42"/>
  <c r="AI98" i="42"/>
  <c r="AH99" i="42"/>
  <c r="AI99" i="42"/>
  <c r="AO99" i="42" s="1"/>
  <c r="AS99" i="42" s="1"/>
  <c r="AH100" i="42"/>
  <c r="AI100" i="42"/>
  <c r="AH101" i="42"/>
  <c r="AI101" i="42"/>
  <c r="AH102" i="42"/>
  <c r="AI102" i="42"/>
  <c r="AH103" i="42"/>
  <c r="AI103" i="42"/>
  <c r="AO103" i="42" s="1"/>
  <c r="AS103" i="42" s="1"/>
  <c r="AH104" i="42"/>
  <c r="AI104" i="42"/>
  <c r="AH105" i="42"/>
  <c r="AI105" i="42"/>
  <c r="AH106" i="42"/>
  <c r="AI106" i="42"/>
  <c r="AH107" i="42"/>
  <c r="AI107" i="42"/>
  <c r="AH108" i="42"/>
  <c r="AI108" i="42"/>
  <c r="AH109" i="42"/>
  <c r="AI109" i="42"/>
  <c r="AH110" i="42"/>
  <c r="AI110" i="42"/>
  <c r="AH111" i="42"/>
  <c r="AI111" i="42"/>
  <c r="AH112" i="42"/>
  <c r="AI112" i="42"/>
  <c r="AH113" i="42"/>
  <c r="AI113" i="42"/>
  <c r="AH114" i="42"/>
  <c r="AI114" i="42"/>
  <c r="AH115" i="42"/>
  <c r="AI115" i="42"/>
  <c r="AH116" i="42"/>
  <c r="AI116" i="42"/>
  <c r="AH117" i="42"/>
  <c r="AI117" i="42"/>
  <c r="AH118" i="42"/>
  <c r="AI118" i="42"/>
  <c r="AH119" i="42"/>
  <c r="AI119" i="42"/>
  <c r="AS119" i="42" s="1"/>
  <c r="AH120" i="42"/>
  <c r="AI120" i="42"/>
  <c r="AH121" i="42"/>
  <c r="AI121" i="42"/>
  <c r="AH122" i="42"/>
  <c r="AI122" i="42"/>
  <c r="AH123" i="42"/>
  <c r="AI123" i="42"/>
  <c r="AS123" i="42" s="1"/>
  <c r="AH124" i="42"/>
  <c r="AI124" i="42"/>
  <c r="AH125" i="42"/>
  <c r="AI125" i="42"/>
  <c r="AI15" i="42"/>
  <c r="AH15" i="42"/>
  <c r="BL16" i="41"/>
  <c r="BM16" i="41"/>
  <c r="BL17" i="41"/>
  <c r="BM17" i="41"/>
  <c r="BL18" i="41"/>
  <c r="BM18" i="41"/>
  <c r="BL19" i="41"/>
  <c r="BM19" i="41"/>
  <c r="BS19" i="41" s="1"/>
  <c r="BW19" i="41" s="1"/>
  <c r="BL20" i="41"/>
  <c r="BM20" i="41"/>
  <c r="BL21" i="41"/>
  <c r="BM21" i="41"/>
  <c r="BL22" i="41"/>
  <c r="BM22" i="41"/>
  <c r="BL23" i="41"/>
  <c r="BM23" i="41"/>
  <c r="BL24" i="41"/>
  <c r="BM24" i="41"/>
  <c r="BL25" i="41"/>
  <c r="BM25" i="41"/>
  <c r="BL26" i="41"/>
  <c r="BM26" i="41"/>
  <c r="BL27" i="41"/>
  <c r="BM27" i="41"/>
  <c r="BS27" i="41" s="1"/>
  <c r="BW27" i="41" s="1"/>
  <c r="BL28" i="41"/>
  <c r="BM28" i="41"/>
  <c r="BL29" i="41"/>
  <c r="BM29" i="41"/>
  <c r="BL30" i="41"/>
  <c r="BM30" i="41"/>
  <c r="BL31" i="41"/>
  <c r="BM31" i="41"/>
  <c r="BL32" i="41"/>
  <c r="BM32" i="41"/>
  <c r="BL33" i="41"/>
  <c r="BM33" i="41"/>
  <c r="BL34" i="41"/>
  <c r="BM34" i="41"/>
  <c r="BL35" i="41"/>
  <c r="BM35" i="41"/>
  <c r="BL36" i="41"/>
  <c r="BM36" i="41"/>
  <c r="BL37" i="41"/>
  <c r="BM37" i="41"/>
  <c r="BL38" i="41"/>
  <c r="BM38" i="41"/>
  <c r="BL39" i="41"/>
  <c r="BM39" i="41"/>
  <c r="BL40" i="41"/>
  <c r="BM40" i="41"/>
  <c r="BL41" i="41"/>
  <c r="BM41" i="41"/>
  <c r="BL42" i="41"/>
  <c r="BM42" i="41"/>
  <c r="BL43" i="41"/>
  <c r="BM43" i="41"/>
  <c r="BL44" i="41"/>
  <c r="BM44" i="41"/>
  <c r="BL45" i="41"/>
  <c r="BM45" i="41"/>
  <c r="BL46" i="41"/>
  <c r="BM46" i="41"/>
  <c r="BL47" i="41"/>
  <c r="BM47" i="41"/>
  <c r="BL48" i="41"/>
  <c r="BM48" i="41"/>
  <c r="BL49" i="41"/>
  <c r="BM49" i="41"/>
  <c r="BL50" i="41"/>
  <c r="BM50" i="41"/>
  <c r="BL51" i="41"/>
  <c r="BM51" i="41"/>
  <c r="BL52" i="41"/>
  <c r="BM52" i="41"/>
  <c r="BL53" i="41"/>
  <c r="BM53" i="41"/>
  <c r="BL54" i="41"/>
  <c r="BM54" i="41"/>
  <c r="BL55" i="41"/>
  <c r="BM55" i="41"/>
  <c r="BL56" i="41"/>
  <c r="BM56" i="41"/>
  <c r="BL57" i="41"/>
  <c r="BM57" i="41"/>
  <c r="BL58" i="41"/>
  <c r="BM58" i="41"/>
  <c r="BL59" i="41"/>
  <c r="BM59" i="41"/>
  <c r="BL60" i="41"/>
  <c r="BM60" i="41"/>
  <c r="BL61" i="41"/>
  <c r="BM61" i="41"/>
  <c r="BL62" i="41"/>
  <c r="BM62" i="41"/>
  <c r="BL63" i="41"/>
  <c r="BM63" i="41"/>
  <c r="BL64" i="41"/>
  <c r="BM64" i="41"/>
  <c r="BL65" i="41"/>
  <c r="BM65" i="41"/>
  <c r="BL66" i="41"/>
  <c r="BM66" i="41"/>
  <c r="BL67" i="41"/>
  <c r="BM67" i="41"/>
  <c r="BL68" i="41"/>
  <c r="BM68" i="41"/>
  <c r="BL69" i="41"/>
  <c r="BM69" i="41"/>
  <c r="BL70" i="41"/>
  <c r="BM70" i="41"/>
  <c r="BL71" i="41"/>
  <c r="BM71" i="41"/>
  <c r="BL72" i="41"/>
  <c r="BM72" i="41"/>
  <c r="BL73" i="41"/>
  <c r="BM73" i="41"/>
  <c r="BL74" i="41"/>
  <c r="BM74" i="41"/>
  <c r="BL75" i="41"/>
  <c r="BM75" i="41"/>
  <c r="BL76" i="41"/>
  <c r="BM76" i="41"/>
  <c r="BL77" i="41"/>
  <c r="BM77" i="41"/>
  <c r="BL78" i="41"/>
  <c r="BM78" i="41"/>
  <c r="BL79" i="41"/>
  <c r="BM79" i="41"/>
  <c r="BL80" i="41"/>
  <c r="BM80" i="41"/>
  <c r="BL81" i="41"/>
  <c r="BM81" i="41"/>
  <c r="BL82" i="41"/>
  <c r="BM82" i="41"/>
  <c r="BL83" i="41"/>
  <c r="BM83" i="41"/>
  <c r="BL84" i="41"/>
  <c r="BM84" i="41"/>
  <c r="BL85" i="41"/>
  <c r="BM85" i="41"/>
  <c r="BL86" i="41"/>
  <c r="BM86" i="41"/>
  <c r="BL87" i="41"/>
  <c r="BM87" i="41"/>
  <c r="BL88" i="41"/>
  <c r="BM88" i="41"/>
  <c r="BL89" i="41"/>
  <c r="BM89" i="41"/>
  <c r="BL90" i="41"/>
  <c r="BM90" i="41"/>
  <c r="BL91" i="41"/>
  <c r="BM91" i="41"/>
  <c r="BL92" i="41"/>
  <c r="BM92" i="41"/>
  <c r="BL93" i="41"/>
  <c r="BM93" i="41"/>
  <c r="BL94" i="41"/>
  <c r="BM94" i="41"/>
  <c r="BL95" i="41"/>
  <c r="BM95" i="41"/>
  <c r="BL96" i="41"/>
  <c r="BM96" i="41"/>
  <c r="BL97" i="41"/>
  <c r="BM97" i="41"/>
  <c r="BL98" i="41"/>
  <c r="BM98" i="41"/>
  <c r="BL99" i="41"/>
  <c r="BM99" i="41"/>
  <c r="BL100" i="41"/>
  <c r="BM100" i="41"/>
  <c r="BL101" i="41"/>
  <c r="BM101" i="41"/>
  <c r="BL102" i="41"/>
  <c r="BM102" i="41"/>
  <c r="BL103" i="41"/>
  <c r="BM103" i="41"/>
  <c r="BL104" i="41"/>
  <c r="BM104" i="41"/>
  <c r="BL105" i="41"/>
  <c r="BM105" i="41"/>
  <c r="BL106" i="41"/>
  <c r="BM106" i="41"/>
  <c r="BL107" i="41"/>
  <c r="BM107" i="41"/>
  <c r="BL108" i="41"/>
  <c r="BM108" i="41"/>
  <c r="BL109" i="41"/>
  <c r="BM109" i="41"/>
  <c r="BL110" i="41"/>
  <c r="BM110" i="41"/>
  <c r="BL111" i="41"/>
  <c r="BM111" i="41"/>
  <c r="BL112" i="41"/>
  <c r="BM112" i="41"/>
  <c r="BL113" i="41"/>
  <c r="BM113" i="41"/>
  <c r="BL114" i="41"/>
  <c r="BM114" i="41"/>
  <c r="BL115" i="41"/>
  <c r="BM115" i="41"/>
  <c r="BL116" i="41"/>
  <c r="BM116" i="41"/>
  <c r="BL117" i="41"/>
  <c r="BM117" i="41"/>
  <c r="BL118" i="41"/>
  <c r="BM118" i="41"/>
  <c r="BL119" i="41"/>
  <c r="BM119" i="41"/>
  <c r="BW119" i="41" s="1"/>
  <c r="BL120" i="41"/>
  <c r="BM120" i="41"/>
  <c r="BL121" i="41"/>
  <c r="BM121" i="41"/>
  <c r="BL122" i="41"/>
  <c r="BM122" i="41"/>
  <c r="BL123" i="41"/>
  <c r="BM123" i="41"/>
  <c r="BW123" i="41" s="1"/>
  <c r="BL124" i="41"/>
  <c r="BM124" i="41"/>
  <c r="BL125" i="41"/>
  <c r="BM125" i="41"/>
  <c r="BM15" i="41"/>
  <c r="BL15" i="41"/>
  <c r="AW16" i="41"/>
  <c r="AX16" i="41"/>
  <c r="AW17" i="41"/>
  <c r="AX17" i="41"/>
  <c r="AW18" i="41"/>
  <c r="AX18" i="41"/>
  <c r="AW19" i="41"/>
  <c r="AX19" i="41"/>
  <c r="AW20" i="41"/>
  <c r="AX20" i="41"/>
  <c r="AW21" i="41"/>
  <c r="AX21" i="41"/>
  <c r="AW22" i="41"/>
  <c r="AX22" i="41"/>
  <c r="AW23" i="41"/>
  <c r="AX23" i="41"/>
  <c r="AW24" i="41"/>
  <c r="AX24" i="41"/>
  <c r="AW25" i="41"/>
  <c r="AX25" i="41"/>
  <c r="AW26" i="41"/>
  <c r="AX26" i="41"/>
  <c r="AW27" i="41"/>
  <c r="AX27" i="41"/>
  <c r="AW28" i="41"/>
  <c r="AX28" i="41"/>
  <c r="AW29" i="41"/>
  <c r="AX29" i="41"/>
  <c r="AW30" i="41"/>
  <c r="AX30" i="41"/>
  <c r="AW31" i="41"/>
  <c r="AX31" i="41"/>
  <c r="AW32" i="41"/>
  <c r="AX32" i="41"/>
  <c r="AW33" i="41"/>
  <c r="AX33" i="41"/>
  <c r="AW34" i="41"/>
  <c r="AX34" i="41"/>
  <c r="AW35" i="41"/>
  <c r="BC35" i="41" s="1"/>
  <c r="BG35" i="41" s="1"/>
  <c r="AX35" i="41"/>
  <c r="AW36" i="41"/>
  <c r="AX36" i="41"/>
  <c r="AW37" i="41"/>
  <c r="AX37" i="41"/>
  <c r="AW38" i="41"/>
  <c r="AX38" i="41"/>
  <c r="AW39" i="41"/>
  <c r="BC39" i="41" s="1"/>
  <c r="BG39" i="41" s="1"/>
  <c r="AX39" i="41"/>
  <c r="AW40" i="41"/>
  <c r="AX40" i="41"/>
  <c r="AW41" i="41"/>
  <c r="AX41" i="41"/>
  <c r="AW42" i="41"/>
  <c r="AX42" i="41"/>
  <c r="AW43" i="41"/>
  <c r="AX43" i="41"/>
  <c r="AW44" i="41"/>
  <c r="AX44" i="41"/>
  <c r="AW45" i="41"/>
  <c r="AX45" i="41"/>
  <c r="AW46" i="41"/>
  <c r="AX46" i="41"/>
  <c r="AW47" i="41"/>
  <c r="AX47" i="41"/>
  <c r="AW48" i="41"/>
  <c r="AX48" i="41"/>
  <c r="AW49" i="41"/>
  <c r="AX49" i="41"/>
  <c r="AW50" i="41"/>
  <c r="AX50" i="41"/>
  <c r="AW51" i="41"/>
  <c r="AX51" i="41"/>
  <c r="AW52" i="41"/>
  <c r="AX52" i="41"/>
  <c r="AW53" i="41"/>
  <c r="AX53" i="41"/>
  <c r="AW54" i="41"/>
  <c r="AX54" i="41"/>
  <c r="AW55" i="41"/>
  <c r="AX55" i="41"/>
  <c r="AW56" i="41"/>
  <c r="AX56" i="41"/>
  <c r="AW57" i="41"/>
  <c r="AX57" i="41"/>
  <c r="AW58" i="41"/>
  <c r="AX58" i="41"/>
  <c r="AW59" i="41"/>
  <c r="AX59" i="41"/>
  <c r="AW60" i="41"/>
  <c r="AX60" i="41"/>
  <c r="AW61" i="41"/>
  <c r="AX61" i="41"/>
  <c r="AW62" i="41"/>
  <c r="AX62" i="41"/>
  <c r="AW63" i="41"/>
  <c r="AX63" i="41"/>
  <c r="AW64" i="41"/>
  <c r="AX64" i="41"/>
  <c r="AW65" i="41"/>
  <c r="AX65" i="41"/>
  <c r="AW66" i="41"/>
  <c r="AX66" i="41"/>
  <c r="AW67" i="41"/>
  <c r="AX67" i="41"/>
  <c r="AW68" i="41"/>
  <c r="AX68" i="41"/>
  <c r="AW69" i="41"/>
  <c r="AX69" i="41"/>
  <c r="AW70" i="41"/>
  <c r="AX70" i="41"/>
  <c r="AW71" i="41"/>
  <c r="AX71" i="41"/>
  <c r="AW72" i="41"/>
  <c r="AX72" i="41"/>
  <c r="AW73" i="41"/>
  <c r="AX73" i="41"/>
  <c r="AW74" i="41"/>
  <c r="AX74" i="41"/>
  <c r="AW75" i="41"/>
  <c r="AX75" i="41"/>
  <c r="AW76" i="41"/>
  <c r="AX76" i="41"/>
  <c r="AW77" i="41"/>
  <c r="AX77" i="41"/>
  <c r="AW78" i="41"/>
  <c r="AX78" i="41"/>
  <c r="AW79" i="41"/>
  <c r="AX79" i="41"/>
  <c r="AW80" i="41"/>
  <c r="AX80" i="41"/>
  <c r="AW81" i="41"/>
  <c r="AX81" i="41"/>
  <c r="AW82" i="41"/>
  <c r="AX82" i="41"/>
  <c r="AW83" i="41"/>
  <c r="AX83" i="41"/>
  <c r="AW84" i="41"/>
  <c r="AX84" i="41"/>
  <c r="AW85" i="41"/>
  <c r="AX85" i="41"/>
  <c r="AW86" i="41"/>
  <c r="AX86" i="41"/>
  <c r="AW87" i="41"/>
  <c r="AX87" i="41"/>
  <c r="AW88" i="41"/>
  <c r="AX88" i="41"/>
  <c r="AW89" i="41"/>
  <c r="AX89" i="41"/>
  <c r="AW90" i="41"/>
  <c r="AX90" i="41"/>
  <c r="AW91" i="41"/>
  <c r="AX91" i="41"/>
  <c r="AW92" i="41"/>
  <c r="AX92" i="41"/>
  <c r="AW93" i="41"/>
  <c r="AX93" i="41"/>
  <c r="AW94" i="41"/>
  <c r="AX94" i="41"/>
  <c r="AW95" i="41"/>
  <c r="AX95" i="41"/>
  <c r="AW96" i="41"/>
  <c r="AX96" i="41"/>
  <c r="AW97" i="41"/>
  <c r="AX97" i="41"/>
  <c r="AW98" i="41"/>
  <c r="AX98" i="41"/>
  <c r="AW99" i="41"/>
  <c r="AX99" i="41"/>
  <c r="AW100" i="41"/>
  <c r="AX100" i="41"/>
  <c r="AW101" i="41"/>
  <c r="AX101" i="41"/>
  <c r="AW102" i="41"/>
  <c r="AX102" i="41"/>
  <c r="AW103" i="41"/>
  <c r="AX103" i="41"/>
  <c r="AW104" i="41"/>
  <c r="AX104" i="41"/>
  <c r="AW105" i="41"/>
  <c r="AX105" i="41"/>
  <c r="AW106" i="41"/>
  <c r="AX106" i="41"/>
  <c r="AW107" i="41"/>
  <c r="AX107" i="41"/>
  <c r="AW108" i="41"/>
  <c r="AX108" i="41"/>
  <c r="AW109" i="41"/>
  <c r="AX109" i="41"/>
  <c r="AW110" i="41"/>
  <c r="AX110" i="41"/>
  <c r="AW111" i="41"/>
  <c r="AX111" i="41"/>
  <c r="AW112" i="41"/>
  <c r="AX112" i="41"/>
  <c r="AW113" i="41"/>
  <c r="AX113" i="41"/>
  <c r="AW114" i="41"/>
  <c r="AX114" i="41"/>
  <c r="AW115" i="41"/>
  <c r="AX115" i="41"/>
  <c r="AW116" i="41"/>
  <c r="AX116" i="41"/>
  <c r="AW117" i="41"/>
  <c r="AX117" i="41"/>
  <c r="AW118" i="41"/>
  <c r="AX118" i="41"/>
  <c r="AW119" i="41"/>
  <c r="BG119" i="41" s="1"/>
  <c r="AX119" i="41"/>
  <c r="BD119" i="41" s="1"/>
  <c r="AW120" i="41"/>
  <c r="AX120" i="41"/>
  <c r="AW121" i="41"/>
  <c r="AX121" i="41"/>
  <c r="AW122" i="41"/>
  <c r="AX122" i="41"/>
  <c r="AW123" i="41"/>
  <c r="BG123" i="41" s="1"/>
  <c r="AX123" i="41"/>
  <c r="BD123" i="41" s="1"/>
  <c r="AW124" i="41"/>
  <c r="AX124" i="41"/>
  <c r="AW125" i="41"/>
  <c r="AX125" i="41"/>
  <c r="AX15" i="41"/>
  <c r="AW15" i="41"/>
  <c r="AH16" i="41"/>
  <c r="AI16" i="41"/>
  <c r="AH17" i="41"/>
  <c r="AI17" i="41"/>
  <c r="AH18" i="41"/>
  <c r="AI18" i="41"/>
  <c r="AH19" i="41"/>
  <c r="AR19" i="41" s="1"/>
  <c r="AI19" i="41"/>
  <c r="AH20" i="41"/>
  <c r="AI20" i="41"/>
  <c r="AH21" i="41"/>
  <c r="AI21" i="41"/>
  <c r="AH22" i="41"/>
  <c r="AI22" i="41"/>
  <c r="AH23" i="41"/>
  <c r="AI23" i="41"/>
  <c r="AH24" i="41"/>
  <c r="AI24" i="41"/>
  <c r="AH25" i="41"/>
  <c r="AI25" i="41"/>
  <c r="AH26" i="41"/>
  <c r="AI26" i="41"/>
  <c r="AH27" i="41"/>
  <c r="AN27" i="41" s="1"/>
  <c r="AR27" i="41" s="1"/>
  <c r="AI27" i="41"/>
  <c r="AH28" i="41"/>
  <c r="AI28" i="41"/>
  <c r="AH29" i="41"/>
  <c r="AI29" i="41"/>
  <c r="AH30" i="41"/>
  <c r="AI30" i="41"/>
  <c r="AH31" i="41"/>
  <c r="AI31" i="41"/>
  <c r="AH32" i="41"/>
  <c r="AI32" i="41"/>
  <c r="AH33" i="41"/>
  <c r="AI33" i="41"/>
  <c r="AH34" i="41"/>
  <c r="AI34" i="41"/>
  <c r="AH35" i="41"/>
  <c r="AI35" i="41"/>
  <c r="AH36" i="41"/>
  <c r="AI36" i="41"/>
  <c r="AH37" i="41"/>
  <c r="AI37" i="41"/>
  <c r="AH38" i="41"/>
  <c r="AI38" i="41"/>
  <c r="AH39" i="41"/>
  <c r="AI39" i="41"/>
  <c r="AH40" i="41"/>
  <c r="AI40" i="41"/>
  <c r="AH41" i="41"/>
  <c r="AI41" i="41"/>
  <c r="AH42" i="41"/>
  <c r="AI42" i="41"/>
  <c r="AH43" i="41"/>
  <c r="AI43" i="41"/>
  <c r="AH44" i="41"/>
  <c r="AI44" i="41"/>
  <c r="AH45" i="41"/>
  <c r="AI45" i="41"/>
  <c r="AH46" i="41"/>
  <c r="AI46" i="41"/>
  <c r="AH47" i="41"/>
  <c r="AI47" i="41"/>
  <c r="AH48" i="41"/>
  <c r="AI48" i="41"/>
  <c r="AH49" i="41"/>
  <c r="AI49" i="41"/>
  <c r="AH50" i="41"/>
  <c r="AI50" i="41"/>
  <c r="AH51" i="41"/>
  <c r="AI51" i="41"/>
  <c r="AH52" i="41"/>
  <c r="AI52" i="41"/>
  <c r="AH53" i="41"/>
  <c r="AI53" i="41"/>
  <c r="AH54" i="41"/>
  <c r="AI54" i="41"/>
  <c r="AH55" i="41"/>
  <c r="AI55" i="41"/>
  <c r="AH56" i="41"/>
  <c r="AI56" i="41"/>
  <c r="AH57" i="41"/>
  <c r="AI57" i="41"/>
  <c r="AH58" i="41"/>
  <c r="AI58" i="41"/>
  <c r="AH59" i="41"/>
  <c r="AI59" i="41"/>
  <c r="AH60" i="41"/>
  <c r="AI60" i="41"/>
  <c r="AH61" i="41"/>
  <c r="AI61" i="41"/>
  <c r="AH62" i="41"/>
  <c r="AI62" i="41"/>
  <c r="AH63" i="41"/>
  <c r="AI63" i="41"/>
  <c r="AH64" i="41"/>
  <c r="AI64" i="41"/>
  <c r="AH65" i="41"/>
  <c r="AI65" i="41"/>
  <c r="AH66" i="41"/>
  <c r="AI66" i="41"/>
  <c r="AH67" i="41"/>
  <c r="AI67" i="41"/>
  <c r="AH68" i="41"/>
  <c r="AI68" i="41"/>
  <c r="AH69" i="41"/>
  <c r="AI69" i="41"/>
  <c r="AH70" i="41"/>
  <c r="AI70" i="41"/>
  <c r="AH71" i="41"/>
  <c r="AN71" i="41" s="1"/>
  <c r="AR71" i="41" s="1"/>
  <c r="AI71" i="41"/>
  <c r="AH72" i="41"/>
  <c r="AI72" i="41"/>
  <c r="AH73" i="41"/>
  <c r="AI73" i="41"/>
  <c r="AH74" i="41"/>
  <c r="AI74" i="41"/>
  <c r="AH75" i="41"/>
  <c r="AI75" i="41"/>
  <c r="AH76" i="41"/>
  <c r="AI76" i="41"/>
  <c r="AH77" i="41"/>
  <c r="AI77" i="41"/>
  <c r="AH78" i="41"/>
  <c r="AI78" i="41"/>
  <c r="AH79" i="41"/>
  <c r="AI79" i="41"/>
  <c r="AH80" i="41"/>
  <c r="AI80" i="41"/>
  <c r="AH81" i="41"/>
  <c r="AI81" i="41"/>
  <c r="AH82" i="41"/>
  <c r="AI82" i="41"/>
  <c r="AH83" i="41"/>
  <c r="AI83" i="41"/>
  <c r="AH84" i="41"/>
  <c r="AI84" i="41"/>
  <c r="AH85" i="41"/>
  <c r="AI85" i="41"/>
  <c r="AH86" i="41"/>
  <c r="AI86" i="41"/>
  <c r="AH87" i="41"/>
  <c r="AI87" i="41"/>
  <c r="AH88" i="41"/>
  <c r="AI88" i="41"/>
  <c r="AH89" i="41"/>
  <c r="AI89" i="41"/>
  <c r="AH90" i="41"/>
  <c r="AI90" i="41"/>
  <c r="AH91" i="41"/>
  <c r="AI91" i="41"/>
  <c r="AH92" i="41"/>
  <c r="AI92" i="41"/>
  <c r="AH93" i="41"/>
  <c r="AI93" i="41"/>
  <c r="AH94" i="41"/>
  <c r="AI94" i="41"/>
  <c r="AH95" i="41"/>
  <c r="AI95" i="41"/>
  <c r="AH96" i="41"/>
  <c r="AI96" i="41"/>
  <c r="AH97" i="41"/>
  <c r="AI97" i="41"/>
  <c r="AH98" i="41"/>
  <c r="AI98" i="41"/>
  <c r="AH99" i="41"/>
  <c r="AI99" i="41"/>
  <c r="AH100" i="41"/>
  <c r="AI100" i="41"/>
  <c r="AH101" i="41"/>
  <c r="AI101" i="41"/>
  <c r="AH102" i="41"/>
  <c r="AI102" i="41"/>
  <c r="AH103" i="41"/>
  <c r="AI103" i="41"/>
  <c r="AH104" i="41"/>
  <c r="AI104" i="41"/>
  <c r="AH105" i="41"/>
  <c r="AI105" i="41"/>
  <c r="AH106" i="41"/>
  <c r="AI106" i="41"/>
  <c r="AH107" i="41"/>
  <c r="AI107" i="41"/>
  <c r="AH108" i="41"/>
  <c r="AI108" i="41"/>
  <c r="AH109" i="41"/>
  <c r="AI109" i="41"/>
  <c r="AH110" i="41"/>
  <c r="AI110" i="41"/>
  <c r="AH111" i="41"/>
  <c r="AI111" i="41"/>
  <c r="AH112" i="41"/>
  <c r="AI112" i="41"/>
  <c r="AH113" i="41"/>
  <c r="AI113" i="41"/>
  <c r="AH114" i="41"/>
  <c r="AI114" i="41"/>
  <c r="AH115" i="41"/>
  <c r="AI115" i="41"/>
  <c r="AH116" i="41"/>
  <c r="AI116" i="41"/>
  <c r="AO116" i="41" s="1"/>
  <c r="AH117" i="41"/>
  <c r="AI117" i="41"/>
  <c r="AH118" i="41"/>
  <c r="AI118" i="41"/>
  <c r="AH119" i="41"/>
  <c r="AN119" i="41" s="1"/>
  <c r="AI119" i="41"/>
  <c r="AH120" i="41"/>
  <c r="AI120" i="41"/>
  <c r="AS120" i="41" s="1"/>
  <c r="AH121" i="41"/>
  <c r="AI121" i="41"/>
  <c r="AH122" i="41"/>
  <c r="AI122" i="41"/>
  <c r="AH123" i="41"/>
  <c r="AR123" i="41" s="1"/>
  <c r="AI123" i="41"/>
  <c r="AH124" i="41"/>
  <c r="AI124" i="41"/>
  <c r="AS124" i="41" s="1"/>
  <c r="AH125" i="41"/>
  <c r="AI125" i="41"/>
  <c r="AI15" i="41"/>
  <c r="AH15" i="41"/>
  <c r="BL16" i="40"/>
  <c r="BM16" i="40"/>
  <c r="BL17" i="40"/>
  <c r="BM17" i="40"/>
  <c r="BL18" i="40"/>
  <c r="BM18" i="40"/>
  <c r="BL19" i="40"/>
  <c r="BM19" i="40"/>
  <c r="BM14" i="40" s="1"/>
  <c r="BL20" i="40"/>
  <c r="BM20" i="40"/>
  <c r="BL21" i="40"/>
  <c r="BM21" i="40"/>
  <c r="BL22" i="40"/>
  <c r="BM22" i="40"/>
  <c r="BL23" i="40"/>
  <c r="BM23" i="40"/>
  <c r="BL24" i="40"/>
  <c r="BM24" i="40"/>
  <c r="BL25" i="40"/>
  <c r="BM25" i="40"/>
  <c r="BL26" i="40"/>
  <c r="BM26" i="40"/>
  <c r="BL27" i="40"/>
  <c r="BM27" i="40"/>
  <c r="BL28" i="40"/>
  <c r="BM28" i="40"/>
  <c r="BL29" i="40"/>
  <c r="BM29" i="40"/>
  <c r="BL30" i="40"/>
  <c r="BM30" i="40"/>
  <c r="BL31" i="40"/>
  <c r="BM31" i="40"/>
  <c r="BL32" i="40"/>
  <c r="BM32" i="40"/>
  <c r="BL33" i="40"/>
  <c r="BM33" i="40"/>
  <c r="BL34" i="40"/>
  <c r="BM34" i="40"/>
  <c r="BL35" i="40"/>
  <c r="BM35" i="40"/>
  <c r="BL36" i="40"/>
  <c r="BM36" i="40"/>
  <c r="BL37" i="40"/>
  <c r="BM37" i="40"/>
  <c r="BL38" i="40"/>
  <c r="BM38" i="40"/>
  <c r="BL39" i="40"/>
  <c r="BM39" i="40"/>
  <c r="BL40" i="40"/>
  <c r="BM40" i="40"/>
  <c r="BL41" i="40"/>
  <c r="BM41" i="40"/>
  <c r="BL42" i="40"/>
  <c r="BM42" i="40"/>
  <c r="BL43" i="40"/>
  <c r="BM43" i="40"/>
  <c r="BL44" i="40"/>
  <c r="BM44" i="40"/>
  <c r="BL45" i="40"/>
  <c r="BM45" i="40"/>
  <c r="BL46" i="40"/>
  <c r="BM46" i="40"/>
  <c r="BL47" i="40"/>
  <c r="BM47" i="40"/>
  <c r="BL48" i="40"/>
  <c r="BM48" i="40"/>
  <c r="BL49" i="40"/>
  <c r="BM49" i="40"/>
  <c r="BL50" i="40"/>
  <c r="BM50" i="40"/>
  <c r="BL51" i="40"/>
  <c r="BM51" i="40"/>
  <c r="BL52" i="40"/>
  <c r="BM52" i="40"/>
  <c r="BL53" i="40"/>
  <c r="BM53" i="40"/>
  <c r="BL54" i="40"/>
  <c r="BM54" i="40"/>
  <c r="BL55" i="40"/>
  <c r="BM55" i="40"/>
  <c r="BL56" i="40"/>
  <c r="BM56" i="40"/>
  <c r="BL57" i="40"/>
  <c r="BM57" i="40"/>
  <c r="BL58" i="40"/>
  <c r="BM58" i="40"/>
  <c r="BL59" i="40"/>
  <c r="BM59" i="40"/>
  <c r="BL60" i="40"/>
  <c r="BM60" i="40"/>
  <c r="BL61" i="40"/>
  <c r="BM61" i="40"/>
  <c r="BL62" i="40"/>
  <c r="BM62" i="40"/>
  <c r="BL63" i="40"/>
  <c r="BM63" i="40"/>
  <c r="BL64" i="40"/>
  <c r="BM64" i="40"/>
  <c r="BL65" i="40"/>
  <c r="BM65" i="40"/>
  <c r="BL66" i="40"/>
  <c r="BM66" i="40"/>
  <c r="BL67" i="40"/>
  <c r="BM67" i="40"/>
  <c r="BL68" i="40"/>
  <c r="BM68" i="40"/>
  <c r="BL69" i="40"/>
  <c r="BM69" i="40"/>
  <c r="BL70" i="40"/>
  <c r="BM70" i="40"/>
  <c r="BL71" i="40"/>
  <c r="BM71" i="40"/>
  <c r="BL72" i="40"/>
  <c r="BM72" i="40"/>
  <c r="BL73" i="40"/>
  <c r="BM73" i="40"/>
  <c r="BL74" i="40"/>
  <c r="BM74" i="40"/>
  <c r="BL75" i="40"/>
  <c r="BM75" i="40"/>
  <c r="BL76" i="40"/>
  <c r="BM76" i="40"/>
  <c r="BL77" i="40"/>
  <c r="BM77" i="40"/>
  <c r="BL78" i="40"/>
  <c r="BM78" i="40"/>
  <c r="BL79" i="40"/>
  <c r="BM79" i="40"/>
  <c r="BL80" i="40"/>
  <c r="BM80" i="40"/>
  <c r="BL81" i="40"/>
  <c r="BM81" i="40"/>
  <c r="BL82" i="40"/>
  <c r="BM82" i="40"/>
  <c r="BL83" i="40"/>
  <c r="BM83" i="40"/>
  <c r="BL84" i="40"/>
  <c r="BM84" i="40"/>
  <c r="BL85" i="40"/>
  <c r="BM85" i="40"/>
  <c r="BL86" i="40"/>
  <c r="BM86" i="40"/>
  <c r="BL87" i="40"/>
  <c r="BM87" i="40"/>
  <c r="BL88" i="40"/>
  <c r="BM88" i="40"/>
  <c r="BL89" i="40"/>
  <c r="BM89" i="40"/>
  <c r="BL90" i="40"/>
  <c r="BM90" i="40"/>
  <c r="BL91" i="40"/>
  <c r="BM91" i="40"/>
  <c r="BL92" i="40"/>
  <c r="BM92" i="40"/>
  <c r="BL93" i="40"/>
  <c r="BM93" i="40"/>
  <c r="BL94" i="40"/>
  <c r="BM94" i="40"/>
  <c r="BL95" i="40"/>
  <c r="BM95" i="40"/>
  <c r="BL96" i="40"/>
  <c r="BM96" i="40"/>
  <c r="BL97" i="40"/>
  <c r="BM97" i="40"/>
  <c r="BL98" i="40"/>
  <c r="BM98" i="40"/>
  <c r="BL99" i="40"/>
  <c r="BM99" i="40"/>
  <c r="BL100" i="40"/>
  <c r="BM100" i="40"/>
  <c r="BL101" i="40"/>
  <c r="BM101" i="40"/>
  <c r="BL102" i="40"/>
  <c r="BM102" i="40"/>
  <c r="BL103" i="40"/>
  <c r="BM103" i="40"/>
  <c r="BL104" i="40"/>
  <c r="BM104" i="40"/>
  <c r="BL105" i="40"/>
  <c r="BM105" i="40"/>
  <c r="BL106" i="40"/>
  <c r="BM106" i="40"/>
  <c r="BL107" i="40"/>
  <c r="BM107" i="40"/>
  <c r="BL108" i="40"/>
  <c r="BM108" i="40"/>
  <c r="BL109" i="40"/>
  <c r="BM109" i="40"/>
  <c r="BL110" i="40"/>
  <c r="BM110" i="40"/>
  <c r="BL111" i="40"/>
  <c r="BM111" i="40"/>
  <c r="BL112" i="40"/>
  <c r="BM112" i="40"/>
  <c r="BL113" i="40"/>
  <c r="BM113" i="40"/>
  <c r="BL114" i="40"/>
  <c r="BM114" i="40"/>
  <c r="BL115" i="40"/>
  <c r="BM115" i="40"/>
  <c r="BL116" i="40"/>
  <c r="BM116" i="40"/>
  <c r="BL117" i="40"/>
  <c r="BM117" i="40"/>
  <c r="BL118" i="40"/>
  <c r="BM118" i="40"/>
  <c r="BL119" i="40"/>
  <c r="BM119" i="40"/>
  <c r="BW119" i="40" s="1"/>
  <c r="BL120" i="40"/>
  <c r="BM120" i="40"/>
  <c r="BL121" i="40"/>
  <c r="BM121" i="40"/>
  <c r="BL122" i="40"/>
  <c r="BM122" i="40"/>
  <c r="BL123" i="40"/>
  <c r="BM123" i="40"/>
  <c r="BW123" i="40" s="1"/>
  <c r="BL124" i="40"/>
  <c r="BM124" i="40"/>
  <c r="BL125" i="40"/>
  <c r="BM125" i="40"/>
  <c r="BM15" i="40"/>
  <c r="BL15" i="40"/>
  <c r="AW16" i="40"/>
  <c r="AX16" i="40"/>
  <c r="AW17" i="40"/>
  <c r="AX17" i="40"/>
  <c r="AW18" i="40"/>
  <c r="AX18" i="40"/>
  <c r="AW19" i="40"/>
  <c r="AX19" i="40"/>
  <c r="AX14" i="40" s="1"/>
  <c r="AW20" i="40"/>
  <c r="AX20" i="40"/>
  <c r="AW21" i="40"/>
  <c r="AX21" i="40"/>
  <c r="AW22" i="40"/>
  <c r="AX22" i="40"/>
  <c r="AW23" i="40"/>
  <c r="AX23" i="40"/>
  <c r="AW24" i="40"/>
  <c r="AX24" i="40"/>
  <c r="AW25" i="40"/>
  <c r="AX25" i="40"/>
  <c r="AW26" i="40"/>
  <c r="AX26" i="40"/>
  <c r="AW27" i="40"/>
  <c r="AX27" i="40"/>
  <c r="AW28" i="40"/>
  <c r="AX28" i="40"/>
  <c r="AW29" i="40"/>
  <c r="AX29" i="40"/>
  <c r="AW30" i="40"/>
  <c r="AX30" i="40"/>
  <c r="AW31" i="40"/>
  <c r="AX31" i="40"/>
  <c r="AW32" i="40"/>
  <c r="AX32" i="40"/>
  <c r="AW33" i="40"/>
  <c r="AX33" i="40"/>
  <c r="AW34" i="40"/>
  <c r="AX34" i="40"/>
  <c r="AW35" i="40"/>
  <c r="AX35" i="40"/>
  <c r="AW36" i="40"/>
  <c r="AX36" i="40"/>
  <c r="AW37" i="40"/>
  <c r="AX37" i="40"/>
  <c r="AW38" i="40"/>
  <c r="AX38" i="40"/>
  <c r="AW39" i="40"/>
  <c r="AX39" i="40"/>
  <c r="AW40" i="40"/>
  <c r="AX40" i="40"/>
  <c r="AW41" i="40"/>
  <c r="AX41" i="40"/>
  <c r="AW42" i="40"/>
  <c r="AX42" i="40"/>
  <c r="AW43" i="40"/>
  <c r="AX43" i="40"/>
  <c r="AW44" i="40"/>
  <c r="AX44" i="40"/>
  <c r="AW45" i="40"/>
  <c r="AX45" i="40"/>
  <c r="AW46" i="40"/>
  <c r="AX46" i="40"/>
  <c r="AW47" i="40"/>
  <c r="AX47" i="40"/>
  <c r="AW48" i="40"/>
  <c r="AX48" i="40"/>
  <c r="AW49" i="40"/>
  <c r="AX49" i="40"/>
  <c r="AW50" i="40"/>
  <c r="AX50" i="40"/>
  <c r="AW51" i="40"/>
  <c r="AX51" i="40"/>
  <c r="AW52" i="40"/>
  <c r="AX52" i="40"/>
  <c r="AW53" i="40"/>
  <c r="AX53" i="40"/>
  <c r="AW54" i="40"/>
  <c r="AX54" i="40"/>
  <c r="AW55" i="40"/>
  <c r="AX55" i="40"/>
  <c r="AW56" i="40"/>
  <c r="AX56" i="40"/>
  <c r="AW57" i="40"/>
  <c r="AX57" i="40"/>
  <c r="AW58" i="40"/>
  <c r="AX58" i="40"/>
  <c r="AW59" i="40"/>
  <c r="AX59" i="40"/>
  <c r="AW60" i="40"/>
  <c r="AX60" i="40"/>
  <c r="AW61" i="40"/>
  <c r="AX61" i="40"/>
  <c r="AW62" i="40"/>
  <c r="AX62" i="40"/>
  <c r="AW63" i="40"/>
  <c r="AX63" i="40"/>
  <c r="AW64" i="40"/>
  <c r="AX64" i="40"/>
  <c r="AW65" i="40"/>
  <c r="AX65" i="40"/>
  <c r="AW66" i="40"/>
  <c r="AX66" i="40"/>
  <c r="AW67" i="40"/>
  <c r="AX67" i="40"/>
  <c r="AW68" i="40"/>
  <c r="AX68" i="40"/>
  <c r="AW69" i="40"/>
  <c r="AX69" i="40"/>
  <c r="AW70" i="40"/>
  <c r="AX70" i="40"/>
  <c r="AW71" i="40"/>
  <c r="AX71" i="40"/>
  <c r="AW72" i="40"/>
  <c r="AX72" i="40"/>
  <c r="AW73" i="40"/>
  <c r="AX73" i="40"/>
  <c r="AW74" i="40"/>
  <c r="AX74" i="40"/>
  <c r="AW75" i="40"/>
  <c r="AX75" i="40"/>
  <c r="AW76" i="40"/>
  <c r="AX76" i="40"/>
  <c r="AW77" i="40"/>
  <c r="AX77" i="40"/>
  <c r="AW78" i="40"/>
  <c r="AX78" i="40"/>
  <c r="AW79" i="40"/>
  <c r="AX79" i="40"/>
  <c r="AW80" i="40"/>
  <c r="AX80" i="40"/>
  <c r="AW81" i="40"/>
  <c r="AX81" i="40"/>
  <c r="AW82" i="40"/>
  <c r="AX82" i="40"/>
  <c r="AW83" i="40"/>
  <c r="AX83" i="40"/>
  <c r="AW84" i="40"/>
  <c r="AX84" i="40"/>
  <c r="AW85" i="40"/>
  <c r="AX85" i="40"/>
  <c r="AW86" i="40"/>
  <c r="AX86" i="40"/>
  <c r="AW87" i="40"/>
  <c r="AX87" i="40"/>
  <c r="AW88" i="40"/>
  <c r="AX88" i="40"/>
  <c r="AW89" i="40"/>
  <c r="AX89" i="40"/>
  <c r="AW90" i="40"/>
  <c r="AX90" i="40"/>
  <c r="AW91" i="40"/>
  <c r="AX91" i="40"/>
  <c r="AW92" i="40"/>
  <c r="AX92" i="40"/>
  <c r="AW93" i="40"/>
  <c r="AX93" i="40"/>
  <c r="AW94" i="40"/>
  <c r="AX94" i="40"/>
  <c r="AW95" i="40"/>
  <c r="AX95" i="40"/>
  <c r="AW96" i="40"/>
  <c r="AX96" i="40"/>
  <c r="AW97" i="40"/>
  <c r="AX97" i="40"/>
  <c r="AW98" i="40"/>
  <c r="AX98" i="40"/>
  <c r="AW99" i="40"/>
  <c r="AX99" i="40"/>
  <c r="AW100" i="40"/>
  <c r="AX100" i="40"/>
  <c r="AW101" i="40"/>
  <c r="AX101" i="40"/>
  <c r="AW102" i="40"/>
  <c r="AX102" i="40"/>
  <c r="AW103" i="40"/>
  <c r="AX103" i="40"/>
  <c r="AW104" i="40"/>
  <c r="AX104" i="40"/>
  <c r="AW105" i="40"/>
  <c r="AX105" i="40"/>
  <c r="AW106" i="40"/>
  <c r="AX106" i="40"/>
  <c r="AW107" i="40"/>
  <c r="AX107" i="40"/>
  <c r="AW108" i="40"/>
  <c r="AX108" i="40"/>
  <c r="AW109" i="40"/>
  <c r="AX109" i="40"/>
  <c r="AW110" i="40"/>
  <c r="AX110" i="40"/>
  <c r="AW111" i="40"/>
  <c r="AX111" i="40"/>
  <c r="AW112" i="40"/>
  <c r="AX112" i="40"/>
  <c r="AW113" i="40"/>
  <c r="AX113" i="40"/>
  <c r="AW114" i="40"/>
  <c r="AX114" i="40"/>
  <c r="AW115" i="40"/>
  <c r="AX115" i="40"/>
  <c r="AW116" i="40"/>
  <c r="AX116" i="40"/>
  <c r="AW117" i="40"/>
  <c r="AX117" i="40"/>
  <c r="AW118" i="40"/>
  <c r="AX118" i="40"/>
  <c r="AW119" i="40"/>
  <c r="BG119" i="40" s="1"/>
  <c r="AX119" i="40"/>
  <c r="BD119" i="40" s="1"/>
  <c r="AW120" i="40"/>
  <c r="AX120" i="40"/>
  <c r="AW121" i="40"/>
  <c r="AX121" i="40"/>
  <c r="AW122" i="40"/>
  <c r="AX122" i="40"/>
  <c r="AW123" i="40"/>
  <c r="BG123" i="40" s="1"/>
  <c r="AX123" i="40"/>
  <c r="BH123" i="40" s="1"/>
  <c r="AW124" i="40"/>
  <c r="AX124" i="40"/>
  <c r="AW125" i="40"/>
  <c r="AX125" i="40"/>
  <c r="AX15" i="40"/>
  <c r="AW15" i="40"/>
  <c r="AH16" i="40"/>
  <c r="AI16" i="40"/>
  <c r="AH17" i="40"/>
  <c r="AI17" i="40"/>
  <c r="AH18" i="40"/>
  <c r="AI18" i="40"/>
  <c r="AH19" i="40"/>
  <c r="AI19" i="40"/>
  <c r="AS19" i="40" s="1"/>
  <c r="AH20" i="40"/>
  <c r="AI20" i="40"/>
  <c r="AH21" i="40"/>
  <c r="AI21" i="40"/>
  <c r="AH22" i="40"/>
  <c r="AI22" i="40"/>
  <c r="AH23" i="40"/>
  <c r="AI23" i="40"/>
  <c r="AH24" i="40"/>
  <c r="AI24" i="40"/>
  <c r="AH25" i="40"/>
  <c r="AI25" i="40"/>
  <c r="AH26" i="40"/>
  <c r="AI26" i="40"/>
  <c r="AH27" i="40"/>
  <c r="AI27" i="40"/>
  <c r="AH28" i="40"/>
  <c r="AI28" i="40"/>
  <c r="AH29" i="40"/>
  <c r="AI29" i="40"/>
  <c r="AH30" i="40"/>
  <c r="AI30" i="40"/>
  <c r="AH31" i="40"/>
  <c r="AI31" i="40"/>
  <c r="AH32" i="40"/>
  <c r="AI32" i="40"/>
  <c r="AH33" i="40"/>
  <c r="AI33" i="40"/>
  <c r="AH34" i="40"/>
  <c r="AI34" i="40"/>
  <c r="AH35" i="40"/>
  <c r="AI35" i="40"/>
  <c r="AH36" i="40"/>
  <c r="AI36" i="40"/>
  <c r="AH37" i="40"/>
  <c r="AI37" i="40"/>
  <c r="AH38" i="40"/>
  <c r="AI38" i="40"/>
  <c r="AH39" i="40"/>
  <c r="AI39" i="40"/>
  <c r="AH40" i="40"/>
  <c r="AI40" i="40"/>
  <c r="AH41" i="40"/>
  <c r="AI41" i="40"/>
  <c r="AH42" i="40"/>
  <c r="AI42" i="40"/>
  <c r="AH43" i="40"/>
  <c r="AI43" i="40"/>
  <c r="AH44" i="40"/>
  <c r="AI44" i="40"/>
  <c r="AH45" i="40"/>
  <c r="AI45" i="40"/>
  <c r="AH46" i="40"/>
  <c r="AI46" i="40"/>
  <c r="AH47" i="40"/>
  <c r="AI47" i="40"/>
  <c r="AH48" i="40"/>
  <c r="AI48" i="40"/>
  <c r="AH49" i="40"/>
  <c r="AI49" i="40"/>
  <c r="AH50" i="40"/>
  <c r="AI50" i="40"/>
  <c r="AH51" i="40"/>
  <c r="AI51" i="40"/>
  <c r="AH52" i="40"/>
  <c r="AI52" i="40"/>
  <c r="AH53" i="40"/>
  <c r="AI53" i="40"/>
  <c r="AH54" i="40"/>
  <c r="AI54" i="40"/>
  <c r="AH55" i="40"/>
  <c r="AI55" i="40"/>
  <c r="AH56" i="40"/>
  <c r="AI56" i="40"/>
  <c r="AH57" i="40"/>
  <c r="AI57" i="40"/>
  <c r="AH58" i="40"/>
  <c r="AI58" i="40"/>
  <c r="AH59" i="40"/>
  <c r="AI59" i="40"/>
  <c r="AH60" i="40"/>
  <c r="AI60" i="40"/>
  <c r="AH61" i="40"/>
  <c r="AI61" i="40"/>
  <c r="AH62" i="40"/>
  <c r="AI62" i="40"/>
  <c r="AH63" i="40"/>
  <c r="AI63" i="40"/>
  <c r="AH64" i="40"/>
  <c r="AI64" i="40"/>
  <c r="AH65" i="40"/>
  <c r="AI65" i="40"/>
  <c r="AH66" i="40"/>
  <c r="AI66" i="40"/>
  <c r="AH67" i="40"/>
  <c r="AI67" i="40"/>
  <c r="AH68" i="40"/>
  <c r="AI68" i="40"/>
  <c r="AH69" i="40"/>
  <c r="AI69" i="40"/>
  <c r="AH70" i="40"/>
  <c r="AI70" i="40"/>
  <c r="AH71" i="40"/>
  <c r="AI71" i="40"/>
  <c r="AH72" i="40"/>
  <c r="AI72" i="40"/>
  <c r="AH73" i="40"/>
  <c r="AI73" i="40"/>
  <c r="AH74" i="40"/>
  <c r="AI74" i="40"/>
  <c r="AH75" i="40"/>
  <c r="AI75" i="40"/>
  <c r="AH76" i="40"/>
  <c r="AI76" i="40"/>
  <c r="AH77" i="40"/>
  <c r="AI77" i="40"/>
  <c r="AH78" i="40"/>
  <c r="AI78" i="40"/>
  <c r="AH79" i="40"/>
  <c r="AI79" i="40"/>
  <c r="AH80" i="40"/>
  <c r="AI80" i="40"/>
  <c r="AH81" i="40"/>
  <c r="AI81" i="40"/>
  <c r="AH82" i="40"/>
  <c r="AI82" i="40"/>
  <c r="AH83" i="40"/>
  <c r="AI83" i="40"/>
  <c r="AH84" i="40"/>
  <c r="AI84" i="40"/>
  <c r="AH85" i="40"/>
  <c r="AI85" i="40"/>
  <c r="AH86" i="40"/>
  <c r="AI86" i="40"/>
  <c r="AH87" i="40"/>
  <c r="AI87" i="40"/>
  <c r="AH88" i="40"/>
  <c r="AI88" i="40"/>
  <c r="AH89" i="40"/>
  <c r="AI89" i="40"/>
  <c r="AH90" i="40"/>
  <c r="AI90" i="40"/>
  <c r="AH91" i="40"/>
  <c r="AI91" i="40"/>
  <c r="AH92" i="40"/>
  <c r="AI92" i="40"/>
  <c r="AH93" i="40"/>
  <c r="AI93" i="40"/>
  <c r="AH94" i="40"/>
  <c r="AI94" i="40"/>
  <c r="AH95" i="40"/>
  <c r="AI95" i="40"/>
  <c r="AH96" i="40"/>
  <c r="AI96" i="40"/>
  <c r="AH97" i="40"/>
  <c r="AI97" i="40"/>
  <c r="AH98" i="40"/>
  <c r="AI98" i="40"/>
  <c r="AH99" i="40"/>
  <c r="AI99" i="40"/>
  <c r="AH100" i="40"/>
  <c r="AI100" i="40"/>
  <c r="AH101" i="40"/>
  <c r="AI101" i="40"/>
  <c r="AH102" i="40"/>
  <c r="AI102" i="40"/>
  <c r="AH103" i="40"/>
  <c r="AI103" i="40"/>
  <c r="AH104" i="40"/>
  <c r="AI104" i="40"/>
  <c r="AH105" i="40"/>
  <c r="AI105" i="40"/>
  <c r="AH106" i="40"/>
  <c r="AI106" i="40"/>
  <c r="AH107" i="40"/>
  <c r="AI107" i="40"/>
  <c r="AH108" i="40"/>
  <c r="AI108" i="40"/>
  <c r="AH109" i="40"/>
  <c r="AI109" i="40"/>
  <c r="AH110" i="40"/>
  <c r="AI110" i="40"/>
  <c r="AH111" i="40"/>
  <c r="AI111" i="40"/>
  <c r="AH112" i="40"/>
  <c r="AI112" i="40"/>
  <c r="AH113" i="40"/>
  <c r="AI113" i="40"/>
  <c r="AH114" i="40"/>
  <c r="AI114" i="40"/>
  <c r="AH115" i="40"/>
  <c r="AI115" i="40"/>
  <c r="AH116" i="40"/>
  <c r="AI116" i="40"/>
  <c r="AH117" i="40"/>
  <c r="AI117" i="40"/>
  <c r="AH118" i="40"/>
  <c r="AI118" i="40"/>
  <c r="AH119" i="40"/>
  <c r="AI119" i="40"/>
  <c r="AS119" i="40" s="1"/>
  <c r="AH120" i="40"/>
  <c r="AI120" i="40"/>
  <c r="AH121" i="40"/>
  <c r="AI121" i="40"/>
  <c r="AH122" i="40"/>
  <c r="AI122" i="40"/>
  <c r="AH123" i="40"/>
  <c r="AI123" i="40"/>
  <c r="AS123" i="40" s="1"/>
  <c r="AH124" i="40"/>
  <c r="AI124" i="40"/>
  <c r="AH125" i="40"/>
  <c r="AI125" i="40"/>
  <c r="AI15" i="40"/>
  <c r="AH15" i="40"/>
  <c r="BL16" i="39"/>
  <c r="BM16" i="39"/>
  <c r="BL17" i="39"/>
  <c r="BM17" i="39"/>
  <c r="BS17" i="39" s="1"/>
  <c r="BL18" i="39"/>
  <c r="BM18" i="39"/>
  <c r="BL19" i="39"/>
  <c r="BM19" i="39"/>
  <c r="BW19" i="39" s="1"/>
  <c r="BL20" i="39"/>
  <c r="BM20" i="39"/>
  <c r="BL21" i="39"/>
  <c r="BM21" i="39"/>
  <c r="BW21" i="39" s="1"/>
  <c r="BL22" i="39"/>
  <c r="BM22" i="39"/>
  <c r="BL23" i="39"/>
  <c r="BM23" i="39"/>
  <c r="BW23" i="39" s="1"/>
  <c r="BL24" i="39"/>
  <c r="BM24" i="39"/>
  <c r="BL25" i="39"/>
  <c r="BM25" i="39"/>
  <c r="BW25" i="39" s="1"/>
  <c r="BL26" i="39"/>
  <c r="BM26" i="39"/>
  <c r="BL27" i="39"/>
  <c r="BM27" i="39"/>
  <c r="BW27" i="39" s="1"/>
  <c r="BL28" i="39"/>
  <c r="BM28" i="39"/>
  <c r="BL29" i="39"/>
  <c r="BM29" i="39"/>
  <c r="BS29" i="39" s="1"/>
  <c r="BL30" i="39"/>
  <c r="BM30" i="39"/>
  <c r="BL31" i="39"/>
  <c r="BM31" i="39"/>
  <c r="BW31" i="39" s="1"/>
  <c r="BL32" i="39"/>
  <c r="BM32" i="39"/>
  <c r="BL33" i="39"/>
  <c r="BM33" i="39"/>
  <c r="BS33" i="39" s="1"/>
  <c r="BL34" i="39"/>
  <c r="BM34" i="39"/>
  <c r="BL35" i="39"/>
  <c r="BM35" i="39"/>
  <c r="BS35" i="39" s="1"/>
  <c r="BL36" i="39"/>
  <c r="BM36" i="39"/>
  <c r="BL37" i="39"/>
  <c r="BM37" i="39"/>
  <c r="BL38" i="39"/>
  <c r="BM38" i="39"/>
  <c r="BL39" i="39"/>
  <c r="BM39" i="39"/>
  <c r="BL40" i="39"/>
  <c r="BM40" i="39"/>
  <c r="BL41" i="39"/>
  <c r="BM41" i="39"/>
  <c r="BS41" i="39" s="1"/>
  <c r="BL42" i="39"/>
  <c r="BM42" i="39"/>
  <c r="BL43" i="39"/>
  <c r="BM43" i="39"/>
  <c r="BW43" i="39" s="1"/>
  <c r="BL44" i="39"/>
  <c r="BM44" i="39"/>
  <c r="BL45" i="39"/>
  <c r="BM45" i="39"/>
  <c r="BS45" i="39" s="1"/>
  <c r="BL46" i="39"/>
  <c r="BM46" i="39"/>
  <c r="BL47" i="39"/>
  <c r="BM47" i="39"/>
  <c r="BL48" i="39"/>
  <c r="BM48" i="39"/>
  <c r="BL49" i="39"/>
  <c r="BM49" i="39"/>
  <c r="BL50" i="39"/>
  <c r="BM50" i="39"/>
  <c r="BL51" i="39"/>
  <c r="BM51" i="39"/>
  <c r="BL52" i="39"/>
  <c r="BM52" i="39"/>
  <c r="BL53" i="39"/>
  <c r="BM53" i="39"/>
  <c r="BL54" i="39"/>
  <c r="BM54" i="39"/>
  <c r="BL55" i="39"/>
  <c r="BM55" i="39"/>
  <c r="BL56" i="39"/>
  <c r="BM56" i="39"/>
  <c r="BL57" i="39"/>
  <c r="BM57" i="39"/>
  <c r="BL58" i="39"/>
  <c r="BM58" i="39"/>
  <c r="BL59" i="39"/>
  <c r="BM59" i="39"/>
  <c r="BL60" i="39"/>
  <c r="BM60" i="39"/>
  <c r="BL61" i="39"/>
  <c r="BM61" i="39"/>
  <c r="BL62" i="39"/>
  <c r="BM62" i="39"/>
  <c r="BL63" i="39"/>
  <c r="BM63" i="39"/>
  <c r="BL64" i="39"/>
  <c r="BM64" i="39"/>
  <c r="BL65" i="39"/>
  <c r="BM65" i="39"/>
  <c r="BL66" i="39"/>
  <c r="BM66" i="39"/>
  <c r="BL67" i="39"/>
  <c r="BM67" i="39"/>
  <c r="BL68" i="39"/>
  <c r="BM68" i="39"/>
  <c r="BL69" i="39"/>
  <c r="BM69" i="39"/>
  <c r="BL70" i="39"/>
  <c r="BM70" i="39"/>
  <c r="BL71" i="39"/>
  <c r="BM71" i="39"/>
  <c r="BL72" i="39"/>
  <c r="BM72" i="39"/>
  <c r="BL73" i="39"/>
  <c r="BM73" i="39"/>
  <c r="BL74" i="39"/>
  <c r="BM74" i="39"/>
  <c r="BL75" i="39"/>
  <c r="BM75" i="39"/>
  <c r="BL76" i="39"/>
  <c r="BM76" i="39"/>
  <c r="BL77" i="39"/>
  <c r="BM77" i="39"/>
  <c r="BL78" i="39"/>
  <c r="BM78" i="39"/>
  <c r="BL79" i="39"/>
  <c r="BM79" i="39"/>
  <c r="BL80" i="39"/>
  <c r="BM80" i="39"/>
  <c r="BL81" i="39"/>
  <c r="BM81" i="39"/>
  <c r="BW81" i="39" s="1"/>
  <c r="BL82" i="39"/>
  <c r="BM82" i="39"/>
  <c r="BL83" i="39"/>
  <c r="BM83" i="39"/>
  <c r="BW83" i="39" s="1"/>
  <c r="BL84" i="39"/>
  <c r="BM84" i="39"/>
  <c r="BL85" i="39"/>
  <c r="BM85" i="39"/>
  <c r="BW85" i="39" s="1"/>
  <c r="BL86" i="39"/>
  <c r="BM86" i="39"/>
  <c r="BL87" i="39"/>
  <c r="BM87" i="39"/>
  <c r="BW87" i="39" s="1"/>
  <c r="BL88" i="39"/>
  <c r="BM88" i="39"/>
  <c r="BL89" i="39"/>
  <c r="BM89" i="39"/>
  <c r="BW89" i="39" s="1"/>
  <c r="BL90" i="39"/>
  <c r="BM90" i="39"/>
  <c r="BL91" i="39"/>
  <c r="BM91" i="39"/>
  <c r="BW91" i="39" s="1"/>
  <c r="BL92" i="39"/>
  <c r="BM92" i="39"/>
  <c r="BL93" i="39"/>
  <c r="BM93" i="39"/>
  <c r="BW93" i="39" s="1"/>
  <c r="BL94" i="39"/>
  <c r="BM94" i="39"/>
  <c r="BL95" i="39"/>
  <c r="BM95" i="39"/>
  <c r="BW95" i="39" s="1"/>
  <c r="BL96" i="39"/>
  <c r="BM96" i="39"/>
  <c r="BL97" i="39"/>
  <c r="BM97" i="39"/>
  <c r="BW97" i="39" s="1"/>
  <c r="BL98" i="39"/>
  <c r="BM98" i="39"/>
  <c r="BL99" i="39"/>
  <c r="BM99" i="39"/>
  <c r="BW99" i="39" s="1"/>
  <c r="BL100" i="39"/>
  <c r="BM100" i="39"/>
  <c r="BL101" i="39"/>
  <c r="BM101" i="39"/>
  <c r="BW101" i="39" s="1"/>
  <c r="BL102" i="39"/>
  <c r="BM102" i="39"/>
  <c r="BL103" i="39"/>
  <c r="BM103" i="39"/>
  <c r="BW103" i="39" s="1"/>
  <c r="BL104" i="39"/>
  <c r="BM104" i="39"/>
  <c r="BL105" i="39"/>
  <c r="BM105" i="39"/>
  <c r="BW105" i="39" s="1"/>
  <c r="BL106" i="39"/>
  <c r="BM106" i="39"/>
  <c r="BL107" i="39"/>
  <c r="BM107" i="39"/>
  <c r="BW107" i="39" s="1"/>
  <c r="BL108" i="39"/>
  <c r="BM108" i="39"/>
  <c r="BL109" i="39"/>
  <c r="BM109" i="39"/>
  <c r="BW109" i="39" s="1"/>
  <c r="BL110" i="39"/>
  <c r="BM110" i="39"/>
  <c r="BL111" i="39"/>
  <c r="BM111" i="39"/>
  <c r="BW111" i="39" s="1"/>
  <c r="BL112" i="39"/>
  <c r="BM112" i="39"/>
  <c r="BL113" i="39"/>
  <c r="BM113" i="39"/>
  <c r="BS113" i="39" s="1"/>
  <c r="BL114" i="39"/>
  <c r="BM114" i="39"/>
  <c r="BL115" i="39"/>
  <c r="BM115" i="39"/>
  <c r="BS115" i="39" s="1"/>
  <c r="BL116" i="39"/>
  <c r="BM116" i="39"/>
  <c r="BL117" i="39"/>
  <c r="BM117" i="39"/>
  <c r="BW117" i="39" s="1"/>
  <c r="BL118" i="39"/>
  <c r="BM118" i="39"/>
  <c r="BL119" i="39"/>
  <c r="BM119" i="39"/>
  <c r="BW119" i="39" s="1"/>
  <c r="BL120" i="39"/>
  <c r="BM120" i="39"/>
  <c r="BL121" i="39"/>
  <c r="BM121" i="39"/>
  <c r="BS121" i="39" s="1"/>
  <c r="BL122" i="39"/>
  <c r="BM122" i="39"/>
  <c r="BL123" i="39"/>
  <c r="BM123" i="39"/>
  <c r="BW123" i="39" s="1"/>
  <c r="BL124" i="39"/>
  <c r="BM124" i="39"/>
  <c r="BL125" i="39"/>
  <c r="BM125" i="39"/>
  <c r="BS125" i="39" s="1"/>
  <c r="BM15" i="39"/>
  <c r="BL15" i="39"/>
  <c r="AW16" i="39"/>
  <c r="AX16" i="39"/>
  <c r="AW17" i="39"/>
  <c r="AX17" i="39"/>
  <c r="AW18" i="39"/>
  <c r="AX18" i="39"/>
  <c r="AW19" i="39"/>
  <c r="AX19" i="39"/>
  <c r="BD19" i="39" s="1"/>
  <c r="AW20" i="39"/>
  <c r="AX20" i="39"/>
  <c r="AW21" i="39"/>
  <c r="AX21" i="39"/>
  <c r="AW22" i="39"/>
  <c r="AX22" i="39"/>
  <c r="AW23" i="39"/>
  <c r="AX23" i="39"/>
  <c r="BH23" i="39" s="1"/>
  <c r="AW24" i="39"/>
  <c r="AX24" i="39"/>
  <c r="AW25" i="39"/>
  <c r="AX25" i="39"/>
  <c r="AW26" i="39"/>
  <c r="AX26" i="39"/>
  <c r="AW27" i="39"/>
  <c r="AX27" i="39"/>
  <c r="BH27" i="39" s="1"/>
  <c r="AW28" i="39"/>
  <c r="AX28" i="39"/>
  <c r="AW29" i="39"/>
  <c r="AX29" i="39"/>
  <c r="AW30" i="39"/>
  <c r="AX30" i="39"/>
  <c r="AW31" i="39"/>
  <c r="AX31" i="39"/>
  <c r="BH31" i="39" s="1"/>
  <c r="AW32" i="39"/>
  <c r="AX32" i="39"/>
  <c r="AW33" i="39"/>
  <c r="AX33" i="39"/>
  <c r="AW34" i="39"/>
  <c r="AX34" i="39"/>
  <c r="AW35" i="39"/>
  <c r="AX35" i="39"/>
  <c r="BH35" i="39" s="1"/>
  <c r="AW36" i="39"/>
  <c r="AX36" i="39"/>
  <c r="AW37" i="39"/>
  <c r="AX37" i="39"/>
  <c r="AW38" i="39"/>
  <c r="AX38" i="39"/>
  <c r="AW39" i="39"/>
  <c r="AX39" i="39"/>
  <c r="AW40" i="39"/>
  <c r="AX40" i="39"/>
  <c r="AW41" i="39"/>
  <c r="AX41" i="39"/>
  <c r="AW42" i="39"/>
  <c r="AX42" i="39"/>
  <c r="AW43" i="39"/>
  <c r="AX43" i="39"/>
  <c r="BD43" i="39" s="1"/>
  <c r="AW44" i="39"/>
  <c r="AX44" i="39"/>
  <c r="AW45" i="39"/>
  <c r="AX45" i="39"/>
  <c r="AW46" i="39"/>
  <c r="AX46" i="39"/>
  <c r="AW47" i="39"/>
  <c r="AX47" i="39"/>
  <c r="BH47" i="39" s="1"/>
  <c r="AW48" i="39"/>
  <c r="AX48" i="39"/>
  <c r="AW49" i="39"/>
  <c r="AX49" i="39"/>
  <c r="AW50" i="39"/>
  <c r="AX50" i="39"/>
  <c r="AW51" i="39"/>
  <c r="AX51" i="39"/>
  <c r="AW52" i="39"/>
  <c r="AX52" i="39"/>
  <c r="AW53" i="39"/>
  <c r="AX53" i="39"/>
  <c r="AW54" i="39"/>
  <c r="AX54" i="39"/>
  <c r="AW55" i="39"/>
  <c r="AX55" i="39"/>
  <c r="AW56" i="39"/>
  <c r="AX56" i="39"/>
  <c r="AW57" i="39"/>
  <c r="AX57" i="39"/>
  <c r="AW58" i="39"/>
  <c r="AX58" i="39"/>
  <c r="AW59" i="39"/>
  <c r="AX59" i="39"/>
  <c r="AW60" i="39"/>
  <c r="AX60" i="39"/>
  <c r="AW61" i="39"/>
  <c r="AX61" i="39"/>
  <c r="AW62" i="39"/>
  <c r="AX62" i="39"/>
  <c r="AW63" i="39"/>
  <c r="AX63" i="39"/>
  <c r="AW64" i="39"/>
  <c r="AX64" i="39"/>
  <c r="AW65" i="39"/>
  <c r="AX65" i="39"/>
  <c r="AW66" i="39"/>
  <c r="AX66" i="39"/>
  <c r="AW67" i="39"/>
  <c r="AX67" i="39"/>
  <c r="AW68" i="39"/>
  <c r="AX68" i="39"/>
  <c r="AW69" i="39"/>
  <c r="AX69" i="39"/>
  <c r="AW70" i="39"/>
  <c r="AX70" i="39"/>
  <c r="AW71" i="39"/>
  <c r="AX71" i="39"/>
  <c r="AW72" i="39"/>
  <c r="AX72" i="39"/>
  <c r="AW73" i="39"/>
  <c r="AX73" i="39"/>
  <c r="AW74" i="39"/>
  <c r="AX74" i="39"/>
  <c r="AW75" i="39"/>
  <c r="AX75" i="39"/>
  <c r="AW76" i="39"/>
  <c r="AX76" i="39"/>
  <c r="AW77" i="39"/>
  <c r="AX77" i="39"/>
  <c r="AW78" i="39"/>
  <c r="AX78" i="39"/>
  <c r="AW79" i="39"/>
  <c r="AX79" i="39"/>
  <c r="AW80" i="39"/>
  <c r="AX80" i="39"/>
  <c r="AW81" i="39"/>
  <c r="AX81" i="39"/>
  <c r="AW82" i="39"/>
  <c r="AX82" i="39"/>
  <c r="AW83" i="39"/>
  <c r="AX83" i="39"/>
  <c r="BH83" i="39" s="1"/>
  <c r="AW84" i="39"/>
  <c r="AX84" i="39"/>
  <c r="AW85" i="39"/>
  <c r="AX85" i="39"/>
  <c r="AW86" i="39"/>
  <c r="AX86" i="39"/>
  <c r="AW87" i="39"/>
  <c r="AX87" i="39"/>
  <c r="BH87" i="39" s="1"/>
  <c r="AW88" i="39"/>
  <c r="AX88" i="39"/>
  <c r="AW89" i="39"/>
  <c r="AX89" i="39"/>
  <c r="AW90" i="39"/>
  <c r="AX90" i="39"/>
  <c r="AW91" i="39"/>
  <c r="AX91" i="39"/>
  <c r="BH91" i="39" s="1"/>
  <c r="AW92" i="39"/>
  <c r="AX92" i="39"/>
  <c r="AW93" i="39"/>
  <c r="AX93" i="39"/>
  <c r="AW94" i="39"/>
  <c r="AX94" i="39"/>
  <c r="AW95" i="39"/>
  <c r="AX95" i="39"/>
  <c r="BH95" i="39" s="1"/>
  <c r="AW96" i="39"/>
  <c r="AX96" i="39"/>
  <c r="AW97" i="39"/>
  <c r="AX97" i="39"/>
  <c r="AW98" i="39"/>
  <c r="AX98" i="39"/>
  <c r="AW99" i="39"/>
  <c r="AX99" i="39"/>
  <c r="BD99" i="39" s="1"/>
  <c r="AW100" i="39"/>
  <c r="AX100" i="39"/>
  <c r="AW101" i="39"/>
  <c r="AX101" i="39"/>
  <c r="AW102" i="39"/>
  <c r="AX102" i="39"/>
  <c r="AW103" i="39"/>
  <c r="AX103" i="39"/>
  <c r="BH103" i="39" s="1"/>
  <c r="AW104" i="39"/>
  <c r="AX104" i="39"/>
  <c r="AW105" i="39"/>
  <c r="AX105" i="39"/>
  <c r="AW106" i="39"/>
  <c r="AX106" i="39"/>
  <c r="AW107" i="39"/>
  <c r="AX107" i="39"/>
  <c r="BH107" i="39" s="1"/>
  <c r="AW108" i="39"/>
  <c r="AX108" i="39"/>
  <c r="AW109" i="39"/>
  <c r="AX109" i="39"/>
  <c r="AW110" i="39"/>
  <c r="AX110" i="39"/>
  <c r="AW111" i="39"/>
  <c r="AX111" i="39"/>
  <c r="BD111" i="39" s="1"/>
  <c r="AW112" i="39"/>
  <c r="AX112" i="39"/>
  <c r="AW113" i="39"/>
  <c r="AX113" i="39"/>
  <c r="AW114" i="39"/>
  <c r="AX114" i="39"/>
  <c r="AW115" i="39"/>
  <c r="AX115" i="39"/>
  <c r="BD115" i="39" s="1"/>
  <c r="AW116" i="39"/>
  <c r="AX116" i="39"/>
  <c r="AW117" i="39"/>
  <c r="AX117" i="39"/>
  <c r="AW118" i="39"/>
  <c r="AX118" i="39"/>
  <c r="AW119" i="39"/>
  <c r="AX119" i="39"/>
  <c r="BH119" i="39" s="1"/>
  <c r="AW120" i="39"/>
  <c r="AX120" i="39"/>
  <c r="AW121" i="39"/>
  <c r="AX121" i="39"/>
  <c r="AW122" i="39"/>
  <c r="AX122" i="39"/>
  <c r="AW123" i="39"/>
  <c r="AX123" i="39"/>
  <c r="BH123" i="39" s="1"/>
  <c r="AW124" i="39"/>
  <c r="AX124" i="39"/>
  <c r="AW125" i="39"/>
  <c r="AX125" i="39"/>
  <c r="AX15" i="39"/>
  <c r="AW15" i="39"/>
  <c r="AH16" i="39"/>
  <c r="AI16" i="39"/>
  <c r="AH17" i="39"/>
  <c r="AI17" i="39"/>
  <c r="AH18" i="39"/>
  <c r="AI18" i="39"/>
  <c r="AH19" i="39"/>
  <c r="AR19" i="39" s="1"/>
  <c r="AI19" i="39"/>
  <c r="AH20" i="39"/>
  <c r="AI20" i="39"/>
  <c r="AH21" i="39"/>
  <c r="AI21" i="39"/>
  <c r="AH22" i="39"/>
  <c r="AI22" i="39"/>
  <c r="AH23" i="39"/>
  <c r="AR23" i="39" s="1"/>
  <c r="AI23" i="39"/>
  <c r="AH24" i="39"/>
  <c r="AI24" i="39"/>
  <c r="AH25" i="39"/>
  <c r="AI25" i="39"/>
  <c r="AH26" i="39"/>
  <c r="AI26" i="39"/>
  <c r="AH27" i="39"/>
  <c r="AR27" i="39" s="1"/>
  <c r="AI27" i="39"/>
  <c r="AH28" i="39"/>
  <c r="AI28" i="39"/>
  <c r="AH29" i="39"/>
  <c r="AI29" i="39"/>
  <c r="AH30" i="39"/>
  <c r="AI30" i="39"/>
  <c r="AH31" i="39"/>
  <c r="AR31" i="39" s="1"/>
  <c r="AI31" i="39"/>
  <c r="AH32" i="39"/>
  <c r="AI32" i="39"/>
  <c r="AH33" i="39"/>
  <c r="AI33" i="39"/>
  <c r="AH34" i="39"/>
  <c r="AI34" i="39"/>
  <c r="AH35" i="39"/>
  <c r="AR35" i="39" s="1"/>
  <c r="AI35" i="39"/>
  <c r="AH36" i="39"/>
  <c r="AI36" i="39"/>
  <c r="AH37" i="39"/>
  <c r="AI37" i="39"/>
  <c r="AH38" i="39"/>
  <c r="AI38" i="39"/>
  <c r="AH39" i="39"/>
  <c r="AR39" i="39" s="1"/>
  <c r="AI39" i="39"/>
  <c r="AH40" i="39"/>
  <c r="AI40" i="39"/>
  <c r="AH41" i="39"/>
  <c r="AI41" i="39"/>
  <c r="AH42" i="39"/>
  <c r="AI42" i="39"/>
  <c r="AH43" i="39"/>
  <c r="AI43" i="39"/>
  <c r="AH44" i="39"/>
  <c r="AI44" i="39"/>
  <c r="AH45" i="39"/>
  <c r="AI45" i="39"/>
  <c r="AH46" i="39"/>
  <c r="AI46" i="39"/>
  <c r="AH47" i="39"/>
  <c r="AR47" i="39" s="1"/>
  <c r="AI47" i="39"/>
  <c r="AH48" i="39"/>
  <c r="AI48" i="39"/>
  <c r="AH49" i="39"/>
  <c r="AI49" i="39"/>
  <c r="AH50" i="39"/>
  <c r="AI50" i="39"/>
  <c r="AH51" i="39"/>
  <c r="AI51" i="39"/>
  <c r="AH52" i="39"/>
  <c r="AI52" i="39"/>
  <c r="AH53" i="39"/>
  <c r="AI53" i="39"/>
  <c r="AH54" i="39"/>
  <c r="AI54" i="39"/>
  <c r="AH55" i="39"/>
  <c r="AI55" i="39"/>
  <c r="AH56" i="39"/>
  <c r="AI56" i="39"/>
  <c r="AH57" i="39"/>
  <c r="AI57" i="39"/>
  <c r="AH58" i="39"/>
  <c r="AI58" i="39"/>
  <c r="AH59" i="39"/>
  <c r="AI59" i="39"/>
  <c r="AH60" i="39"/>
  <c r="AI60" i="39"/>
  <c r="AH61" i="39"/>
  <c r="AI61" i="39"/>
  <c r="AH62" i="39"/>
  <c r="AI62" i="39"/>
  <c r="AH63" i="39"/>
  <c r="AI63" i="39"/>
  <c r="AH64" i="39"/>
  <c r="AI64" i="39"/>
  <c r="AH65" i="39"/>
  <c r="AI65" i="39"/>
  <c r="AH66" i="39"/>
  <c r="AI66" i="39"/>
  <c r="AH67" i="39"/>
  <c r="AI67" i="39"/>
  <c r="AH68" i="39"/>
  <c r="AI68" i="39"/>
  <c r="AH69" i="39"/>
  <c r="AI69" i="39"/>
  <c r="AH70" i="39"/>
  <c r="AI70" i="39"/>
  <c r="AH71" i="39"/>
  <c r="AI71" i="39"/>
  <c r="AH72" i="39"/>
  <c r="AI72" i="39"/>
  <c r="AH73" i="39"/>
  <c r="AI73" i="39"/>
  <c r="AH74" i="39"/>
  <c r="AI74" i="39"/>
  <c r="AH75" i="39"/>
  <c r="AI75" i="39"/>
  <c r="AH76" i="39"/>
  <c r="AI76" i="39"/>
  <c r="AH77" i="39"/>
  <c r="AI77" i="39"/>
  <c r="AH78" i="39"/>
  <c r="AI78" i="39"/>
  <c r="AH79" i="39"/>
  <c r="AI79" i="39"/>
  <c r="AH80" i="39"/>
  <c r="AI80" i="39"/>
  <c r="AH81" i="39"/>
  <c r="AI81" i="39"/>
  <c r="AH82" i="39"/>
  <c r="AI82" i="39"/>
  <c r="AH83" i="39"/>
  <c r="AR83" i="39" s="1"/>
  <c r="AI83" i="39"/>
  <c r="AH84" i="39"/>
  <c r="AI84" i="39"/>
  <c r="AH85" i="39"/>
  <c r="AI85" i="39"/>
  <c r="AH86" i="39"/>
  <c r="AI86" i="39"/>
  <c r="AH87" i="39"/>
  <c r="AN87" i="39" s="1"/>
  <c r="AI87" i="39"/>
  <c r="AH88" i="39"/>
  <c r="AI88" i="39"/>
  <c r="AH89" i="39"/>
  <c r="AI89" i="39"/>
  <c r="AH90" i="39"/>
  <c r="AI90" i="39"/>
  <c r="AH91" i="39"/>
  <c r="AR91" i="39" s="1"/>
  <c r="AI91" i="39"/>
  <c r="AH92" i="39"/>
  <c r="AI92" i="39"/>
  <c r="AH93" i="39"/>
  <c r="AI93" i="39"/>
  <c r="AH94" i="39"/>
  <c r="AI94" i="39"/>
  <c r="AH95" i="39"/>
  <c r="AN95" i="39" s="1"/>
  <c r="AI95" i="39"/>
  <c r="AH96" i="39"/>
  <c r="AI96" i="39"/>
  <c r="AH97" i="39"/>
  <c r="AI97" i="39"/>
  <c r="AH98" i="39"/>
  <c r="AI98" i="39"/>
  <c r="AH99" i="39"/>
  <c r="AN99" i="39" s="1"/>
  <c r="AI99" i="39"/>
  <c r="AH100" i="39"/>
  <c r="AI100" i="39"/>
  <c r="AH101" i="39"/>
  <c r="AI101" i="39"/>
  <c r="AH102" i="39"/>
  <c r="AI102" i="39"/>
  <c r="AH103" i="39"/>
  <c r="AR103" i="39" s="1"/>
  <c r="AI103" i="39"/>
  <c r="AH104" i="39"/>
  <c r="AI104" i="39"/>
  <c r="AH105" i="39"/>
  <c r="AI105" i="39"/>
  <c r="AH106" i="39"/>
  <c r="AI106" i="39"/>
  <c r="AH107" i="39"/>
  <c r="AR107" i="39" s="1"/>
  <c r="AI107" i="39"/>
  <c r="AH108" i="39"/>
  <c r="AI108" i="39"/>
  <c r="AH109" i="39"/>
  <c r="AI109" i="39"/>
  <c r="AH110" i="39"/>
  <c r="AI110" i="39"/>
  <c r="AH111" i="39"/>
  <c r="AR111" i="39" s="1"/>
  <c r="AI111" i="39"/>
  <c r="AH112" i="39"/>
  <c r="AI112" i="39"/>
  <c r="AH113" i="39"/>
  <c r="AI113" i="39"/>
  <c r="AH114" i="39"/>
  <c r="AI114" i="39"/>
  <c r="AH115" i="39"/>
  <c r="AR115" i="39" s="1"/>
  <c r="AI115" i="39"/>
  <c r="AH116" i="39"/>
  <c r="AI116" i="39"/>
  <c r="AH117" i="39"/>
  <c r="AI117" i="39"/>
  <c r="AH118" i="39"/>
  <c r="AI118" i="39"/>
  <c r="AH119" i="39"/>
  <c r="AR119" i="39" s="1"/>
  <c r="AI119" i="39"/>
  <c r="AH120" i="39"/>
  <c r="AI120" i="39"/>
  <c r="AH121" i="39"/>
  <c r="AI121" i="39"/>
  <c r="AH122" i="39"/>
  <c r="AI122" i="39"/>
  <c r="AH123" i="39"/>
  <c r="AN123" i="39" s="1"/>
  <c r="AI123" i="39"/>
  <c r="AH124" i="39"/>
  <c r="AI124" i="39"/>
  <c r="AH125" i="39"/>
  <c r="AI125" i="39"/>
  <c r="AI15" i="39"/>
  <c r="AH15" i="39"/>
  <c r="BL16" i="38"/>
  <c r="BM16" i="38"/>
  <c r="BL17" i="38"/>
  <c r="BM17" i="38"/>
  <c r="BL18" i="38"/>
  <c r="BM18" i="38"/>
  <c r="BL19" i="38"/>
  <c r="BL14" i="38" s="1"/>
  <c r="BM19" i="38"/>
  <c r="BL20" i="38"/>
  <c r="BM20" i="38"/>
  <c r="BL21" i="38"/>
  <c r="BM21" i="38"/>
  <c r="BL22" i="38"/>
  <c r="BM22" i="38"/>
  <c r="BL23" i="38"/>
  <c r="BM23" i="38"/>
  <c r="BL24" i="38"/>
  <c r="BM24" i="38"/>
  <c r="BL25" i="38"/>
  <c r="BM25" i="38"/>
  <c r="BL26" i="38"/>
  <c r="BM26" i="38"/>
  <c r="BL27" i="38"/>
  <c r="BM27" i="38"/>
  <c r="BL28" i="38"/>
  <c r="BM28" i="38"/>
  <c r="BL29" i="38"/>
  <c r="BM29" i="38"/>
  <c r="BL30" i="38"/>
  <c r="BM30" i="38"/>
  <c r="BL31" i="38"/>
  <c r="BM31" i="38"/>
  <c r="BL32" i="38"/>
  <c r="BM32" i="38"/>
  <c r="BL33" i="38"/>
  <c r="BM33" i="38"/>
  <c r="BL34" i="38"/>
  <c r="BM34" i="38"/>
  <c r="BL35" i="38"/>
  <c r="BM35" i="38"/>
  <c r="BL36" i="38"/>
  <c r="BM36" i="38"/>
  <c r="BL37" i="38"/>
  <c r="BM37" i="38"/>
  <c r="BL38" i="38"/>
  <c r="BM38" i="38"/>
  <c r="BL39" i="38"/>
  <c r="BM39" i="38"/>
  <c r="BL40" i="38"/>
  <c r="BM40" i="38"/>
  <c r="BL41" i="38"/>
  <c r="BM41" i="38"/>
  <c r="BL42" i="38"/>
  <c r="BM42" i="38"/>
  <c r="BL43" i="38"/>
  <c r="BM43" i="38"/>
  <c r="BL44" i="38"/>
  <c r="BM44" i="38"/>
  <c r="BL45" i="38"/>
  <c r="BM45" i="38"/>
  <c r="BL46" i="38"/>
  <c r="BM46" i="38"/>
  <c r="BL47" i="38"/>
  <c r="BM47" i="38"/>
  <c r="BL48" i="38"/>
  <c r="BM48" i="38"/>
  <c r="BL49" i="38"/>
  <c r="BM49" i="38"/>
  <c r="BL50" i="38"/>
  <c r="BM50" i="38"/>
  <c r="BL51" i="38"/>
  <c r="BM51" i="38"/>
  <c r="BL52" i="38"/>
  <c r="BM52" i="38"/>
  <c r="BL53" i="38"/>
  <c r="BM53" i="38"/>
  <c r="BL54" i="38"/>
  <c r="BM54" i="38"/>
  <c r="BL55" i="38"/>
  <c r="BM55" i="38"/>
  <c r="BL56" i="38"/>
  <c r="BM56" i="38"/>
  <c r="BL57" i="38"/>
  <c r="BM57" i="38"/>
  <c r="BL58" i="38"/>
  <c r="BM58" i="38"/>
  <c r="BL59" i="38"/>
  <c r="BM59" i="38"/>
  <c r="BL60" i="38"/>
  <c r="BM60" i="38"/>
  <c r="BL61" i="38"/>
  <c r="BM61" i="38"/>
  <c r="BL62" i="38"/>
  <c r="BM62" i="38"/>
  <c r="BL63" i="38"/>
  <c r="BM63" i="38"/>
  <c r="BL64" i="38"/>
  <c r="BM64" i="38"/>
  <c r="BL65" i="38"/>
  <c r="BM65" i="38"/>
  <c r="BL66" i="38"/>
  <c r="BM66" i="38"/>
  <c r="BL67" i="38"/>
  <c r="BM67" i="38"/>
  <c r="BL68" i="38"/>
  <c r="BM68" i="38"/>
  <c r="BL69" i="38"/>
  <c r="BM69" i="38"/>
  <c r="BL70" i="38"/>
  <c r="BM70" i="38"/>
  <c r="BL71" i="38"/>
  <c r="BM71" i="38"/>
  <c r="BL72" i="38"/>
  <c r="BM72" i="38"/>
  <c r="BL73" i="38"/>
  <c r="BM73" i="38"/>
  <c r="BL74" i="38"/>
  <c r="BM74" i="38"/>
  <c r="BL75" i="38"/>
  <c r="BM75" i="38"/>
  <c r="BL76" i="38"/>
  <c r="BM76" i="38"/>
  <c r="BL77" i="38"/>
  <c r="BM77" i="38"/>
  <c r="BL78" i="38"/>
  <c r="BM78" i="38"/>
  <c r="BL79" i="38"/>
  <c r="BM79" i="38"/>
  <c r="BL80" i="38"/>
  <c r="BM80" i="38"/>
  <c r="BL81" i="38"/>
  <c r="BM81" i="38"/>
  <c r="BL82" i="38"/>
  <c r="BM82" i="38"/>
  <c r="BL83" i="38"/>
  <c r="BM83" i="38"/>
  <c r="BL84" i="38"/>
  <c r="BM84" i="38"/>
  <c r="BL85" i="38"/>
  <c r="BM85" i="38"/>
  <c r="BL86" i="38"/>
  <c r="BM86" i="38"/>
  <c r="BL87" i="38"/>
  <c r="BM87" i="38"/>
  <c r="BL88" i="38"/>
  <c r="BM88" i="38"/>
  <c r="BL89" i="38"/>
  <c r="BM89" i="38"/>
  <c r="BL90" i="38"/>
  <c r="BM90" i="38"/>
  <c r="BL91" i="38"/>
  <c r="BM91" i="38"/>
  <c r="BL92" i="38"/>
  <c r="BM92" i="38"/>
  <c r="BL93" i="38"/>
  <c r="BM93" i="38"/>
  <c r="BL94" i="38"/>
  <c r="BM94" i="38"/>
  <c r="BL95" i="38"/>
  <c r="BM95" i="38"/>
  <c r="BL96" i="38"/>
  <c r="BM96" i="38"/>
  <c r="BL97" i="38"/>
  <c r="BM97" i="38"/>
  <c r="BL98" i="38"/>
  <c r="BM98" i="38"/>
  <c r="BL99" i="38"/>
  <c r="BM99" i="38"/>
  <c r="BL100" i="38"/>
  <c r="BM100" i="38"/>
  <c r="BL101" i="38"/>
  <c r="BM101" i="38"/>
  <c r="BL102" i="38"/>
  <c r="BM102" i="38"/>
  <c r="BL103" i="38"/>
  <c r="BM103" i="38"/>
  <c r="BL104" i="38"/>
  <c r="BM104" i="38"/>
  <c r="BL105" i="38"/>
  <c r="BM105" i="38"/>
  <c r="BL106" i="38"/>
  <c r="BM106" i="38"/>
  <c r="BL107" i="38"/>
  <c r="BM107" i="38"/>
  <c r="BL108" i="38"/>
  <c r="BM108" i="38"/>
  <c r="BL109" i="38"/>
  <c r="BM109" i="38"/>
  <c r="BL110" i="38"/>
  <c r="BM110" i="38"/>
  <c r="BL111" i="38"/>
  <c r="BM111" i="38"/>
  <c r="BL112" i="38"/>
  <c r="BM112" i="38"/>
  <c r="BL113" i="38"/>
  <c r="BM113" i="38"/>
  <c r="BL114" i="38"/>
  <c r="BM114" i="38"/>
  <c r="BL115" i="38"/>
  <c r="BM115" i="38"/>
  <c r="BL116" i="38"/>
  <c r="BM116" i="38"/>
  <c r="BL117" i="38"/>
  <c r="BM117" i="38"/>
  <c r="BL118" i="38"/>
  <c r="BM118" i="38"/>
  <c r="BL119" i="38"/>
  <c r="BR119" i="38" s="1"/>
  <c r="BM119" i="38"/>
  <c r="BL120" i="38"/>
  <c r="BM120" i="38"/>
  <c r="BL121" i="38"/>
  <c r="BM121" i="38"/>
  <c r="BL122" i="38"/>
  <c r="BM122" i="38"/>
  <c r="BL123" i="38"/>
  <c r="BR123" i="38" s="1"/>
  <c r="BM123" i="38"/>
  <c r="BL124" i="38"/>
  <c r="BM124" i="38"/>
  <c r="BL125" i="38"/>
  <c r="BM125" i="38"/>
  <c r="BM15" i="38"/>
  <c r="BL15" i="38"/>
  <c r="AW16" i="38"/>
  <c r="AX16" i="38"/>
  <c r="AW17" i="38"/>
  <c r="AX17" i="38"/>
  <c r="AW18" i="38"/>
  <c r="AX18" i="38"/>
  <c r="AW19" i="38"/>
  <c r="AX19" i="38"/>
  <c r="AX14" i="38" s="1"/>
  <c r="AW20" i="38"/>
  <c r="AX20" i="38"/>
  <c r="AW21" i="38"/>
  <c r="AX21" i="38"/>
  <c r="AW22" i="38"/>
  <c r="AX22" i="38"/>
  <c r="AW23" i="38"/>
  <c r="AX23" i="38"/>
  <c r="AW24" i="38"/>
  <c r="AX24" i="38"/>
  <c r="AW25" i="38"/>
  <c r="AX25" i="38"/>
  <c r="AW26" i="38"/>
  <c r="AX26" i="38"/>
  <c r="AW27" i="38"/>
  <c r="AX27" i="38"/>
  <c r="AW28" i="38"/>
  <c r="AX28" i="38"/>
  <c r="AW29" i="38"/>
  <c r="AX29" i="38"/>
  <c r="AW30" i="38"/>
  <c r="AX30" i="38"/>
  <c r="AW31" i="38"/>
  <c r="AX31" i="38"/>
  <c r="AW32" i="38"/>
  <c r="AX32" i="38"/>
  <c r="AW33" i="38"/>
  <c r="AX33" i="38"/>
  <c r="AW34" i="38"/>
  <c r="AX34" i="38"/>
  <c r="AW35" i="38"/>
  <c r="AX35" i="38"/>
  <c r="AW36" i="38"/>
  <c r="AX36" i="38"/>
  <c r="AW37" i="38"/>
  <c r="AX37" i="38"/>
  <c r="AW38" i="38"/>
  <c r="AX38" i="38"/>
  <c r="AW39" i="38"/>
  <c r="AX39" i="38"/>
  <c r="AW40" i="38"/>
  <c r="AX40" i="38"/>
  <c r="AW41" i="38"/>
  <c r="AX41" i="38"/>
  <c r="AW42" i="38"/>
  <c r="AX42" i="38"/>
  <c r="AW43" i="38"/>
  <c r="AX43" i="38"/>
  <c r="AW44" i="38"/>
  <c r="AX44" i="38"/>
  <c r="AW45" i="38"/>
  <c r="AX45" i="38"/>
  <c r="AW46" i="38"/>
  <c r="AX46" i="38"/>
  <c r="AW47" i="38"/>
  <c r="AX47" i="38"/>
  <c r="AW48" i="38"/>
  <c r="AX48" i="38"/>
  <c r="AW49" i="38"/>
  <c r="AX49" i="38"/>
  <c r="AW50" i="38"/>
  <c r="AX50" i="38"/>
  <c r="AW51" i="38"/>
  <c r="AX51" i="38"/>
  <c r="AW52" i="38"/>
  <c r="AX52" i="38"/>
  <c r="AW53" i="38"/>
  <c r="AX53" i="38"/>
  <c r="AW54" i="38"/>
  <c r="AX54" i="38"/>
  <c r="AW55" i="38"/>
  <c r="AX55" i="38"/>
  <c r="AW56" i="38"/>
  <c r="AX56" i="38"/>
  <c r="AW57" i="38"/>
  <c r="AX57" i="38"/>
  <c r="AW58" i="38"/>
  <c r="AX58" i="38"/>
  <c r="AW59" i="38"/>
  <c r="AX59" i="38"/>
  <c r="AW60" i="38"/>
  <c r="AX60" i="38"/>
  <c r="AW61" i="38"/>
  <c r="AX61" i="38"/>
  <c r="AW62" i="38"/>
  <c r="AX62" i="38"/>
  <c r="AW63" i="38"/>
  <c r="AX63" i="38"/>
  <c r="AW64" i="38"/>
  <c r="AX64" i="38"/>
  <c r="AW65" i="38"/>
  <c r="AX65" i="38"/>
  <c r="AW66" i="38"/>
  <c r="AX66" i="38"/>
  <c r="AW67" i="38"/>
  <c r="AX67" i="38"/>
  <c r="AW68" i="38"/>
  <c r="AX68" i="38"/>
  <c r="AW69" i="38"/>
  <c r="AX69" i="38"/>
  <c r="AW70" i="38"/>
  <c r="AX70" i="38"/>
  <c r="AW71" i="38"/>
  <c r="AX71" i="38"/>
  <c r="AW72" i="38"/>
  <c r="AX72" i="38"/>
  <c r="AW73" i="38"/>
  <c r="AX73" i="38"/>
  <c r="AW74" i="38"/>
  <c r="AX74" i="38"/>
  <c r="AW75" i="38"/>
  <c r="AX75" i="38"/>
  <c r="AW76" i="38"/>
  <c r="AX76" i="38"/>
  <c r="AW77" i="38"/>
  <c r="AX77" i="38"/>
  <c r="AW78" i="38"/>
  <c r="AX78" i="38"/>
  <c r="AW79" i="38"/>
  <c r="AX79" i="38"/>
  <c r="AW80" i="38"/>
  <c r="AX80" i="38"/>
  <c r="AW81" i="38"/>
  <c r="AX81" i="38"/>
  <c r="AW82" i="38"/>
  <c r="AX82" i="38"/>
  <c r="AW83" i="38"/>
  <c r="AX83" i="38"/>
  <c r="AW84" i="38"/>
  <c r="AX84" i="38"/>
  <c r="AW85" i="38"/>
  <c r="AX85" i="38"/>
  <c r="AW86" i="38"/>
  <c r="AX86" i="38"/>
  <c r="AW87" i="38"/>
  <c r="AX87" i="38"/>
  <c r="AW88" i="38"/>
  <c r="AX88" i="38"/>
  <c r="AW89" i="38"/>
  <c r="AX89" i="38"/>
  <c r="AW90" i="38"/>
  <c r="AX90" i="38"/>
  <c r="AW91" i="38"/>
  <c r="AX91" i="38"/>
  <c r="AW92" i="38"/>
  <c r="AX92" i="38"/>
  <c r="AW93" i="38"/>
  <c r="AX93" i="38"/>
  <c r="AW94" i="38"/>
  <c r="AX94" i="38"/>
  <c r="AW95" i="38"/>
  <c r="AX95" i="38"/>
  <c r="AW96" i="38"/>
  <c r="AX96" i="38"/>
  <c r="AW97" i="38"/>
  <c r="AX97" i="38"/>
  <c r="AW98" i="38"/>
  <c r="AX98" i="38"/>
  <c r="AW99" i="38"/>
  <c r="AX99" i="38"/>
  <c r="AW100" i="38"/>
  <c r="AX100" i="38"/>
  <c r="AW101" i="38"/>
  <c r="AX101" i="38"/>
  <c r="AW102" i="38"/>
  <c r="AX102" i="38"/>
  <c r="AW103" i="38"/>
  <c r="AX103" i="38"/>
  <c r="AW104" i="38"/>
  <c r="AX104" i="38"/>
  <c r="AW105" i="38"/>
  <c r="AX105" i="38"/>
  <c r="AW106" i="38"/>
  <c r="AX106" i="38"/>
  <c r="AW107" i="38"/>
  <c r="AX107" i="38"/>
  <c r="AW108" i="38"/>
  <c r="AX108" i="38"/>
  <c r="AW109" i="38"/>
  <c r="AX109" i="38"/>
  <c r="AW110" i="38"/>
  <c r="AX110" i="38"/>
  <c r="AW111" i="38"/>
  <c r="AX111" i="38"/>
  <c r="AW112" i="38"/>
  <c r="AX112" i="38"/>
  <c r="AW113" i="38"/>
  <c r="AX113" i="38"/>
  <c r="AW114" i="38"/>
  <c r="AX114" i="38"/>
  <c r="AW115" i="38"/>
  <c r="AX115" i="38"/>
  <c r="AW116" i="38"/>
  <c r="AX116" i="38"/>
  <c r="AW117" i="38"/>
  <c r="AX117" i="38"/>
  <c r="AW118" i="38"/>
  <c r="AX118" i="38"/>
  <c r="AW119" i="38"/>
  <c r="AX119" i="38"/>
  <c r="BH119" i="38" s="1"/>
  <c r="AW120" i="38"/>
  <c r="AX120" i="38"/>
  <c r="AW121" i="38"/>
  <c r="AX121" i="38"/>
  <c r="AW122" i="38"/>
  <c r="AX122" i="38"/>
  <c r="AW123" i="38"/>
  <c r="AX123" i="38"/>
  <c r="BH123" i="38" s="1"/>
  <c r="AW124" i="38"/>
  <c r="AX124" i="38"/>
  <c r="AW125" i="38"/>
  <c r="AX125" i="38"/>
  <c r="AX15" i="38"/>
  <c r="AW15" i="38"/>
  <c r="AH16" i="38"/>
  <c r="AI16" i="38"/>
  <c r="AH17" i="38"/>
  <c r="AI17" i="38"/>
  <c r="AH18" i="38"/>
  <c r="AI18" i="38"/>
  <c r="AH19" i="38"/>
  <c r="AI19" i="38"/>
  <c r="AI14" i="38" s="1"/>
  <c r="AH20" i="38"/>
  <c r="AI20" i="38"/>
  <c r="AH21" i="38"/>
  <c r="AI21" i="38"/>
  <c r="AH22" i="38"/>
  <c r="AI22" i="38"/>
  <c r="AH23" i="38"/>
  <c r="AI23" i="38"/>
  <c r="AH24" i="38"/>
  <c r="AI24" i="38"/>
  <c r="AH25" i="38"/>
  <c r="AI25" i="38"/>
  <c r="AH26" i="38"/>
  <c r="AI26" i="38"/>
  <c r="AH27" i="38"/>
  <c r="AI27" i="38"/>
  <c r="AH28" i="38"/>
  <c r="AI28" i="38"/>
  <c r="AH29" i="38"/>
  <c r="AI29" i="38"/>
  <c r="AH30" i="38"/>
  <c r="AI30" i="38"/>
  <c r="AH31" i="38"/>
  <c r="AI31" i="38"/>
  <c r="AH32" i="38"/>
  <c r="AI32" i="38"/>
  <c r="AH33" i="38"/>
  <c r="AI33" i="38"/>
  <c r="AH34" i="38"/>
  <c r="AI34" i="38"/>
  <c r="AH35" i="38"/>
  <c r="AI35" i="38"/>
  <c r="AH36" i="38"/>
  <c r="AI36" i="38"/>
  <c r="AH37" i="38"/>
  <c r="AI37" i="38"/>
  <c r="AH38" i="38"/>
  <c r="AI38" i="38"/>
  <c r="AH39" i="38"/>
  <c r="AI39" i="38"/>
  <c r="AH40" i="38"/>
  <c r="AI40" i="38"/>
  <c r="AH41" i="38"/>
  <c r="AI41" i="38"/>
  <c r="AH42" i="38"/>
  <c r="AI42" i="38"/>
  <c r="AH43" i="38"/>
  <c r="AI43" i="38"/>
  <c r="AH44" i="38"/>
  <c r="AI44" i="38"/>
  <c r="AH45" i="38"/>
  <c r="AI45" i="38"/>
  <c r="AH46" i="38"/>
  <c r="AI46" i="38"/>
  <c r="AH47" i="38"/>
  <c r="AI47" i="38"/>
  <c r="AH48" i="38"/>
  <c r="AI48" i="38"/>
  <c r="AH49" i="38"/>
  <c r="AI49" i="38"/>
  <c r="AH50" i="38"/>
  <c r="AI50" i="38"/>
  <c r="AH51" i="38"/>
  <c r="AI51" i="38"/>
  <c r="AH52" i="38"/>
  <c r="AI52" i="38"/>
  <c r="AH53" i="38"/>
  <c r="AI53" i="38"/>
  <c r="AH54" i="38"/>
  <c r="AI54" i="38"/>
  <c r="AH55" i="38"/>
  <c r="AI55" i="38"/>
  <c r="AO55" i="38" s="1"/>
  <c r="AS55" i="38" s="1"/>
  <c r="AH56" i="38"/>
  <c r="AI56" i="38"/>
  <c r="AH57" i="38"/>
  <c r="AI57" i="38"/>
  <c r="AH58" i="38"/>
  <c r="AI58" i="38"/>
  <c r="AH59" i="38"/>
  <c r="AI59" i="38"/>
  <c r="AH60" i="38"/>
  <c r="AI60" i="38"/>
  <c r="AH61" i="38"/>
  <c r="AI61" i="38"/>
  <c r="AH62" i="38"/>
  <c r="AI62" i="38"/>
  <c r="AH63" i="38"/>
  <c r="AI63" i="38"/>
  <c r="AH64" i="38"/>
  <c r="AI64" i="38"/>
  <c r="AH65" i="38"/>
  <c r="AI65" i="38"/>
  <c r="AH66" i="38"/>
  <c r="AI66" i="38"/>
  <c r="AH67" i="38"/>
  <c r="AI67" i="38"/>
  <c r="AH68" i="38"/>
  <c r="AI68" i="38"/>
  <c r="AH69" i="38"/>
  <c r="AI69" i="38"/>
  <c r="AH70" i="38"/>
  <c r="AI70" i="38"/>
  <c r="AH71" i="38"/>
  <c r="AI71" i="38"/>
  <c r="AH72" i="38"/>
  <c r="AI72" i="38"/>
  <c r="AH73" i="38"/>
  <c r="AI73" i="38"/>
  <c r="AH74" i="38"/>
  <c r="AI74" i="38"/>
  <c r="AH75" i="38"/>
  <c r="AI75" i="38"/>
  <c r="AH76" i="38"/>
  <c r="AI76" i="38"/>
  <c r="AH77" i="38"/>
  <c r="AI77" i="38"/>
  <c r="AH78" i="38"/>
  <c r="AI78" i="38"/>
  <c r="AH79" i="38"/>
  <c r="AI79" i="38"/>
  <c r="AH80" i="38"/>
  <c r="AI80" i="38"/>
  <c r="AH81" i="38"/>
  <c r="AI81" i="38"/>
  <c r="AH82" i="38"/>
  <c r="AI82" i="38"/>
  <c r="AH83" i="38"/>
  <c r="AI83" i="38"/>
  <c r="AH84" i="38"/>
  <c r="AI84" i="38"/>
  <c r="AH85" i="38"/>
  <c r="AI85" i="38"/>
  <c r="AH86" i="38"/>
  <c r="AI86" i="38"/>
  <c r="AH87" i="38"/>
  <c r="AI87" i="38"/>
  <c r="AH88" i="38"/>
  <c r="AI88" i="38"/>
  <c r="AH89" i="38"/>
  <c r="AI89" i="38"/>
  <c r="AH90" i="38"/>
  <c r="AI90" i="38"/>
  <c r="AH91" i="38"/>
  <c r="AI91" i="38"/>
  <c r="AH92" i="38"/>
  <c r="AI92" i="38"/>
  <c r="AH93" i="38"/>
  <c r="AI93" i="38"/>
  <c r="AH94" i="38"/>
  <c r="AI94" i="38"/>
  <c r="AH95" i="38"/>
  <c r="AI95" i="38"/>
  <c r="AH96" i="38"/>
  <c r="AI96" i="38"/>
  <c r="AH97" i="38"/>
  <c r="AI97" i="38"/>
  <c r="AH98" i="38"/>
  <c r="AI98" i="38"/>
  <c r="AH99" i="38"/>
  <c r="AI99" i="38"/>
  <c r="AH100" i="38"/>
  <c r="AI100" i="38"/>
  <c r="AH101" i="38"/>
  <c r="AI101" i="38"/>
  <c r="AH102" i="38"/>
  <c r="AI102" i="38"/>
  <c r="AH103" i="38"/>
  <c r="AI103" i="38"/>
  <c r="AH104" i="38"/>
  <c r="AI104" i="38"/>
  <c r="AH105" i="38"/>
  <c r="AI105" i="38"/>
  <c r="AH106" i="38"/>
  <c r="AI106" i="38"/>
  <c r="AH107" i="38"/>
  <c r="AI107" i="38"/>
  <c r="AH108" i="38"/>
  <c r="AI108" i="38"/>
  <c r="AH109" i="38"/>
  <c r="AI109" i="38"/>
  <c r="AH110" i="38"/>
  <c r="AI110" i="38"/>
  <c r="AH111" i="38"/>
  <c r="AI111" i="38"/>
  <c r="AH112" i="38"/>
  <c r="AI112" i="38"/>
  <c r="AH113" i="38"/>
  <c r="AI113" i="38"/>
  <c r="AH114" i="38"/>
  <c r="AI114" i="38"/>
  <c r="AH115" i="38"/>
  <c r="AI115" i="38"/>
  <c r="AH116" i="38"/>
  <c r="AI116" i="38"/>
  <c r="AH117" i="38"/>
  <c r="AI117" i="38"/>
  <c r="AH118" i="38"/>
  <c r="AI118" i="38"/>
  <c r="AH119" i="38"/>
  <c r="AI119" i="38"/>
  <c r="AS119" i="38" s="1"/>
  <c r="AH120" i="38"/>
  <c r="AI120" i="38"/>
  <c r="AH121" i="38"/>
  <c r="AI121" i="38"/>
  <c r="AH122" i="38"/>
  <c r="AI122" i="38"/>
  <c r="AH123" i="38"/>
  <c r="AI123" i="38"/>
  <c r="AO123" i="38" s="1"/>
  <c r="AH124" i="38"/>
  <c r="AI124" i="38"/>
  <c r="AH125" i="38"/>
  <c r="AI125" i="38"/>
  <c r="AI15" i="38"/>
  <c r="AH15" i="38"/>
  <c r="BL16" i="37"/>
  <c r="BM16" i="37"/>
  <c r="BL17" i="37"/>
  <c r="BM17" i="37"/>
  <c r="BL18" i="37"/>
  <c r="BM18" i="37"/>
  <c r="BL19" i="37"/>
  <c r="BL14" i="37" s="1"/>
  <c r="BM19" i="37"/>
  <c r="BL20" i="37"/>
  <c r="BM20" i="37"/>
  <c r="BL21" i="37"/>
  <c r="BM21" i="37"/>
  <c r="BL22" i="37"/>
  <c r="BM22" i="37"/>
  <c r="BL23" i="37"/>
  <c r="BM23" i="37"/>
  <c r="BL24" i="37"/>
  <c r="BM24" i="37"/>
  <c r="BL25" i="37"/>
  <c r="BM25" i="37"/>
  <c r="BL26" i="37"/>
  <c r="BM26" i="37"/>
  <c r="BL27" i="37"/>
  <c r="BM27" i="37"/>
  <c r="BL28" i="37"/>
  <c r="BM28" i="37"/>
  <c r="BL29" i="37"/>
  <c r="BM29" i="37"/>
  <c r="BL30" i="37"/>
  <c r="BM30" i="37"/>
  <c r="BL31" i="37"/>
  <c r="BM31" i="37"/>
  <c r="BL32" i="37"/>
  <c r="BM32" i="37"/>
  <c r="BL33" i="37"/>
  <c r="BM33" i="37"/>
  <c r="BL34" i="37"/>
  <c r="BM34" i="37"/>
  <c r="BL35" i="37"/>
  <c r="BM35" i="37"/>
  <c r="BL36" i="37"/>
  <c r="BM36" i="37"/>
  <c r="BL37" i="37"/>
  <c r="BM37" i="37"/>
  <c r="BL38" i="37"/>
  <c r="BM38" i="37"/>
  <c r="BL39" i="37"/>
  <c r="BM39" i="37"/>
  <c r="BL40" i="37"/>
  <c r="BM40" i="37"/>
  <c r="BL41" i="37"/>
  <c r="BM41" i="37"/>
  <c r="BL42" i="37"/>
  <c r="BM42" i="37"/>
  <c r="BL43" i="37"/>
  <c r="BM43" i="37"/>
  <c r="BL44" i="37"/>
  <c r="BM44" i="37"/>
  <c r="BL45" i="37"/>
  <c r="BM45" i="37"/>
  <c r="BL46" i="37"/>
  <c r="BM46" i="37"/>
  <c r="BL47" i="37"/>
  <c r="BM47" i="37"/>
  <c r="BL48" i="37"/>
  <c r="BM48" i="37"/>
  <c r="BL49" i="37"/>
  <c r="BM49" i="37"/>
  <c r="BL50" i="37"/>
  <c r="BM50" i="37"/>
  <c r="BL51" i="37"/>
  <c r="BM51" i="37"/>
  <c r="BL52" i="37"/>
  <c r="BM52" i="37"/>
  <c r="BL53" i="37"/>
  <c r="BM53" i="37"/>
  <c r="BL54" i="37"/>
  <c r="BM54" i="37"/>
  <c r="BL55" i="37"/>
  <c r="BM55" i="37"/>
  <c r="BL56" i="37"/>
  <c r="BM56" i="37"/>
  <c r="BL57" i="37"/>
  <c r="BM57" i="37"/>
  <c r="BL58" i="37"/>
  <c r="BM58" i="37"/>
  <c r="BL59" i="37"/>
  <c r="BM59" i="37"/>
  <c r="BL60" i="37"/>
  <c r="BM60" i="37"/>
  <c r="BL61" i="37"/>
  <c r="BM61" i="37"/>
  <c r="BL62" i="37"/>
  <c r="BM62" i="37"/>
  <c r="BL63" i="37"/>
  <c r="BM63" i="37"/>
  <c r="BL64" i="37"/>
  <c r="BM64" i="37"/>
  <c r="BL65" i="37"/>
  <c r="BM65" i="37"/>
  <c r="BL66" i="37"/>
  <c r="BM66" i="37"/>
  <c r="BL67" i="37"/>
  <c r="BM67" i="37"/>
  <c r="BL68" i="37"/>
  <c r="BM68" i="37"/>
  <c r="BL69" i="37"/>
  <c r="BM69" i="37"/>
  <c r="BL70" i="37"/>
  <c r="BM70" i="37"/>
  <c r="BL71" i="37"/>
  <c r="BM71" i="37"/>
  <c r="BL72" i="37"/>
  <c r="BM72" i="37"/>
  <c r="BL73" i="37"/>
  <c r="BM73" i="37"/>
  <c r="BL74" i="37"/>
  <c r="BM74" i="37"/>
  <c r="BL75" i="37"/>
  <c r="BM75" i="37"/>
  <c r="BL76" i="37"/>
  <c r="BM76" i="37"/>
  <c r="BL77" i="37"/>
  <c r="BM77" i="37"/>
  <c r="BL78" i="37"/>
  <c r="BM78" i="37"/>
  <c r="BL79" i="37"/>
  <c r="BM79" i="37"/>
  <c r="BL80" i="37"/>
  <c r="BM80" i="37"/>
  <c r="BL81" i="37"/>
  <c r="BM81" i="37"/>
  <c r="BL82" i="37"/>
  <c r="BM82" i="37"/>
  <c r="BL83" i="37"/>
  <c r="BM83" i="37"/>
  <c r="BL84" i="37"/>
  <c r="BM84" i="37"/>
  <c r="BL85" i="37"/>
  <c r="BM85" i="37"/>
  <c r="BL86" i="37"/>
  <c r="BM86" i="37"/>
  <c r="BL87" i="37"/>
  <c r="BM87" i="37"/>
  <c r="BL88" i="37"/>
  <c r="BM88" i="37"/>
  <c r="BL89" i="37"/>
  <c r="BM89" i="37"/>
  <c r="BL90" i="37"/>
  <c r="BM90" i="37"/>
  <c r="BL91" i="37"/>
  <c r="BM91" i="37"/>
  <c r="BL92" i="37"/>
  <c r="BM92" i="37"/>
  <c r="BL93" i="37"/>
  <c r="BM93" i="37"/>
  <c r="BL94" i="37"/>
  <c r="BM94" i="37"/>
  <c r="BL95" i="37"/>
  <c r="BM95" i="37"/>
  <c r="BL96" i="37"/>
  <c r="BM96" i="37"/>
  <c r="BL97" i="37"/>
  <c r="BM97" i="37"/>
  <c r="BL98" i="37"/>
  <c r="BM98" i="37"/>
  <c r="BL99" i="37"/>
  <c r="BM99" i="37"/>
  <c r="BL100" i="37"/>
  <c r="BM100" i="37"/>
  <c r="BL101" i="37"/>
  <c r="BM101" i="37"/>
  <c r="BL102" i="37"/>
  <c r="BM102" i="37"/>
  <c r="BL103" i="37"/>
  <c r="BM103" i="37"/>
  <c r="BL104" i="37"/>
  <c r="BM104" i="37"/>
  <c r="BL105" i="37"/>
  <c r="BM105" i="37"/>
  <c r="BL106" i="37"/>
  <c r="BM106" i="37"/>
  <c r="BL107" i="37"/>
  <c r="BM107" i="37"/>
  <c r="BL108" i="37"/>
  <c r="BM108" i="37"/>
  <c r="BL109" i="37"/>
  <c r="BM109" i="37"/>
  <c r="BL110" i="37"/>
  <c r="BM110" i="37"/>
  <c r="BL111" i="37"/>
  <c r="BM111" i="37"/>
  <c r="BL112" i="37"/>
  <c r="BM112" i="37"/>
  <c r="BL113" i="37"/>
  <c r="BM113" i="37"/>
  <c r="BL114" i="37"/>
  <c r="BM114" i="37"/>
  <c r="BL115" i="37"/>
  <c r="BM115" i="37"/>
  <c r="BL116" i="37"/>
  <c r="BM116" i="37"/>
  <c r="BL117" i="37"/>
  <c r="BM117" i="37"/>
  <c r="BL118" i="37"/>
  <c r="BM118" i="37"/>
  <c r="BL119" i="37"/>
  <c r="BR119" i="37" s="1"/>
  <c r="BM119" i="37"/>
  <c r="BL120" i="37"/>
  <c r="BM120" i="37"/>
  <c r="BL121" i="37"/>
  <c r="BM121" i="37"/>
  <c r="BL122" i="37"/>
  <c r="BM122" i="37"/>
  <c r="BL123" i="37"/>
  <c r="BV123" i="37" s="1"/>
  <c r="BM123" i="37"/>
  <c r="BL124" i="37"/>
  <c r="BM124" i="37"/>
  <c r="BL125" i="37"/>
  <c r="BM125" i="37"/>
  <c r="BM15" i="37"/>
  <c r="BL15" i="37"/>
  <c r="AW16" i="37"/>
  <c r="AX16" i="37"/>
  <c r="AW17" i="37"/>
  <c r="AX17" i="37"/>
  <c r="AW18" i="37"/>
  <c r="AX18" i="37"/>
  <c r="AW19" i="37"/>
  <c r="AX19" i="37"/>
  <c r="AW20" i="37"/>
  <c r="AX20" i="37"/>
  <c r="AW21" i="37"/>
  <c r="AX21" i="37"/>
  <c r="AW22" i="37"/>
  <c r="AX22" i="37"/>
  <c r="AW23" i="37"/>
  <c r="AX23" i="37"/>
  <c r="AW24" i="37"/>
  <c r="AX24" i="37"/>
  <c r="AW25" i="37"/>
  <c r="AX25" i="37"/>
  <c r="AW26" i="37"/>
  <c r="AX26" i="37"/>
  <c r="AW27" i="37"/>
  <c r="AX27" i="37"/>
  <c r="AW28" i="37"/>
  <c r="AX28" i="37"/>
  <c r="AW29" i="37"/>
  <c r="AX29" i="37"/>
  <c r="AW30" i="37"/>
  <c r="AX30" i="37"/>
  <c r="AW31" i="37"/>
  <c r="AX31" i="37"/>
  <c r="AW32" i="37"/>
  <c r="AX32" i="37"/>
  <c r="AW33" i="37"/>
  <c r="AX33" i="37"/>
  <c r="AW34" i="37"/>
  <c r="AX34" i="37"/>
  <c r="AW35" i="37"/>
  <c r="AX35" i="37"/>
  <c r="AW36" i="37"/>
  <c r="AX36" i="37"/>
  <c r="AW37" i="37"/>
  <c r="AX37" i="37"/>
  <c r="AW38" i="37"/>
  <c r="AX38" i="37"/>
  <c r="AW39" i="37"/>
  <c r="AX39" i="37"/>
  <c r="AW40" i="37"/>
  <c r="AX40" i="37"/>
  <c r="AW41" i="37"/>
  <c r="AX41" i="37"/>
  <c r="AW42" i="37"/>
  <c r="AX42" i="37"/>
  <c r="AW43" i="37"/>
  <c r="AX43" i="37"/>
  <c r="AW44" i="37"/>
  <c r="AX44" i="37"/>
  <c r="AW45" i="37"/>
  <c r="AX45" i="37"/>
  <c r="AW46" i="37"/>
  <c r="AX46" i="37"/>
  <c r="AW47" i="37"/>
  <c r="AX47" i="37"/>
  <c r="AW48" i="37"/>
  <c r="AX48" i="37"/>
  <c r="AW49" i="37"/>
  <c r="AX49" i="37"/>
  <c r="AW50" i="37"/>
  <c r="AX50" i="37"/>
  <c r="AW51" i="37"/>
  <c r="AX51" i="37"/>
  <c r="AW52" i="37"/>
  <c r="AX52" i="37"/>
  <c r="AW53" i="37"/>
  <c r="AX53" i="37"/>
  <c r="AW54" i="37"/>
  <c r="AX54" i="37"/>
  <c r="AW55" i="37"/>
  <c r="AX55" i="37"/>
  <c r="AW56" i="37"/>
  <c r="AX56" i="37"/>
  <c r="AW57" i="37"/>
  <c r="AX57" i="37"/>
  <c r="AW58" i="37"/>
  <c r="AX58" i="37"/>
  <c r="AW59" i="37"/>
  <c r="AX59" i="37"/>
  <c r="AW60" i="37"/>
  <c r="AX60" i="37"/>
  <c r="AW61" i="37"/>
  <c r="AX61" i="37"/>
  <c r="AW62" i="37"/>
  <c r="AX62" i="37"/>
  <c r="AW63" i="37"/>
  <c r="AX63" i="37"/>
  <c r="AW64" i="37"/>
  <c r="AX64" i="37"/>
  <c r="AW65" i="37"/>
  <c r="AX65" i="37"/>
  <c r="AW66" i="37"/>
  <c r="AX66" i="37"/>
  <c r="AW67" i="37"/>
  <c r="AX67" i="37"/>
  <c r="AW68" i="37"/>
  <c r="AX68" i="37"/>
  <c r="AW69" i="37"/>
  <c r="AX69" i="37"/>
  <c r="AW70" i="37"/>
  <c r="AX70" i="37"/>
  <c r="AW71" i="37"/>
  <c r="AX71" i="37"/>
  <c r="AW72" i="37"/>
  <c r="AX72" i="37"/>
  <c r="AW73" i="37"/>
  <c r="AX73" i="37"/>
  <c r="AW74" i="37"/>
  <c r="AX74" i="37"/>
  <c r="AW75" i="37"/>
  <c r="AX75" i="37"/>
  <c r="AW76" i="37"/>
  <c r="AX76" i="37"/>
  <c r="AW77" i="37"/>
  <c r="AX77" i="37"/>
  <c r="AW78" i="37"/>
  <c r="AX78" i="37"/>
  <c r="AW79" i="37"/>
  <c r="AX79" i="37"/>
  <c r="AW80" i="37"/>
  <c r="AX80" i="37"/>
  <c r="AW81" i="37"/>
  <c r="AX81" i="37"/>
  <c r="AW82" i="37"/>
  <c r="AX82" i="37"/>
  <c r="AW83" i="37"/>
  <c r="AX83" i="37"/>
  <c r="AW84" i="37"/>
  <c r="AX84" i="37"/>
  <c r="AW85" i="37"/>
  <c r="AX85" i="37"/>
  <c r="AW86" i="37"/>
  <c r="AX86" i="37"/>
  <c r="AW87" i="37"/>
  <c r="AX87" i="37"/>
  <c r="AW88" i="37"/>
  <c r="AX88" i="37"/>
  <c r="AW89" i="37"/>
  <c r="AX89" i="37"/>
  <c r="AW90" i="37"/>
  <c r="AX90" i="37"/>
  <c r="AW91" i="37"/>
  <c r="AX91" i="37"/>
  <c r="AW92" i="37"/>
  <c r="AX92" i="37"/>
  <c r="AW93" i="37"/>
  <c r="AX93" i="37"/>
  <c r="AW94" i="37"/>
  <c r="AX94" i="37"/>
  <c r="AW95" i="37"/>
  <c r="AX95" i="37"/>
  <c r="AW96" i="37"/>
  <c r="AX96" i="37"/>
  <c r="AW97" i="37"/>
  <c r="AX97" i="37"/>
  <c r="AW98" i="37"/>
  <c r="AX98" i="37"/>
  <c r="AW99" i="37"/>
  <c r="AX99" i="37"/>
  <c r="AW100" i="37"/>
  <c r="AX100" i="37"/>
  <c r="AW101" i="37"/>
  <c r="AX101" i="37"/>
  <c r="AW102" i="37"/>
  <c r="AX102" i="37"/>
  <c r="AW103" i="37"/>
  <c r="AX103" i="37"/>
  <c r="AW104" i="37"/>
  <c r="AX104" i="37"/>
  <c r="AW105" i="37"/>
  <c r="AX105" i="37"/>
  <c r="AW106" i="37"/>
  <c r="AX106" i="37"/>
  <c r="AW107" i="37"/>
  <c r="AX107" i="37"/>
  <c r="AW108" i="37"/>
  <c r="AX108" i="37"/>
  <c r="AW109" i="37"/>
  <c r="AX109" i="37"/>
  <c r="AW110" i="37"/>
  <c r="AX110" i="37"/>
  <c r="AW111" i="37"/>
  <c r="AX111" i="37"/>
  <c r="AW112" i="37"/>
  <c r="AX112" i="37"/>
  <c r="AW113" i="37"/>
  <c r="AX113" i="37"/>
  <c r="AW114" i="37"/>
  <c r="AX114" i="37"/>
  <c r="AW115" i="37"/>
  <c r="AX115" i="37"/>
  <c r="AW116" i="37"/>
  <c r="AX116" i="37"/>
  <c r="AW117" i="37"/>
  <c r="AX117" i="37"/>
  <c r="AW118" i="37"/>
  <c r="AX118" i="37"/>
  <c r="AW119" i="37"/>
  <c r="AX119" i="37"/>
  <c r="BD119" i="37" s="1"/>
  <c r="AW120" i="37"/>
  <c r="AX120" i="37"/>
  <c r="AW121" i="37"/>
  <c r="AX121" i="37"/>
  <c r="AW122" i="37"/>
  <c r="AX122" i="37"/>
  <c r="AW123" i="37"/>
  <c r="AX123" i="37"/>
  <c r="BH123" i="37" s="1"/>
  <c r="AW124" i="37"/>
  <c r="AX124" i="37"/>
  <c r="AW125" i="37"/>
  <c r="AX125" i="37"/>
  <c r="AX15" i="37"/>
  <c r="AW15" i="37"/>
  <c r="AH16" i="37"/>
  <c r="AI16" i="37"/>
  <c r="AH17" i="37"/>
  <c r="AI17" i="37"/>
  <c r="AH18" i="37"/>
  <c r="AI18" i="37"/>
  <c r="AH19" i="37"/>
  <c r="AI19" i="37"/>
  <c r="AI14" i="37" s="1"/>
  <c r="AH20" i="37"/>
  <c r="AI20" i="37"/>
  <c r="AH21" i="37"/>
  <c r="AI21" i="37"/>
  <c r="AH22" i="37"/>
  <c r="AI22" i="37"/>
  <c r="AH23" i="37"/>
  <c r="AI23" i="37"/>
  <c r="AH24" i="37"/>
  <c r="AI24" i="37"/>
  <c r="AH25" i="37"/>
  <c r="AI25" i="37"/>
  <c r="AH26" i="37"/>
  <c r="AI26" i="37"/>
  <c r="AH27" i="37"/>
  <c r="AI27" i="37"/>
  <c r="AH28" i="37"/>
  <c r="AI28" i="37"/>
  <c r="AH29" i="37"/>
  <c r="AI29" i="37"/>
  <c r="AH30" i="37"/>
  <c r="AI30" i="37"/>
  <c r="AH31" i="37"/>
  <c r="AI31" i="37"/>
  <c r="AH32" i="37"/>
  <c r="AI32" i="37"/>
  <c r="AH33" i="37"/>
  <c r="AI33" i="37"/>
  <c r="AH34" i="37"/>
  <c r="AI34" i="37"/>
  <c r="AH35" i="37"/>
  <c r="AI35" i="37"/>
  <c r="AH36" i="37"/>
  <c r="AI36" i="37"/>
  <c r="AH37" i="37"/>
  <c r="AI37" i="37"/>
  <c r="AH38" i="37"/>
  <c r="AI38" i="37"/>
  <c r="AH39" i="37"/>
  <c r="AI39" i="37"/>
  <c r="AH40" i="37"/>
  <c r="AI40" i="37"/>
  <c r="AH41" i="37"/>
  <c r="AI41" i="37"/>
  <c r="AH42" i="37"/>
  <c r="AI42" i="37"/>
  <c r="AH43" i="37"/>
  <c r="AI43" i="37"/>
  <c r="AH44" i="37"/>
  <c r="AI44" i="37"/>
  <c r="AH45" i="37"/>
  <c r="AI45" i="37"/>
  <c r="AH46" i="37"/>
  <c r="AI46" i="37"/>
  <c r="AH47" i="37"/>
  <c r="AI47" i="37"/>
  <c r="AH48" i="37"/>
  <c r="AI48" i="37"/>
  <c r="AH49" i="37"/>
  <c r="AI49" i="37"/>
  <c r="AH50" i="37"/>
  <c r="AI50" i="37"/>
  <c r="AH51" i="37"/>
  <c r="AI51" i="37"/>
  <c r="AH52" i="37"/>
  <c r="AI52" i="37"/>
  <c r="AH53" i="37"/>
  <c r="AI53" i="37"/>
  <c r="AH54" i="37"/>
  <c r="AI54" i="37"/>
  <c r="AH55" i="37"/>
  <c r="AI55" i="37"/>
  <c r="AH56" i="37"/>
  <c r="AI56" i="37"/>
  <c r="AH57" i="37"/>
  <c r="AI57" i="37"/>
  <c r="AH58" i="37"/>
  <c r="AI58" i="37"/>
  <c r="AH59" i="37"/>
  <c r="AI59" i="37"/>
  <c r="AH60" i="37"/>
  <c r="AI60" i="37"/>
  <c r="AH61" i="37"/>
  <c r="AI61" i="37"/>
  <c r="AH62" i="37"/>
  <c r="AI62" i="37"/>
  <c r="AH63" i="37"/>
  <c r="AI63" i="37"/>
  <c r="AH64" i="37"/>
  <c r="AI64" i="37"/>
  <c r="AH65" i="37"/>
  <c r="AI65" i="37"/>
  <c r="AH66" i="37"/>
  <c r="AI66" i="37"/>
  <c r="AH67" i="37"/>
  <c r="AI67" i="37"/>
  <c r="AH68" i="37"/>
  <c r="AI68" i="37"/>
  <c r="AH69" i="37"/>
  <c r="AI69" i="37"/>
  <c r="AH70" i="37"/>
  <c r="AI70" i="37"/>
  <c r="AH71" i="37"/>
  <c r="AI71" i="37"/>
  <c r="AH72" i="37"/>
  <c r="AI72" i="37"/>
  <c r="AH73" i="37"/>
  <c r="AI73" i="37"/>
  <c r="AH74" i="37"/>
  <c r="AI74" i="37"/>
  <c r="AH75" i="37"/>
  <c r="AI75" i="37"/>
  <c r="AH76" i="37"/>
  <c r="AI76" i="37"/>
  <c r="AH77" i="37"/>
  <c r="AI77" i="37"/>
  <c r="AH78" i="37"/>
  <c r="AI78" i="37"/>
  <c r="AH79" i="37"/>
  <c r="AI79" i="37"/>
  <c r="AH80" i="37"/>
  <c r="AI80" i="37"/>
  <c r="AH81" i="37"/>
  <c r="AI81" i="37"/>
  <c r="AH82" i="37"/>
  <c r="AI82" i="37"/>
  <c r="AH83" i="37"/>
  <c r="AI83" i="37"/>
  <c r="AH84" i="37"/>
  <c r="AI84" i="37"/>
  <c r="AH85" i="37"/>
  <c r="AI85" i="37"/>
  <c r="AH86" i="37"/>
  <c r="AI86" i="37"/>
  <c r="AH87" i="37"/>
  <c r="AI87" i="37"/>
  <c r="AH88" i="37"/>
  <c r="AI88" i="37"/>
  <c r="AH89" i="37"/>
  <c r="AI89" i="37"/>
  <c r="AH90" i="37"/>
  <c r="AI90" i="37"/>
  <c r="AH91" i="37"/>
  <c r="AI91" i="37"/>
  <c r="AH92" i="37"/>
  <c r="AI92" i="37"/>
  <c r="AH93" i="37"/>
  <c r="AI93" i="37"/>
  <c r="AH94" i="37"/>
  <c r="AI94" i="37"/>
  <c r="AH95" i="37"/>
  <c r="AI95" i="37"/>
  <c r="AH96" i="37"/>
  <c r="AI96" i="37"/>
  <c r="AH97" i="37"/>
  <c r="AI97" i="37"/>
  <c r="AH98" i="37"/>
  <c r="AI98" i="37"/>
  <c r="AH99" i="37"/>
  <c r="AI99" i="37"/>
  <c r="AH100" i="37"/>
  <c r="AI100" i="37"/>
  <c r="AH101" i="37"/>
  <c r="AI101" i="37"/>
  <c r="AH102" i="37"/>
  <c r="AI102" i="37"/>
  <c r="AH103" i="37"/>
  <c r="AI103" i="37"/>
  <c r="AH104" i="37"/>
  <c r="AI104" i="37"/>
  <c r="AH105" i="37"/>
  <c r="AI105" i="37"/>
  <c r="AH106" i="37"/>
  <c r="AI106" i="37"/>
  <c r="AH107" i="37"/>
  <c r="AI107" i="37"/>
  <c r="AH108" i="37"/>
  <c r="AI108" i="37"/>
  <c r="AH109" i="37"/>
  <c r="AI109" i="37"/>
  <c r="AH110" i="37"/>
  <c r="AI110" i="37"/>
  <c r="AH111" i="37"/>
  <c r="AI111" i="37"/>
  <c r="AH112" i="37"/>
  <c r="AI112" i="37"/>
  <c r="AH113" i="37"/>
  <c r="AI113" i="37"/>
  <c r="AH114" i="37"/>
  <c r="AI114" i="37"/>
  <c r="AH115" i="37"/>
  <c r="AI115" i="37"/>
  <c r="AH116" i="37"/>
  <c r="AI116" i="37"/>
  <c r="AH117" i="37"/>
  <c r="AI117" i="37"/>
  <c r="AH118" i="37"/>
  <c r="AI118" i="37"/>
  <c r="AH119" i="37"/>
  <c r="AI119" i="37"/>
  <c r="AO119" i="37" s="1"/>
  <c r="AH120" i="37"/>
  <c r="AI120" i="37"/>
  <c r="AH121" i="37"/>
  <c r="AI121" i="37"/>
  <c r="AH122" i="37"/>
  <c r="AI122" i="37"/>
  <c r="AH123" i="37"/>
  <c r="AI123" i="37"/>
  <c r="AO123" i="37" s="1"/>
  <c r="AH124" i="37"/>
  <c r="AI124" i="37"/>
  <c r="AH125" i="37"/>
  <c r="AI125" i="37"/>
  <c r="AI15" i="37"/>
  <c r="AH15" i="37"/>
  <c r="BL16" i="36"/>
  <c r="BM16" i="36"/>
  <c r="BL17" i="36"/>
  <c r="BM17" i="36"/>
  <c r="BL18" i="36"/>
  <c r="BM18" i="36"/>
  <c r="BL19" i="36"/>
  <c r="BM19" i="36"/>
  <c r="BL20" i="36"/>
  <c r="BM20" i="36"/>
  <c r="BL21" i="36"/>
  <c r="BM21" i="36"/>
  <c r="BL22" i="36"/>
  <c r="BM22" i="36"/>
  <c r="BL23" i="36"/>
  <c r="BM23" i="36"/>
  <c r="BL24" i="36"/>
  <c r="BM24" i="36"/>
  <c r="BL25" i="36"/>
  <c r="BM25" i="36"/>
  <c r="BL26" i="36"/>
  <c r="BM26" i="36"/>
  <c r="BL27" i="36"/>
  <c r="BM27" i="36"/>
  <c r="BL28" i="36"/>
  <c r="BM28" i="36"/>
  <c r="BL29" i="36"/>
  <c r="BM29" i="36"/>
  <c r="BL30" i="36"/>
  <c r="BM30" i="36"/>
  <c r="BL31" i="36"/>
  <c r="BM31" i="36"/>
  <c r="BL32" i="36"/>
  <c r="BM32" i="36"/>
  <c r="BL33" i="36"/>
  <c r="BM33" i="36"/>
  <c r="BL34" i="36"/>
  <c r="BM34" i="36"/>
  <c r="BL35" i="36"/>
  <c r="BM35" i="36"/>
  <c r="BL36" i="36"/>
  <c r="BM36" i="36"/>
  <c r="BL37" i="36"/>
  <c r="BM37" i="36"/>
  <c r="BL38" i="36"/>
  <c r="BM38" i="36"/>
  <c r="BL39" i="36"/>
  <c r="BM39" i="36"/>
  <c r="BL40" i="36"/>
  <c r="BM40" i="36"/>
  <c r="BL41" i="36"/>
  <c r="BM41" i="36"/>
  <c r="BL42" i="36"/>
  <c r="BM42" i="36"/>
  <c r="BL43" i="36"/>
  <c r="BM43" i="36"/>
  <c r="BL44" i="36"/>
  <c r="BM44" i="36"/>
  <c r="BL45" i="36"/>
  <c r="BM45" i="36"/>
  <c r="BL46" i="36"/>
  <c r="BM46" i="36"/>
  <c r="BL47" i="36"/>
  <c r="BM47" i="36"/>
  <c r="BL48" i="36"/>
  <c r="BM48" i="36"/>
  <c r="BL49" i="36"/>
  <c r="BM49" i="36"/>
  <c r="BL50" i="36"/>
  <c r="BM50" i="36"/>
  <c r="BL51" i="36"/>
  <c r="BM51" i="36"/>
  <c r="BL52" i="36"/>
  <c r="BM52" i="36"/>
  <c r="BL53" i="36"/>
  <c r="BM53" i="36"/>
  <c r="BL54" i="36"/>
  <c r="BM54" i="36"/>
  <c r="BL55" i="36"/>
  <c r="BM55" i="36"/>
  <c r="BL56" i="36"/>
  <c r="BM56" i="36"/>
  <c r="BL57" i="36"/>
  <c r="BM57" i="36"/>
  <c r="BL58" i="36"/>
  <c r="BM58" i="36"/>
  <c r="BL59" i="36"/>
  <c r="BM59" i="36"/>
  <c r="BL60" i="36"/>
  <c r="BM60" i="36"/>
  <c r="BL61" i="36"/>
  <c r="BM61" i="36"/>
  <c r="BL62" i="36"/>
  <c r="BM62" i="36"/>
  <c r="BL63" i="36"/>
  <c r="BM63" i="36"/>
  <c r="BL64" i="36"/>
  <c r="BM64" i="36"/>
  <c r="BL65" i="36"/>
  <c r="BM65" i="36"/>
  <c r="BL66" i="36"/>
  <c r="BM66" i="36"/>
  <c r="BL67" i="36"/>
  <c r="BM67" i="36"/>
  <c r="BL68" i="36"/>
  <c r="BM68" i="36"/>
  <c r="BL69" i="36"/>
  <c r="BM69" i="36"/>
  <c r="BL70" i="36"/>
  <c r="BM70" i="36"/>
  <c r="BL71" i="36"/>
  <c r="BM71" i="36"/>
  <c r="BL72" i="36"/>
  <c r="BM72" i="36"/>
  <c r="BL73" i="36"/>
  <c r="BM73" i="36"/>
  <c r="BL74" i="36"/>
  <c r="BM74" i="36"/>
  <c r="BL75" i="36"/>
  <c r="BM75" i="36"/>
  <c r="BL76" i="36"/>
  <c r="BM76" i="36"/>
  <c r="BL77" i="36"/>
  <c r="BM77" i="36"/>
  <c r="BL78" i="36"/>
  <c r="BM78" i="36"/>
  <c r="BL79" i="36"/>
  <c r="BM79" i="36"/>
  <c r="BL80" i="36"/>
  <c r="BM80" i="36"/>
  <c r="BL81" i="36"/>
  <c r="BM81" i="36"/>
  <c r="BL82" i="36"/>
  <c r="BM82" i="36"/>
  <c r="BL83" i="36"/>
  <c r="BM83" i="36"/>
  <c r="BL84" i="36"/>
  <c r="BM84" i="36"/>
  <c r="BL85" i="36"/>
  <c r="BM85" i="36"/>
  <c r="BL86" i="36"/>
  <c r="BM86" i="36"/>
  <c r="BL87" i="36"/>
  <c r="BM87" i="36"/>
  <c r="BL88" i="36"/>
  <c r="BM88" i="36"/>
  <c r="BL89" i="36"/>
  <c r="BM89" i="36"/>
  <c r="BL90" i="36"/>
  <c r="BM90" i="36"/>
  <c r="BL91" i="36"/>
  <c r="BM91" i="36"/>
  <c r="BL92" i="36"/>
  <c r="BM92" i="36"/>
  <c r="BL93" i="36"/>
  <c r="BM93" i="36"/>
  <c r="BL94" i="36"/>
  <c r="BM94" i="36"/>
  <c r="BL95" i="36"/>
  <c r="BM95" i="36"/>
  <c r="BL96" i="36"/>
  <c r="BM96" i="36"/>
  <c r="BL97" i="36"/>
  <c r="BM97" i="36"/>
  <c r="BL98" i="36"/>
  <c r="BM98" i="36"/>
  <c r="BL99" i="36"/>
  <c r="BM99" i="36"/>
  <c r="BL100" i="36"/>
  <c r="BM100" i="36"/>
  <c r="BL101" i="36"/>
  <c r="BM101" i="36"/>
  <c r="BL102" i="36"/>
  <c r="BM102" i="36"/>
  <c r="BL103" i="36"/>
  <c r="BM103" i="36"/>
  <c r="BL104" i="36"/>
  <c r="BM104" i="36"/>
  <c r="BL105" i="36"/>
  <c r="BM105" i="36"/>
  <c r="BL106" i="36"/>
  <c r="BM106" i="36"/>
  <c r="BL107" i="36"/>
  <c r="BM107" i="36"/>
  <c r="BL108" i="36"/>
  <c r="BM108" i="36"/>
  <c r="BL109" i="36"/>
  <c r="BM109" i="36"/>
  <c r="BL110" i="36"/>
  <c r="BM110" i="36"/>
  <c r="BL111" i="36"/>
  <c r="BM111" i="36"/>
  <c r="BL112" i="36"/>
  <c r="BM112" i="36"/>
  <c r="BL113" i="36"/>
  <c r="BM113" i="36"/>
  <c r="BL114" i="36"/>
  <c r="BM114" i="36"/>
  <c r="BL115" i="36"/>
  <c r="BM115" i="36"/>
  <c r="BL116" i="36"/>
  <c r="BM116" i="36"/>
  <c r="BL117" i="36"/>
  <c r="BM117" i="36"/>
  <c r="BL118" i="36"/>
  <c r="BM118" i="36"/>
  <c r="BL119" i="36"/>
  <c r="BM119" i="36"/>
  <c r="BW119" i="36" s="1"/>
  <c r="BL120" i="36"/>
  <c r="BM120" i="36"/>
  <c r="BL121" i="36"/>
  <c r="BM121" i="36"/>
  <c r="BL122" i="36"/>
  <c r="BM122" i="36"/>
  <c r="BL123" i="36"/>
  <c r="BM123" i="36"/>
  <c r="BW123" i="36" s="1"/>
  <c r="BL124" i="36"/>
  <c r="BM124" i="36"/>
  <c r="BL125" i="36"/>
  <c r="BM125" i="36"/>
  <c r="BM15" i="36"/>
  <c r="BL15" i="36"/>
  <c r="AW16" i="36"/>
  <c r="AX16" i="36"/>
  <c r="AW17" i="36"/>
  <c r="AX17" i="36"/>
  <c r="AW18" i="36"/>
  <c r="AX18" i="36"/>
  <c r="AW19" i="36"/>
  <c r="AX19" i="36"/>
  <c r="AW20" i="36"/>
  <c r="AX20" i="36"/>
  <c r="AW21" i="36"/>
  <c r="AX21" i="36"/>
  <c r="AW22" i="36"/>
  <c r="AX22" i="36"/>
  <c r="AW23" i="36"/>
  <c r="AX23" i="36"/>
  <c r="AW24" i="36"/>
  <c r="AX24" i="36"/>
  <c r="AW25" i="36"/>
  <c r="AX25" i="36"/>
  <c r="AW26" i="36"/>
  <c r="AX26" i="36"/>
  <c r="AW27" i="36"/>
  <c r="AX27" i="36"/>
  <c r="AW28" i="36"/>
  <c r="AX28" i="36"/>
  <c r="AW29" i="36"/>
  <c r="AX29" i="36"/>
  <c r="AW30" i="36"/>
  <c r="AX30" i="36"/>
  <c r="AW31" i="36"/>
  <c r="AX31" i="36"/>
  <c r="AW32" i="36"/>
  <c r="AX32" i="36"/>
  <c r="AW33" i="36"/>
  <c r="AX33" i="36"/>
  <c r="AW34" i="36"/>
  <c r="AX34" i="36"/>
  <c r="AW35" i="36"/>
  <c r="AX35" i="36"/>
  <c r="AW36" i="36"/>
  <c r="AX36" i="36"/>
  <c r="AW37" i="36"/>
  <c r="AX37" i="36"/>
  <c r="AW38" i="36"/>
  <c r="AX38" i="36"/>
  <c r="AW39" i="36"/>
  <c r="AX39" i="36"/>
  <c r="AW40" i="36"/>
  <c r="AX40" i="36"/>
  <c r="AW41" i="36"/>
  <c r="AX41" i="36"/>
  <c r="AW42" i="36"/>
  <c r="AX42" i="36"/>
  <c r="AW43" i="36"/>
  <c r="AX43" i="36"/>
  <c r="AW44" i="36"/>
  <c r="AX44" i="36"/>
  <c r="AW45" i="36"/>
  <c r="AX45" i="36"/>
  <c r="AW46" i="36"/>
  <c r="AX46" i="36"/>
  <c r="AW47" i="36"/>
  <c r="AX47" i="36"/>
  <c r="AW48" i="36"/>
  <c r="AX48" i="36"/>
  <c r="AW49" i="36"/>
  <c r="AX49" i="36"/>
  <c r="AW50" i="36"/>
  <c r="AX50" i="36"/>
  <c r="AW51" i="36"/>
  <c r="AX51" i="36"/>
  <c r="AW52" i="36"/>
  <c r="AX52" i="36"/>
  <c r="AW53" i="36"/>
  <c r="AX53" i="36"/>
  <c r="AW54" i="36"/>
  <c r="AX54" i="36"/>
  <c r="AW55" i="36"/>
  <c r="AX55" i="36"/>
  <c r="AW56" i="36"/>
  <c r="AX56" i="36"/>
  <c r="AW57" i="36"/>
  <c r="AX57" i="36"/>
  <c r="AW58" i="36"/>
  <c r="AX58" i="36"/>
  <c r="AW59" i="36"/>
  <c r="AX59" i="36"/>
  <c r="AW60" i="36"/>
  <c r="AX60" i="36"/>
  <c r="AW61" i="36"/>
  <c r="AX61" i="36"/>
  <c r="AW62" i="36"/>
  <c r="AX62" i="36"/>
  <c r="AW63" i="36"/>
  <c r="AX63" i="36"/>
  <c r="AW64" i="36"/>
  <c r="AX64" i="36"/>
  <c r="AW65" i="36"/>
  <c r="AX65" i="36"/>
  <c r="AW66" i="36"/>
  <c r="AX66" i="36"/>
  <c r="AW67" i="36"/>
  <c r="AX67" i="36"/>
  <c r="AW68" i="36"/>
  <c r="AX68" i="36"/>
  <c r="AW69" i="36"/>
  <c r="AX69" i="36"/>
  <c r="AW70" i="36"/>
  <c r="AX70" i="36"/>
  <c r="AW71" i="36"/>
  <c r="AX71" i="36"/>
  <c r="AW72" i="36"/>
  <c r="AX72" i="36"/>
  <c r="AW73" i="36"/>
  <c r="AX73" i="36"/>
  <c r="AW74" i="36"/>
  <c r="AX74" i="36"/>
  <c r="AW75" i="36"/>
  <c r="AX75" i="36"/>
  <c r="AW76" i="36"/>
  <c r="AX76" i="36"/>
  <c r="AW77" i="36"/>
  <c r="AX77" i="36"/>
  <c r="AW78" i="36"/>
  <c r="AX78" i="36"/>
  <c r="AW79" i="36"/>
  <c r="AX79" i="36"/>
  <c r="AW80" i="36"/>
  <c r="AX80" i="36"/>
  <c r="AW81" i="36"/>
  <c r="AX81" i="36"/>
  <c r="AW82" i="36"/>
  <c r="AX82" i="36"/>
  <c r="AW83" i="36"/>
  <c r="AX83" i="36"/>
  <c r="AW84" i="36"/>
  <c r="AX84" i="36"/>
  <c r="AW85" i="36"/>
  <c r="AX85" i="36"/>
  <c r="AW86" i="36"/>
  <c r="AX86" i="36"/>
  <c r="AW87" i="36"/>
  <c r="AX87" i="36"/>
  <c r="AW88" i="36"/>
  <c r="AX88" i="36"/>
  <c r="AW89" i="36"/>
  <c r="AX89" i="36"/>
  <c r="AW90" i="36"/>
  <c r="AX90" i="36"/>
  <c r="AW91" i="36"/>
  <c r="AX91" i="36"/>
  <c r="AW92" i="36"/>
  <c r="AX92" i="36"/>
  <c r="AW93" i="36"/>
  <c r="AX93" i="36"/>
  <c r="AW94" i="36"/>
  <c r="AX94" i="36"/>
  <c r="AW95" i="36"/>
  <c r="AX95" i="36"/>
  <c r="AW96" i="36"/>
  <c r="AX96" i="36"/>
  <c r="AW97" i="36"/>
  <c r="AX97" i="36"/>
  <c r="AW98" i="36"/>
  <c r="AX98" i="36"/>
  <c r="AW99" i="36"/>
  <c r="AX99" i="36"/>
  <c r="AW100" i="36"/>
  <c r="AX100" i="36"/>
  <c r="AW101" i="36"/>
  <c r="AX101" i="36"/>
  <c r="AW102" i="36"/>
  <c r="AX102" i="36"/>
  <c r="AW103" i="36"/>
  <c r="AX103" i="36"/>
  <c r="AW104" i="36"/>
  <c r="AX104" i="36"/>
  <c r="AW105" i="36"/>
  <c r="AX105" i="36"/>
  <c r="AW106" i="36"/>
  <c r="AX106" i="36"/>
  <c r="AW107" i="36"/>
  <c r="AX107" i="36"/>
  <c r="AW108" i="36"/>
  <c r="AX108" i="36"/>
  <c r="AW109" i="36"/>
  <c r="AX109" i="36"/>
  <c r="AW110" i="36"/>
  <c r="AX110" i="36"/>
  <c r="AW111" i="36"/>
  <c r="AX111" i="36"/>
  <c r="AW112" i="36"/>
  <c r="AX112" i="36"/>
  <c r="AW113" i="36"/>
  <c r="AX113" i="36"/>
  <c r="AW114" i="36"/>
  <c r="AX114" i="36"/>
  <c r="AW115" i="36"/>
  <c r="AX115" i="36"/>
  <c r="AW116" i="36"/>
  <c r="AX116" i="36"/>
  <c r="AW117" i="36"/>
  <c r="AX117" i="36"/>
  <c r="AW118" i="36"/>
  <c r="AX118" i="36"/>
  <c r="AW119" i="36"/>
  <c r="AX119" i="36"/>
  <c r="AW120" i="36"/>
  <c r="AX120" i="36"/>
  <c r="AW121" i="36"/>
  <c r="AX121" i="36"/>
  <c r="AW122" i="36"/>
  <c r="AX122" i="36"/>
  <c r="AW123" i="36"/>
  <c r="AX123" i="36"/>
  <c r="BH123" i="36" s="1"/>
  <c r="AW124" i="36"/>
  <c r="AX124" i="36"/>
  <c r="BH124" i="36" s="1"/>
  <c r="AW125" i="36"/>
  <c r="AX125" i="36"/>
  <c r="BH119" i="36"/>
  <c r="AX15" i="36"/>
  <c r="AW15" i="36"/>
  <c r="AH16" i="36"/>
  <c r="AI16" i="36"/>
  <c r="AH17" i="36"/>
  <c r="AI17" i="36"/>
  <c r="AH18" i="36"/>
  <c r="AI18" i="36"/>
  <c r="AH19" i="36"/>
  <c r="AI19" i="36"/>
  <c r="AH20" i="36"/>
  <c r="AI20" i="36"/>
  <c r="AH21" i="36"/>
  <c r="AI21" i="36"/>
  <c r="AH22" i="36"/>
  <c r="AI22" i="36"/>
  <c r="AH23" i="36"/>
  <c r="AI23" i="36"/>
  <c r="AH24" i="36"/>
  <c r="AI24" i="36"/>
  <c r="AH25" i="36"/>
  <c r="AI25" i="36"/>
  <c r="AH26" i="36"/>
  <c r="AI26" i="36"/>
  <c r="AH27" i="36"/>
  <c r="AI27" i="36"/>
  <c r="AH28" i="36"/>
  <c r="AI28" i="36"/>
  <c r="AH29" i="36"/>
  <c r="AI29" i="36"/>
  <c r="AH30" i="36"/>
  <c r="AI30" i="36"/>
  <c r="AH31" i="36"/>
  <c r="AI31" i="36"/>
  <c r="AH32" i="36"/>
  <c r="AI32" i="36"/>
  <c r="AH33" i="36"/>
  <c r="AI33" i="36"/>
  <c r="AH34" i="36"/>
  <c r="AI34" i="36"/>
  <c r="AH35" i="36"/>
  <c r="AI35" i="36"/>
  <c r="AH36" i="36"/>
  <c r="AI36" i="36"/>
  <c r="AH37" i="36"/>
  <c r="AI37" i="36"/>
  <c r="AH38" i="36"/>
  <c r="AI38" i="36"/>
  <c r="AH39" i="36"/>
  <c r="AI39" i="36"/>
  <c r="AH40" i="36"/>
  <c r="AI40" i="36"/>
  <c r="AH41" i="36"/>
  <c r="AI41" i="36"/>
  <c r="AH42" i="36"/>
  <c r="AI42" i="36"/>
  <c r="AH43" i="36"/>
  <c r="AI43" i="36"/>
  <c r="AH44" i="36"/>
  <c r="AI44" i="36"/>
  <c r="AH45" i="36"/>
  <c r="AI45" i="36"/>
  <c r="AH46" i="36"/>
  <c r="AI46" i="36"/>
  <c r="AH47" i="36"/>
  <c r="AI47" i="36"/>
  <c r="AH48" i="36"/>
  <c r="AI48" i="36"/>
  <c r="AH49" i="36"/>
  <c r="AI49" i="36"/>
  <c r="AH50" i="36"/>
  <c r="AI50" i="36"/>
  <c r="AH51" i="36"/>
  <c r="AI51" i="36"/>
  <c r="AH52" i="36"/>
  <c r="AI52" i="36"/>
  <c r="AH53" i="36"/>
  <c r="AI53" i="36"/>
  <c r="AH54" i="36"/>
  <c r="AI54" i="36"/>
  <c r="AH55" i="36"/>
  <c r="AI55" i="36"/>
  <c r="AH56" i="36"/>
  <c r="AI56" i="36"/>
  <c r="AH57" i="36"/>
  <c r="AI57" i="36"/>
  <c r="AH58" i="36"/>
  <c r="AI58" i="36"/>
  <c r="AH59" i="36"/>
  <c r="AI59" i="36"/>
  <c r="AH60" i="36"/>
  <c r="AI60" i="36"/>
  <c r="AH61" i="36"/>
  <c r="AI61" i="36"/>
  <c r="AH62" i="36"/>
  <c r="AI62" i="36"/>
  <c r="AH63" i="36"/>
  <c r="AI63" i="36"/>
  <c r="AH64" i="36"/>
  <c r="AI64" i="36"/>
  <c r="AH65" i="36"/>
  <c r="AI65" i="36"/>
  <c r="AH66" i="36"/>
  <c r="AI66" i="36"/>
  <c r="AH67" i="36"/>
  <c r="AI67" i="36"/>
  <c r="AH68" i="36"/>
  <c r="AI68" i="36"/>
  <c r="AH69" i="36"/>
  <c r="AI69" i="36"/>
  <c r="AH70" i="36"/>
  <c r="AI70" i="36"/>
  <c r="AH71" i="36"/>
  <c r="AI71" i="36"/>
  <c r="AH72" i="36"/>
  <c r="AI72" i="36"/>
  <c r="AH73" i="36"/>
  <c r="AI73" i="36"/>
  <c r="AH74" i="36"/>
  <c r="AI74" i="36"/>
  <c r="AH75" i="36"/>
  <c r="AI75" i="36"/>
  <c r="AH76" i="36"/>
  <c r="AI76" i="36"/>
  <c r="AH77" i="36"/>
  <c r="AI77" i="36"/>
  <c r="AH78" i="36"/>
  <c r="AI78" i="36"/>
  <c r="AH79" i="36"/>
  <c r="AI79" i="36"/>
  <c r="AH80" i="36"/>
  <c r="AI80" i="36"/>
  <c r="AH81" i="36"/>
  <c r="AI81" i="36"/>
  <c r="AH82" i="36"/>
  <c r="AI82" i="36"/>
  <c r="AH83" i="36"/>
  <c r="AI83" i="36"/>
  <c r="AH84" i="36"/>
  <c r="AI84" i="36"/>
  <c r="AH85" i="36"/>
  <c r="AI85" i="36"/>
  <c r="AH86" i="36"/>
  <c r="AI86" i="36"/>
  <c r="AH87" i="36"/>
  <c r="AI87" i="36"/>
  <c r="AH88" i="36"/>
  <c r="AI88" i="36"/>
  <c r="AH89" i="36"/>
  <c r="AI89" i="36"/>
  <c r="AH90" i="36"/>
  <c r="AI90" i="36"/>
  <c r="AH91" i="36"/>
  <c r="AI91" i="36"/>
  <c r="AH92" i="36"/>
  <c r="AI92" i="36"/>
  <c r="AH93" i="36"/>
  <c r="AI93" i="36"/>
  <c r="AH94" i="36"/>
  <c r="AI94" i="36"/>
  <c r="AH95" i="36"/>
  <c r="AI95" i="36"/>
  <c r="AH96" i="36"/>
  <c r="AI96" i="36"/>
  <c r="AH97" i="36"/>
  <c r="AI97" i="36"/>
  <c r="AH98" i="36"/>
  <c r="AI98" i="36"/>
  <c r="AH99" i="36"/>
  <c r="AI99" i="36"/>
  <c r="AH100" i="36"/>
  <c r="AI100" i="36"/>
  <c r="AH101" i="36"/>
  <c r="AI101" i="36"/>
  <c r="AH102" i="36"/>
  <c r="AI102" i="36"/>
  <c r="AH103" i="36"/>
  <c r="AI103" i="36"/>
  <c r="AH104" i="36"/>
  <c r="AI104" i="36"/>
  <c r="AH105" i="36"/>
  <c r="AI105" i="36"/>
  <c r="AH106" i="36"/>
  <c r="AI106" i="36"/>
  <c r="AH107" i="36"/>
  <c r="AI107" i="36"/>
  <c r="AH108" i="36"/>
  <c r="AI108" i="36"/>
  <c r="AH109" i="36"/>
  <c r="AI109" i="36"/>
  <c r="AH110" i="36"/>
  <c r="AI110" i="36"/>
  <c r="AH111" i="36"/>
  <c r="AI111" i="36"/>
  <c r="AH112" i="36"/>
  <c r="AI112" i="36"/>
  <c r="AH113" i="36"/>
  <c r="AI113" i="36"/>
  <c r="AH114" i="36"/>
  <c r="AI114" i="36"/>
  <c r="AH115" i="36"/>
  <c r="AI115" i="36"/>
  <c r="AH116" i="36"/>
  <c r="AI116" i="36"/>
  <c r="AH117" i="36"/>
  <c r="AI117" i="36"/>
  <c r="AH118" i="36"/>
  <c r="AI118" i="36"/>
  <c r="AH119" i="36"/>
  <c r="AI119" i="36"/>
  <c r="AS119" i="36" s="1"/>
  <c r="AH120" i="36"/>
  <c r="AI120" i="36"/>
  <c r="AH121" i="36"/>
  <c r="AI121" i="36"/>
  <c r="AH122" i="36"/>
  <c r="AI122" i="36"/>
  <c r="AH123" i="36"/>
  <c r="AI123" i="36"/>
  <c r="AS123" i="36" s="1"/>
  <c r="AH124" i="36"/>
  <c r="AI124" i="36"/>
  <c r="AH125" i="36"/>
  <c r="AI125" i="36"/>
  <c r="AI15" i="36"/>
  <c r="AH15" i="36"/>
  <c r="BL16" i="24"/>
  <c r="BM16" i="24"/>
  <c r="BL17" i="24"/>
  <c r="BM17" i="24"/>
  <c r="BL18" i="24"/>
  <c r="BM18" i="24"/>
  <c r="BL19" i="24"/>
  <c r="BM19" i="24"/>
  <c r="BL20" i="24"/>
  <c r="BM20" i="24"/>
  <c r="BL21" i="24"/>
  <c r="BM21" i="24"/>
  <c r="BL22" i="24"/>
  <c r="BM22" i="24"/>
  <c r="BL23" i="24"/>
  <c r="BM23" i="24"/>
  <c r="BL24" i="24"/>
  <c r="BM24" i="24"/>
  <c r="BL25" i="24"/>
  <c r="BM25" i="24"/>
  <c r="BL26" i="24"/>
  <c r="BM26" i="24"/>
  <c r="BL27" i="24"/>
  <c r="BM27" i="24"/>
  <c r="BL28" i="24"/>
  <c r="BM28" i="24"/>
  <c r="BL29" i="24"/>
  <c r="BM29" i="24"/>
  <c r="BL30" i="24"/>
  <c r="BM30" i="24"/>
  <c r="BL31" i="24"/>
  <c r="BM31" i="24"/>
  <c r="BL32" i="24"/>
  <c r="BM32" i="24"/>
  <c r="BL33" i="24"/>
  <c r="BM33" i="24"/>
  <c r="BL34" i="24"/>
  <c r="BM34" i="24"/>
  <c r="BL35" i="24"/>
  <c r="BM35" i="24"/>
  <c r="BL36" i="24"/>
  <c r="BM36" i="24"/>
  <c r="BL37" i="24"/>
  <c r="BM37" i="24"/>
  <c r="BL38" i="24"/>
  <c r="BM38" i="24"/>
  <c r="BL39" i="24"/>
  <c r="BM39" i="24"/>
  <c r="BL40" i="24"/>
  <c r="BM40" i="24"/>
  <c r="BL41" i="24"/>
  <c r="BM41" i="24"/>
  <c r="BL42" i="24"/>
  <c r="BM42" i="24"/>
  <c r="BL43" i="24"/>
  <c r="BM43" i="24"/>
  <c r="BL44" i="24"/>
  <c r="BM44" i="24"/>
  <c r="BL45" i="24"/>
  <c r="BM45" i="24"/>
  <c r="BL46" i="24"/>
  <c r="BM46" i="24"/>
  <c r="BL47" i="24"/>
  <c r="BM47" i="24"/>
  <c r="BL48" i="24"/>
  <c r="BM48" i="24"/>
  <c r="BL49" i="24"/>
  <c r="BM49" i="24"/>
  <c r="BL50" i="24"/>
  <c r="BM50" i="24"/>
  <c r="BL51" i="24"/>
  <c r="BM51" i="24"/>
  <c r="BL52" i="24"/>
  <c r="BM52" i="24"/>
  <c r="BL53" i="24"/>
  <c r="BM53" i="24"/>
  <c r="BL54" i="24"/>
  <c r="BM54" i="24"/>
  <c r="BL55" i="24"/>
  <c r="BM55" i="24"/>
  <c r="BL56" i="24"/>
  <c r="BM56" i="24"/>
  <c r="BL57" i="24"/>
  <c r="BM57" i="24"/>
  <c r="BL58" i="24"/>
  <c r="BM58" i="24"/>
  <c r="BL59" i="24"/>
  <c r="BM59" i="24"/>
  <c r="BL60" i="24"/>
  <c r="BM60" i="24"/>
  <c r="BL61" i="24"/>
  <c r="BM61" i="24"/>
  <c r="BL62" i="24"/>
  <c r="BM62" i="24"/>
  <c r="BL63" i="24"/>
  <c r="BM63" i="24"/>
  <c r="BL64" i="24"/>
  <c r="BM64" i="24"/>
  <c r="BL65" i="24"/>
  <c r="BM65" i="24"/>
  <c r="BL66" i="24"/>
  <c r="BM66" i="24"/>
  <c r="BL67" i="24"/>
  <c r="BM67" i="24"/>
  <c r="BL68" i="24"/>
  <c r="BM68" i="24"/>
  <c r="BL69" i="24"/>
  <c r="BM69" i="24"/>
  <c r="BL70" i="24"/>
  <c r="BM70" i="24"/>
  <c r="BL71" i="24"/>
  <c r="BM71" i="24"/>
  <c r="BL72" i="24"/>
  <c r="BM72" i="24"/>
  <c r="BL73" i="24"/>
  <c r="BM73" i="24"/>
  <c r="BL74" i="24"/>
  <c r="BM74" i="24"/>
  <c r="BL75" i="24"/>
  <c r="BM75" i="24"/>
  <c r="BL76" i="24"/>
  <c r="BM76" i="24"/>
  <c r="BL77" i="24"/>
  <c r="BM77" i="24"/>
  <c r="BL78" i="24"/>
  <c r="BM78" i="24"/>
  <c r="BL79" i="24"/>
  <c r="BM79" i="24"/>
  <c r="BL80" i="24"/>
  <c r="BM80" i="24"/>
  <c r="BL81" i="24"/>
  <c r="BM81" i="24"/>
  <c r="BL82" i="24"/>
  <c r="BM82" i="24"/>
  <c r="BL83" i="24"/>
  <c r="BM83" i="24"/>
  <c r="BL84" i="24"/>
  <c r="BM84" i="24"/>
  <c r="BL85" i="24"/>
  <c r="BM85" i="24"/>
  <c r="BL86" i="24"/>
  <c r="BM86" i="24"/>
  <c r="BL87" i="24"/>
  <c r="BM87" i="24"/>
  <c r="BL88" i="24"/>
  <c r="BM88" i="24"/>
  <c r="BL89" i="24"/>
  <c r="BM89" i="24"/>
  <c r="BL90" i="24"/>
  <c r="BM90" i="24"/>
  <c r="BL91" i="24"/>
  <c r="BM91" i="24"/>
  <c r="BL92" i="24"/>
  <c r="BM92" i="24"/>
  <c r="BL93" i="24"/>
  <c r="BM93" i="24"/>
  <c r="BL94" i="24"/>
  <c r="BM94" i="24"/>
  <c r="BL95" i="24"/>
  <c r="BM95" i="24"/>
  <c r="BL96" i="24"/>
  <c r="BM96" i="24"/>
  <c r="BL97" i="24"/>
  <c r="BM97" i="24"/>
  <c r="BL98" i="24"/>
  <c r="BM98" i="24"/>
  <c r="BL99" i="24"/>
  <c r="BM99" i="24"/>
  <c r="BL100" i="24"/>
  <c r="BM100" i="24"/>
  <c r="BL101" i="24"/>
  <c r="BM101" i="24"/>
  <c r="BL102" i="24"/>
  <c r="BM102" i="24"/>
  <c r="BL103" i="24"/>
  <c r="BM103" i="24"/>
  <c r="BL104" i="24"/>
  <c r="BM104" i="24"/>
  <c r="BL105" i="24"/>
  <c r="BM105" i="24"/>
  <c r="BL106" i="24"/>
  <c r="BM106" i="24"/>
  <c r="BL107" i="24"/>
  <c r="BM107" i="24"/>
  <c r="BL108" i="24"/>
  <c r="BM108" i="24"/>
  <c r="BL109" i="24"/>
  <c r="BM109" i="24"/>
  <c r="BL110" i="24"/>
  <c r="BM110" i="24"/>
  <c r="BL111" i="24"/>
  <c r="BM111" i="24"/>
  <c r="BL112" i="24"/>
  <c r="BM112" i="24"/>
  <c r="BL113" i="24"/>
  <c r="BM113" i="24"/>
  <c r="BL114" i="24"/>
  <c r="BM114" i="24"/>
  <c r="BL115" i="24"/>
  <c r="BM115" i="24"/>
  <c r="BL116" i="24"/>
  <c r="BM116" i="24"/>
  <c r="BL117" i="24"/>
  <c r="BM117" i="24"/>
  <c r="BL118" i="24"/>
  <c r="BM118" i="24"/>
  <c r="BL119" i="24"/>
  <c r="BM119" i="24"/>
  <c r="BL120" i="24"/>
  <c r="BM120" i="24"/>
  <c r="BL121" i="24"/>
  <c r="BM121" i="24"/>
  <c r="BL122" i="24"/>
  <c r="BM122" i="24"/>
  <c r="BL123" i="24"/>
  <c r="BM123" i="24"/>
  <c r="BL124" i="24"/>
  <c r="BM124" i="24"/>
  <c r="BL125" i="24"/>
  <c r="BM125" i="24"/>
  <c r="BM15" i="24"/>
  <c r="BL15" i="24"/>
  <c r="AW16" i="24"/>
  <c r="AX16" i="24"/>
  <c r="AW17" i="24"/>
  <c r="AX17" i="24"/>
  <c r="AW18" i="24"/>
  <c r="AX18" i="24"/>
  <c r="AW19" i="24"/>
  <c r="AX19" i="24"/>
  <c r="AW20" i="24"/>
  <c r="AX20" i="24"/>
  <c r="AW21" i="24"/>
  <c r="AX21" i="24"/>
  <c r="AW22" i="24"/>
  <c r="AX22" i="24"/>
  <c r="AW23" i="24"/>
  <c r="AX23" i="24"/>
  <c r="AW24" i="24"/>
  <c r="AX24" i="24"/>
  <c r="AW25" i="24"/>
  <c r="AX25" i="24"/>
  <c r="AW26" i="24"/>
  <c r="AX26" i="24"/>
  <c r="AW27" i="24"/>
  <c r="AX27" i="24"/>
  <c r="AW28" i="24"/>
  <c r="AX28" i="24"/>
  <c r="AW29" i="24"/>
  <c r="AX29" i="24"/>
  <c r="AW30" i="24"/>
  <c r="AX30" i="24"/>
  <c r="AW31" i="24"/>
  <c r="AX31" i="24"/>
  <c r="AW32" i="24"/>
  <c r="AX32" i="24"/>
  <c r="AW33" i="24"/>
  <c r="AX33" i="24"/>
  <c r="AW34" i="24"/>
  <c r="AX34" i="24"/>
  <c r="AW35" i="24"/>
  <c r="AX35" i="24"/>
  <c r="AW36" i="24"/>
  <c r="AX36" i="24"/>
  <c r="AW37" i="24"/>
  <c r="AX37" i="24"/>
  <c r="AW38" i="24"/>
  <c r="AX38" i="24"/>
  <c r="AW39" i="24"/>
  <c r="AX39" i="24"/>
  <c r="AW40" i="24"/>
  <c r="AX40" i="24"/>
  <c r="AW41" i="24"/>
  <c r="AX41" i="24"/>
  <c r="AW42" i="24"/>
  <c r="AX42" i="24"/>
  <c r="AW43" i="24"/>
  <c r="AX43" i="24"/>
  <c r="AW44" i="24"/>
  <c r="AX44" i="24"/>
  <c r="AW45" i="24"/>
  <c r="AX45" i="24"/>
  <c r="AW46" i="24"/>
  <c r="AX46" i="24"/>
  <c r="AW47" i="24"/>
  <c r="AX47" i="24"/>
  <c r="AW48" i="24"/>
  <c r="AX48" i="24"/>
  <c r="AW49" i="24"/>
  <c r="AX49" i="24"/>
  <c r="AW50" i="24"/>
  <c r="AX50" i="24"/>
  <c r="AW51" i="24"/>
  <c r="AX51" i="24"/>
  <c r="AW52" i="24"/>
  <c r="AX52" i="24"/>
  <c r="AW53" i="24"/>
  <c r="AX53" i="24"/>
  <c r="AW54" i="24"/>
  <c r="AX54" i="24"/>
  <c r="AW55" i="24"/>
  <c r="AX55" i="24"/>
  <c r="AW56" i="24"/>
  <c r="AX56" i="24"/>
  <c r="AW57" i="24"/>
  <c r="AX57" i="24"/>
  <c r="AW58" i="24"/>
  <c r="AX58" i="24"/>
  <c r="AW59" i="24"/>
  <c r="AX59" i="24"/>
  <c r="AW60" i="24"/>
  <c r="AX60" i="24"/>
  <c r="AW61" i="24"/>
  <c r="AX61" i="24"/>
  <c r="AW62" i="24"/>
  <c r="AX62" i="24"/>
  <c r="AW63" i="24"/>
  <c r="AX63" i="24"/>
  <c r="AW64" i="24"/>
  <c r="AX64" i="24"/>
  <c r="AW65" i="24"/>
  <c r="AX65" i="24"/>
  <c r="AW66" i="24"/>
  <c r="AX66" i="24"/>
  <c r="AW67" i="24"/>
  <c r="AX67" i="24"/>
  <c r="AW68" i="24"/>
  <c r="AX68" i="24"/>
  <c r="AW69" i="24"/>
  <c r="AX69" i="24"/>
  <c r="AW70" i="24"/>
  <c r="AX70" i="24"/>
  <c r="AW71" i="24"/>
  <c r="AX71" i="24"/>
  <c r="AW72" i="24"/>
  <c r="AX72" i="24"/>
  <c r="AW73" i="24"/>
  <c r="AX73" i="24"/>
  <c r="AW74" i="24"/>
  <c r="AX74" i="24"/>
  <c r="AW75" i="24"/>
  <c r="AX75" i="24"/>
  <c r="AW76" i="24"/>
  <c r="AX76" i="24"/>
  <c r="AW77" i="24"/>
  <c r="AX77" i="24"/>
  <c r="AW78" i="24"/>
  <c r="AX78" i="24"/>
  <c r="AW79" i="24"/>
  <c r="AX79" i="24"/>
  <c r="AW80" i="24"/>
  <c r="AX80" i="24"/>
  <c r="AW81" i="24"/>
  <c r="AX81" i="24"/>
  <c r="AW82" i="24"/>
  <c r="AX82" i="24"/>
  <c r="AW83" i="24"/>
  <c r="AX83" i="24"/>
  <c r="AW84" i="24"/>
  <c r="AX84" i="24"/>
  <c r="AW85" i="24"/>
  <c r="AX85" i="24"/>
  <c r="AW86" i="24"/>
  <c r="AX86" i="24"/>
  <c r="AW87" i="24"/>
  <c r="AX87" i="24"/>
  <c r="AW88" i="24"/>
  <c r="AX88" i="24"/>
  <c r="AW89" i="24"/>
  <c r="AX89" i="24"/>
  <c r="AW90" i="24"/>
  <c r="AX90" i="24"/>
  <c r="AW91" i="24"/>
  <c r="AX91" i="24"/>
  <c r="AW92" i="24"/>
  <c r="AX92" i="24"/>
  <c r="AW93" i="24"/>
  <c r="AX93" i="24"/>
  <c r="AW94" i="24"/>
  <c r="AX94" i="24"/>
  <c r="AW95" i="24"/>
  <c r="AX95" i="24"/>
  <c r="AW96" i="24"/>
  <c r="AX96" i="24"/>
  <c r="AW97" i="24"/>
  <c r="AX97" i="24"/>
  <c r="AW98" i="24"/>
  <c r="AX98" i="24"/>
  <c r="AW99" i="24"/>
  <c r="AX99" i="24"/>
  <c r="AW100" i="24"/>
  <c r="AX100" i="24"/>
  <c r="AW101" i="24"/>
  <c r="AX101" i="24"/>
  <c r="AW102" i="24"/>
  <c r="AX102" i="24"/>
  <c r="AW103" i="24"/>
  <c r="AX103" i="24"/>
  <c r="AW104" i="24"/>
  <c r="AX104" i="24"/>
  <c r="AW105" i="24"/>
  <c r="AX105" i="24"/>
  <c r="AW106" i="24"/>
  <c r="AX106" i="24"/>
  <c r="AW107" i="24"/>
  <c r="AX107" i="24"/>
  <c r="AW108" i="24"/>
  <c r="AX108" i="24"/>
  <c r="AW109" i="24"/>
  <c r="AX109" i="24"/>
  <c r="AW110" i="24"/>
  <c r="AX110" i="24"/>
  <c r="AW111" i="24"/>
  <c r="AX111" i="24"/>
  <c r="AW112" i="24"/>
  <c r="AX112" i="24"/>
  <c r="AW113" i="24"/>
  <c r="AX113" i="24"/>
  <c r="AW114" i="24"/>
  <c r="AX114" i="24"/>
  <c r="AW115" i="24"/>
  <c r="AX115" i="24"/>
  <c r="AW116" i="24"/>
  <c r="AX116" i="24"/>
  <c r="AW117" i="24"/>
  <c r="AX117" i="24"/>
  <c r="AW118" i="24"/>
  <c r="AX118" i="24"/>
  <c r="AW119" i="24"/>
  <c r="AX119" i="24"/>
  <c r="AW120" i="24"/>
  <c r="AX120" i="24"/>
  <c r="AW121" i="24"/>
  <c r="AX121" i="24"/>
  <c r="AW122" i="24"/>
  <c r="AX122" i="24"/>
  <c r="AW123" i="24"/>
  <c r="AX123" i="24"/>
  <c r="AW124" i="24"/>
  <c r="AX124" i="24"/>
  <c r="AW125" i="24"/>
  <c r="AX125" i="24"/>
  <c r="AX15" i="24"/>
  <c r="AW15" i="24"/>
  <c r="AH16" i="24"/>
  <c r="AI16" i="24"/>
  <c r="AH17" i="24"/>
  <c r="AI17" i="24"/>
  <c r="AH18" i="24"/>
  <c r="AI18" i="24"/>
  <c r="AH19" i="24"/>
  <c r="AI19" i="24"/>
  <c r="AH20" i="24"/>
  <c r="AI20" i="24"/>
  <c r="AH21" i="24"/>
  <c r="AI21" i="24"/>
  <c r="AH22" i="24"/>
  <c r="AI22" i="24"/>
  <c r="AH23" i="24"/>
  <c r="AI23" i="24"/>
  <c r="AH24" i="24"/>
  <c r="AI24" i="24"/>
  <c r="AH25" i="24"/>
  <c r="AI25" i="24"/>
  <c r="AH26" i="24"/>
  <c r="AI26" i="24"/>
  <c r="AH27" i="24"/>
  <c r="AI27" i="24"/>
  <c r="AH28" i="24"/>
  <c r="AI28" i="24"/>
  <c r="AH29" i="24"/>
  <c r="AI29" i="24"/>
  <c r="AH30" i="24"/>
  <c r="AI30" i="24"/>
  <c r="AH31" i="24"/>
  <c r="AI31" i="24"/>
  <c r="AH32" i="24"/>
  <c r="AI32" i="24"/>
  <c r="AH33" i="24"/>
  <c r="AI33" i="24"/>
  <c r="AH34" i="24"/>
  <c r="AI34" i="24"/>
  <c r="AH35" i="24"/>
  <c r="AI35" i="24"/>
  <c r="AH36" i="24"/>
  <c r="AI36" i="24"/>
  <c r="AH37" i="24"/>
  <c r="AI37" i="24"/>
  <c r="AH38" i="24"/>
  <c r="AI38" i="24"/>
  <c r="AH39" i="24"/>
  <c r="AI39" i="24"/>
  <c r="AH40" i="24"/>
  <c r="AI40" i="24"/>
  <c r="AH41" i="24"/>
  <c r="AI41" i="24"/>
  <c r="AH42" i="24"/>
  <c r="AI42" i="24"/>
  <c r="AH43" i="24"/>
  <c r="AI43" i="24"/>
  <c r="AH44" i="24"/>
  <c r="AI44" i="24"/>
  <c r="AH45" i="24"/>
  <c r="AI45" i="24"/>
  <c r="AH46" i="24"/>
  <c r="AI46" i="24"/>
  <c r="AH47" i="24"/>
  <c r="AI47" i="24"/>
  <c r="AH48" i="24"/>
  <c r="AI48" i="24"/>
  <c r="AH49" i="24"/>
  <c r="AI49" i="24"/>
  <c r="AH50" i="24"/>
  <c r="AI50" i="24"/>
  <c r="AH51" i="24"/>
  <c r="AI51" i="24"/>
  <c r="AH52" i="24"/>
  <c r="AI52" i="24"/>
  <c r="AH53" i="24"/>
  <c r="AI53" i="24"/>
  <c r="AH54" i="24"/>
  <c r="AI54" i="24"/>
  <c r="AH55" i="24"/>
  <c r="AI55" i="24"/>
  <c r="AH56" i="24"/>
  <c r="AI56" i="24"/>
  <c r="AH57" i="24"/>
  <c r="AI57" i="24"/>
  <c r="AH58" i="24"/>
  <c r="AI58" i="24"/>
  <c r="AH59" i="24"/>
  <c r="AI59" i="24"/>
  <c r="AH60" i="24"/>
  <c r="AI60" i="24"/>
  <c r="AH61" i="24"/>
  <c r="AI61" i="24"/>
  <c r="AH62" i="24"/>
  <c r="AI62" i="24"/>
  <c r="AH63" i="24"/>
  <c r="AI63" i="24"/>
  <c r="AH64" i="24"/>
  <c r="AI64" i="24"/>
  <c r="AH65" i="24"/>
  <c r="AI65" i="24"/>
  <c r="AH66" i="24"/>
  <c r="AI66" i="24"/>
  <c r="AH67" i="24"/>
  <c r="AI67" i="24"/>
  <c r="AH68" i="24"/>
  <c r="AI68" i="24"/>
  <c r="AH69" i="24"/>
  <c r="AI69" i="24"/>
  <c r="AH70" i="24"/>
  <c r="AI70" i="24"/>
  <c r="AH71" i="24"/>
  <c r="AI71" i="24"/>
  <c r="AH72" i="24"/>
  <c r="AI72" i="24"/>
  <c r="AH73" i="24"/>
  <c r="AI73" i="24"/>
  <c r="AH74" i="24"/>
  <c r="AI74" i="24"/>
  <c r="AH75" i="24"/>
  <c r="AI75" i="24"/>
  <c r="AH76" i="24"/>
  <c r="AI76" i="24"/>
  <c r="AH77" i="24"/>
  <c r="AI77" i="24"/>
  <c r="AH78" i="24"/>
  <c r="AI78" i="24"/>
  <c r="AH79" i="24"/>
  <c r="AI79" i="24"/>
  <c r="AH80" i="24"/>
  <c r="AI80" i="24"/>
  <c r="AH81" i="24"/>
  <c r="AI81" i="24"/>
  <c r="AH82" i="24"/>
  <c r="AI82" i="24"/>
  <c r="AH83" i="24"/>
  <c r="AI83" i="24"/>
  <c r="AH84" i="24"/>
  <c r="AI84" i="24"/>
  <c r="AH85" i="24"/>
  <c r="AI85" i="24"/>
  <c r="AH86" i="24"/>
  <c r="AI86" i="24"/>
  <c r="AH87" i="24"/>
  <c r="AI87" i="24"/>
  <c r="AH88" i="24"/>
  <c r="AI88" i="24"/>
  <c r="AH89" i="24"/>
  <c r="AI89" i="24"/>
  <c r="AH90" i="24"/>
  <c r="AI90" i="24"/>
  <c r="AH91" i="24"/>
  <c r="AI91" i="24"/>
  <c r="AH92" i="24"/>
  <c r="AI92" i="24"/>
  <c r="AH93" i="24"/>
  <c r="AI93" i="24"/>
  <c r="AH94" i="24"/>
  <c r="AI94" i="24"/>
  <c r="AH95" i="24"/>
  <c r="AI95" i="24"/>
  <c r="AH96" i="24"/>
  <c r="AI96" i="24"/>
  <c r="AH97" i="24"/>
  <c r="AI97" i="24"/>
  <c r="AH98" i="24"/>
  <c r="AI98" i="24"/>
  <c r="AH99" i="24"/>
  <c r="AI99" i="24"/>
  <c r="AH100" i="24"/>
  <c r="AI100" i="24"/>
  <c r="AH101" i="24"/>
  <c r="AI101" i="24"/>
  <c r="AH102" i="24"/>
  <c r="AI102" i="24"/>
  <c r="AH103" i="24"/>
  <c r="AI103" i="24"/>
  <c r="AH104" i="24"/>
  <c r="AI104" i="24"/>
  <c r="AH105" i="24"/>
  <c r="AI105" i="24"/>
  <c r="AH106" i="24"/>
  <c r="AI106" i="24"/>
  <c r="AH107" i="24"/>
  <c r="AI107" i="24"/>
  <c r="AH108" i="24"/>
  <c r="AI108" i="24"/>
  <c r="AH109" i="24"/>
  <c r="AI109" i="24"/>
  <c r="AH110" i="24"/>
  <c r="AI110" i="24"/>
  <c r="AH111" i="24"/>
  <c r="AI111" i="24"/>
  <c r="AH112" i="24"/>
  <c r="AI112" i="24"/>
  <c r="AH113" i="24"/>
  <c r="AI113" i="24"/>
  <c r="AH114" i="24"/>
  <c r="AI114" i="24"/>
  <c r="AH115" i="24"/>
  <c r="AI115" i="24"/>
  <c r="AH116" i="24"/>
  <c r="AI116" i="24"/>
  <c r="AH117" i="24"/>
  <c r="AI117" i="24"/>
  <c r="AH118" i="24"/>
  <c r="AI118" i="24"/>
  <c r="AH119" i="24"/>
  <c r="AI119" i="24"/>
  <c r="AH120" i="24"/>
  <c r="AI120" i="24"/>
  <c r="AH121" i="24"/>
  <c r="AI121" i="24"/>
  <c r="AH122" i="24"/>
  <c r="AI122" i="24"/>
  <c r="AH123" i="24"/>
  <c r="AI123" i="24"/>
  <c r="AH124" i="24"/>
  <c r="AI124" i="24"/>
  <c r="AH125" i="24"/>
  <c r="AI125" i="24"/>
  <c r="AI15" i="24"/>
  <c r="AH15" i="24"/>
  <c r="T15" i="49"/>
  <c r="U15" i="49"/>
  <c r="T16" i="49"/>
  <c r="U16" i="49"/>
  <c r="T17" i="49"/>
  <c r="U17" i="49"/>
  <c r="T18" i="49"/>
  <c r="U18" i="49"/>
  <c r="Y18" i="49" s="1"/>
  <c r="T19" i="49"/>
  <c r="U19" i="49"/>
  <c r="T20" i="49"/>
  <c r="U20" i="49"/>
  <c r="T21" i="49"/>
  <c r="U21" i="49"/>
  <c r="T22" i="49"/>
  <c r="X22" i="49" s="1"/>
  <c r="U22" i="49"/>
  <c r="Y22" i="49" s="1"/>
  <c r="T23" i="49"/>
  <c r="U23" i="49"/>
  <c r="T24" i="49"/>
  <c r="U24" i="49"/>
  <c r="T25" i="49"/>
  <c r="U25" i="49"/>
  <c r="T26" i="49"/>
  <c r="U26" i="49"/>
  <c r="Y26" i="49" s="1"/>
  <c r="T27" i="49"/>
  <c r="U27" i="49"/>
  <c r="T28" i="49"/>
  <c r="U28" i="49"/>
  <c r="T29" i="49"/>
  <c r="U29" i="49"/>
  <c r="T30" i="49"/>
  <c r="X30" i="49" s="1"/>
  <c r="U30" i="49"/>
  <c r="Y30" i="49" s="1"/>
  <c r="T31" i="49"/>
  <c r="U31" i="49"/>
  <c r="T32" i="49"/>
  <c r="U32" i="49"/>
  <c r="T33" i="49"/>
  <c r="U33" i="49"/>
  <c r="T34" i="49"/>
  <c r="X34" i="49" s="1"/>
  <c r="U34" i="49"/>
  <c r="Y34" i="49" s="1"/>
  <c r="T35" i="49"/>
  <c r="U35" i="49"/>
  <c r="T36" i="49"/>
  <c r="U36" i="49"/>
  <c r="T37" i="49"/>
  <c r="U37" i="49"/>
  <c r="T38" i="49"/>
  <c r="X38" i="49" s="1"/>
  <c r="U38" i="49"/>
  <c r="Y38" i="49" s="1"/>
  <c r="T39" i="49"/>
  <c r="U39" i="49"/>
  <c r="T40" i="49"/>
  <c r="U40" i="49"/>
  <c r="T41" i="49"/>
  <c r="U41" i="49"/>
  <c r="T42" i="49"/>
  <c r="U42" i="49"/>
  <c r="Y42" i="49" s="1"/>
  <c r="T43" i="49"/>
  <c r="U43" i="49"/>
  <c r="T44" i="49"/>
  <c r="U44" i="49"/>
  <c r="T45" i="49"/>
  <c r="U45" i="49"/>
  <c r="T46" i="49"/>
  <c r="X46" i="49" s="1"/>
  <c r="U46" i="49"/>
  <c r="Y46" i="49" s="1"/>
  <c r="T47" i="49"/>
  <c r="U47" i="49"/>
  <c r="T48" i="49"/>
  <c r="U48" i="49"/>
  <c r="T49" i="49"/>
  <c r="U49" i="49"/>
  <c r="T50" i="49"/>
  <c r="X50" i="49" s="1"/>
  <c r="U50" i="49"/>
  <c r="Y50" i="49" s="1"/>
  <c r="T51" i="49"/>
  <c r="U51" i="49"/>
  <c r="T52" i="49"/>
  <c r="U52" i="49"/>
  <c r="T53" i="49"/>
  <c r="U53" i="49"/>
  <c r="T54" i="49"/>
  <c r="X54" i="49" s="1"/>
  <c r="U54" i="49"/>
  <c r="Y54" i="49" s="1"/>
  <c r="T55" i="49"/>
  <c r="U55" i="49"/>
  <c r="T56" i="49"/>
  <c r="U56" i="49"/>
  <c r="T57" i="49"/>
  <c r="U57" i="49"/>
  <c r="T58" i="49"/>
  <c r="U58" i="49"/>
  <c r="Y58" i="49" s="1"/>
  <c r="T59" i="49"/>
  <c r="U59" i="49"/>
  <c r="T60" i="49"/>
  <c r="U60" i="49"/>
  <c r="T61" i="49"/>
  <c r="U61" i="49"/>
  <c r="T62" i="49"/>
  <c r="X62" i="49" s="1"/>
  <c r="U62" i="49"/>
  <c r="Y62" i="49" s="1"/>
  <c r="T63" i="49"/>
  <c r="U63" i="49"/>
  <c r="T64" i="49"/>
  <c r="U64" i="49"/>
  <c r="T65" i="49"/>
  <c r="U65" i="49"/>
  <c r="T66" i="49"/>
  <c r="X66" i="49" s="1"/>
  <c r="U66" i="49"/>
  <c r="T67" i="49"/>
  <c r="U67" i="49"/>
  <c r="T68" i="49"/>
  <c r="U68" i="49"/>
  <c r="T69" i="49"/>
  <c r="U69" i="49"/>
  <c r="T70" i="49"/>
  <c r="X70" i="49" s="1"/>
  <c r="U70" i="49"/>
  <c r="Y70" i="49" s="1"/>
  <c r="T71" i="49"/>
  <c r="U71" i="49"/>
  <c r="T72" i="49"/>
  <c r="U72" i="49"/>
  <c r="T73" i="49"/>
  <c r="U73" i="49"/>
  <c r="T74" i="49"/>
  <c r="U74" i="49"/>
  <c r="Y74" i="49" s="1"/>
  <c r="T75" i="49"/>
  <c r="U75" i="49"/>
  <c r="T76" i="49"/>
  <c r="U76" i="49"/>
  <c r="T77" i="49"/>
  <c r="U77" i="49"/>
  <c r="T78" i="49"/>
  <c r="U78" i="49"/>
  <c r="Y78" i="49" s="1"/>
  <c r="T79" i="49"/>
  <c r="U79" i="49"/>
  <c r="T80" i="49"/>
  <c r="U80" i="49"/>
  <c r="T81" i="49"/>
  <c r="U81" i="49"/>
  <c r="T82" i="49"/>
  <c r="U82" i="49"/>
  <c r="Y82" i="49" s="1"/>
  <c r="T83" i="49"/>
  <c r="U83" i="49"/>
  <c r="T84" i="49"/>
  <c r="U84" i="49"/>
  <c r="T85" i="49"/>
  <c r="U85" i="49"/>
  <c r="T86" i="49"/>
  <c r="X86" i="49" s="1"/>
  <c r="U86" i="49"/>
  <c r="Y86" i="49" s="1"/>
  <c r="T87" i="49"/>
  <c r="U87" i="49"/>
  <c r="T88" i="49"/>
  <c r="U88" i="49"/>
  <c r="T89" i="49"/>
  <c r="U89" i="49"/>
  <c r="T90" i="49"/>
  <c r="X90" i="49" s="1"/>
  <c r="U90" i="49"/>
  <c r="Y90" i="49" s="1"/>
  <c r="T91" i="49"/>
  <c r="U91" i="49"/>
  <c r="T92" i="49"/>
  <c r="U92" i="49"/>
  <c r="T93" i="49"/>
  <c r="U93" i="49"/>
  <c r="T94" i="49"/>
  <c r="U94" i="49"/>
  <c r="Y94" i="49" s="1"/>
  <c r="T95" i="49"/>
  <c r="U95" i="49"/>
  <c r="T96" i="49"/>
  <c r="U96" i="49"/>
  <c r="T97" i="49"/>
  <c r="U97" i="49"/>
  <c r="T98" i="49"/>
  <c r="U98" i="49"/>
  <c r="Y98" i="49" s="1"/>
  <c r="T99" i="49"/>
  <c r="U99" i="49"/>
  <c r="T100" i="49"/>
  <c r="U100" i="49"/>
  <c r="T101" i="49"/>
  <c r="U101" i="49"/>
  <c r="T102" i="49"/>
  <c r="U102" i="49"/>
  <c r="Y102" i="49" s="1"/>
  <c r="T103" i="49"/>
  <c r="U103" i="49"/>
  <c r="T104" i="49"/>
  <c r="U104" i="49"/>
  <c r="T105" i="49"/>
  <c r="U105" i="49"/>
  <c r="T106" i="49"/>
  <c r="X106" i="49" s="1"/>
  <c r="U106" i="49"/>
  <c r="Y106" i="49" s="1"/>
  <c r="T107" i="49"/>
  <c r="U107" i="49"/>
  <c r="T108" i="49"/>
  <c r="U108" i="49"/>
  <c r="T109" i="49"/>
  <c r="U109" i="49"/>
  <c r="T110" i="49"/>
  <c r="U110" i="49"/>
  <c r="Y110" i="49" s="1"/>
  <c r="T111" i="49"/>
  <c r="U111" i="49"/>
  <c r="T112" i="49"/>
  <c r="U112" i="49"/>
  <c r="T113" i="49"/>
  <c r="U113" i="49"/>
  <c r="T114" i="49"/>
  <c r="X114" i="49" s="1"/>
  <c r="U114" i="49"/>
  <c r="Y114" i="49" s="1"/>
  <c r="T115" i="49"/>
  <c r="U115" i="49"/>
  <c r="T116" i="49"/>
  <c r="U116" i="49"/>
  <c r="T117" i="49"/>
  <c r="U117" i="49"/>
  <c r="T118" i="49"/>
  <c r="X118" i="49" s="1"/>
  <c r="U118" i="49"/>
  <c r="Y118" i="49" s="1"/>
  <c r="T119" i="49"/>
  <c r="U119" i="49"/>
  <c r="T120" i="49"/>
  <c r="U120" i="49"/>
  <c r="T121" i="49"/>
  <c r="U121" i="49"/>
  <c r="T122" i="49"/>
  <c r="X122" i="49" s="1"/>
  <c r="U122" i="49"/>
  <c r="Y122" i="49" s="1"/>
  <c r="T123" i="49"/>
  <c r="U123" i="49"/>
  <c r="T124" i="49"/>
  <c r="U124" i="49"/>
  <c r="T125" i="49"/>
  <c r="U125" i="49"/>
  <c r="Y66" i="49"/>
  <c r="Y21" i="49"/>
  <c r="Y25" i="49"/>
  <c r="X26" i="49"/>
  <c r="Y29" i="49"/>
  <c r="Y33" i="49"/>
  <c r="Y37" i="49"/>
  <c r="Y41" i="49"/>
  <c r="X42" i="49"/>
  <c r="Y45" i="49"/>
  <c r="Y49" i="49"/>
  <c r="Y53" i="49"/>
  <c r="Y57" i="49"/>
  <c r="X58" i="49"/>
  <c r="Y65" i="49"/>
  <c r="Y73" i="49"/>
  <c r="Y77" i="49"/>
  <c r="X78" i="49"/>
  <c r="X82" i="49"/>
  <c r="Y85" i="49"/>
  <c r="Y93" i="49"/>
  <c r="X94" i="49"/>
  <c r="Y97" i="49"/>
  <c r="X98" i="49"/>
  <c r="X102" i="49"/>
  <c r="Y105" i="49"/>
  <c r="Y113" i="49"/>
  <c r="Y117" i="49"/>
  <c r="Y121" i="49"/>
  <c r="Y125" i="49"/>
  <c r="U14" i="49"/>
  <c r="T15" i="48"/>
  <c r="U15" i="48"/>
  <c r="T16" i="48"/>
  <c r="U16" i="48"/>
  <c r="T17" i="48"/>
  <c r="U17" i="48"/>
  <c r="T18" i="48"/>
  <c r="X18" i="48" s="1"/>
  <c r="U18" i="48"/>
  <c r="Y18" i="48" s="1"/>
  <c r="T19" i="48"/>
  <c r="U19" i="48"/>
  <c r="T20" i="48"/>
  <c r="U20" i="48"/>
  <c r="T21" i="48"/>
  <c r="U21" i="48"/>
  <c r="T22" i="48"/>
  <c r="X22" i="48" s="1"/>
  <c r="U22" i="48"/>
  <c r="T23" i="48"/>
  <c r="U23" i="48"/>
  <c r="T24" i="48"/>
  <c r="U24" i="48"/>
  <c r="T25" i="48"/>
  <c r="U25" i="48"/>
  <c r="T26" i="48"/>
  <c r="X26" i="48" s="1"/>
  <c r="U26" i="48"/>
  <c r="Y26" i="48" s="1"/>
  <c r="T27" i="48"/>
  <c r="U27" i="48"/>
  <c r="T28" i="48"/>
  <c r="U28" i="48"/>
  <c r="T29" i="48"/>
  <c r="U29" i="48"/>
  <c r="T30" i="48"/>
  <c r="X30" i="48" s="1"/>
  <c r="U30" i="48"/>
  <c r="Y30" i="48" s="1"/>
  <c r="T31" i="48"/>
  <c r="U31" i="48"/>
  <c r="T32" i="48"/>
  <c r="U32" i="48"/>
  <c r="T33" i="48"/>
  <c r="U33" i="48"/>
  <c r="T34" i="48"/>
  <c r="X34" i="48" s="1"/>
  <c r="U34" i="48"/>
  <c r="Y34" i="48" s="1"/>
  <c r="T35" i="48"/>
  <c r="U35" i="48"/>
  <c r="T36" i="48"/>
  <c r="U36" i="48"/>
  <c r="T37" i="48"/>
  <c r="U37" i="48"/>
  <c r="T38" i="48"/>
  <c r="X38" i="48" s="1"/>
  <c r="U38" i="48"/>
  <c r="Y38" i="48" s="1"/>
  <c r="T39" i="48"/>
  <c r="U39" i="48"/>
  <c r="T40" i="48"/>
  <c r="U40" i="48"/>
  <c r="T41" i="48"/>
  <c r="U41" i="48"/>
  <c r="T42" i="48"/>
  <c r="X42" i="48" s="1"/>
  <c r="U42" i="48"/>
  <c r="Y42" i="48" s="1"/>
  <c r="T43" i="48"/>
  <c r="U43" i="48"/>
  <c r="T44" i="48"/>
  <c r="U44" i="48"/>
  <c r="T45" i="48"/>
  <c r="U45" i="48"/>
  <c r="T46" i="48"/>
  <c r="X46" i="48" s="1"/>
  <c r="U46" i="48"/>
  <c r="T47" i="48"/>
  <c r="U47" i="48"/>
  <c r="T48" i="48"/>
  <c r="U48" i="48"/>
  <c r="T49" i="48"/>
  <c r="U49" i="48"/>
  <c r="T50" i="48"/>
  <c r="X50" i="48" s="1"/>
  <c r="U50" i="48"/>
  <c r="Y50" i="48" s="1"/>
  <c r="T51" i="48"/>
  <c r="U51" i="48"/>
  <c r="T52" i="48"/>
  <c r="U52" i="48"/>
  <c r="T53" i="48"/>
  <c r="U53" i="48"/>
  <c r="T54" i="48"/>
  <c r="X54" i="48" s="1"/>
  <c r="U54" i="48"/>
  <c r="Y54" i="48" s="1"/>
  <c r="T55" i="48"/>
  <c r="U55" i="48"/>
  <c r="T56" i="48"/>
  <c r="U56" i="48"/>
  <c r="T57" i="48"/>
  <c r="U57" i="48"/>
  <c r="T58" i="48"/>
  <c r="X58" i="48" s="1"/>
  <c r="U58" i="48"/>
  <c r="Y58" i="48" s="1"/>
  <c r="T59" i="48"/>
  <c r="U59" i="48"/>
  <c r="T60" i="48"/>
  <c r="U60" i="48"/>
  <c r="T61" i="48"/>
  <c r="U61" i="48"/>
  <c r="T62" i="48"/>
  <c r="X62" i="48" s="1"/>
  <c r="U62" i="48"/>
  <c r="Y62" i="48" s="1"/>
  <c r="T63" i="48"/>
  <c r="U63" i="48"/>
  <c r="T64" i="48"/>
  <c r="U64" i="48"/>
  <c r="T65" i="48"/>
  <c r="U65" i="48"/>
  <c r="T66" i="48"/>
  <c r="X66" i="48" s="1"/>
  <c r="U66" i="48"/>
  <c r="Y66" i="48" s="1"/>
  <c r="T67" i="48"/>
  <c r="U67" i="48"/>
  <c r="T68" i="48"/>
  <c r="U68" i="48"/>
  <c r="T69" i="48"/>
  <c r="U69" i="48"/>
  <c r="T70" i="48"/>
  <c r="X70" i="48" s="1"/>
  <c r="U70" i="48"/>
  <c r="Y70" i="48" s="1"/>
  <c r="T71" i="48"/>
  <c r="U71" i="48"/>
  <c r="T72" i="48"/>
  <c r="U72" i="48"/>
  <c r="T73" i="48"/>
  <c r="U73" i="48"/>
  <c r="T74" i="48"/>
  <c r="X74" i="48" s="1"/>
  <c r="U74" i="48"/>
  <c r="Y74" i="48" s="1"/>
  <c r="T75" i="48"/>
  <c r="U75" i="48"/>
  <c r="T76" i="48"/>
  <c r="U76" i="48"/>
  <c r="T77" i="48"/>
  <c r="U77" i="48"/>
  <c r="T78" i="48"/>
  <c r="X78" i="48" s="1"/>
  <c r="U78" i="48"/>
  <c r="Y78" i="48" s="1"/>
  <c r="T79" i="48"/>
  <c r="U79" i="48"/>
  <c r="T80" i="48"/>
  <c r="U80" i="48"/>
  <c r="T81" i="48"/>
  <c r="U81" i="48"/>
  <c r="T82" i="48"/>
  <c r="X82" i="48" s="1"/>
  <c r="U82" i="48"/>
  <c r="Y82" i="48" s="1"/>
  <c r="T83" i="48"/>
  <c r="U83" i="48"/>
  <c r="T84" i="48"/>
  <c r="U84" i="48"/>
  <c r="T85" i="48"/>
  <c r="U85" i="48"/>
  <c r="T86" i="48"/>
  <c r="X86" i="48" s="1"/>
  <c r="U86" i="48"/>
  <c r="Y86" i="48" s="1"/>
  <c r="T87" i="48"/>
  <c r="U87" i="48"/>
  <c r="T88" i="48"/>
  <c r="U88" i="48"/>
  <c r="T89" i="48"/>
  <c r="U89" i="48"/>
  <c r="T90" i="48"/>
  <c r="X90" i="48" s="1"/>
  <c r="U90" i="48"/>
  <c r="Y90" i="48" s="1"/>
  <c r="T91" i="48"/>
  <c r="U91" i="48"/>
  <c r="T92" i="48"/>
  <c r="U92" i="48"/>
  <c r="T93" i="48"/>
  <c r="U93" i="48"/>
  <c r="T94" i="48"/>
  <c r="X94" i="48" s="1"/>
  <c r="U94" i="48"/>
  <c r="Y94" i="48" s="1"/>
  <c r="T95" i="48"/>
  <c r="U95" i="48"/>
  <c r="T96" i="48"/>
  <c r="U96" i="48"/>
  <c r="T97" i="48"/>
  <c r="U97" i="48"/>
  <c r="T98" i="48"/>
  <c r="X98" i="48" s="1"/>
  <c r="U98" i="48"/>
  <c r="Y98" i="48" s="1"/>
  <c r="T99" i="48"/>
  <c r="U99" i="48"/>
  <c r="T100" i="48"/>
  <c r="U100" i="48"/>
  <c r="T101" i="48"/>
  <c r="U101" i="48"/>
  <c r="T102" i="48"/>
  <c r="U102" i="48"/>
  <c r="Y102" i="48" s="1"/>
  <c r="T103" i="48"/>
  <c r="U103" i="48"/>
  <c r="T104" i="48"/>
  <c r="U104" i="48"/>
  <c r="T105" i="48"/>
  <c r="U105" i="48"/>
  <c r="T106" i="48"/>
  <c r="X106" i="48" s="1"/>
  <c r="U106" i="48"/>
  <c r="Y106" i="48" s="1"/>
  <c r="T107" i="48"/>
  <c r="U107" i="48"/>
  <c r="T108" i="48"/>
  <c r="U108" i="48"/>
  <c r="T109" i="48"/>
  <c r="U109" i="48"/>
  <c r="T110" i="48"/>
  <c r="X110" i="48" s="1"/>
  <c r="U110" i="48"/>
  <c r="Y110" i="48" s="1"/>
  <c r="T111" i="48"/>
  <c r="U111" i="48"/>
  <c r="T112" i="48"/>
  <c r="U112" i="48"/>
  <c r="T113" i="48"/>
  <c r="U113" i="48"/>
  <c r="T114" i="48"/>
  <c r="X114" i="48" s="1"/>
  <c r="U114" i="48"/>
  <c r="Y114" i="48" s="1"/>
  <c r="T115" i="48"/>
  <c r="U115" i="48"/>
  <c r="T116" i="48"/>
  <c r="U116" i="48"/>
  <c r="T117" i="48"/>
  <c r="U117" i="48"/>
  <c r="T118" i="48"/>
  <c r="X118" i="48" s="1"/>
  <c r="U118" i="48"/>
  <c r="Y118" i="48" s="1"/>
  <c r="T119" i="48"/>
  <c r="U119" i="48"/>
  <c r="T120" i="48"/>
  <c r="U120" i="48"/>
  <c r="T121" i="48"/>
  <c r="U121" i="48"/>
  <c r="T122" i="48"/>
  <c r="X122" i="48" s="1"/>
  <c r="U122" i="48"/>
  <c r="Y122" i="48" s="1"/>
  <c r="T123" i="48"/>
  <c r="U123" i="48"/>
  <c r="T124" i="48"/>
  <c r="U124" i="48"/>
  <c r="T125" i="48"/>
  <c r="U125" i="48"/>
  <c r="Y22" i="48"/>
  <c r="X102" i="48"/>
  <c r="T15" i="47"/>
  <c r="U15" i="47"/>
  <c r="T16" i="47"/>
  <c r="U16" i="47"/>
  <c r="T17" i="47"/>
  <c r="U17" i="47"/>
  <c r="T18" i="47"/>
  <c r="U18" i="47"/>
  <c r="Y18" i="47" s="1"/>
  <c r="T19" i="47"/>
  <c r="U19" i="47"/>
  <c r="T20" i="47"/>
  <c r="U20" i="47"/>
  <c r="T21" i="47"/>
  <c r="U21" i="47"/>
  <c r="T22" i="47"/>
  <c r="U22" i="47"/>
  <c r="Y22" i="47" s="1"/>
  <c r="T23" i="47"/>
  <c r="U23" i="47"/>
  <c r="T24" i="47"/>
  <c r="U24" i="47"/>
  <c r="T25" i="47"/>
  <c r="U25" i="47"/>
  <c r="T26" i="47"/>
  <c r="U26" i="47"/>
  <c r="Y26" i="47" s="1"/>
  <c r="T27" i="47"/>
  <c r="U27" i="47"/>
  <c r="T28" i="47"/>
  <c r="U28" i="47"/>
  <c r="T29" i="47"/>
  <c r="U29" i="47"/>
  <c r="T30" i="47"/>
  <c r="U30" i="47"/>
  <c r="Y30" i="47" s="1"/>
  <c r="T31" i="47"/>
  <c r="U31" i="47"/>
  <c r="T32" i="47"/>
  <c r="U32" i="47"/>
  <c r="T33" i="47"/>
  <c r="U33" i="47"/>
  <c r="T34" i="47"/>
  <c r="U34" i="47"/>
  <c r="Y34" i="47" s="1"/>
  <c r="T35" i="47"/>
  <c r="U35" i="47"/>
  <c r="T36" i="47"/>
  <c r="U36" i="47"/>
  <c r="T37" i="47"/>
  <c r="U37" i="47"/>
  <c r="T38" i="47"/>
  <c r="U38" i="47"/>
  <c r="Y38" i="47" s="1"/>
  <c r="T39" i="47"/>
  <c r="U39" i="47"/>
  <c r="T40" i="47"/>
  <c r="U40" i="47"/>
  <c r="T41" i="47"/>
  <c r="U41" i="47"/>
  <c r="T42" i="47"/>
  <c r="U42" i="47"/>
  <c r="Y42" i="47" s="1"/>
  <c r="T43" i="47"/>
  <c r="U43" i="47"/>
  <c r="T44" i="47"/>
  <c r="U44" i="47"/>
  <c r="T45" i="47"/>
  <c r="U45" i="47"/>
  <c r="T46" i="47"/>
  <c r="U46" i="47"/>
  <c r="Y46" i="47" s="1"/>
  <c r="T47" i="47"/>
  <c r="U47" i="47"/>
  <c r="T48" i="47"/>
  <c r="U48" i="47"/>
  <c r="T49" i="47"/>
  <c r="U49" i="47"/>
  <c r="T50" i="47"/>
  <c r="U50" i="47"/>
  <c r="Y50" i="47" s="1"/>
  <c r="T51" i="47"/>
  <c r="U51" i="47"/>
  <c r="T52" i="47"/>
  <c r="U52" i="47"/>
  <c r="T53" i="47"/>
  <c r="U53" i="47"/>
  <c r="T54" i="47"/>
  <c r="U54" i="47"/>
  <c r="Y54" i="47" s="1"/>
  <c r="T55" i="47"/>
  <c r="U55" i="47"/>
  <c r="T56" i="47"/>
  <c r="U56" i="47"/>
  <c r="T57" i="47"/>
  <c r="U57" i="47"/>
  <c r="T58" i="47"/>
  <c r="U58" i="47"/>
  <c r="Y58" i="47" s="1"/>
  <c r="T59" i="47"/>
  <c r="U59" i="47"/>
  <c r="T60" i="47"/>
  <c r="U60" i="47"/>
  <c r="T61" i="47"/>
  <c r="U61" i="47"/>
  <c r="T62" i="47"/>
  <c r="U62" i="47"/>
  <c r="T63" i="47"/>
  <c r="U63" i="47"/>
  <c r="T64" i="47"/>
  <c r="U64" i="47"/>
  <c r="T65" i="47"/>
  <c r="U65" i="47"/>
  <c r="T66" i="47"/>
  <c r="U66" i="47"/>
  <c r="Y66" i="47" s="1"/>
  <c r="T67" i="47"/>
  <c r="U67" i="47"/>
  <c r="T68" i="47"/>
  <c r="U68" i="47"/>
  <c r="T69" i="47"/>
  <c r="U69" i="47"/>
  <c r="T70" i="47"/>
  <c r="U70" i="47"/>
  <c r="Y70" i="47" s="1"/>
  <c r="T71" i="47"/>
  <c r="U71" i="47"/>
  <c r="T72" i="47"/>
  <c r="U72" i="47"/>
  <c r="T73" i="47"/>
  <c r="U73" i="47"/>
  <c r="T74" i="47"/>
  <c r="U74" i="47"/>
  <c r="Y74" i="47" s="1"/>
  <c r="T75" i="47"/>
  <c r="U75" i="47"/>
  <c r="T76" i="47"/>
  <c r="U76" i="47"/>
  <c r="T77" i="47"/>
  <c r="U77" i="47"/>
  <c r="T78" i="47"/>
  <c r="U78" i="47"/>
  <c r="Y78" i="47" s="1"/>
  <c r="T79" i="47"/>
  <c r="U79" i="47"/>
  <c r="T80" i="47"/>
  <c r="U80" i="47"/>
  <c r="T81" i="47"/>
  <c r="U81" i="47"/>
  <c r="T82" i="47"/>
  <c r="U82" i="47"/>
  <c r="Y82" i="47" s="1"/>
  <c r="T83" i="47"/>
  <c r="U83" i="47"/>
  <c r="T84" i="47"/>
  <c r="U84" i="47"/>
  <c r="T85" i="47"/>
  <c r="U85" i="47"/>
  <c r="T86" i="47"/>
  <c r="U86" i="47"/>
  <c r="Y86" i="47" s="1"/>
  <c r="T87" i="47"/>
  <c r="U87" i="47"/>
  <c r="T88" i="47"/>
  <c r="U88" i="47"/>
  <c r="T89" i="47"/>
  <c r="U89" i="47"/>
  <c r="T90" i="47"/>
  <c r="U90" i="47"/>
  <c r="Y90" i="47" s="1"/>
  <c r="T91" i="47"/>
  <c r="U91" i="47"/>
  <c r="T92" i="47"/>
  <c r="U92" i="47"/>
  <c r="T93" i="47"/>
  <c r="U93" i="47"/>
  <c r="T94" i="47"/>
  <c r="U94" i="47"/>
  <c r="Y94" i="47" s="1"/>
  <c r="T95" i="47"/>
  <c r="U95" i="47"/>
  <c r="T96" i="47"/>
  <c r="U96" i="47"/>
  <c r="T97" i="47"/>
  <c r="U97" i="47"/>
  <c r="T98" i="47"/>
  <c r="U98" i="47"/>
  <c r="Y98" i="47" s="1"/>
  <c r="T99" i="47"/>
  <c r="U99" i="47"/>
  <c r="T100" i="47"/>
  <c r="U100" i="47"/>
  <c r="T101" i="47"/>
  <c r="U101" i="47"/>
  <c r="T102" i="47"/>
  <c r="U102" i="47"/>
  <c r="Y102" i="47" s="1"/>
  <c r="T103" i="47"/>
  <c r="U103" i="47"/>
  <c r="T104" i="47"/>
  <c r="U104" i="47"/>
  <c r="T105" i="47"/>
  <c r="U105" i="47"/>
  <c r="T106" i="47"/>
  <c r="U106" i="47"/>
  <c r="Y106" i="47" s="1"/>
  <c r="T107" i="47"/>
  <c r="U107" i="47"/>
  <c r="T108" i="47"/>
  <c r="U108" i="47"/>
  <c r="T109" i="47"/>
  <c r="U109" i="47"/>
  <c r="T110" i="47"/>
  <c r="U110" i="47"/>
  <c r="Y110" i="47" s="1"/>
  <c r="T111" i="47"/>
  <c r="U111" i="47"/>
  <c r="T112" i="47"/>
  <c r="U112" i="47"/>
  <c r="T113" i="47"/>
  <c r="U113" i="47"/>
  <c r="T114" i="47"/>
  <c r="U114" i="47"/>
  <c r="Y114" i="47" s="1"/>
  <c r="T115" i="47"/>
  <c r="U115" i="47"/>
  <c r="T116" i="47"/>
  <c r="U116" i="47"/>
  <c r="T117" i="47"/>
  <c r="U117" i="47"/>
  <c r="T118" i="47"/>
  <c r="U118" i="47"/>
  <c r="Y118" i="47" s="1"/>
  <c r="T119" i="47"/>
  <c r="U119" i="47"/>
  <c r="T120" i="47"/>
  <c r="U120" i="47"/>
  <c r="T121" i="47"/>
  <c r="U121" i="47"/>
  <c r="T122" i="47"/>
  <c r="U122" i="47"/>
  <c r="Y122" i="47" s="1"/>
  <c r="T123" i="47"/>
  <c r="U123" i="47"/>
  <c r="T124" i="47"/>
  <c r="U124" i="47"/>
  <c r="T125" i="47"/>
  <c r="U125" i="47"/>
  <c r="Y62" i="47"/>
  <c r="X18" i="47"/>
  <c r="X26" i="47"/>
  <c r="X30" i="47"/>
  <c r="X34" i="47"/>
  <c r="X38" i="47"/>
  <c r="X46" i="47"/>
  <c r="X50" i="47"/>
  <c r="X54" i="47"/>
  <c r="X58" i="47"/>
  <c r="X62" i="47"/>
  <c r="X66" i="47"/>
  <c r="X70" i="47"/>
  <c r="X78" i="47"/>
  <c r="X86" i="47"/>
  <c r="X94" i="47"/>
  <c r="X98" i="47"/>
  <c r="X102" i="47"/>
  <c r="X106" i="47"/>
  <c r="X110" i="47"/>
  <c r="X118" i="47"/>
  <c r="T15" i="46"/>
  <c r="U15" i="46"/>
  <c r="T16" i="46"/>
  <c r="U16" i="46"/>
  <c r="T17" i="46"/>
  <c r="U17" i="46"/>
  <c r="T18" i="46"/>
  <c r="X18" i="46" s="1"/>
  <c r="U18" i="46"/>
  <c r="Y18" i="46" s="1"/>
  <c r="T19" i="46"/>
  <c r="U19" i="46"/>
  <c r="T20" i="46"/>
  <c r="U20" i="46"/>
  <c r="T21" i="46"/>
  <c r="U21" i="46"/>
  <c r="T22" i="46"/>
  <c r="X22" i="46" s="1"/>
  <c r="U22" i="46"/>
  <c r="Y22" i="46" s="1"/>
  <c r="T23" i="46"/>
  <c r="U23" i="46"/>
  <c r="T24" i="46"/>
  <c r="U24" i="46"/>
  <c r="T25" i="46"/>
  <c r="U25" i="46"/>
  <c r="T26" i="46"/>
  <c r="X26" i="46" s="1"/>
  <c r="U26" i="46"/>
  <c r="Y26" i="46" s="1"/>
  <c r="T27" i="46"/>
  <c r="U27" i="46"/>
  <c r="T28" i="46"/>
  <c r="U28" i="46"/>
  <c r="T29" i="46"/>
  <c r="U29" i="46"/>
  <c r="T30" i="46"/>
  <c r="X30" i="46" s="1"/>
  <c r="U30" i="46"/>
  <c r="Y30" i="46" s="1"/>
  <c r="T31" i="46"/>
  <c r="U31" i="46"/>
  <c r="T32" i="46"/>
  <c r="U32" i="46"/>
  <c r="T33" i="46"/>
  <c r="U33" i="46"/>
  <c r="T34" i="46"/>
  <c r="X34" i="46" s="1"/>
  <c r="U34" i="46"/>
  <c r="Y34" i="46" s="1"/>
  <c r="T35" i="46"/>
  <c r="U35" i="46"/>
  <c r="T36" i="46"/>
  <c r="U36" i="46"/>
  <c r="T37" i="46"/>
  <c r="U37" i="46"/>
  <c r="T38" i="46"/>
  <c r="U38" i="46"/>
  <c r="T39" i="46"/>
  <c r="U39" i="46"/>
  <c r="T40" i="46"/>
  <c r="U40" i="46"/>
  <c r="T41" i="46"/>
  <c r="U41" i="46"/>
  <c r="T42" i="46"/>
  <c r="U42" i="46"/>
  <c r="T43" i="46"/>
  <c r="U43" i="46"/>
  <c r="T44" i="46"/>
  <c r="U44" i="46"/>
  <c r="T45" i="46"/>
  <c r="U45" i="46"/>
  <c r="T46" i="46"/>
  <c r="U46" i="46"/>
  <c r="T47" i="46"/>
  <c r="U47" i="46"/>
  <c r="T48" i="46"/>
  <c r="U48" i="46"/>
  <c r="T49" i="46"/>
  <c r="U49" i="46"/>
  <c r="T50" i="46"/>
  <c r="U50" i="46"/>
  <c r="T51" i="46"/>
  <c r="U51" i="46"/>
  <c r="T52" i="46"/>
  <c r="U52" i="46"/>
  <c r="T53" i="46"/>
  <c r="U53" i="46"/>
  <c r="T54" i="46"/>
  <c r="U54" i="46"/>
  <c r="T55" i="46"/>
  <c r="U55" i="46"/>
  <c r="T56" i="46"/>
  <c r="U56" i="46"/>
  <c r="T57" i="46"/>
  <c r="U57" i="46"/>
  <c r="T58" i="46"/>
  <c r="U58" i="46"/>
  <c r="T59" i="46"/>
  <c r="U59" i="46"/>
  <c r="T60" i="46"/>
  <c r="U60" i="46"/>
  <c r="T61" i="46"/>
  <c r="U61" i="46"/>
  <c r="T62" i="46"/>
  <c r="U62" i="46"/>
  <c r="T63" i="46"/>
  <c r="U63" i="46"/>
  <c r="T64" i="46"/>
  <c r="U64" i="46"/>
  <c r="T65" i="46"/>
  <c r="U65" i="46"/>
  <c r="T66" i="46"/>
  <c r="U66" i="46"/>
  <c r="T67" i="46"/>
  <c r="U67" i="46"/>
  <c r="T68" i="46"/>
  <c r="U68" i="46"/>
  <c r="T69" i="46"/>
  <c r="U69" i="46"/>
  <c r="T70" i="46"/>
  <c r="U70" i="46"/>
  <c r="T71" i="46"/>
  <c r="U71" i="46"/>
  <c r="T72" i="46"/>
  <c r="U72" i="46"/>
  <c r="T73" i="46"/>
  <c r="U73" i="46"/>
  <c r="T74" i="46"/>
  <c r="U74" i="46"/>
  <c r="T75" i="46"/>
  <c r="U75" i="46"/>
  <c r="T76" i="46"/>
  <c r="U76" i="46"/>
  <c r="T77" i="46"/>
  <c r="U77" i="46"/>
  <c r="T78" i="46"/>
  <c r="U78" i="46"/>
  <c r="T79" i="46"/>
  <c r="U79" i="46"/>
  <c r="T80" i="46"/>
  <c r="U80" i="46"/>
  <c r="T81" i="46"/>
  <c r="U81" i="46"/>
  <c r="T82" i="46"/>
  <c r="X82" i="46" s="1"/>
  <c r="U82" i="46"/>
  <c r="Y82" i="46" s="1"/>
  <c r="T83" i="46"/>
  <c r="U83" i="46"/>
  <c r="T84" i="46"/>
  <c r="U84" i="46"/>
  <c r="T85" i="46"/>
  <c r="U85" i="46"/>
  <c r="T86" i="46"/>
  <c r="X86" i="46" s="1"/>
  <c r="U86" i="46"/>
  <c r="Y86" i="46" s="1"/>
  <c r="T87" i="46"/>
  <c r="U87" i="46"/>
  <c r="T88" i="46"/>
  <c r="U88" i="46"/>
  <c r="T89" i="46"/>
  <c r="U89" i="46"/>
  <c r="T90" i="46"/>
  <c r="X90" i="46" s="1"/>
  <c r="U90" i="46"/>
  <c r="Y90" i="46" s="1"/>
  <c r="T91" i="46"/>
  <c r="U91" i="46"/>
  <c r="T92" i="46"/>
  <c r="U92" i="46"/>
  <c r="T93" i="46"/>
  <c r="U93" i="46"/>
  <c r="T94" i="46"/>
  <c r="X94" i="46" s="1"/>
  <c r="U94" i="46"/>
  <c r="Y94" i="46" s="1"/>
  <c r="T95" i="46"/>
  <c r="U95" i="46"/>
  <c r="T96" i="46"/>
  <c r="U96" i="46"/>
  <c r="T97" i="46"/>
  <c r="U97" i="46"/>
  <c r="T98" i="46"/>
  <c r="X98" i="46" s="1"/>
  <c r="U98" i="46"/>
  <c r="Y98" i="46" s="1"/>
  <c r="T99" i="46"/>
  <c r="U99" i="46"/>
  <c r="T100" i="46"/>
  <c r="U100" i="46"/>
  <c r="T101" i="46"/>
  <c r="U101" i="46"/>
  <c r="T102" i="46"/>
  <c r="X102" i="46" s="1"/>
  <c r="U102" i="46"/>
  <c r="Y102" i="46" s="1"/>
  <c r="T103" i="46"/>
  <c r="U103" i="46"/>
  <c r="T104" i="46"/>
  <c r="U104" i="46"/>
  <c r="T105" i="46"/>
  <c r="U105" i="46"/>
  <c r="T106" i="46"/>
  <c r="X106" i="46" s="1"/>
  <c r="U106" i="46"/>
  <c r="Y106" i="46" s="1"/>
  <c r="T107" i="46"/>
  <c r="U107" i="46"/>
  <c r="T108" i="46"/>
  <c r="U108" i="46"/>
  <c r="T109" i="46"/>
  <c r="U109" i="46"/>
  <c r="T110" i="46"/>
  <c r="X110" i="46" s="1"/>
  <c r="U110" i="46"/>
  <c r="T111" i="46"/>
  <c r="U111" i="46"/>
  <c r="T112" i="46"/>
  <c r="U112" i="46"/>
  <c r="T113" i="46"/>
  <c r="U113" i="46"/>
  <c r="T114" i="46"/>
  <c r="X114" i="46" s="1"/>
  <c r="U114" i="46"/>
  <c r="Y114" i="46" s="1"/>
  <c r="T115" i="46"/>
  <c r="U115" i="46"/>
  <c r="T116" i="46"/>
  <c r="U116" i="46"/>
  <c r="T117" i="46"/>
  <c r="U117" i="46"/>
  <c r="T118" i="46"/>
  <c r="X118" i="46" s="1"/>
  <c r="U118" i="46"/>
  <c r="Y118" i="46" s="1"/>
  <c r="T119" i="46"/>
  <c r="U119" i="46"/>
  <c r="T120" i="46"/>
  <c r="U120" i="46"/>
  <c r="T121" i="46"/>
  <c r="U121" i="46"/>
  <c r="T122" i="46"/>
  <c r="X122" i="46" s="1"/>
  <c r="U122" i="46"/>
  <c r="Y122" i="46" s="1"/>
  <c r="T123" i="46"/>
  <c r="U123" i="46"/>
  <c r="T124" i="46"/>
  <c r="U124" i="46"/>
  <c r="T125" i="46"/>
  <c r="U125" i="46"/>
  <c r="Y110" i="46"/>
  <c r="T15" i="45"/>
  <c r="U15" i="45"/>
  <c r="T16" i="45"/>
  <c r="U16" i="45"/>
  <c r="T17" i="45"/>
  <c r="U17" i="45"/>
  <c r="T18" i="45"/>
  <c r="X18" i="45" s="1"/>
  <c r="U18" i="45"/>
  <c r="Y18" i="45" s="1"/>
  <c r="T19" i="45"/>
  <c r="X19" i="45" s="1"/>
  <c r="U19" i="45"/>
  <c r="T20" i="45"/>
  <c r="U20" i="45"/>
  <c r="T21" i="45"/>
  <c r="U21" i="45"/>
  <c r="T22" i="45"/>
  <c r="U22" i="45"/>
  <c r="T23" i="45"/>
  <c r="U23" i="45"/>
  <c r="T24" i="45"/>
  <c r="U24" i="45"/>
  <c r="T25" i="45"/>
  <c r="U25" i="45"/>
  <c r="T26" i="45"/>
  <c r="U26" i="45"/>
  <c r="T27" i="45"/>
  <c r="U27" i="45"/>
  <c r="T28" i="45"/>
  <c r="U28" i="45"/>
  <c r="T29" i="45"/>
  <c r="U29" i="45"/>
  <c r="T30" i="45"/>
  <c r="U30" i="45"/>
  <c r="T31" i="45"/>
  <c r="U31" i="45"/>
  <c r="T32" i="45"/>
  <c r="U32" i="45"/>
  <c r="T33" i="45"/>
  <c r="U33" i="45"/>
  <c r="T34" i="45"/>
  <c r="U34" i="45"/>
  <c r="T35" i="45"/>
  <c r="U35" i="45"/>
  <c r="T36" i="45"/>
  <c r="U36" i="45"/>
  <c r="T37" i="45"/>
  <c r="U37" i="45"/>
  <c r="T38" i="45"/>
  <c r="U38" i="45"/>
  <c r="T39" i="45"/>
  <c r="U39" i="45"/>
  <c r="T40" i="45"/>
  <c r="U40" i="45"/>
  <c r="T41" i="45"/>
  <c r="U41" i="45"/>
  <c r="T42" i="45"/>
  <c r="U42" i="45"/>
  <c r="T43" i="45"/>
  <c r="U43" i="45"/>
  <c r="T44" i="45"/>
  <c r="U44" i="45"/>
  <c r="T45" i="45"/>
  <c r="U45" i="45"/>
  <c r="T46" i="45"/>
  <c r="U46" i="45"/>
  <c r="T47" i="45"/>
  <c r="U47" i="45"/>
  <c r="T48" i="45"/>
  <c r="U48" i="45"/>
  <c r="T49" i="45"/>
  <c r="U49" i="45"/>
  <c r="T50" i="45"/>
  <c r="U50" i="45"/>
  <c r="T51" i="45"/>
  <c r="U51" i="45"/>
  <c r="T52" i="45"/>
  <c r="U52" i="45"/>
  <c r="T53" i="45"/>
  <c r="U53" i="45"/>
  <c r="T54" i="45"/>
  <c r="U54" i="45"/>
  <c r="T55" i="45"/>
  <c r="U55" i="45"/>
  <c r="T56" i="45"/>
  <c r="U56" i="45"/>
  <c r="T57" i="45"/>
  <c r="U57" i="45"/>
  <c r="T58" i="45"/>
  <c r="U58" i="45"/>
  <c r="T59" i="45"/>
  <c r="U59" i="45"/>
  <c r="T60" i="45"/>
  <c r="U60" i="45"/>
  <c r="T61" i="45"/>
  <c r="U61" i="45"/>
  <c r="T62" i="45"/>
  <c r="U62" i="45"/>
  <c r="T63" i="45"/>
  <c r="U63" i="45"/>
  <c r="T64" i="45"/>
  <c r="U64" i="45"/>
  <c r="T65" i="45"/>
  <c r="U65" i="45"/>
  <c r="T66" i="45"/>
  <c r="U66" i="45"/>
  <c r="T67" i="45"/>
  <c r="U67" i="45"/>
  <c r="T68" i="45"/>
  <c r="U68" i="45"/>
  <c r="T69" i="45"/>
  <c r="U69" i="45"/>
  <c r="T70" i="45"/>
  <c r="U70" i="45"/>
  <c r="T71" i="45"/>
  <c r="U71" i="45"/>
  <c r="T72" i="45"/>
  <c r="U72" i="45"/>
  <c r="T73" i="45"/>
  <c r="U73" i="45"/>
  <c r="T74" i="45"/>
  <c r="U74" i="45"/>
  <c r="T75" i="45"/>
  <c r="U75" i="45"/>
  <c r="T76" i="45"/>
  <c r="U76" i="45"/>
  <c r="T77" i="45"/>
  <c r="U77" i="45"/>
  <c r="T78" i="45"/>
  <c r="U78" i="45"/>
  <c r="T79" i="45"/>
  <c r="U79" i="45"/>
  <c r="T80" i="45"/>
  <c r="U80" i="45"/>
  <c r="T81" i="45"/>
  <c r="U81" i="45"/>
  <c r="T82" i="45"/>
  <c r="U82" i="45"/>
  <c r="T83" i="45"/>
  <c r="U83" i="45"/>
  <c r="T84" i="45"/>
  <c r="U84" i="45"/>
  <c r="T85" i="45"/>
  <c r="U85" i="45"/>
  <c r="T86" i="45"/>
  <c r="U86" i="45"/>
  <c r="T87" i="45"/>
  <c r="U87" i="45"/>
  <c r="T88" i="45"/>
  <c r="U88" i="45"/>
  <c r="T89" i="45"/>
  <c r="U89" i="45"/>
  <c r="T90" i="45"/>
  <c r="U90" i="45"/>
  <c r="T91" i="45"/>
  <c r="U91" i="45"/>
  <c r="T92" i="45"/>
  <c r="U92" i="45"/>
  <c r="T93" i="45"/>
  <c r="U93" i="45"/>
  <c r="T94" i="45"/>
  <c r="U94" i="45"/>
  <c r="T95" i="45"/>
  <c r="U95" i="45"/>
  <c r="T96" i="45"/>
  <c r="U96" i="45"/>
  <c r="T97" i="45"/>
  <c r="U97" i="45"/>
  <c r="T98" i="45"/>
  <c r="U98" i="45"/>
  <c r="T99" i="45"/>
  <c r="U99" i="45"/>
  <c r="T100" i="45"/>
  <c r="U100" i="45"/>
  <c r="T101" i="45"/>
  <c r="U101" i="45"/>
  <c r="T102" i="45"/>
  <c r="U102" i="45"/>
  <c r="T103" i="45"/>
  <c r="U103" i="45"/>
  <c r="T104" i="45"/>
  <c r="U104" i="45"/>
  <c r="T105" i="45"/>
  <c r="U105" i="45"/>
  <c r="T106" i="45"/>
  <c r="U106" i="45"/>
  <c r="T107" i="45"/>
  <c r="U107" i="45"/>
  <c r="T108" i="45"/>
  <c r="U108" i="45"/>
  <c r="T109" i="45"/>
  <c r="U109" i="45"/>
  <c r="T110" i="45"/>
  <c r="U110" i="45"/>
  <c r="T111" i="45"/>
  <c r="U111" i="45"/>
  <c r="T112" i="45"/>
  <c r="U112" i="45"/>
  <c r="T113" i="45"/>
  <c r="U113" i="45"/>
  <c r="T114" i="45"/>
  <c r="U114" i="45"/>
  <c r="T115" i="45"/>
  <c r="U115" i="45"/>
  <c r="T116" i="45"/>
  <c r="U116" i="45"/>
  <c r="T117" i="45"/>
  <c r="X117" i="45" s="1"/>
  <c r="U117" i="45"/>
  <c r="T118" i="45"/>
  <c r="U118" i="45"/>
  <c r="Y118" i="45" s="1"/>
  <c r="T119" i="45"/>
  <c r="X119" i="45" s="1"/>
  <c r="U119" i="45"/>
  <c r="T120" i="45"/>
  <c r="U120" i="45"/>
  <c r="T121" i="45"/>
  <c r="X121" i="45" s="1"/>
  <c r="U121" i="45"/>
  <c r="T122" i="45"/>
  <c r="X122" i="45" s="1"/>
  <c r="U122" i="45"/>
  <c r="Y122" i="45" s="1"/>
  <c r="T123" i="45"/>
  <c r="X123" i="45" s="1"/>
  <c r="U123" i="45"/>
  <c r="T124" i="45"/>
  <c r="U124" i="45"/>
  <c r="T125" i="45"/>
  <c r="U125" i="45"/>
  <c r="X118" i="45"/>
  <c r="X17" i="45"/>
  <c r="X125" i="45"/>
  <c r="T15" i="44"/>
  <c r="U15" i="44"/>
  <c r="T16" i="44"/>
  <c r="U16" i="44"/>
  <c r="T17" i="44"/>
  <c r="U17" i="44"/>
  <c r="T18" i="44"/>
  <c r="U18" i="44"/>
  <c r="T19" i="44"/>
  <c r="U19" i="44"/>
  <c r="T20" i="44"/>
  <c r="U20" i="44"/>
  <c r="T21" i="44"/>
  <c r="U21" i="44"/>
  <c r="T22" i="44"/>
  <c r="U22" i="44"/>
  <c r="T23" i="44"/>
  <c r="U23" i="44"/>
  <c r="T24" i="44"/>
  <c r="U24" i="44"/>
  <c r="T25" i="44"/>
  <c r="U25" i="44"/>
  <c r="T26" i="44"/>
  <c r="U26" i="44"/>
  <c r="T27" i="44"/>
  <c r="U27" i="44"/>
  <c r="T28" i="44"/>
  <c r="U28" i="44"/>
  <c r="T29" i="44"/>
  <c r="U29" i="44"/>
  <c r="T30" i="44"/>
  <c r="U30" i="44"/>
  <c r="T31" i="44"/>
  <c r="U31" i="44"/>
  <c r="T32" i="44"/>
  <c r="U32" i="44"/>
  <c r="T33" i="44"/>
  <c r="U33" i="44"/>
  <c r="T34" i="44"/>
  <c r="U34" i="44"/>
  <c r="T35" i="44"/>
  <c r="U35" i="44"/>
  <c r="T36" i="44"/>
  <c r="U36" i="44"/>
  <c r="T37" i="44"/>
  <c r="U37" i="44"/>
  <c r="T38" i="44"/>
  <c r="U38" i="44"/>
  <c r="T39" i="44"/>
  <c r="U39" i="44"/>
  <c r="T40" i="44"/>
  <c r="U40" i="44"/>
  <c r="T41" i="44"/>
  <c r="U41" i="44"/>
  <c r="T42" i="44"/>
  <c r="U42" i="44"/>
  <c r="T43" i="44"/>
  <c r="U43" i="44"/>
  <c r="T44" i="44"/>
  <c r="U44" i="44"/>
  <c r="T45" i="44"/>
  <c r="U45" i="44"/>
  <c r="T46" i="44"/>
  <c r="U46" i="44"/>
  <c r="T47" i="44"/>
  <c r="U47" i="44"/>
  <c r="T48" i="44"/>
  <c r="U48" i="44"/>
  <c r="T49" i="44"/>
  <c r="U49" i="44"/>
  <c r="T50" i="44"/>
  <c r="U50" i="44"/>
  <c r="T51" i="44"/>
  <c r="U51" i="44"/>
  <c r="T52" i="44"/>
  <c r="U52" i="44"/>
  <c r="T53" i="44"/>
  <c r="U53" i="44"/>
  <c r="T54" i="44"/>
  <c r="U54" i="44"/>
  <c r="T55" i="44"/>
  <c r="U55" i="44"/>
  <c r="T56" i="44"/>
  <c r="U56" i="44"/>
  <c r="T57" i="44"/>
  <c r="U57" i="44"/>
  <c r="T58" i="44"/>
  <c r="U58" i="44"/>
  <c r="T59" i="44"/>
  <c r="U59" i="44"/>
  <c r="T60" i="44"/>
  <c r="U60" i="44"/>
  <c r="T61" i="44"/>
  <c r="U61" i="44"/>
  <c r="T62" i="44"/>
  <c r="U62" i="44"/>
  <c r="T63" i="44"/>
  <c r="U63" i="44"/>
  <c r="T64" i="44"/>
  <c r="U64" i="44"/>
  <c r="T65" i="44"/>
  <c r="U65" i="44"/>
  <c r="T66" i="44"/>
  <c r="U66" i="44"/>
  <c r="T67" i="44"/>
  <c r="U67" i="44"/>
  <c r="T68" i="44"/>
  <c r="U68" i="44"/>
  <c r="T69" i="44"/>
  <c r="U69" i="44"/>
  <c r="T70" i="44"/>
  <c r="U70" i="44"/>
  <c r="T71" i="44"/>
  <c r="U71" i="44"/>
  <c r="T72" i="44"/>
  <c r="U72" i="44"/>
  <c r="T73" i="44"/>
  <c r="U73" i="44"/>
  <c r="T74" i="44"/>
  <c r="U74" i="44"/>
  <c r="T75" i="44"/>
  <c r="U75" i="44"/>
  <c r="T76" i="44"/>
  <c r="U76" i="44"/>
  <c r="T77" i="44"/>
  <c r="U77" i="44"/>
  <c r="T78" i="44"/>
  <c r="U78" i="44"/>
  <c r="T79" i="44"/>
  <c r="U79" i="44"/>
  <c r="T80" i="44"/>
  <c r="U80" i="44"/>
  <c r="T81" i="44"/>
  <c r="U81" i="44"/>
  <c r="T82" i="44"/>
  <c r="U82" i="44"/>
  <c r="T83" i="44"/>
  <c r="U83" i="44"/>
  <c r="T84" i="44"/>
  <c r="U84" i="44"/>
  <c r="T85" i="44"/>
  <c r="U85" i="44"/>
  <c r="T86" i="44"/>
  <c r="U86" i="44"/>
  <c r="T87" i="44"/>
  <c r="U87" i="44"/>
  <c r="T88" i="44"/>
  <c r="U88" i="44"/>
  <c r="T89" i="44"/>
  <c r="U89" i="44"/>
  <c r="T90" i="44"/>
  <c r="U90" i="44"/>
  <c r="T91" i="44"/>
  <c r="U91" i="44"/>
  <c r="T92" i="44"/>
  <c r="U92" i="44"/>
  <c r="T93" i="44"/>
  <c r="U93" i="44"/>
  <c r="T94" i="44"/>
  <c r="U94" i="44"/>
  <c r="T95" i="44"/>
  <c r="U95" i="44"/>
  <c r="T96" i="44"/>
  <c r="U96" i="44"/>
  <c r="T97" i="44"/>
  <c r="U97" i="44"/>
  <c r="T98" i="44"/>
  <c r="U98" i="44"/>
  <c r="T99" i="44"/>
  <c r="U99" i="44"/>
  <c r="T100" i="44"/>
  <c r="U100" i="44"/>
  <c r="T101" i="44"/>
  <c r="U101" i="44"/>
  <c r="T102" i="44"/>
  <c r="U102" i="44"/>
  <c r="T103" i="44"/>
  <c r="U103" i="44"/>
  <c r="T104" i="44"/>
  <c r="U104" i="44"/>
  <c r="T105" i="44"/>
  <c r="U105" i="44"/>
  <c r="T106" i="44"/>
  <c r="U106" i="44"/>
  <c r="T107" i="44"/>
  <c r="U107" i="44"/>
  <c r="T108" i="44"/>
  <c r="U108" i="44"/>
  <c r="T109" i="44"/>
  <c r="U109" i="44"/>
  <c r="T110" i="44"/>
  <c r="U110" i="44"/>
  <c r="T111" i="44"/>
  <c r="U111" i="44"/>
  <c r="T112" i="44"/>
  <c r="U112" i="44"/>
  <c r="T113" i="44"/>
  <c r="U113" i="44"/>
  <c r="T114" i="44"/>
  <c r="U114" i="44"/>
  <c r="T115" i="44"/>
  <c r="U115" i="44"/>
  <c r="T116" i="44"/>
  <c r="U116" i="44"/>
  <c r="T117" i="44"/>
  <c r="U117" i="44"/>
  <c r="T118" i="44"/>
  <c r="X118" i="44" s="1"/>
  <c r="U118" i="44"/>
  <c r="Y118" i="44" s="1"/>
  <c r="T119" i="44"/>
  <c r="U119" i="44"/>
  <c r="T120" i="44"/>
  <c r="U120" i="44"/>
  <c r="T121" i="44"/>
  <c r="U121" i="44"/>
  <c r="T122" i="44"/>
  <c r="X122" i="44" s="1"/>
  <c r="U122" i="44"/>
  <c r="Y122" i="44" s="1"/>
  <c r="T123" i="44"/>
  <c r="U123" i="44"/>
  <c r="T124" i="44"/>
  <c r="U124" i="44"/>
  <c r="T125" i="44"/>
  <c r="U125" i="44"/>
  <c r="Y125" i="44" s="1"/>
  <c r="X121" i="44"/>
  <c r="Y121" i="44"/>
  <c r="T15" i="43"/>
  <c r="U15" i="43"/>
  <c r="T16" i="43"/>
  <c r="U16" i="43"/>
  <c r="T17" i="43"/>
  <c r="U17" i="43"/>
  <c r="T18" i="43"/>
  <c r="U18" i="43"/>
  <c r="T19" i="43"/>
  <c r="U19" i="43"/>
  <c r="T20" i="43"/>
  <c r="U20" i="43"/>
  <c r="T21" i="43"/>
  <c r="U21" i="43"/>
  <c r="T22" i="43"/>
  <c r="U22" i="43"/>
  <c r="T23" i="43"/>
  <c r="U23" i="43"/>
  <c r="T24" i="43"/>
  <c r="U24" i="43"/>
  <c r="T25" i="43"/>
  <c r="U25" i="43"/>
  <c r="T26" i="43"/>
  <c r="U26" i="43"/>
  <c r="T27" i="43"/>
  <c r="U27" i="43"/>
  <c r="T28" i="43"/>
  <c r="U28" i="43"/>
  <c r="T29" i="43"/>
  <c r="U29" i="43"/>
  <c r="T30" i="43"/>
  <c r="U30" i="43"/>
  <c r="T31" i="43"/>
  <c r="U31" i="43"/>
  <c r="T32" i="43"/>
  <c r="U32" i="43"/>
  <c r="T33" i="43"/>
  <c r="U33" i="43"/>
  <c r="T34" i="43"/>
  <c r="U34" i="43"/>
  <c r="T35" i="43"/>
  <c r="U35" i="43"/>
  <c r="T36" i="43"/>
  <c r="U36" i="43"/>
  <c r="T37" i="43"/>
  <c r="U37" i="43"/>
  <c r="T38" i="43"/>
  <c r="U38" i="43"/>
  <c r="T39" i="43"/>
  <c r="U39" i="43"/>
  <c r="T40" i="43"/>
  <c r="U40" i="43"/>
  <c r="T41" i="43"/>
  <c r="U41" i="43"/>
  <c r="T42" i="43"/>
  <c r="U42" i="43"/>
  <c r="T43" i="43"/>
  <c r="U43" i="43"/>
  <c r="T44" i="43"/>
  <c r="U44" i="43"/>
  <c r="T45" i="43"/>
  <c r="U45" i="43"/>
  <c r="T46" i="43"/>
  <c r="U46" i="43"/>
  <c r="T47" i="43"/>
  <c r="U47" i="43"/>
  <c r="T48" i="43"/>
  <c r="U48" i="43"/>
  <c r="T49" i="43"/>
  <c r="U49" i="43"/>
  <c r="T50" i="43"/>
  <c r="U50" i="43"/>
  <c r="T51" i="43"/>
  <c r="U51" i="43"/>
  <c r="T52" i="43"/>
  <c r="U52" i="43"/>
  <c r="T53" i="43"/>
  <c r="U53" i="43"/>
  <c r="T54" i="43"/>
  <c r="U54" i="43"/>
  <c r="T55" i="43"/>
  <c r="U55" i="43"/>
  <c r="T56" i="43"/>
  <c r="U56" i="43"/>
  <c r="T57" i="43"/>
  <c r="U57" i="43"/>
  <c r="T58" i="43"/>
  <c r="U58" i="43"/>
  <c r="T59" i="43"/>
  <c r="U59" i="43"/>
  <c r="T60" i="43"/>
  <c r="U60" i="43"/>
  <c r="T61" i="43"/>
  <c r="U61" i="43"/>
  <c r="T62" i="43"/>
  <c r="U62" i="43"/>
  <c r="T63" i="43"/>
  <c r="U63" i="43"/>
  <c r="T64" i="43"/>
  <c r="U64" i="43"/>
  <c r="T65" i="43"/>
  <c r="U65" i="43"/>
  <c r="T66" i="43"/>
  <c r="U66" i="43"/>
  <c r="T67" i="43"/>
  <c r="U67" i="43"/>
  <c r="T68" i="43"/>
  <c r="U68" i="43"/>
  <c r="T69" i="43"/>
  <c r="U69" i="43"/>
  <c r="T70" i="43"/>
  <c r="U70" i="43"/>
  <c r="T71" i="43"/>
  <c r="U71" i="43"/>
  <c r="T72" i="43"/>
  <c r="U72" i="43"/>
  <c r="T73" i="43"/>
  <c r="U73" i="43"/>
  <c r="T74" i="43"/>
  <c r="U74" i="43"/>
  <c r="T75" i="43"/>
  <c r="U75" i="43"/>
  <c r="T76" i="43"/>
  <c r="U76" i="43"/>
  <c r="T77" i="43"/>
  <c r="U77" i="43"/>
  <c r="T78" i="43"/>
  <c r="U78" i="43"/>
  <c r="T79" i="43"/>
  <c r="U79" i="43"/>
  <c r="T80" i="43"/>
  <c r="U80" i="43"/>
  <c r="T81" i="43"/>
  <c r="U81" i="43"/>
  <c r="T82" i="43"/>
  <c r="U82" i="43"/>
  <c r="T83" i="43"/>
  <c r="U83" i="43"/>
  <c r="T84" i="43"/>
  <c r="U84" i="43"/>
  <c r="T85" i="43"/>
  <c r="U85" i="43"/>
  <c r="T86" i="43"/>
  <c r="U86" i="43"/>
  <c r="T87" i="43"/>
  <c r="U87" i="43"/>
  <c r="T88" i="43"/>
  <c r="U88" i="43"/>
  <c r="T89" i="43"/>
  <c r="U89" i="43"/>
  <c r="T90" i="43"/>
  <c r="U90" i="43"/>
  <c r="T91" i="43"/>
  <c r="U91" i="43"/>
  <c r="T92" i="43"/>
  <c r="U92" i="43"/>
  <c r="T93" i="43"/>
  <c r="U93" i="43"/>
  <c r="T94" i="43"/>
  <c r="U94" i="43"/>
  <c r="T95" i="43"/>
  <c r="U95" i="43"/>
  <c r="T96" i="43"/>
  <c r="U96" i="43"/>
  <c r="T97" i="43"/>
  <c r="U97" i="43"/>
  <c r="T98" i="43"/>
  <c r="U98" i="43"/>
  <c r="T99" i="43"/>
  <c r="U99" i="43"/>
  <c r="T100" i="43"/>
  <c r="U100" i="43"/>
  <c r="T101" i="43"/>
  <c r="U101" i="43"/>
  <c r="T102" i="43"/>
  <c r="U102" i="43"/>
  <c r="T103" i="43"/>
  <c r="U103" i="43"/>
  <c r="T104" i="43"/>
  <c r="U104" i="43"/>
  <c r="T105" i="43"/>
  <c r="U105" i="43"/>
  <c r="T106" i="43"/>
  <c r="U106" i="43"/>
  <c r="T107" i="43"/>
  <c r="U107" i="43"/>
  <c r="T108" i="43"/>
  <c r="U108" i="43"/>
  <c r="T109" i="43"/>
  <c r="U109" i="43"/>
  <c r="T110" i="43"/>
  <c r="U110" i="43"/>
  <c r="T111" i="43"/>
  <c r="U111" i="43"/>
  <c r="T112" i="43"/>
  <c r="U112" i="43"/>
  <c r="T113" i="43"/>
  <c r="U113" i="43"/>
  <c r="T114" i="43"/>
  <c r="U114" i="43"/>
  <c r="T115" i="43"/>
  <c r="U115" i="43"/>
  <c r="T116" i="43"/>
  <c r="U116" i="43"/>
  <c r="T117" i="43"/>
  <c r="U117" i="43"/>
  <c r="Y117" i="43" s="1"/>
  <c r="T118" i="43"/>
  <c r="U118" i="43"/>
  <c r="T119" i="43"/>
  <c r="U119" i="43"/>
  <c r="T120" i="43"/>
  <c r="U120" i="43"/>
  <c r="T121" i="43"/>
  <c r="U121" i="43"/>
  <c r="Y121" i="43" s="1"/>
  <c r="T122" i="43"/>
  <c r="X122" i="43" s="1"/>
  <c r="U122" i="43"/>
  <c r="T123" i="43"/>
  <c r="U123" i="43"/>
  <c r="T124" i="43"/>
  <c r="U124" i="43"/>
  <c r="T125" i="43"/>
  <c r="U125" i="43"/>
  <c r="Y125" i="43" s="1"/>
  <c r="X118" i="43"/>
  <c r="Y118" i="43"/>
  <c r="Y122" i="43"/>
  <c r="T15" i="42"/>
  <c r="U15" i="42"/>
  <c r="T16" i="42"/>
  <c r="U16" i="42"/>
  <c r="T17" i="42"/>
  <c r="U17" i="42"/>
  <c r="Y17" i="42" s="1"/>
  <c r="T18" i="42"/>
  <c r="U18" i="42"/>
  <c r="Y18" i="42" s="1"/>
  <c r="T19" i="42"/>
  <c r="U19" i="42"/>
  <c r="T20" i="42"/>
  <c r="U20" i="42"/>
  <c r="T21" i="42"/>
  <c r="U21" i="42"/>
  <c r="T22" i="42"/>
  <c r="U22" i="42"/>
  <c r="T23" i="42"/>
  <c r="U23" i="42"/>
  <c r="T24" i="42"/>
  <c r="U24" i="42"/>
  <c r="T25" i="42"/>
  <c r="U25" i="42"/>
  <c r="T26" i="42"/>
  <c r="U26" i="42"/>
  <c r="T27" i="42"/>
  <c r="U27" i="42"/>
  <c r="T28" i="42"/>
  <c r="U28" i="42"/>
  <c r="T29" i="42"/>
  <c r="U29" i="42"/>
  <c r="T30" i="42"/>
  <c r="U30" i="42"/>
  <c r="T31" i="42"/>
  <c r="U31" i="42"/>
  <c r="T32" i="42"/>
  <c r="U32" i="42"/>
  <c r="T33" i="42"/>
  <c r="U33" i="42"/>
  <c r="T34" i="42"/>
  <c r="U34" i="42"/>
  <c r="T35" i="42"/>
  <c r="U35" i="42"/>
  <c r="T36" i="42"/>
  <c r="U36" i="42"/>
  <c r="T37" i="42"/>
  <c r="U37" i="42"/>
  <c r="T38" i="42"/>
  <c r="U38" i="42"/>
  <c r="T39" i="42"/>
  <c r="U39" i="42"/>
  <c r="T40" i="42"/>
  <c r="U40" i="42"/>
  <c r="T41" i="42"/>
  <c r="U41" i="42"/>
  <c r="T42" i="42"/>
  <c r="U42" i="42"/>
  <c r="T43" i="42"/>
  <c r="U43" i="42"/>
  <c r="T44" i="42"/>
  <c r="U44" i="42"/>
  <c r="T45" i="42"/>
  <c r="U45" i="42"/>
  <c r="T46" i="42"/>
  <c r="U46" i="42"/>
  <c r="T47" i="42"/>
  <c r="U47" i="42"/>
  <c r="T48" i="42"/>
  <c r="U48" i="42"/>
  <c r="T49" i="42"/>
  <c r="U49" i="42"/>
  <c r="T50" i="42"/>
  <c r="U50" i="42"/>
  <c r="T51" i="42"/>
  <c r="U51" i="42"/>
  <c r="T52" i="42"/>
  <c r="U52" i="42"/>
  <c r="T53" i="42"/>
  <c r="U53" i="42"/>
  <c r="T54" i="42"/>
  <c r="U54" i="42"/>
  <c r="T55" i="42"/>
  <c r="U55" i="42"/>
  <c r="T56" i="42"/>
  <c r="U56" i="42"/>
  <c r="T57" i="42"/>
  <c r="U57" i="42"/>
  <c r="T58" i="42"/>
  <c r="U58" i="42"/>
  <c r="T59" i="42"/>
  <c r="U59" i="42"/>
  <c r="T60" i="42"/>
  <c r="U60" i="42"/>
  <c r="T61" i="42"/>
  <c r="U61" i="42"/>
  <c r="T62" i="42"/>
  <c r="U62" i="42"/>
  <c r="T63" i="42"/>
  <c r="U63" i="42"/>
  <c r="T64" i="42"/>
  <c r="U64" i="42"/>
  <c r="T65" i="42"/>
  <c r="U65" i="42"/>
  <c r="T66" i="42"/>
  <c r="U66" i="42"/>
  <c r="T67" i="42"/>
  <c r="U67" i="42"/>
  <c r="T68" i="42"/>
  <c r="U68" i="42"/>
  <c r="T69" i="42"/>
  <c r="U69" i="42"/>
  <c r="T70" i="42"/>
  <c r="U70" i="42"/>
  <c r="T71" i="42"/>
  <c r="U71" i="42"/>
  <c r="T72" i="42"/>
  <c r="U72" i="42"/>
  <c r="T73" i="42"/>
  <c r="U73" i="42"/>
  <c r="T74" i="42"/>
  <c r="U74" i="42"/>
  <c r="T75" i="42"/>
  <c r="U75" i="42"/>
  <c r="T76" i="42"/>
  <c r="U76" i="42"/>
  <c r="T77" i="42"/>
  <c r="U77" i="42"/>
  <c r="T78" i="42"/>
  <c r="U78" i="42"/>
  <c r="T79" i="42"/>
  <c r="U79" i="42"/>
  <c r="T80" i="42"/>
  <c r="U80" i="42"/>
  <c r="T81" i="42"/>
  <c r="U81" i="42"/>
  <c r="T82" i="42"/>
  <c r="U82" i="42"/>
  <c r="T83" i="42"/>
  <c r="U83" i="42"/>
  <c r="T84" i="42"/>
  <c r="U84" i="42"/>
  <c r="T85" i="42"/>
  <c r="U85" i="42"/>
  <c r="T86" i="42"/>
  <c r="U86" i="42"/>
  <c r="T87" i="42"/>
  <c r="U87" i="42"/>
  <c r="T88" i="42"/>
  <c r="U88" i="42"/>
  <c r="T89" i="42"/>
  <c r="U89" i="42"/>
  <c r="T90" i="42"/>
  <c r="U90" i="42"/>
  <c r="T91" i="42"/>
  <c r="U91" i="42"/>
  <c r="T92" i="42"/>
  <c r="U92" i="42"/>
  <c r="T93" i="42"/>
  <c r="U93" i="42"/>
  <c r="T94" i="42"/>
  <c r="U94" i="42"/>
  <c r="T95" i="42"/>
  <c r="U95" i="42"/>
  <c r="T96" i="42"/>
  <c r="U96" i="42"/>
  <c r="T97" i="42"/>
  <c r="U97" i="42"/>
  <c r="T98" i="42"/>
  <c r="U98" i="42"/>
  <c r="T99" i="42"/>
  <c r="U99" i="42"/>
  <c r="T100" i="42"/>
  <c r="U100" i="42"/>
  <c r="T101" i="42"/>
  <c r="U101" i="42"/>
  <c r="T102" i="42"/>
  <c r="U102" i="42"/>
  <c r="T103" i="42"/>
  <c r="U103" i="42"/>
  <c r="T104" i="42"/>
  <c r="U104" i="42"/>
  <c r="T105" i="42"/>
  <c r="U105" i="42"/>
  <c r="T106" i="42"/>
  <c r="U106" i="42"/>
  <c r="T107" i="42"/>
  <c r="U107" i="42"/>
  <c r="T108" i="42"/>
  <c r="U108" i="42"/>
  <c r="T109" i="42"/>
  <c r="U109" i="42"/>
  <c r="T110" i="42"/>
  <c r="U110" i="42"/>
  <c r="T111" i="42"/>
  <c r="U111" i="42"/>
  <c r="T112" i="42"/>
  <c r="U112" i="42"/>
  <c r="T113" i="42"/>
  <c r="U113" i="42"/>
  <c r="T114" i="42"/>
  <c r="X114" i="42" s="1"/>
  <c r="U114" i="42"/>
  <c r="T115" i="42"/>
  <c r="U115" i="42"/>
  <c r="T116" i="42"/>
  <c r="U116" i="42"/>
  <c r="T117" i="42"/>
  <c r="X117" i="42" s="1"/>
  <c r="U117" i="42"/>
  <c r="Y117" i="42" s="1"/>
  <c r="T118" i="42"/>
  <c r="X118" i="42" s="1"/>
  <c r="U118" i="42"/>
  <c r="Y118" i="42" s="1"/>
  <c r="T119" i="42"/>
  <c r="U119" i="42"/>
  <c r="T120" i="42"/>
  <c r="U120" i="42"/>
  <c r="T121" i="42"/>
  <c r="X121" i="42" s="1"/>
  <c r="U121" i="42"/>
  <c r="Y121" i="42" s="1"/>
  <c r="T122" i="42"/>
  <c r="X122" i="42" s="1"/>
  <c r="U122" i="42"/>
  <c r="Y122" i="42" s="1"/>
  <c r="T123" i="42"/>
  <c r="U123" i="42"/>
  <c r="T124" i="42"/>
  <c r="U124" i="42"/>
  <c r="T125" i="42"/>
  <c r="X125" i="42" s="1"/>
  <c r="U125" i="42"/>
  <c r="Y125" i="42" s="1"/>
  <c r="X18" i="42"/>
  <c r="T15" i="41"/>
  <c r="U15" i="41"/>
  <c r="T16" i="41"/>
  <c r="U16" i="41"/>
  <c r="T17" i="41"/>
  <c r="X17" i="41" s="1"/>
  <c r="U17" i="41"/>
  <c r="Y17" i="41" s="1"/>
  <c r="T18" i="41"/>
  <c r="U18" i="41"/>
  <c r="Y18" i="41" s="1"/>
  <c r="T19" i="41"/>
  <c r="U19" i="41"/>
  <c r="T20" i="41"/>
  <c r="U20" i="41"/>
  <c r="T21" i="41"/>
  <c r="U21" i="41"/>
  <c r="T22" i="41"/>
  <c r="U22" i="41"/>
  <c r="T23" i="41"/>
  <c r="U23" i="41"/>
  <c r="T24" i="41"/>
  <c r="U24" i="41"/>
  <c r="T25" i="41"/>
  <c r="U25" i="41"/>
  <c r="T26" i="41"/>
  <c r="U26" i="41"/>
  <c r="T27" i="41"/>
  <c r="U27" i="41"/>
  <c r="T28" i="41"/>
  <c r="U28" i="41"/>
  <c r="T29" i="41"/>
  <c r="U29" i="41"/>
  <c r="T30" i="41"/>
  <c r="U30" i="41"/>
  <c r="T31" i="41"/>
  <c r="U31" i="41"/>
  <c r="T32" i="41"/>
  <c r="U32" i="41"/>
  <c r="T33" i="41"/>
  <c r="U33" i="41"/>
  <c r="T34" i="41"/>
  <c r="U34" i="41"/>
  <c r="T35" i="41"/>
  <c r="U35" i="41"/>
  <c r="T36" i="41"/>
  <c r="U36" i="41"/>
  <c r="T37" i="41"/>
  <c r="U37" i="41"/>
  <c r="T38" i="41"/>
  <c r="U38" i="41"/>
  <c r="T39" i="41"/>
  <c r="U39" i="41"/>
  <c r="T40" i="41"/>
  <c r="U40" i="41"/>
  <c r="T41" i="41"/>
  <c r="U41" i="41"/>
  <c r="T42" i="41"/>
  <c r="U42" i="41"/>
  <c r="T43" i="41"/>
  <c r="U43" i="41"/>
  <c r="T44" i="41"/>
  <c r="U44" i="41"/>
  <c r="T45" i="41"/>
  <c r="U45" i="41"/>
  <c r="T46" i="41"/>
  <c r="U46" i="41"/>
  <c r="T47" i="41"/>
  <c r="U47" i="41"/>
  <c r="T48" i="41"/>
  <c r="U48" i="41"/>
  <c r="T49" i="41"/>
  <c r="U49" i="41"/>
  <c r="T50" i="41"/>
  <c r="U50" i="41"/>
  <c r="T51" i="41"/>
  <c r="U51" i="41"/>
  <c r="T52" i="41"/>
  <c r="U52" i="41"/>
  <c r="T53" i="41"/>
  <c r="U53" i="41"/>
  <c r="T54" i="41"/>
  <c r="U54" i="41"/>
  <c r="T55" i="41"/>
  <c r="U55" i="41"/>
  <c r="T56" i="41"/>
  <c r="U56" i="41"/>
  <c r="T57" i="41"/>
  <c r="U57" i="41"/>
  <c r="T58" i="41"/>
  <c r="U58" i="41"/>
  <c r="T59" i="41"/>
  <c r="U59" i="41"/>
  <c r="T60" i="41"/>
  <c r="U60" i="41"/>
  <c r="T61" i="41"/>
  <c r="U61" i="41"/>
  <c r="T62" i="41"/>
  <c r="U62" i="41"/>
  <c r="T63" i="41"/>
  <c r="U63" i="41"/>
  <c r="T64" i="41"/>
  <c r="U64" i="41"/>
  <c r="T65" i="41"/>
  <c r="U65" i="41"/>
  <c r="T66" i="41"/>
  <c r="U66" i="41"/>
  <c r="T67" i="41"/>
  <c r="U67" i="41"/>
  <c r="T68" i="41"/>
  <c r="U68" i="41"/>
  <c r="T69" i="41"/>
  <c r="U69" i="41"/>
  <c r="T70" i="41"/>
  <c r="U70" i="41"/>
  <c r="T71" i="41"/>
  <c r="U71" i="41"/>
  <c r="T72" i="41"/>
  <c r="U72" i="41"/>
  <c r="T73" i="41"/>
  <c r="U73" i="41"/>
  <c r="T74" i="41"/>
  <c r="U74" i="41"/>
  <c r="T75" i="41"/>
  <c r="U75" i="41"/>
  <c r="T76" i="41"/>
  <c r="U76" i="41"/>
  <c r="T77" i="41"/>
  <c r="U77" i="41"/>
  <c r="T78" i="41"/>
  <c r="U78" i="41"/>
  <c r="T79" i="41"/>
  <c r="U79" i="41"/>
  <c r="T80" i="41"/>
  <c r="U80" i="41"/>
  <c r="T81" i="41"/>
  <c r="U81" i="41"/>
  <c r="T82" i="41"/>
  <c r="U82" i="41"/>
  <c r="T83" i="41"/>
  <c r="U83" i="41"/>
  <c r="T84" i="41"/>
  <c r="U84" i="41"/>
  <c r="T85" i="41"/>
  <c r="U85" i="41"/>
  <c r="T86" i="41"/>
  <c r="U86" i="41"/>
  <c r="T87" i="41"/>
  <c r="U87" i="41"/>
  <c r="T88" i="41"/>
  <c r="U88" i="41"/>
  <c r="T89" i="41"/>
  <c r="U89" i="41"/>
  <c r="T90" i="41"/>
  <c r="U90" i="41"/>
  <c r="T91" i="41"/>
  <c r="U91" i="41"/>
  <c r="T92" i="41"/>
  <c r="U92" i="41"/>
  <c r="T93" i="41"/>
  <c r="U93" i="41"/>
  <c r="T94" i="41"/>
  <c r="U94" i="41"/>
  <c r="T95" i="41"/>
  <c r="U95" i="41"/>
  <c r="T96" i="41"/>
  <c r="U96" i="41"/>
  <c r="T97" i="41"/>
  <c r="U97" i="41"/>
  <c r="T98" i="41"/>
  <c r="U98" i="41"/>
  <c r="T99" i="41"/>
  <c r="U99" i="41"/>
  <c r="T100" i="41"/>
  <c r="U100" i="41"/>
  <c r="T101" i="41"/>
  <c r="U101" i="41"/>
  <c r="T102" i="41"/>
  <c r="U102" i="41"/>
  <c r="T103" i="41"/>
  <c r="U103" i="41"/>
  <c r="T104" i="41"/>
  <c r="U104" i="41"/>
  <c r="T105" i="41"/>
  <c r="U105" i="41"/>
  <c r="T106" i="41"/>
  <c r="U106" i="41"/>
  <c r="T107" i="41"/>
  <c r="U107" i="41"/>
  <c r="T108" i="41"/>
  <c r="U108" i="41"/>
  <c r="T109" i="41"/>
  <c r="U109" i="41"/>
  <c r="T110" i="41"/>
  <c r="U110" i="41"/>
  <c r="T111" i="41"/>
  <c r="U111" i="41"/>
  <c r="T112" i="41"/>
  <c r="U112" i="41"/>
  <c r="T113" i="41"/>
  <c r="U113" i="41"/>
  <c r="T114" i="41"/>
  <c r="U114" i="41"/>
  <c r="T115" i="41"/>
  <c r="U115" i="41"/>
  <c r="T116" i="41"/>
  <c r="U116" i="41"/>
  <c r="T117" i="41"/>
  <c r="X117" i="41" s="1"/>
  <c r="U117" i="41"/>
  <c r="Y117" i="41" s="1"/>
  <c r="T118" i="41"/>
  <c r="X118" i="41" s="1"/>
  <c r="U118" i="41"/>
  <c r="Y118" i="41" s="1"/>
  <c r="T119" i="41"/>
  <c r="U119" i="41"/>
  <c r="T120" i="41"/>
  <c r="U120" i="41"/>
  <c r="T121" i="41"/>
  <c r="X121" i="41" s="1"/>
  <c r="U121" i="41"/>
  <c r="Y121" i="41" s="1"/>
  <c r="T122" i="41"/>
  <c r="X122" i="41" s="1"/>
  <c r="U122" i="41"/>
  <c r="Y122" i="41" s="1"/>
  <c r="T123" i="41"/>
  <c r="U123" i="41"/>
  <c r="T124" i="41"/>
  <c r="U124" i="41"/>
  <c r="T125" i="41"/>
  <c r="X125" i="41" s="1"/>
  <c r="U125" i="41"/>
  <c r="Y125" i="41" s="1"/>
  <c r="X18" i="41"/>
  <c r="T15" i="40"/>
  <c r="U15" i="40"/>
  <c r="T16" i="40"/>
  <c r="U16" i="40"/>
  <c r="T17" i="40"/>
  <c r="X17" i="40" s="1"/>
  <c r="U17" i="40"/>
  <c r="Y17" i="40" s="1"/>
  <c r="T18" i="40"/>
  <c r="X18" i="40" s="1"/>
  <c r="U18" i="40"/>
  <c r="T19" i="40"/>
  <c r="U19" i="40"/>
  <c r="T20" i="40"/>
  <c r="U20" i="40"/>
  <c r="T21" i="40"/>
  <c r="U21" i="40"/>
  <c r="T22" i="40"/>
  <c r="U22" i="40"/>
  <c r="T23" i="40"/>
  <c r="U23" i="40"/>
  <c r="T24" i="40"/>
  <c r="U24" i="40"/>
  <c r="T25" i="40"/>
  <c r="U25" i="40"/>
  <c r="T26" i="40"/>
  <c r="U26" i="40"/>
  <c r="T27" i="40"/>
  <c r="U27" i="40"/>
  <c r="T28" i="40"/>
  <c r="U28" i="40"/>
  <c r="T29" i="40"/>
  <c r="U29" i="40"/>
  <c r="T30" i="40"/>
  <c r="U30" i="40"/>
  <c r="T31" i="40"/>
  <c r="U31" i="40"/>
  <c r="T32" i="40"/>
  <c r="U32" i="40"/>
  <c r="T33" i="40"/>
  <c r="U33" i="40"/>
  <c r="T34" i="40"/>
  <c r="U34" i="40"/>
  <c r="T35" i="40"/>
  <c r="U35" i="40"/>
  <c r="T36" i="40"/>
  <c r="U36" i="40"/>
  <c r="T37" i="40"/>
  <c r="U37" i="40"/>
  <c r="T38" i="40"/>
  <c r="U38" i="40"/>
  <c r="T39" i="40"/>
  <c r="U39" i="40"/>
  <c r="T40" i="40"/>
  <c r="U40" i="40"/>
  <c r="T41" i="40"/>
  <c r="U41" i="40"/>
  <c r="T42" i="40"/>
  <c r="U42" i="40"/>
  <c r="T43" i="40"/>
  <c r="U43" i="40"/>
  <c r="T44" i="40"/>
  <c r="U44" i="40"/>
  <c r="T45" i="40"/>
  <c r="U45" i="40"/>
  <c r="T46" i="40"/>
  <c r="U46" i="40"/>
  <c r="T47" i="40"/>
  <c r="U47" i="40"/>
  <c r="T48" i="40"/>
  <c r="U48" i="40"/>
  <c r="T49" i="40"/>
  <c r="U49" i="40"/>
  <c r="T50" i="40"/>
  <c r="U50" i="40"/>
  <c r="T51" i="40"/>
  <c r="U51" i="40"/>
  <c r="T52" i="40"/>
  <c r="U52" i="40"/>
  <c r="T53" i="40"/>
  <c r="U53" i="40"/>
  <c r="T54" i="40"/>
  <c r="U54" i="40"/>
  <c r="T55" i="40"/>
  <c r="U55" i="40"/>
  <c r="T56" i="40"/>
  <c r="U56" i="40"/>
  <c r="T57" i="40"/>
  <c r="U57" i="40"/>
  <c r="T58" i="40"/>
  <c r="U58" i="40"/>
  <c r="T59" i="40"/>
  <c r="U59" i="40"/>
  <c r="T60" i="40"/>
  <c r="U60" i="40"/>
  <c r="T61" i="40"/>
  <c r="U61" i="40"/>
  <c r="T62" i="40"/>
  <c r="U62" i="40"/>
  <c r="T63" i="40"/>
  <c r="U63" i="40"/>
  <c r="T64" i="40"/>
  <c r="U64" i="40"/>
  <c r="T65" i="40"/>
  <c r="U65" i="40"/>
  <c r="T66" i="40"/>
  <c r="U66" i="40"/>
  <c r="T67" i="40"/>
  <c r="U67" i="40"/>
  <c r="T68" i="40"/>
  <c r="U68" i="40"/>
  <c r="T69" i="40"/>
  <c r="U69" i="40"/>
  <c r="T70" i="40"/>
  <c r="U70" i="40"/>
  <c r="T71" i="40"/>
  <c r="U71" i="40"/>
  <c r="T72" i="40"/>
  <c r="U72" i="40"/>
  <c r="T73" i="40"/>
  <c r="U73" i="40"/>
  <c r="T74" i="40"/>
  <c r="U74" i="40"/>
  <c r="T75" i="40"/>
  <c r="U75" i="40"/>
  <c r="T76" i="40"/>
  <c r="U76" i="40"/>
  <c r="T77" i="40"/>
  <c r="U77" i="40"/>
  <c r="T78" i="40"/>
  <c r="U78" i="40"/>
  <c r="T79" i="40"/>
  <c r="U79" i="40"/>
  <c r="T80" i="40"/>
  <c r="U80" i="40"/>
  <c r="T81" i="40"/>
  <c r="U81" i="40"/>
  <c r="T82" i="40"/>
  <c r="U82" i="40"/>
  <c r="T83" i="40"/>
  <c r="U83" i="40"/>
  <c r="T84" i="40"/>
  <c r="U84" i="40"/>
  <c r="T85" i="40"/>
  <c r="U85" i="40"/>
  <c r="T86" i="40"/>
  <c r="U86" i="40"/>
  <c r="T87" i="40"/>
  <c r="U87" i="40"/>
  <c r="T88" i="40"/>
  <c r="U88" i="40"/>
  <c r="T89" i="40"/>
  <c r="U89" i="40"/>
  <c r="T90" i="40"/>
  <c r="U90" i="40"/>
  <c r="T91" i="40"/>
  <c r="U91" i="40"/>
  <c r="T92" i="40"/>
  <c r="U92" i="40"/>
  <c r="T93" i="40"/>
  <c r="U93" i="40"/>
  <c r="T94" i="40"/>
  <c r="U94" i="40"/>
  <c r="T95" i="40"/>
  <c r="U95" i="40"/>
  <c r="T96" i="40"/>
  <c r="U96" i="40"/>
  <c r="T97" i="40"/>
  <c r="U97" i="40"/>
  <c r="T98" i="40"/>
  <c r="U98" i="40"/>
  <c r="T99" i="40"/>
  <c r="U99" i="40"/>
  <c r="T100" i="40"/>
  <c r="U100" i="40"/>
  <c r="T101" i="40"/>
  <c r="U101" i="40"/>
  <c r="T102" i="40"/>
  <c r="U102" i="40"/>
  <c r="T103" i="40"/>
  <c r="U103" i="40"/>
  <c r="T104" i="40"/>
  <c r="U104" i="40"/>
  <c r="T105" i="40"/>
  <c r="U105" i="40"/>
  <c r="T106" i="40"/>
  <c r="U106" i="40"/>
  <c r="T107" i="40"/>
  <c r="U107" i="40"/>
  <c r="T108" i="40"/>
  <c r="U108" i="40"/>
  <c r="T109" i="40"/>
  <c r="U109" i="40"/>
  <c r="T110" i="40"/>
  <c r="U110" i="40"/>
  <c r="T111" i="40"/>
  <c r="U111" i="40"/>
  <c r="T112" i="40"/>
  <c r="U112" i="40"/>
  <c r="T113" i="40"/>
  <c r="U113" i="40"/>
  <c r="T114" i="40"/>
  <c r="U114" i="40"/>
  <c r="T115" i="40"/>
  <c r="U115" i="40"/>
  <c r="T116" i="40"/>
  <c r="U116" i="40"/>
  <c r="T117" i="40"/>
  <c r="X117" i="40" s="1"/>
  <c r="U117" i="40"/>
  <c r="Y117" i="40" s="1"/>
  <c r="T118" i="40"/>
  <c r="X118" i="40" s="1"/>
  <c r="U118" i="40"/>
  <c r="Y118" i="40" s="1"/>
  <c r="T119" i="40"/>
  <c r="U119" i="40"/>
  <c r="T120" i="40"/>
  <c r="U120" i="40"/>
  <c r="T121" i="40"/>
  <c r="X121" i="40" s="1"/>
  <c r="U121" i="40"/>
  <c r="Y121" i="40" s="1"/>
  <c r="T122" i="40"/>
  <c r="X122" i="40" s="1"/>
  <c r="U122" i="40"/>
  <c r="Y122" i="40" s="1"/>
  <c r="T123" i="40"/>
  <c r="U123" i="40"/>
  <c r="T124" i="40"/>
  <c r="U124" i="40"/>
  <c r="T125" i="40"/>
  <c r="X125" i="40" s="1"/>
  <c r="U125" i="40"/>
  <c r="Y125" i="40" s="1"/>
  <c r="T15" i="39"/>
  <c r="U15" i="39"/>
  <c r="T16" i="39"/>
  <c r="U16" i="39"/>
  <c r="T17" i="39"/>
  <c r="U17" i="39"/>
  <c r="T18" i="39"/>
  <c r="X18" i="39" s="1"/>
  <c r="U18" i="39"/>
  <c r="Y18" i="39" s="1"/>
  <c r="T19" i="39"/>
  <c r="U19" i="39"/>
  <c r="T20" i="39"/>
  <c r="U20" i="39"/>
  <c r="T21" i="39"/>
  <c r="U21" i="39"/>
  <c r="T22" i="39"/>
  <c r="X22" i="39" s="1"/>
  <c r="U22" i="39"/>
  <c r="Y22" i="39" s="1"/>
  <c r="T23" i="39"/>
  <c r="U23" i="39"/>
  <c r="T24" i="39"/>
  <c r="U24" i="39"/>
  <c r="T25" i="39"/>
  <c r="U25" i="39"/>
  <c r="T26" i="39"/>
  <c r="X26" i="39" s="1"/>
  <c r="U26" i="39"/>
  <c r="Y26" i="39" s="1"/>
  <c r="T27" i="39"/>
  <c r="U27" i="39"/>
  <c r="T28" i="39"/>
  <c r="U28" i="39"/>
  <c r="T29" i="39"/>
  <c r="U29" i="39"/>
  <c r="T30" i="39"/>
  <c r="X30" i="39" s="1"/>
  <c r="U30" i="39"/>
  <c r="Y30" i="39" s="1"/>
  <c r="T31" i="39"/>
  <c r="U31" i="39"/>
  <c r="T32" i="39"/>
  <c r="U32" i="39"/>
  <c r="T33" i="39"/>
  <c r="U33" i="39"/>
  <c r="T34" i="39"/>
  <c r="X34" i="39" s="1"/>
  <c r="U34" i="39"/>
  <c r="Y34" i="39" s="1"/>
  <c r="T35" i="39"/>
  <c r="U35" i="39"/>
  <c r="T36" i="39"/>
  <c r="U36" i="39"/>
  <c r="T37" i="39"/>
  <c r="U37" i="39"/>
  <c r="T38" i="39"/>
  <c r="X38" i="39" s="1"/>
  <c r="U38" i="39"/>
  <c r="Y38" i="39" s="1"/>
  <c r="T39" i="39"/>
  <c r="U39" i="39"/>
  <c r="T40" i="39"/>
  <c r="U40" i="39"/>
  <c r="T41" i="39"/>
  <c r="U41" i="39"/>
  <c r="T42" i="39"/>
  <c r="X42" i="39" s="1"/>
  <c r="U42" i="39"/>
  <c r="Y42" i="39" s="1"/>
  <c r="T43" i="39"/>
  <c r="U43" i="39"/>
  <c r="T44" i="39"/>
  <c r="U44" i="39"/>
  <c r="T45" i="39"/>
  <c r="U45" i="39"/>
  <c r="T46" i="39"/>
  <c r="U46" i="39"/>
  <c r="Y46" i="39" s="1"/>
  <c r="T47" i="39"/>
  <c r="U47" i="39"/>
  <c r="T48" i="39"/>
  <c r="U48" i="39"/>
  <c r="T49" i="39"/>
  <c r="U49" i="39"/>
  <c r="T50" i="39"/>
  <c r="U50" i="39"/>
  <c r="T51" i="39"/>
  <c r="U51" i="39"/>
  <c r="T52" i="39"/>
  <c r="U52" i="39"/>
  <c r="T53" i="39"/>
  <c r="U53" i="39"/>
  <c r="T54" i="39"/>
  <c r="U54" i="39"/>
  <c r="Y54" i="39" s="1"/>
  <c r="T55" i="39"/>
  <c r="U55" i="39"/>
  <c r="T56" i="39"/>
  <c r="U56" i="39"/>
  <c r="T57" i="39"/>
  <c r="U57" i="39"/>
  <c r="T58" i="39"/>
  <c r="U58" i="39"/>
  <c r="T59" i="39"/>
  <c r="U59" i="39"/>
  <c r="T60" i="39"/>
  <c r="U60" i="39"/>
  <c r="T61" i="39"/>
  <c r="U61" i="39"/>
  <c r="T62" i="39"/>
  <c r="U62" i="39"/>
  <c r="T63" i="39"/>
  <c r="U63" i="39"/>
  <c r="T64" i="39"/>
  <c r="U64" i="39"/>
  <c r="T65" i="39"/>
  <c r="U65" i="39"/>
  <c r="T66" i="39"/>
  <c r="U66" i="39"/>
  <c r="T67" i="39"/>
  <c r="U67" i="39"/>
  <c r="T68" i="39"/>
  <c r="U68" i="39"/>
  <c r="T69" i="39"/>
  <c r="U69" i="39"/>
  <c r="T70" i="39"/>
  <c r="U70" i="39"/>
  <c r="T71" i="39"/>
  <c r="U71" i="39"/>
  <c r="T72" i="39"/>
  <c r="U72" i="39"/>
  <c r="T73" i="39"/>
  <c r="U73" i="39"/>
  <c r="T74" i="39"/>
  <c r="U74" i="39"/>
  <c r="T75" i="39"/>
  <c r="U75" i="39"/>
  <c r="T76" i="39"/>
  <c r="U76" i="39"/>
  <c r="T77" i="39"/>
  <c r="U77" i="39"/>
  <c r="T78" i="39"/>
  <c r="U78" i="39"/>
  <c r="T79" i="39"/>
  <c r="U79" i="39"/>
  <c r="T80" i="39"/>
  <c r="U80" i="39"/>
  <c r="T81" i="39"/>
  <c r="U81" i="39"/>
  <c r="T82" i="39"/>
  <c r="X82" i="39" s="1"/>
  <c r="U82" i="39"/>
  <c r="Y82" i="39" s="1"/>
  <c r="T83" i="39"/>
  <c r="U83" i="39"/>
  <c r="T84" i="39"/>
  <c r="U84" i="39"/>
  <c r="T85" i="39"/>
  <c r="U85" i="39"/>
  <c r="T86" i="39"/>
  <c r="X86" i="39" s="1"/>
  <c r="U86" i="39"/>
  <c r="Y86" i="39" s="1"/>
  <c r="T87" i="39"/>
  <c r="U87" i="39"/>
  <c r="T88" i="39"/>
  <c r="U88" i="39"/>
  <c r="T89" i="39"/>
  <c r="U89" i="39"/>
  <c r="T90" i="39"/>
  <c r="X90" i="39" s="1"/>
  <c r="U90" i="39"/>
  <c r="T91" i="39"/>
  <c r="U91" i="39"/>
  <c r="T92" i="39"/>
  <c r="U92" i="39"/>
  <c r="T93" i="39"/>
  <c r="U93" i="39"/>
  <c r="T94" i="39"/>
  <c r="X94" i="39" s="1"/>
  <c r="U94" i="39"/>
  <c r="Y94" i="39" s="1"/>
  <c r="T95" i="39"/>
  <c r="U95" i="39"/>
  <c r="T96" i="39"/>
  <c r="U96" i="39"/>
  <c r="T97" i="39"/>
  <c r="U97" i="39"/>
  <c r="T98" i="39"/>
  <c r="X98" i="39" s="1"/>
  <c r="U98" i="39"/>
  <c r="Y98" i="39" s="1"/>
  <c r="T99" i="39"/>
  <c r="U99" i="39"/>
  <c r="T100" i="39"/>
  <c r="U100" i="39"/>
  <c r="T101" i="39"/>
  <c r="U101" i="39"/>
  <c r="T102" i="39"/>
  <c r="X102" i="39" s="1"/>
  <c r="U102" i="39"/>
  <c r="Y102" i="39" s="1"/>
  <c r="T103" i="39"/>
  <c r="U103" i="39"/>
  <c r="T104" i="39"/>
  <c r="U104" i="39"/>
  <c r="T105" i="39"/>
  <c r="U105" i="39"/>
  <c r="T106" i="39"/>
  <c r="X106" i="39" s="1"/>
  <c r="U106" i="39"/>
  <c r="Y106" i="39" s="1"/>
  <c r="T107" i="39"/>
  <c r="U107" i="39"/>
  <c r="T108" i="39"/>
  <c r="U108" i="39"/>
  <c r="T109" i="39"/>
  <c r="U109" i="39"/>
  <c r="T110" i="39"/>
  <c r="X110" i="39" s="1"/>
  <c r="U110" i="39"/>
  <c r="Y110" i="39" s="1"/>
  <c r="T111" i="39"/>
  <c r="U111" i="39"/>
  <c r="T112" i="39"/>
  <c r="U112" i="39"/>
  <c r="T113" i="39"/>
  <c r="U113" i="39"/>
  <c r="T114" i="39"/>
  <c r="X114" i="39" s="1"/>
  <c r="U114" i="39"/>
  <c r="Y114" i="39" s="1"/>
  <c r="T115" i="39"/>
  <c r="U115" i="39"/>
  <c r="T116" i="39"/>
  <c r="U116" i="39"/>
  <c r="T117" i="39"/>
  <c r="U117" i="39"/>
  <c r="T118" i="39"/>
  <c r="X118" i="39" s="1"/>
  <c r="U118" i="39"/>
  <c r="Y118" i="39" s="1"/>
  <c r="T119" i="39"/>
  <c r="U119" i="39"/>
  <c r="T120" i="39"/>
  <c r="U120" i="39"/>
  <c r="T121" i="39"/>
  <c r="U121" i="39"/>
  <c r="T122" i="39"/>
  <c r="X122" i="39" s="1"/>
  <c r="U122" i="39"/>
  <c r="Y122" i="39" s="1"/>
  <c r="T123" i="39"/>
  <c r="U123" i="39"/>
  <c r="T124" i="39"/>
  <c r="U124" i="39"/>
  <c r="T125" i="39"/>
  <c r="U125" i="39"/>
  <c r="Y90" i="39"/>
  <c r="T15" i="38"/>
  <c r="U15" i="38"/>
  <c r="T16" i="38"/>
  <c r="U16" i="38"/>
  <c r="T17" i="38"/>
  <c r="U17" i="38"/>
  <c r="T18" i="38"/>
  <c r="U18" i="38"/>
  <c r="T19" i="38"/>
  <c r="U19" i="38"/>
  <c r="T20" i="38"/>
  <c r="U20" i="38"/>
  <c r="T21" i="38"/>
  <c r="U21" i="38"/>
  <c r="T22" i="38"/>
  <c r="U22" i="38"/>
  <c r="T23" i="38"/>
  <c r="U23" i="38"/>
  <c r="T24" i="38"/>
  <c r="U24" i="38"/>
  <c r="T25" i="38"/>
  <c r="U25" i="38"/>
  <c r="T26" i="38"/>
  <c r="U26" i="38"/>
  <c r="T27" i="38"/>
  <c r="U27" i="38"/>
  <c r="T28" i="38"/>
  <c r="U28" i="38"/>
  <c r="T29" i="38"/>
  <c r="U29" i="38"/>
  <c r="T30" i="38"/>
  <c r="U30" i="38"/>
  <c r="T31" i="38"/>
  <c r="U31" i="38"/>
  <c r="T32" i="38"/>
  <c r="U32" i="38"/>
  <c r="T33" i="38"/>
  <c r="U33" i="38"/>
  <c r="T34" i="38"/>
  <c r="U34" i="38"/>
  <c r="T35" i="38"/>
  <c r="U35" i="38"/>
  <c r="T36" i="38"/>
  <c r="U36" i="38"/>
  <c r="T37" i="38"/>
  <c r="U37" i="38"/>
  <c r="T38" i="38"/>
  <c r="U38" i="38"/>
  <c r="T39" i="38"/>
  <c r="U39" i="38"/>
  <c r="T40" i="38"/>
  <c r="U40" i="38"/>
  <c r="T41" i="38"/>
  <c r="U41" i="38"/>
  <c r="T42" i="38"/>
  <c r="U42" i="38"/>
  <c r="T43" i="38"/>
  <c r="U43" i="38"/>
  <c r="T44" i="38"/>
  <c r="U44" i="38"/>
  <c r="T45" i="38"/>
  <c r="U45" i="38"/>
  <c r="T46" i="38"/>
  <c r="U46" i="38"/>
  <c r="T47" i="38"/>
  <c r="U47" i="38"/>
  <c r="T48" i="38"/>
  <c r="U48" i="38"/>
  <c r="T49" i="38"/>
  <c r="U49" i="38"/>
  <c r="T50" i="38"/>
  <c r="U50" i="38"/>
  <c r="T51" i="38"/>
  <c r="U51" i="38"/>
  <c r="T52" i="38"/>
  <c r="U52" i="38"/>
  <c r="T53" i="38"/>
  <c r="U53" i="38"/>
  <c r="T54" i="38"/>
  <c r="U54" i="38"/>
  <c r="T55" i="38"/>
  <c r="U55" i="38"/>
  <c r="T56" i="38"/>
  <c r="U56" i="38"/>
  <c r="T57" i="38"/>
  <c r="U57" i="38"/>
  <c r="T58" i="38"/>
  <c r="U58" i="38"/>
  <c r="T59" i="38"/>
  <c r="U59" i="38"/>
  <c r="T60" i="38"/>
  <c r="U60" i="38"/>
  <c r="T61" i="38"/>
  <c r="U61" i="38"/>
  <c r="T62" i="38"/>
  <c r="U62" i="38"/>
  <c r="T63" i="38"/>
  <c r="U63" i="38"/>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T86" i="38"/>
  <c r="U86" i="38"/>
  <c r="T87" i="38"/>
  <c r="U87" i="38"/>
  <c r="T88" i="38"/>
  <c r="U88" i="38"/>
  <c r="T89" i="38"/>
  <c r="U89" i="38"/>
  <c r="T90" i="38"/>
  <c r="U90" i="38"/>
  <c r="T91" i="38"/>
  <c r="U91" i="38"/>
  <c r="T92" i="38"/>
  <c r="U92" i="38"/>
  <c r="T93" i="38"/>
  <c r="U93" i="38"/>
  <c r="T94" i="38"/>
  <c r="U94" i="38"/>
  <c r="T95" i="38"/>
  <c r="U95" i="38"/>
  <c r="T96" i="38"/>
  <c r="U96" i="38"/>
  <c r="T97" i="38"/>
  <c r="U97" i="38"/>
  <c r="T98" i="38"/>
  <c r="U98" i="38"/>
  <c r="T99" i="38"/>
  <c r="U99" i="38"/>
  <c r="T100" i="38"/>
  <c r="U100" i="38"/>
  <c r="T101" i="38"/>
  <c r="U101" i="38"/>
  <c r="T102" i="38"/>
  <c r="U102" i="38"/>
  <c r="T103" i="38"/>
  <c r="U103" i="38"/>
  <c r="T104" i="38"/>
  <c r="U104" i="38"/>
  <c r="T105" i="38"/>
  <c r="U105" i="38"/>
  <c r="T106" i="38"/>
  <c r="U106" i="38"/>
  <c r="T107" i="38"/>
  <c r="U107" i="38"/>
  <c r="T108" i="38"/>
  <c r="U108" i="38"/>
  <c r="T109" i="38"/>
  <c r="U109" i="38"/>
  <c r="T110" i="38"/>
  <c r="U110" i="38"/>
  <c r="T111" i="38"/>
  <c r="U111" i="38"/>
  <c r="T112" i="38"/>
  <c r="U112" i="38"/>
  <c r="T113" i="38"/>
  <c r="U113" i="38"/>
  <c r="T114" i="38"/>
  <c r="U114" i="38"/>
  <c r="T115" i="38"/>
  <c r="U115" i="38"/>
  <c r="T116" i="38"/>
  <c r="U116" i="38"/>
  <c r="T117" i="38"/>
  <c r="U117" i="38"/>
  <c r="T118" i="38"/>
  <c r="X118" i="38" s="1"/>
  <c r="U118" i="38"/>
  <c r="Y118" i="38" s="1"/>
  <c r="T119" i="38"/>
  <c r="U119" i="38"/>
  <c r="T120" i="38"/>
  <c r="U120" i="38"/>
  <c r="T121" i="38"/>
  <c r="U121" i="38"/>
  <c r="Y121" i="38" s="1"/>
  <c r="T122" i="38"/>
  <c r="X122" i="38" s="1"/>
  <c r="U122" i="38"/>
  <c r="Y122" i="38" s="1"/>
  <c r="T123" i="38"/>
  <c r="U123" i="38"/>
  <c r="T124" i="38"/>
  <c r="U124" i="38"/>
  <c r="T125" i="38"/>
  <c r="U125" i="38"/>
  <c r="Y117" i="38"/>
  <c r="T15" i="37"/>
  <c r="U15" i="37"/>
  <c r="T16" i="37"/>
  <c r="U16" i="37"/>
  <c r="T17" i="37"/>
  <c r="U17" i="37"/>
  <c r="T18" i="37"/>
  <c r="U18" i="37"/>
  <c r="T19" i="37"/>
  <c r="U19" i="37"/>
  <c r="T20" i="37"/>
  <c r="U20" i="37"/>
  <c r="T21" i="37"/>
  <c r="U21" i="37"/>
  <c r="T22" i="37"/>
  <c r="U22" i="37"/>
  <c r="T23" i="37"/>
  <c r="U23" i="37"/>
  <c r="T24" i="37"/>
  <c r="U24" i="37"/>
  <c r="T25" i="37"/>
  <c r="U25" i="37"/>
  <c r="T26" i="37"/>
  <c r="U26" i="37"/>
  <c r="T27" i="37"/>
  <c r="U27" i="37"/>
  <c r="T28" i="37"/>
  <c r="U28" i="37"/>
  <c r="T29" i="37"/>
  <c r="U29" i="37"/>
  <c r="T30" i="37"/>
  <c r="U30" i="37"/>
  <c r="T31" i="37"/>
  <c r="U31" i="37"/>
  <c r="T32" i="37"/>
  <c r="U32" i="37"/>
  <c r="T33" i="37"/>
  <c r="U33" i="37"/>
  <c r="T34" i="37"/>
  <c r="U34" i="37"/>
  <c r="T35" i="37"/>
  <c r="U35" i="37"/>
  <c r="T36" i="37"/>
  <c r="U36" i="37"/>
  <c r="T37" i="37"/>
  <c r="U37" i="37"/>
  <c r="T38" i="37"/>
  <c r="U38" i="37"/>
  <c r="T39" i="37"/>
  <c r="U39" i="37"/>
  <c r="T40" i="37"/>
  <c r="U40" i="37"/>
  <c r="T41" i="37"/>
  <c r="U41" i="37"/>
  <c r="T42" i="37"/>
  <c r="U42" i="37"/>
  <c r="T43" i="37"/>
  <c r="U43" i="37"/>
  <c r="T44" i="37"/>
  <c r="U44" i="37"/>
  <c r="T45" i="37"/>
  <c r="U45" i="37"/>
  <c r="T46" i="37"/>
  <c r="U46" i="37"/>
  <c r="T47" i="37"/>
  <c r="U47" i="37"/>
  <c r="T48" i="37"/>
  <c r="U48" i="37"/>
  <c r="T49" i="37"/>
  <c r="U49" i="37"/>
  <c r="T50" i="37"/>
  <c r="U50" i="37"/>
  <c r="T51" i="37"/>
  <c r="U51" i="37"/>
  <c r="T52" i="37"/>
  <c r="U52" i="37"/>
  <c r="T53" i="37"/>
  <c r="U53" i="37"/>
  <c r="T54" i="37"/>
  <c r="U54" i="37"/>
  <c r="T55" i="37"/>
  <c r="U55" i="37"/>
  <c r="T56" i="37"/>
  <c r="U56" i="37"/>
  <c r="T57" i="37"/>
  <c r="U57" i="37"/>
  <c r="T58" i="37"/>
  <c r="U58" i="37"/>
  <c r="T59" i="37"/>
  <c r="U59" i="37"/>
  <c r="T60" i="37"/>
  <c r="U60" i="37"/>
  <c r="T61" i="37"/>
  <c r="U61" i="37"/>
  <c r="T62" i="37"/>
  <c r="U62" i="37"/>
  <c r="T63" i="37"/>
  <c r="U63" i="37"/>
  <c r="T64" i="37"/>
  <c r="U64" i="37"/>
  <c r="T65" i="37"/>
  <c r="U65" i="37"/>
  <c r="T66" i="37"/>
  <c r="U66" i="37"/>
  <c r="T67" i="37"/>
  <c r="U67" i="37"/>
  <c r="T68" i="37"/>
  <c r="U68" i="37"/>
  <c r="T69" i="37"/>
  <c r="U69" i="37"/>
  <c r="T70" i="37"/>
  <c r="U70" i="37"/>
  <c r="T71" i="37"/>
  <c r="U71" i="37"/>
  <c r="T72" i="37"/>
  <c r="U72" i="37"/>
  <c r="T73" i="37"/>
  <c r="U73" i="37"/>
  <c r="T74" i="37"/>
  <c r="U74" i="37"/>
  <c r="T75" i="37"/>
  <c r="U75" i="37"/>
  <c r="T76" i="37"/>
  <c r="U76" i="37"/>
  <c r="T77" i="37"/>
  <c r="U77" i="37"/>
  <c r="T78" i="37"/>
  <c r="U78" i="37"/>
  <c r="T79" i="37"/>
  <c r="U79" i="37"/>
  <c r="T80" i="37"/>
  <c r="U80" i="37"/>
  <c r="T81" i="37"/>
  <c r="U81" i="37"/>
  <c r="T82" i="37"/>
  <c r="U82" i="37"/>
  <c r="T83" i="37"/>
  <c r="U83" i="37"/>
  <c r="T84" i="37"/>
  <c r="U84" i="37"/>
  <c r="T85" i="37"/>
  <c r="U85" i="37"/>
  <c r="T86" i="37"/>
  <c r="U86" i="37"/>
  <c r="T87" i="37"/>
  <c r="U87" i="37"/>
  <c r="T88" i="37"/>
  <c r="U88" i="37"/>
  <c r="T89" i="37"/>
  <c r="U89" i="37"/>
  <c r="T90" i="37"/>
  <c r="U90" i="37"/>
  <c r="T91" i="37"/>
  <c r="U91" i="37"/>
  <c r="T92" i="37"/>
  <c r="U92" i="37"/>
  <c r="T93" i="37"/>
  <c r="U93" i="37"/>
  <c r="T94" i="37"/>
  <c r="U94" i="37"/>
  <c r="T95" i="37"/>
  <c r="U95" i="37"/>
  <c r="T96" i="37"/>
  <c r="U96" i="37"/>
  <c r="T97" i="37"/>
  <c r="U97" i="37"/>
  <c r="T98" i="37"/>
  <c r="U98" i="37"/>
  <c r="T99" i="37"/>
  <c r="U99" i="37"/>
  <c r="T100" i="37"/>
  <c r="U100" i="37"/>
  <c r="T101" i="37"/>
  <c r="U101" i="37"/>
  <c r="T102" i="37"/>
  <c r="U102" i="37"/>
  <c r="T103" i="37"/>
  <c r="U103" i="37"/>
  <c r="T104" i="37"/>
  <c r="U104" i="37"/>
  <c r="T105" i="37"/>
  <c r="U105" i="37"/>
  <c r="T106" i="37"/>
  <c r="U106" i="37"/>
  <c r="T107" i="37"/>
  <c r="U107" i="37"/>
  <c r="T108" i="37"/>
  <c r="U108" i="37"/>
  <c r="T109" i="37"/>
  <c r="U109" i="37"/>
  <c r="T110" i="37"/>
  <c r="U110" i="37"/>
  <c r="T111" i="37"/>
  <c r="U111" i="37"/>
  <c r="T112" i="37"/>
  <c r="U112" i="37"/>
  <c r="T113" i="37"/>
  <c r="U113" i="37"/>
  <c r="T114" i="37"/>
  <c r="U114" i="37"/>
  <c r="T115" i="37"/>
  <c r="U115" i="37"/>
  <c r="T116" i="37"/>
  <c r="U116" i="37"/>
  <c r="T117" i="37"/>
  <c r="U117" i="37"/>
  <c r="T118" i="37"/>
  <c r="X118" i="37" s="1"/>
  <c r="U118" i="37"/>
  <c r="Y118" i="37" s="1"/>
  <c r="T119" i="37"/>
  <c r="U119" i="37"/>
  <c r="T120" i="37"/>
  <c r="U120" i="37"/>
  <c r="T121" i="37"/>
  <c r="U121" i="37"/>
  <c r="T122" i="37"/>
  <c r="X122" i="37" s="1"/>
  <c r="U122" i="37"/>
  <c r="Y122" i="37" s="1"/>
  <c r="T123" i="37"/>
  <c r="U123" i="37"/>
  <c r="T124" i="37"/>
  <c r="U124" i="37"/>
  <c r="T125" i="37"/>
  <c r="U125" i="37"/>
  <c r="T15" i="36"/>
  <c r="U15" i="36"/>
  <c r="T16" i="36"/>
  <c r="U16" i="36"/>
  <c r="T17" i="36"/>
  <c r="U17" i="36"/>
  <c r="T18" i="36"/>
  <c r="U18" i="36"/>
  <c r="T19" i="36"/>
  <c r="U19" i="36"/>
  <c r="T20" i="36"/>
  <c r="U20" i="36"/>
  <c r="T21" i="36"/>
  <c r="U21" i="36"/>
  <c r="T22" i="36"/>
  <c r="U22" i="36"/>
  <c r="T23" i="36"/>
  <c r="U23" i="36"/>
  <c r="T24" i="36"/>
  <c r="U24" i="36"/>
  <c r="T25" i="36"/>
  <c r="U25" i="36"/>
  <c r="T26" i="36"/>
  <c r="U26" i="36"/>
  <c r="T27" i="36"/>
  <c r="U27" i="36"/>
  <c r="T28" i="36"/>
  <c r="U28" i="36"/>
  <c r="T29" i="36"/>
  <c r="U29" i="36"/>
  <c r="T30" i="36"/>
  <c r="U30" i="36"/>
  <c r="T31" i="36"/>
  <c r="U31" i="36"/>
  <c r="T32" i="36"/>
  <c r="U32" i="36"/>
  <c r="T33" i="36"/>
  <c r="U33" i="36"/>
  <c r="T34" i="36"/>
  <c r="U34" i="36"/>
  <c r="T35" i="36"/>
  <c r="U35" i="36"/>
  <c r="T36" i="36"/>
  <c r="U36"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T57" i="36"/>
  <c r="U57" i="36"/>
  <c r="T58" i="36"/>
  <c r="U58" i="36"/>
  <c r="T59" i="36"/>
  <c r="U59" i="36"/>
  <c r="T60" i="36"/>
  <c r="U60" i="36"/>
  <c r="T61" i="36"/>
  <c r="U61" i="36"/>
  <c r="T62" i="36"/>
  <c r="U62" i="36"/>
  <c r="T63" i="36"/>
  <c r="U63" i="36"/>
  <c r="T64" i="36"/>
  <c r="U64" i="36"/>
  <c r="T65" i="36"/>
  <c r="U65" i="36"/>
  <c r="T66" i="36"/>
  <c r="U66" i="36"/>
  <c r="T67" i="36"/>
  <c r="U67" i="36"/>
  <c r="T68" i="36"/>
  <c r="U68" i="36"/>
  <c r="T69" i="36"/>
  <c r="U69" i="36"/>
  <c r="T70" i="36"/>
  <c r="U70" i="36"/>
  <c r="T71" i="36"/>
  <c r="U71" i="36"/>
  <c r="T72" i="36"/>
  <c r="U72" i="36"/>
  <c r="T73" i="36"/>
  <c r="U73" i="36"/>
  <c r="T74" i="36"/>
  <c r="U74" i="36"/>
  <c r="T75" i="36"/>
  <c r="U75" i="36"/>
  <c r="T76" i="36"/>
  <c r="U76" i="36"/>
  <c r="T77" i="36"/>
  <c r="U77" i="36"/>
  <c r="T78" i="36"/>
  <c r="U78" i="36"/>
  <c r="T79" i="36"/>
  <c r="U79" i="36"/>
  <c r="T80" i="36"/>
  <c r="U80" i="36"/>
  <c r="T81" i="36"/>
  <c r="U81" i="36"/>
  <c r="T82" i="36"/>
  <c r="U82" i="36"/>
  <c r="T83" i="36"/>
  <c r="U83" i="36"/>
  <c r="T84" i="36"/>
  <c r="U84" i="36"/>
  <c r="T85" i="36"/>
  <c r="U85" i="36"/>
  <c r="T86" i="36"/>
  <c r="U86" i="36"/>
  <c r="T87" i="36"/>
  <c r="U87" i="36"/>
  <c r="T88" i="36"/>
  <c r="U88" i="36"/>
  <c r="T89" i="36"/>
  <c r="U89" i="36"/>
  <c r="T90" i="36"/>
  <c r="U90" i="36"/>
  <c r="T91" i="36"/>
  <c r="U91" i="36"/>
  <c r="T92" i="36"/>
  <c r="U92" i="36"/>
  <c r="T93" i="36"/>
  <c r="U93" i="36"/>
  <c r="T94" i="36"/>
  <c r="U94" i="36"/>
  <c r="T95" i="36"/>
  <c r="U95" i="36"/>
  <c r="T96" i="36"/>
  <c r="U96" i="36"/>
  <c r="T97" i="36"/>
  <c r="U97" i="36"/>
  <c r="T98" i="36"/>
  <c r="U98" i="36"/>
  <c r="T99" i="36"/>
  <c r="U99" i="36"/>
  <c r="T100" i="36"/>
  <c r="U100" i="36"/>
  <c r="T101" i="36"/>
  <c r="U101" i="36"/>
  <c r="T102" i="36"/>
  <c r="U102" i="36"/>
  <c r="T103" i="36"/>
  <c r="U103" i="36"/>
  <c r="T104" i="36"/>
  <c r="U104" i="36"/>
  <c r="T105" i="36"/>
  <c r="U105" i="36"/>
  <c r="T106" i="36"/>
  <c r="U106" i="36"/>
  <c r="T107" i="36"/>
  <c r="U107" i="36"/>
  <c r="T108" i="36"/>
  <c r="U108" i="36"/>
  <c r="T109" i="36"/>
  <c r="U109" i="36"/>
  <c r="T110" i="36"/>
  <c r="U110" i="36"/>
  <c r="T111" i="36"/>
  <c r="U111" i="36"/>
  <c r="T112" i="36"/>
  <c r="U112" i="36"/>
  <c r="T113" i="36"/>
  <c r="U113" i="36"/>
  <c r="T114" i="36"/>
  <c r="U114" i="36"/>
  <c r="T115" i="36"/>
  <c r="U115" i="36"/>
  <c r="T116" i="36"/>
  <c r="U116" i="36"/>
  <c r="T117" i="36"/>
  <c r="U117" i="36"/>
  <c r="T118" i="36"/>
  <c r="U118" i="36"/>
  <c r="T119" i="36"/>
  <c r="U119" i="36"/>
  <c r="T120" i="36"/>
  <c r="U120" i="36"/>
  <c r="T121" i="36"/>
  <c r="U121" i="36"/>
  <c r="T122" i="36"/>
  <c r="X122" i="36" s="1"/>
  <c r="U122" i="36"/>
  <c r="Y122" i="36" s="1"/>
  <c r="T123" i="36"/>
  <c r="U123" i="36"/>
  <c r="T124" i="36"/>
  <c r="U124" i="36"/>
  <c r="T125" i="36"/>
  <c r="U125" i="36"/>
  <c r="X118" i="36"/>
  <c r="Y118" i="36"/>
  <c r="T16" i="24"/>
  <c r="U16" i="24"/>
  <c r="T17" i="24"/>
  <c r="U17" i="24"/>
  <c r="T18" i="24"/>
  <c r="U18" i="24"/>
  <c r="T19" i="24"/>
  <c r="U19" i="24"/>
  <c r="T20" i="24"/>
  <c r="U20" i="24"/>
  <c r="T21" i="24"/>
  <c r="U21" i="24"/>
  <c r="T22" i="24"/>
  <c r="U22" i="24"/>
  <c r="T23" i="24"/>
  <c r="U23" i="24"/>
  <c r="T24" i="24"/>
  <c r="U24" i="24"/>
  <c r="T25" i="24"/>
  <c r="U25" i="24"/>
  <c r="T26" i="24"/>
  <c r="U26" i="24"/>
  <c r="T27" i="24"/>
  <c r="U27" i="24"/>
  <c r="T28" i="24"/>
  <c r="U28" i="24"/>
  <c r="T29" i="24"/>
  <c r="U29" i="24"/>
  <c r="T30" i="24"/>
  <c r="U30" i="24"/>
  <c r="T31" i="24"/>
  <c r="U31" i="24"/>
  <c r="T32" i="24"/>
  <c r="U32" i="24"/>
  <c r="T33" i="24"/>
  <c r="U33" i="24"/>
  <c r="T34" i="24"/>
  <c r="U34" i="24"/>
  <c r="T35" i="24"/>
  <c r="U35" i="24"/>
  <c r="T36" i="24"/>
  <c r="U36" i="24"/>
  <c r="T37" i="24"/>
  <c r="U37" i="24"/>
  <c r="T38" i="24"/>
  <c r="U38" i="24"/>
  <c r="T39" i="24"/>
  <c r="U39" i="24"/>
  <c r="T40" i="24"/>
  <c r="U40" i="24"/>
  <c r="T41" i="24"/>
  <c r="U41" i="24"/>
  <c r="T42" i="24"/>
  <c r="U42" i="24"/>
  <c r="T43" i="24"/>
  <c r="U43" i="24"/>
  <c r="T44" i="24"/>
  <c r="U44" i="24"/>
  <c r="T45" i="24"/>
  <c r="U45" i="24"/>
  <c r="T46" i="24"/>
  <c r="U46" i="24"/>
  <c r="T47" i="24"/>
  <c r="U47" i="24"/>
  <c r="T48" i="24"/>
  <c r="U48" i="24"/>
  <c r="T49" i="24"/>
  <c r="U49" i="24"/>
  <c r="T50" i="24"/>
  <c r="U50" i="24"/>
  <c r="T51" i="24"/>
  <c r="U51" i="24"/>
  <c r="T52" i="24"/>
  <c r="U52" i="24"/>
  <c r="T53" i="24"/>
  <c r="U53" i="24"/>
  <c r="T54" i="24"/>
  <c r="U54" i="24"/>
  <c r="T55" i="24"/>
  <c r="U55" i="24"/>
  <c r="T56" i="24"/>
  <c r="U56" i="24"/>
  <c r="T57" i="24"/>
  <c r="U57" i="24"/>
  <c r="T58" i="24"/>
  <c r="U58" i="24"/>
  <c r="T59" i="24"/>
  <c r="U59" i="24"/>
  <c r="T60" i="24"/>
  <c r="U60" i="24"/>
  <c r="T61" i="24"/>
  <c r="U61" i="24"/>
  <c r="T62" i="24"/>
  <c r="U62" i="24"/>
  <c r="T63" i="24"/>
  <c r="U63" i="24"/>
  <c r="T64" i="24"/>
  <c r="U64" i="24"/>
  <c r="T65" i="24"/>
  <c r="U65" i="24"/>
  <c r="T66" i="24"/>
  <c r="U66" i="24"/>
  <c r="T67" i="24"/>
  <c r="U67" i="24"/>
  <c r="T68" i="24"/>
  <c r="U68" i="24"/>
  <c r="T69" i="24"/>
  <c r="U69" i="24"/>
  <c r="T70" i="24"/>
  <c r="U70" i="24"/>
  <c r="T71" i="24"/>
  <c r="U71" i="24"/>
  <c r="T72" i="24"/>
  <c r="U72" i="24"/>
  <c r="T73" i="24"/>
  <c r="U73" i="24"/>
  <c r="T74" i="24"/>
  <c r="U74" i="24"/>
  <c r="T75" i="24"/>
  <c r="U75" i="24"/>
  <c r="T76" i="24"/>
  <c r="U76" i="24"/>
  <c r="T77" i="24"/>
  <c r="U77" i="24"/>
  <c r="T78" i="24"/>
  <c r="U78" i="24"/>
  <c r="T79" i="24"/>
  <c r="U79" i="24"/>
  <c r="T80" i="24"/>
  <c r="U80" i="24"/>
  <c r="T81" i="24"/>
  <c r="U81" i="24"/>
  <c r="T82" i="24"/>
  <c r="U82" i="24"/>
  <c r="T83" i="24"/>
  <c r="U83" i="24"/>
  <c r="T84" i="24"/>
  <c r="U84" i="24"/>
  <c r="T85" i="24"/>
  <c r="U85" i="24"/>
  <c r="T86" i="24"/>
  <c r="U86" i="24"/>
  <c r="T87" i="24"/>
  <c r="U87" i="24"/>
  <c r="T88" i="24"/>
  <c r="U88" i="24"/>
  <c r="T89" i="24"/>
  <c r="U89" i="24"/>
  <c r="T90" i="24"/>
  <c r="U90" i="24"/>
  <c r="T91" i="24"/>
  <c r="U91" i="24"/>
  <c r="T92" i="24"/>
  <c r="U92" i="24"/>
  <c r="T93" i="24"/>
  <c r="U93" i="24"/>
  <c r="T94" i="24"/>
  <c r="U94" i="24"/>
  <c r="T95" i="24"/>
  <c r="U95" i="24"/>
  <c r="T96" i="24"/>
  <c r="U96" i="24"/>
  <c r="T97" i="24"/>
  <c r="U97" i="24"/>
  <c r="T98" i="24"/>
  <c r="U98" i="24"/>
  <c r="T99" i="24"/>
  <c r="U99" i="24"/>
  <c r="T100" i="24"/>
  <c r="U100" i="24"/>
  <c r="T101" i="24"/>
  <c r="U101" i="24"/>
  <c r="T102" i="24"/>
  <c r="U102" i="24"/>
  <c r="T103" i="24"/>
  <c r="U103" i="24"/>
  <c r="T104" i="24"/>
  <c r="U104" i="24"/>
  <c r="T105" i="24"/>
  <c r="U105" i="24"/>
  <c r="T106" i="24"/>
  <c r="U106" i="24"/>
  <c r="T107" i="24"/>
  <c r="U107" i="24"/>
  <c r="T108" i="24"/>
  <c r="U108" i="24"/>
  <c r="T109" i="24"/>
  <c r="U109" i="24"/>
  <c r="T110" i="24"/>
  <c r="U110" i="24"/>
  <c r="T111" i="24"/>
  <c r="U111" i="24"/>
  <c r="T112" i="24"/>
  <c r="U112" i="24"/>
  <c r="T113" i="24"/>
  <c r="U113" i="24"/>
  <c r="T114" i="24"/>
  <c r="U114" i="24"/>
  <c r="T115" i="24"/>
  <c r="U115" i="24"/>
  <c r="T116" i="24"/>
  <c r="U116" i="24"/>
  <c r="T117" i="24"/>
  <c r="U117" i="24"/>
  <c r="T118" i="24"/>
  <c r="U118" i="24"/>
  <c r="T119" i="24"/>
  <c r="U119" i="24"/>
  <c r="T120" i="24"/>
  <c r="U120" i="24"/>
  <c r="T121" i="24"/>
  <c r="U121" i="24"/>
  <c r="T122" i="24"/>
  <c r="U122" i="24"/>
  <c r="T123" i="24"/>
  <c r="U123" i="24"/>
  <c r="T124" i="24"/>
  <c r="U124" i="24"/>
  <c r="T125" i="24"/>
  <c r="U125" i="24"/>
  <c r="U15" i="24"/>
  <c r="T15" i="24"/>
  <c r="A1" i="36"/>
  <c r="BS29" i="38"/>
  <c r="BW29" i="38" s="1"/>
  <c r="BS45" i="38"/>
  <c r="BW45" i="38" s="1"/>
  <c r="BS61" i="38"/>
  <c r="BW61" i="38" s="1"/>
  <c r="BS77" i="38"/>
  <c r="BW77" i="38" s="1"/>
  <c r="BS93" i="38"/>
  <c r="BW93" i="38" s="1"/>
  <c r="BS109" i="38"/>
  <c r="BW109" i="38" s="1"/>
  <c r="BR116" i="38"/>
  <c r="BS116" i="38"/>
  <c r="BR117" i="38"/>
  <c r="BS117" i="38"/>
  <c r="BR118" i="38"/>
  <c r="BS118" i="38"/>
  <c r="BS119" i="38"/>
  <c r="BR120" i="38"/>
  <c r="BS120" i="38"/>
  <c r="BR121" i="38"/>
  <c r="BS121" i="38"/>
  <c r="BR122" i="38"/>
  <c r="BS122" i="38"/>
  <c r="BS123" i="38"/>
  <c r="BR124" i="38"/>
  <c r="BS124" i="38"/>
  <c r="BR125" i="38"/>
  <c r="BS125" i="38"/>
  <c r="A1" i="49"/>
  <c r="N3" i="49" s="1"/>
  <c r="BZ125" i="49"/>
  <c r="BW125" i="49"/>
  <c r="BV125" i="49"/>
  <c r="BS125" i="49"/>
  <c r="BR125" i="49"/>
  <c r="BK125" i="49"/>
  <c r="BH125" i="49"/>
  <c r="BG125" i="49"/>
  <c r="BD125" i="49"/>
  <c r="BC125" i="49"/>
  <c r="AV125" i="49"/>
  <c r="AS125" i="49"/>
  <c r="AR125" i="49"/>
  <c r="AO125" i="49"/>
  <c r="AN125" i="49"/>
  <c r="AG125" i="49"/>
  <c r="Z125" i="49"/>
  <c r="X125" i="49"/>
  <c r="Q125" i="49"/>
  <c r="J125" i="49"/>
  <c r="I125" i="49"/>
  <c r="D125" i="49"/>
  <c r="C125" i="49"/>
  <c r="K125" i="49" s="1" a="1"/>
  <c r="K125" i="49" s="1"/>
  <c r="BZ124" i="49"/>
  <c r="BW124" i="49"/>
  <c r="BV124" i="49"/>
  <c r="BS124" i="49"/>
  <c r="BR124" i="49"/>
  <c r="BK124" i="49"/>
  <c r="BH124" i="49"/>
  <c r="BG124" i="49"/>
  <c r="BD124" i="49"/>
  <c r="BC124" i="49"/>
  <c r="AV124" i="49"/>
  <c r="AS124" i="49"/>
  <c r="AR124" i="49"/>
  <c r="AO124" i="49"/>
  <c r="AN124" i="49"/>
  <c r="AG124" i="49"/>
  <c r="Z124" i="49"/>
  <c r="Y124" i="49"/>
  <c r="X124" i="49"/>
  <c r="Q124" i="49"/>
  <c r="K124" i="49" a="1"/>
  <c r="K124" i="49" s="1"/>
  <c r="J124" i="49"/>
  <c r="I124" i="49"/>
  <c r="D124" i="49"/>
  <c r="C124" i="49"/>
  <c r="L124" i="49" s="1" a="1"/>
  <c r="L124" i="49" s="1"/>
  <c r="BZ123" i="49"/>
  <c r="BW123" i="49"/>
  <c r="BS123" i="49"/>
  <c r="BK123" i="49"/>
  <c r="BG123" i="49"/>
  <c r="BC123" i="49"/>
  <c r="AV123" i="49"/>
  <c r="AR123" i="49"/>
  <c r="AN123" i="49"/>
  <c r="AG123" i="49"/>
  <c r="Z123" i="49"/>
  <c r="Y123" i="49"/>
  <c r="X123" i="49"/>
  <c r="Q123" i="49"/>
  <c r="L123" i="49" a="1"/>
  <c r="L123" i="49" s="1"/>
  <c r="K123" i="49" a="1"/>
  <c r="K123" i="49" s="1"/>
  <c r="J123" i="49"/>
  <c r="I123" i="49"/>
  <c r="D123" i="49"/>
  <c r="C123" i="49"/>
  <c r="BZ122" i="49"/>
  <c r="BW122" i="49"/>
  <c r="BV122" i="49"/>
  <c r="BS122" i="49"/>
  <c r="BR122" i="49"/>
  <c r="BK122" i="49"/>
  <c r="BH122" i="49"/>
  <c r="BG122" i="49"/>
  <c r="BD122" i="49"/>
  <c r="BC122" i="49"/>
  <c r="AV122" i="49"/>
  <c r="AS122" i="49"/>
  <c r="AR122" i="49"/>
  <c r="AO122" i="49"/>
  <c r="AN122" i="49"/>
  <c r="AG122" i="49"/>
  <c r="Z122" i="49"/>
  <c r="Q122" i="49"/>
  <c r="J122" i="49"/>
  <c r="I122" i="49"/>
  <c r="D122" i="49"/>
  <c r="C122" i="49"/>
  <c r="BZ121" i="49"/>
  <c r="BW121" i="49"/>
  <c r="BV121" i="49"/>
  <c r="BS121" i="49"/>
  <c r="BR121" i="49"/>
  <c r="BK121" i="49"/>
  <c r="BH121" i="49"/>
  <c r="BG121" i="49"/>
  <c r="BD121" i="49"/>
  <c r="BC121" i="49"/>
  <c r="AV121" i="49"/>
  <c r="AS121" i="49"/>
  <c r="AR121" i="49"/>
  <c r="AO121" i="49"/>
  <c r="AN121" i="49"/>
  <c r="AG121" i="49"/>
  <c r="Z121" i="49"/>
  <c r="X121" i="49"/>
  <c r="Q121" i="49"/>
  <c r="L121" i="49" a="1"/>
  <c r="L121" i="49" s="1"/>
  <c r="J121" i="49"/>
  <c r="I121" i="49"/>
  <c r="D121" i="49"/>
  <c r="C121" i="49"/>
  <c r="K121" i="49" s="1" a="1"/>
  <c r="K121" i="49" s="1"/>
  <c r="BZ120" i="49"/>
  <c r="BW120" i="49"/>
  <c r="BV120" i="49"/>
  <c r="BS120" i="49"/>
  <c r="BR120" i="49"/>
  <c r="BK120" i="49"/>
  <c r="BH120" i="49"/>
  <c r="BG120" i="49"/>
  <c r="BD120" i="49"/>
  <c r="BC120" i="49"/>
  <c r="AV120" i="49"/>
  <c r="AS120" i="49"/>
  <c r="AR120" i="49"/>
  <c r="AO120" i="49"/>
  <c r="AN120" i="49"/>
  <c r="AG120" i="49"/>
  <c r="Z120" i="49"/>
  <c r="Y120" i="49"/>
  <c r="X120" i="49"/>
  <c r="Q120" i="49"/>
  <c r="L120" i="49" a="1"/>
  <c r="L120" i="49" s="1"/>
  <c r="K120" i="49" a="1"/>
  <c r="K120" i="49" s="1"/>
  <c r="J120" i="49"/>
  <c r="I120" i="49"/>
  <c r="D120" i="49"/>
  <c r="C120" i="49"/>
  <c r="BZ119" i="49"/>
  <c r="BW119" i="49"/>
  <c r="BS119" i="49"/>
  <c r="BK119" i="49"/>
  <c r="BG119" i="49"/>
  <c r="BC119" i="49"/>
  <c r="AV119" i="49"/>
  <c r="AR119" i="49"/>
  <c r="AN119" i="49"/>
  <c r="AG119" i="49"/>
  <c r="Z119" i="49"/>
  <c r="Y119" i="49"/>
  <c r="X119" i="49"/>
  <c r="Q119" i="49"/>
  <c r="J119" i="49"/>
  <c r="I119" i="49"/>
  <c r="D119" i="49"/>
  <c r="C119" i="49"/>
  <c r="L119" i="49" s="1" a="1"/>
  <c r="L119" i="49" s="1"/>
  <c r="BZ118" i="49"/>
  <c r="BW118" i="49"/>
  <c r="BV118" i="49"/>
  <c r="BS118" i="49"/>
  <c r="BR118" i="49"/>
  <c r="BK118" i="49"/>
  <c r="BH118" i="49"/>
  <c r="BG118" i="49"/>
  <c r="BD118" i="49"/>
  <c r="BC118" i="49"/>
  <c r="AV118" i="49"/>
  <c r="AS118" i="49"/>
  <c r="AR118" i="49"/>
  <c r="AO118" i="49"/>
  <c r="AN118" i="49"/>
  <c r="AG118" i="49"/>
  <c r="Z118" i="49"/>
  <c r="Q118" i="49"/>
  <c r="J118" i="49"/>
  <c r="I118" i="49"/>
  <c r="D118" i="49"/>
  <c r="C118" i="49"/>
  <c r="BZ117" i="49"/>
  <c r="BW117" i="49"/>
  <c r="BV117" i="49"/>
  <c r="BS117" i="49"/>
  <c r="BR117" i="49"/>
  <c r="BK117" i="49"/>
  <c r="BH117" i="49"/>
  <c r="BG117" i="49"/>
  <c r="BD117" i="49"/>
  <c r="BC117" i="49"/>
  <c r="AV117" i="49"/>
  <c r="AS117" i="49"/>
  <c r="AR117" i="49"/>
  <c r="AO117" i="49"/>
  <c r="AN117" i="49"/>
  <c r="AG117" i="49"/>
  <c r="Z117" i="49"/>
  <c r="X117" i="49"/>
  <c r="Q117" i="49"/>
  <c r="L117" i="49" a="1"/>
  <c r="L117" i="49" s="1"/>
  <c r="J117" i="49"/>
  <c r="I117" i="49"/>
  <c r="D117" i="49"/>
  <c r="C117" i="49"/>
  <c r="K117" i="49" s="1" a="1"/>
  <c r="K117" i="49" s="1"/>
  <c r="BZ116" i="49"/>
  <c r="BW116" i="49"/>
  <c r="BV116" i="49"/>
  <c r="BS116" i="49"/>
  <c r="BR116" i="49"/>
  <c r="BK116" i="49"/>
  <c r="BH116" i="49"/>
  <c r="BG116" i="49"/>
  <c r="BD116" i="49"/>
  <c r="BC116" i="49"/>
  <c r="AV116" i="49"/>
  <c r="AS116" i="49"/>
  <c r="AR116" i="49"/>
  <c r="AO116" i="49"/>
  <c r="AN116" i="49"/>
  <c r="AG116" i="49"/>
  <c r="Z116" i="49"/>
  <c r="Y116" i="49"/>
  <c r="X116" i="49"/>
  <c r="Q116" i="49"/>
  <c r="J116" i="49"/>
  <c r="I116" i="49"/>
  <c r="D116" i="49"/>
  <c r="C116" i="49"/>
  <c r="L116" i="49" s="1" a="1"/>
  <c r="L116" i="49" s="1"/>
  <c r="BZ115" i="49"/>
  <c r="BW115" i="49"/>
  <c r="BS115" i="49"/>
  <c r="BK115" i="49"/>
  <c r="BH115" i="49"/>
  <c r="BG115" i="49"/>
  <c r="BC115" i="49"/>
  <c r="AV115" i="49"/>
  <c r="AR115" i="49"/>
  <c r="AN115" i="49"/>
  <c r="AG115" i="49"/>
  <c r="Z115" i="49"/>
  <c r="Y115" i="49"/>
  <c r="X115" i="49"/>
  <c r="Q115" i="49"/>
  <c r="J115" i="49"/>
  <c r="I115" i="49"/>
  <c r="D115" i="49"/>
  <c r="C115" i="49"/>
  <c r="L115" i="49" s="1" a="1"/>
  <c r="L115" i="49" s="1"/>
  <c r="BZ114" i="49"/>
  <c r="BW114" i="49"/>
  <c r="BV114" i="49"/>
  <c r="BS114" i="49"/>
  <c r="BR114" i="49"/>
  <c r="BK114" i="49"/>
  <c r="BH114" i="49"/>
  <c r="BG114" i="49"/>
  <c r="BD114" i="49"/>
  <c r="BC114" i="49"/>
  <c r="AV114" i="49"/>
  <c r="AS114" i="49"/>
  <c r="AR114" i="49"/>
  <c r="AO114" i="49"/>
  <c r="AN114" i="49"/>
  <c r="AG114" i="49"/>
  <c r="Z114" i="49"/>
  <c r="Q114" i="49"/>
  <c r="J114" i="49"/>
  <c r="I114" i="49"/>
  <c r="D114" i="49"/>
  <c r="C114" i="49"/>
  <c r="BZ113" i="49"/>
  <c r="BW113" i="49"/>
  <c r="BV113" i="49"/>
  <c r="BS113" i="49"/>
  <c r="BR113" i="49"/>
  <c r="BK113" i="49"/>
  <c r="BH113" i="49"/>
  <c r="BG113" i="49"/>
  <c r="BD113" i="49"/>
  <c r="BC113" i="49"/>
  <c r="AV113" i="49"/>
  <c r="AS113" i="49"/>
  <c r="AR113" i="49"/>
  <c r="AO113" i="49"/>
  <c r="AN113" i="49"/>
  <c r="AG113" i="49"/>
  <c r="Z113" i="49"/>
  <c r="X113" i="49"/>
  <c r="Q113" i="49"/>
  <c r="J113" i="49"/>
  <c r="I113" i="49"/>
  <c r="D113" i="49"/>
  <c r="C113" i="49"/>
  <c r="K113" i="49" s="1" a="1"/>
  <c r="K113" i="49" s="1"/>
  <c r="BZ112" i="49"/>
  <c r="BW112" i="49"/>
  <c r="BV112" i="49"/>
  <c r="BS112" i="49"/>
  <c r="BR112" i="49"/>
  <c r="BK112" i="49"/>
  <c r="BH112" i="49"/>
  <c r="BG112" i="49"/>
  <c r="BD112" i="49"/>
  <c r="BC112" i="49"/>
  <c r="AV112" i="49"/>
  <c r="AS112" i="49"/>
  <c r="AR112" i="49"/>
  <c r="AO112" i="49"/>
  <c r="AN112" i="49"/>
  <c r="AG112" i="49"/>
  <c r="Z112" i="49"/>
  <c r="Y112" i="49"/>
  <c r="X112" i="49"/>
  <c r="Q112" i="49"/>
  <c r="J112" i="49"/>
  <c r="I112" i="49"/>
  <c r="D112" i="49"/>
  <c r="C112" i="49"/>
  <c r="L112" i="49" s="1" a="1"/>
  <c r="L112" i="49" s="1"/>
  <c r="BZ111" i="49"/>
  <c r="BW111" i="49"/>
  <c r="BS111" i="49"/>
  <c r="BK111" i="49"/>
  <c r="BG111" i="49"/>
  <c r="BC111" i="49"/>
  <c r="AV111" i="49"/>
  <c r="AS111" i="49"/>
  <c r="AR111" i="49"/>
  <c r="AN111" i="49"/>
  <c r="AG111" i="49"/>
  <c r="Z111" i="49"/>
  <c r="Y111" i="49"/>
  <c r="X111" i="49"/>
  <c r="Q111" i="49"/>
  <c r="K111" i="49" a="1"/>
  <c r="K111" i="49" s="1"/>
  <c r="J111" i="49"/>
  <c r="I111" i="49"/>
  <c r="D111" i="49"/>
  <c r="C111" i="49"/>
  <c r="L111" i="49" s="1" a="1"/>
  <c r="L111" i="49" s="1"/>
  <c r="BZ110" i="49"/>
  <c r="BW110" i="49"/>
  <c r="BV110" i="49"/>
  <c r="BS110" i="49"/>
  <c r="BR110" i="49"/>
  <c r="BK110" i="49"/>
  <c r="BH110" i="49"/>
  <c r="BG110" i="49"/>
  <c r="BD110" i="49"/>
  <c r="BC110" i="49"/>
  <c r="AV110" i="49"/>
  <c r="AS110" i="49"/>
  <c r="AR110" i="49"/>
  <c r="AO110" i="49"/>
  <c r="AN110" i="49"/>
  <c r="AG110" i="49"/>
  <c r="Z110" i="49"/>
  <c r="X110" i="49"/>
  <c r="Q110" i="49"/>
  <c r="J110" i="49"/>
  <c r="I110" i="49"/>
  <c r="D110" i="49"/>
  <c r="C110" i="49"/>
  <c r="L110" i="49" s="1" a="1"/>
  <c r="L110" i="49" s="1"/>
  <c r="BZ109" i="49"/>
  <c r="BW109" i="49"/>
  <c r="BV109" i="49"/>
  <c r="BS109" i="49"/>
  <c r="BR109" i="49"/>
  <c r="BK109" i="49"/>
  <c r="BH109" i="49"/>
  <c r="BG109" i="49"/>
  <c r="BD109" i="49"/>
  <c r="BC109" i="49"/>
  <c r="AV109" i="49"/>
  <c r="AS109" i="49"/>
  <c r="AR109" i="49"/>
  <c r="AO109" i="49"/>
  <c r="AN109" i="49"/>
  <c r="AG109" i="49"/>
  <c r="Z109" i="49"/>
  <c r="Y109" i="49"/>
  <c r="X109" i="49"/>
  <c r="Q109" i="49"/>
  <c r="L109" i="49" a="1"/>
  <c r="L109" i="49" s="1"/>
  <c r="J109" i="49"/>
  <c r="I109" i="49"/>
  <c r="D109" i="49"/>
  <c r="C109" i="49"/>
  <c r="K109" i="49" s="1" a="1"/>
  <c r="K109" i="49" s="1"/>
  <c r="BZ108" i="49"/>
  <c r="BW108" i="49"/>
  <c r="BV108" i="49"/>
  <c r="BS108" i="49"/>
  <c r="BR108" i="49"/>
  <c r="BK108" i="49"/>
  <c r="BH108" i="49"/>
  <c r="BG108" i="49"/>
  <c r="BD108" i="49"/>
  <c r="BC108" i="49"/>
  <c r="AV108" i="49"/>
  <c r="AS108" i="49"/>
  <c r="AR108" i="49"/>
  <c r="AO108" i="49"/>
  <c r="AN108" i="49"/>
  <c r="AG108" i="49"/>
  <c r="Z108" i="49"/>
  <c r="Y108" i="49"/>
  <c r="X108" i="49"/>
  <c r="Q108" i="49"/>
  <c r="J108" i="49"/>
  <c r="I108" i="49"/>
  <c r="D108" i="49"/>
  <c r="C108" i="49"/>
  <c r="BZ107" i="49"/>
  <c r="BW107" i="49"/>
  <c r="BS107" i="49"/>
  <c r="BK107" i="49"/>
  <c r="BG107" i="49"/>
  <c r="BC107" i="49"/>
  <c r="AV107" i="49"/>
  <c r="AR107" i="49"/>
  <c r="AN107" i="49"/>
  <c r="AG107" i="49"/>
  <c r="Z107" i="49"/>
  <c r="Y107" i="49"/>
  <c r="X107" i="49"/>
  <c r="Q107" i="49"/>
  <c r="L107" i="49" a="1"/>
  <c r="L107" i="49" s="1"/>
  <c r="K107" i="49" a="1"/>
  <c r="K107" i="49" s="1"/>
  <c r="J107" i="49"/>
  <c r="I107" i="49"/>
  <c r="D107" i="49"/>
  <c r="C107" i="49"/>
  <c r="BZ106" i="49"/>
  <c r="BW106" i="49"/>
  <c r="BV106" i="49"/>
  <c r="BS106" i="49"/>
  <c r="BR106" i="49"/>
  <c r="BK106" i="49"/>
  <c r="BH106" i="49"/>
  <c r="BG106" i="49"/>
  <c r="BD106" i="49"/>
  <c r="BC106" i="49"/>
  <c r="AV106" i="49"/>
  <c r="AS106" i="49"/>
  <c r="AR106" i="49"/>
  <c r="AO106" i="49"/>
  <c r="AN106" i="49"/>
  <c r="AG106" i="49"/>
  <c r="Z106" i="49"/>
  <c r="Q106" i="49"/>
  <c r="K106" i="49" a="1"/>
  <c r="K106" i="49" s="1"/>
  <c r="J106" i="49"/>
  <c r="I106" i="49"/>
  <c r="D106" i="49"/>
  <c r="C106" i="49"/>
  <c r="L106" i="49" s="1" a="1"/>
  <c r="L106" i="49" s="1"/>
  <c r="BZ105" i="49"/>
  <c r="BW105" i="49"/>
  <c r="BV105" i="49"/>
  <c r="BS105" i="49"/>
  <c r="BR105" i="49"/>
  <c r="BK105" i="49"/>
  <c r="BH105" i="49"/>
  <c r="BG105" i="49"/>
  <c r="BD105" i="49"/>
  <c r="BC105" i="49"/>
  <c r="AV105" i="49"/>
  <c r="AS105" i="49"/>
  <c r="AR105" i="49"/>
  <c r="AO105" i="49"/>
  <c r="AN105" i="49"/>
  <c r="AG105" i="49"/>
  <c r="Z105" i="49"/>
  <c r="X105" i="49"/>
  <c r="Q105" i="49"/>
  <c r="J105" i="49"/>
  <c r="I105" i="49"/>
  <c r="D105" i="49"/>
  <c r="C105" i="49"/>
  <c r="BZ104" i="49"/>
  <c r="BW104" i="49"/>
  <c r="BV104" i="49"/>
  <c r="BS104" i="49"/>
  <c r="BR104" i="49"/>
  <c r="BK104" i="49"/>
  <c r="BH104" i="49"/>
  <c r="BG104" i="49"/>
  <c r="BD104" i="49"/>
  <c r="BC104" i="49"/>
  <c r="AV104" i="49"/>
  <c r="AS104" i="49"/>
  <c r="AR104" i="49"/>
  <c r="AO104" i="49"/>
  <c r="AN104" i="49"/>
  <c r="AG104" i="49"/>
  <c r="Z104" i="49"/>
  <c r="Y104" i="49"/>
  <c r="X104" i="49"/>
  <c r="Q104" i="49"/>
  <c r="J104" i="49"/>
  <c r="I104" i="49"/>
  <c r="D104" i="49"/>
  <c r="C104" i="49"/>
  <c r="L104" i="49" s="1" a="1"/>
  <c r="L104" i="49" s="1"/>
  <c r="BZ103" i="49"/>
  <c r="BW103" i="49"/>
  <c r="BS103" i="49"/>
  <c r="BK103" i="49"/>
  <c r="BG103" i="49"/>
  <c r="BC103" i="49"/>
  <c r="AV103" i="49"/>
  <c r="AR103" i="49"/>
  <c r="AN103" i="49"/>
  <c r="AG103" i="49"/>
  <c r="Z103" i="49"/>
  <c r="Y103" i="49"/>
  <c r="X103" i="49"/>
  <c r="Q103" i="49"/>
  <c r="J103" i="49"/>
  <c r="I103" i="49"/>
  <c r="D103" i="49"/>
  <c r="C103" i="49"/>
  <c r="L103" i="49" s="1" a="1"/>
  <c r="L103" i="49" s="1"/>
  <c r="BZ102" i="49"/>
  <c r="BW102" i="49"/>
  <c r="BV102" i="49"/>
  <c r="BS102" i="49"/>
  <c r="BR102" i="49"/>
  <c r="BK102" i="49"/>
  <c r="BH102" i="49"/>
  <c r="BG102" i="49"/>
  <c r="BD102" i="49"/>
  <c r="BC102" i="49"/>
  <c r="AV102" i="49"/>
  <c r="AS102" i="49"/>
  <c r="AR102" i="49"/>
  <c r="AO102" i="49"/>
  <c r="AN102" i="49"/>
  <c r="AG102" i="49"/>
  <c r="Z102" i="49"/>
  <c r="Q102" i="49"/>
  <c r="J102" i="49"/>
  <c r="I102" i="49"/>
  <c r="D102" i="49"/>
  <c r="C102" i="49"/>
  <c r="BZ101" i="49"/>
  <c r="BW101" i="49"/>
  <c r="BV101" i="49"/>
  <c r="BS101" i="49"/>
  <c r="BR101" i="49"/>
  <c r="BK101" i="49"/>
  <c r="BH101" i="49"/>
  <c r="BG101" i="49"/>
  <c r="BD101" i="49"/>
  <c r="BC101" i="49"/>
  <c r="AV101" i="49"/>
  <c r="AS101" i="49"/>
  <c r="AR101" i="49"/>
  <c r="AO101" i="49"/>
  <c r="AN101" i="49"/>
  <c r="AG101" i="49"/>
  <c r="Z101" i="49"/>
  <c r="Y101" i="49"/>
  <c r="X101" i="49"/>
  <c r="Q101" i="49"/>
  <c r="J101" i="49"/>
  <c r="I101" i="49"/>
  <c r="D101" i="49"/>
  <c r="C101" i="49"/>
  <c r="K101" i="49" s="1" a="1"/>
  <c r="K101" i="49" s="1"/>
  <c r="BZ100" i="49"/>
  <c r="BW100" i="49"/>
  <c r="BV100" i="49"/>
  <c r="BS100" i="49"/>
  <c r="BR100" i="49"/>
  <c r="BK100" i="49"/>
  <c r="BH100" i="49"/>
  <c r="BG100" i="49"/>
  <c r="BD100" i="49"/>
  <c r="BC100" i="49"/>
  <c r="AV100" i="49"/>
  <c r="AS100" i="49"/>
  <c r="AR100" i="49"/>
  <c r="AO100" i="49"/>
  <c r="AN100" i="49"/>
  <c r="AG100" i="49"/>
  <c r="Z100" i="49"/>
  <c r="Y100" i="49"/>
  <c r="X100" i="49"/>
  <c r="Q100" i="49"/>
  <c r="J100" i="49"/>
  <c r="I100" i="49"/>
  <c r="D100" i="49"/>
  <c r="C100" i="49"/>
  <c r="K100" i="49" s="1" a="1"/>
  <c r="K100" i="49" s="1"/>
  <c r="BZ99" i="49"/>
  <c r="BW99" i="49"/>
  <c r="BS99" i="49"/>
  <c r="BK99" i="49"/>
  <c r="BG99" i="49"/>
  <c r="BC99" i="49"/>
  <c r="AV99" i="49"/>
  <c r="AR99" i="49"/>
  <c r="AN99" i="49"/>
  <c r="AG99" i="49"/>
  <c r="Z99" i="49"/>
  <c r="Y99" i="49"/>
  <c r="X99" i="49"/>
  <c r="Q99" i="49"/>
  <c r="L99" i="49" a="1"/>
  <c r="L99" i="49" s="1"/>
  <c r="K99" i="49" a="1"/>
  <c r="K99" i="49" s="1"/>
  <c r="J99" i="49"/>
  <c r="I99" i="49"/>
  <c r="D99" i="49"/>
  <c r="C99" i="49"/>
  <c r="BZ98" i="49"/>
  <c r="BW98" i="49"/>
  <c r="BV98" i="49"/>
  <c r="BS98" i="49"/>
  <c r="BR98" i="49"/>
  <c r="BK98" i="49"/>
  <c r="BH98" i="49"/>
  <c r="BG98" i="49"/>
  <c r="BD98" i="49"/>
  <c r="BC98" i="49"/>
  <c r="AV98" i="49"/>
  <c r="AS98" i="49"/>
  <c r="AR98" i="49"/>
  <c r="AO98" i="49"/>
  <c r="AN98" i="49"/>
  <c r="AG98" i="49"/>
  <c r="Z98" i="49"/>
  <c r="Q98" i="49"/>
  <c r="J98" i="49"/>
  <c r="I98" i="49"/>
  <c r="D98" i="49"/>
  <c r="C98" i="49"/>
  <c r="BZ97" i="49"/>
  <c r="BW97" i="49"/>
  <c r="BV97" i="49"/>
  <c r="BS97" i="49"/>
  <c r="BR97" i="49"/>
  <c r="BK97" i="49"/>
  <c r="BH97" i="49"/>
  <c r="BG97" i="49"/>
  <c r="BD97" i="49"/>
  <c r="BC97" i="49"/>
  <c r="AV97" i="49"/>
  <c r="AS97" i="49"/>
  <c r="AR97" i="49"/>
  <c r="AO97" i="49"/>
  <c r="AN97" i="49"/>
  <c r="AG97" i="49"/>
  <c r="Z97" i="49"/>
  <c r="X97" i="49"/>
  <c r="Q97" i="49"/>
  <c r="J97" i="49"/>
  <c r="I97" i="49"/>
  <c r="D97" i="49"/>
  <c r="C97" i="49"/>
  <c r="K97" i="49" s="1" a="1"/>
  <c r="K97" i="49" s="1"/>
  <c r="BZ96" i="49"/>
  <c r="BW96" i="49"/>
  <c r="BV96" i="49"/>
  <c r="BS96" i="49"/>
  <c r="BR96" i="49"/>
  <c r="BK96" i="49"/>
  <c r="BH96" i="49"/>
  <c r="BG96" i="49"/>
  <c r="BD96" i="49"/>
  <c r="BC96" i="49"/>
  <c r="AV96" i="49"/>
  <c r="AS96" i="49"/>
  <c r="AR96" i="49"/>
  <c r="AO96" i="49"/>
  <c r="AN96" i="49"/>
  <c r="AG96" i="49"/>
  <c r="Z96" i="49"/>
  <c r="Y96" i="49"/>
  <c r="X96" i="49"/>
  <c r="Q96" i="49"/>
  <c r="J96" i="49"/>
  <c r="I96" i="49"/>
  <c r="D96" i="49"/>
  <c r="C96" i="49"/>
  <c r="K96" i="49" s="1" a="1"/>
  <c r="K96" i="49" s="1"/>
  <c r="BZ95" i="49"/>
  <c r="BW95" i="49"/>
  <c r="BV95" i="49"/>
  <c r="BS95" i="49"/>
  <c r="BK95" i="49"/>
  <c r="BG95" i="49"/>
  <c r="BC95" i="49"/>
  <c r="AV95" i="49"/>
  <c r="AR95" i="49"/>
  <c r="AO95" i="49"/>
  <c r="AN95" i="49"/>
  <c r="AG95" i="49"/>
  <c r="Z95" i="49"/>
  <c r="Y95" i="49"/>
  <c r="X95" i="49"/>
  <c r="Q95" i="49"/>
  <c r="L95" i="49" a="1"/>
  <c r="L95" i="49" s="1"/>
  <c r="K95" i="49" a="1"/>
  <c r="K95" i="49" s="1"/>
  <c r="J95" i="49"/>
  <c r="I95" i="49"/>
  <c r="D95" i="49"/>
  <c r="C95" i="49"/>
  <c r="BZ94" i="49"/>
  <c r="BW94" i="49"/>
  <c r="BV94" i="49"/>
  <c r="BS94" i="49"/>
  <c r="BR94" i="49"/>
  <c r="BK94" i="49"/>
  <c r="BH94" i="49"/>
  <c r="BG94" i="49"/>
  <c r="BD94" i="49"/>
  <c r="BC94" i="49"/>
  <c r="AV94" i="49"/>
  <c r="AS94" i="49"/>
  <c r="AR94" i="49"/>
  <c r="AO94" i="49"/>
  <c r="AN94" i="49"/>
  <c r="AG94" i="49"/>
  <c r="Z94" i="49"/>
  <c r="Q94" i="49"/>
  <c r="K94" i="49" a="1"/>
  <c r="K94" i="49" s="1"/>
  <c r="J94" i="49"/>
  <c r="I94" i="49"/>
  <c r="D94" i="49"/>
  <c r="C94" i="49"/>
  <c r="BZ93" i="49"/>
  <c r="BW93" i="49"/>
  <c r="BV93" i="49"/>
  <c r="BS93" i="49"/>
  <c r="BR93" i="49"/>
  <c r="BK93" i="49"/>
  <c r="BH93" i="49"/>
  <c r="BG93" i="49"/>
  <c r="BD93" i="49"/>
  <c r="BC93" i="49"/>
  <c r="AV93" i="49"/>
  <c r="AS93" i="49"/>
  <c r="AR93" i="49"/>
  <c r="AO93" i="49"/>
  <c r="AN93" i="49"/>
  <c r="AG93" i="49"/>
  <c r="Z93" i="49"/>
  <c r="X93" i="49"/>
  <c r="Q93" i="49"/>
  <c r="L93" i="49" a="1"/>
  <c r="L93" i="49" s="1"/>
  <c r="J93" i="49"/>
  <c r="I93" i="49"/>
  <c r="D93" i="49"/>
  <c r="C93" i="49"/>
  <c r="K93" i="49" s="1" a="1"/>
  <c r="K93" i="49" s="1"/>
  <c r="BZ92" i="49"/>
  <c r="BW92" i="49"/>
  <c r="BV92" i="49"/>
  <c r="BS92" i="49"/>
  <c r="BR92" i="49"/>
  <c r="BK92" i="49"/>
  <c r="BH92" i="49"/>
  <c r="BG92" i="49"/>
  <c r="BD92" i="49"/>
  <c r="BC92" i="49"/>
  <c r="AV92" i="49"/>
  <c r="AS92" i="49"/>
  <c r="AR92" i="49"/>
  <c r="AO92" i="49"/>
  <c r="AN92" i="49"/>
  <c r="AG92" i="49"/>
  <c r="Z92" i="49"/>
  <c r="Y92" i="49"/>
  <c r="X92" i="49"/>
  <c r="Q92" i="49"/>
  <c r="J92" i="49"/>
  <c r="I92" i="49"/>
  <c r="D92" i="49"/>
  <c r="C92" i="49"/>
  <c r="BZ91" i="49"/>
  <c r="BW91" i="49"/>
  <c r="BS91" i="49"/>
  <c r="BR91" i="49"/>
  <c r="BK91" i="49"/>
  <c r="BG91" i="49"/>
  <c r="BC91" i="49"/>
  <c r="AV91" i="49"/>
  <c r="AR91" i="49"/>
  <c r="AN91" i="49"/>
  <c r="AG91" i="49"/>
  <c r="Z91" i="49"/>
  <c r="X91" i="49"/>
  <c r="Y91" i="49"/>
  <c r="Q91" i="49"/>
  <c r="J91" i="49"/>
  <c r="I91" i="49"/>
  <c r="D91" i="49"/>
  <c r="C91" i="49"/>
  <c r="L91" i="49" s="1" a="1"/>
  <c r="L91" i="49" s="1"/>
  <c r="BZ90" i="49"/>
  <c r="BW90" i="49"/>
  <c r="BV90" i="49"/>
  <c r="BS90" i="49"/>
  <c r="BR90" i="49"/>
  <c r="BK90" i="49"/>
  <c r="BH90" i="49"/>
  <c r="BG90" i="49"/>
  <c r="BD90" i="49"/>
  <c r="BC90" i="49"/>
  <c r="AV90" i="49"/>
  <c r="AS90" i="49"/>
  <c r="AR90" i="49"/>
  <c r="AO90" i="49"/>
  <c r="AN90" i="49"/>
  <c r="AG90" i="49"/>
  <c r="Z90" i="49"/>
  <c r="Q90" i="49"/>
  <c r="L90" i="49" a="1"/>
  <c r="L90" i="49" s="1"/>
  <c r="K90" i="49" a="1"/>
  <c r="K90" i="49" s="1"/>
  <c r="J90" i="49"/>
  <c r="I90" i="49"/>
  <c r="D90" i="49"/>
  <c r="C90" i="49"/>
  <c r="BZ89" i="49"/>
  <c r="BW89" i="49"/>
  <c r="BV89" i="49"/>
  <c r="BS89" i="49"/>
  <c r="BR89" i="49"/>
  <c r="BK89" i="49"/>
  <c r="BH89" i="49"/>
  <c r="BG89" i="49"/>
  <c r="BD89" i="49"/>
  <c r="BC89" i="49"/>
  <c r="AV89" i="49"/>
  <c r="AS89" i="49"/>
  <c r="AR89" i="49"/>
  <c r="AO89" i="49"/>
  <c r="AN89" i="49"/>
  <c r="AG89" i="49"/>
  <c r="Z89" i="49"/>
  <c r="Y89" i="49"/>
  <c r="X89" i="49"/>
  <c r="Q89" i="49"/>
  <c r="K89" i="49" a="1"/>
  <c r="K89" i="49" s="1"/>
  <c r="J89" i="49"/>
  <c r="I89" i="49"/>
  <c r="D89" i="49"/>
  <c r="C89" i="49"/>
  <c r="BZ88" i="49"/>
  <c r="BW88" i="49"/>
  <c r="BV88" i="49"/>
  <c r="BS88" i="49"/>
  <c r="BR88" i="49"/>
  <c r="BK88" i="49"/>
  <c r="BH88" i="49"/>
  <c r="BG88" i="49"/>
  <c r="BD88" i="49"/>
  <c r="BC88" i="49"/>
  <c r="AV88" i="49"/>
  <c r="AS88" i="49"/>
  <c r="AR88" i="49"/>
  <c r="AO88" i="49"/>
  <c r="AN88" i="49"/>
  <c r="AG88" i="49"/>
  <c r="Z88" i="49"/>
  <c r="Y88" i="49"/>
  <c r="X88" i="49"/>
  <c r="Q88" i="49"/>
  <c r="J88" i="49"/>
  <c r="I88" i="49"/>
  <c r="D88" i="49"/>
  <c r="C88" i="49"/>
  <c r="BZ87" i="49"/>
  <c r="BW87" i="49"/>
  <c r="BS87" i="49"/>
  <c r="BK87" i="49"/>
  <c r="BG87" i="49"/>
  <c r="BC87" i="49"/>
  <c r="AV87" i="49"/>
  <c r="AS87" i="49"/>
  <c r="AR87" i="49"/>
  <c r="AN87" i="49"/>
  <c r="AG87" i="49"/>
  <c r="Z87" i="49"/>
  <c r="Y87" i="49"/>
  <c r="X87" i="49"/>
  <c r="Q87" i="49"/>
  <c r="J87" i="49"/>
  <c r="I87" i="49"/>
  <c r="D87" i="49"/>
  <c r="C87" i="49"/>
  <c r="L87" i="49" s="1" a="1"/>
  <c r="L87" i="49" s="1"/>
  <c r="BZ86" i="49"/>
  <c r="BW86" i="49"/>
  <c r="BV86" i="49"/>
  <c r="BS86" i="49"/>
  <c r="BR86" i="49"/>
  <c r="BK86" i="49"/>
  <c r="BH86" i="49"/>
  <c r="BG86" i="49"/>
  <c r="BD86" i="49"/>
  <c r="BC86" i="49"/>
  <c r="AV86" i="49"/>
  <c r="AS86" i="49"/>
  <c r="AR86" i="49"/>
  <c r="AO86" i="49"/>
  <c r="AN86" i="49"/>
  <c r="AG86" i="49"/>
  <c r="Z86" i="49"/>
  <c r="Q86" i="49"/>
  <c r="J86" i="49"/>
  <c r="I86" i="49"/>
  <c r="D86" i="49"/>
  <c r="C86" i="49"/>
  <c r="L86" i="49" s="1" a="1"/>
  <c r="L86" i="49" s="1"/>
  <c r="BZ85" i="49"/>
  <c r="BW85" i="49"/>
  <c r="BV85" i="49"/>
  <c r="BS85" i="49"/>
  <c r="BR85" i="49"/>
  <c r="BK85" i="49"/>
  <c r="BH85" i="49"/>
  <c r="BG85" i="49"/>
  <c r="BD85" i="49"/>
  <c r="BC85" i="49"/>
  <c r="AV85" i="49"/>
  <c r="AS85" i="49"/>
  <c r="AR85" i="49"/>
  <c r="AO85" i="49"/>
  <c r="AN85" i="49"/>
  <c r="AG85" i="49"/>
  <c r="Z85" i="49"/>
  <c r="X85" i="49"/>
  <c r="Q85" i="49"/>
  <c r="J85" i="49"/>
  <c r="I85" i="49"/>
  <c r="D85" i="49"/>
  <c r="C85" i="49"/>
  <c r="K85" i="49" s="1" a="1"/>
  <c r="K85" i="49" s="1"/>
  <c r="BZ84" i="49"/>
  <c r="BW84" i="49"/>
  <c r="BV84" i="49"/>
  <c r="BS84" i="49"/>
  <c r="BR84" i="49"/>
  <c r="BK84" i="49"/>
  <c r="BH84" i="49"/>
  <c r="BG84" i="49"/>
  <c r="BD84" i="49"/>
  <c r="BC84" i="49"/>
  <c r="AV84" i="49"/>
  <c r="AS84" i="49"/>
  <c r="AR84" i="49"/>
  <c r="AO84" i="49"/>
  <c r="AN84" i="49"/>
  <c r="AG84" i="49"/>
  <c r="Z84" i="49"/>
  <c r="Y84" i="49"/>
  <c r="X84" i="49"/>
  <c r="Q84" i="49"/>
  <c r="J84" i="49"/>
  <c r="I84" i="49"/>
  <c r="D84" i="49"/>
  <c r="C84" i="49"/>
  <c r="BZ83" i="49"/>
  <c r="BW83" i="49"/>
  <c r="BS83" i="49"/>
  <c r="BK83" i="49"/>
  <c r="BG83" i="49"/>
  <c r="BC83" i="49"/>
  <c r="AV83" i="49"/>
  <c r="AR83" i="49"/>
  <c r="AN83" i="49"/>
  <c r="AG83" i="49"/>
  <c r="Z83" i="49"/>
  <c r="Y83" i="49"/>
  <c r="X83" i="49"/>
  <c r="Q83" i="49"/>
  <c r="J83" i="49"/>
  <c r="I83" i="49"/>
  <c r="D83" i="49"/>
  <c r="C83" i="49"/>
  <c r="L83" i="49" s="1" a="1"/>
  <c r="L83" i="49" s="1"/>
  <c r="BZ82" i="49"/>
  <c r="BW82" i="49"/>
  <c r="BV82" i="49"/>
  <c r="BS82" i="49"/>
  <c r="BR82" i="49"/>
  <c r="BK82" i="49"/>
  <c r="BH82" i="49"/>
  <c r="BG82" i="49"/>
  <c r="BD82" i="49"/>
  <c r="BC82" i="49"/>
  <c r="AV82" i="49"/>
  <c r="AS82" i="49"/>
  <c r="AR82" i="49"/>
  <c r="AO82" i="49"/>
  <c r="AN82" i="49"/>
  <c r="AG82" i="49"/>
  <c r="Z82" i="49"/>
  <c r="Q82" i="49"/>
  <c r="J82" i="49"/>
  <c r="I82" i="49"/>
  <c r="D82" i="49"/>
  <c r="C82" i="49"/>
  <c r="L82" i="49" s="1" a="1"/>
  <c r="L82" i="49" s="1"/>
  <c r="BZ81" i="49"/>
  <c r="BW81" i="49"/>
  <c r="BV81" i="49"/>
  <c r="BS81" i="49"/>
  <c r="BR81" i="49"/>
  <c r="BK81" i="49"/>
  <c r="BH81" i="49"/>
  <c r="BG81" i="49"/>
  <c r="BD81" i="49"/>
  <c r="BC81" i="49"/>
  <c r="AV81" i="49"/>
  <c r="AS81" i="49"/>
  <c r="AR81" i="49"/>
  <c r="AO81" i="49"/>
  <c r="AN81" i="49"/>
  <c r="AG81" i="49"/>
  <c r="Z81" i="49"/>
  <c r="Y81" i="49"/>
  <c r="X81" i="49"/>
  <c r="Q81" i="49"/>
  <c r="J81" i="49"/>
  <c r="I81" i="49"/>
  <c r="D81" i="49"/>
  <c r="C81" i="49"/>
  <c r="K81" i="49" s="1" a="1"/>
  <c r="K81" i="49" s="1"/>
  <c r="BZ80" i="49"/>
  <c r="BW80" i="49"/>
  <c r="BV80" i="49"/>
  <c r="BS80" i="49"/>
  <c r="BR80" i="49"/>
  <c r="BK80" i="49"/>
  <c r="BH80" i="49"/>
  <c r="BG80" i="49"/>
  <c r="BD80" i="49"/>
  <c r="BC80" i="49"/>
  <c r="AV80" i="49"/>
  <c r="AS80" i="49"/>
  <c r="AR80" i="49"/>
  <c r="AO80" i="49"/>
  <c r="AN80" i="49"/>
  <c r="AG80" i="49"/>
  <c r="Z80" i="49"/>
  <c r="Y80" i="49"/>
  <c r="X80" i="49"/>
  <c r="Q80" i="49"/>
  <c r="J80" i="49"/>
  <c r="I80" i="49"/>
  <c r="D80" i="49"/>
  <c r="C80" i="49"/>
  <c r="BZ79" i="49"/>
  <c r="BW79" i="49"/>
  <c r="BS79" i="49"/>
  <c r="BK79" i="49"/>
  <c r="BG79" i="49"/>
  <c r="BC79" i="49"/>
  <c r="AV79" i="49"/>
  <c r="AR79" i="49"/>
  <c r="AN79" i="49"/>
  <c r="AG79" i="49"/>
  <c r="Z79" i="49"/>
  <c r="Y79" i="49"/>
  <c r="X79" i="49"/>
  <c r="Q79" i="49"/>
  <c r="J79" i="49"/>
  <c r="I79" i="49"/>
  <c r="D79" i="49"/>
  <c r="C79" i="49"/>
  <c r="BZ78" i="49"/>
  <c r="BW78" i="49"/>
  <c r="BV78" i="49"/>
  <c r="BS78" i="49"/>
  <c r="BR78" i="49"/>
  <c r="BK78" i="49"/>
  <c r="BH78" i="49"/>
  <c r="BG78" i="49"/>
  <c r="BD78" i="49"/>
  <c r="BC78" i="49"/>
  <c r="AV78" i="49"/>
  <c r="AS78" i="49"/>
  <c r="AR78" i="49"/>
  <c r="AO78" i="49"/>
  <c r="AN78" i="49"/>
  <c r="AG78" i="49"/>
  <c r="Z78" i="49"/>
  <c r="Q78" i="49"/>
  <c r="J78" i="49"/>
  <c r="I78" i="49"/>
  <c r="D78" i="49"/>
  <c r="C78" i="49"/>
  <c r="L78" i="49" s="1" a="1"/>
  <c r="L78" i="49" s="1"/>
  <c r="BZ77" i="49"/>
  <c r="BW77" i="49"/>
  <c r="BV77" i="49"/>
  <c r="BS77" i="49"/>
  <c r="BR77" i="49"/>
  <c r="BK77" i="49"/>
  <c r="BH77" i="49"/>
  <c r="BG77" i="49"/>
  <c r="BD77" i="49"/>
  <c r="BC77" i="49"/>
  <c r="AV77" i="49"/>
  <c r="AS77" i="49"/>
  <c r="AR77" i="49"/>
  <c r="AO77" i="49"/>
  <c r="AN77" i="49"/>
  <c r="AG77" i="49"/>
  <c r="Z77" i="49"/>
  <c r="X77" i="49"/>
  <c r="Q77" i="49"/>
  <c r="J77" i="49"/>
  <c r="I77" i="49"/>
  <c r="D77" i="49"/>
  <c r="C77" i="49"/>
  <c r="K77" i="49" s="1" a="1"/>
  <c r="K77" i="49" s="1"/>
  <c r="BZ76" i="49"/>
  <c r="BW76" i="49"/>
  <c r="BV76" i="49"/>
  <c r="BS76" i="49"/>
  <c r="BR76" i="49"/>
  <c r="BK76" i="49"/>
  <c r="BH76" i="49"/>
  <c r="BG76" i="49"/>
  <c r="BD76" i="49"/>
  <c r="BC76" i="49"/>
  <c r="AV76" i="49"/>
  <c r="AS76" i="49"/>
  <c r="AR76" i="49"/>
  <c r="AO76" i="49"/>
  <c r="AN76" i="49"/>
  <c r="AG76" i="49"/>
  <c r="Z76" i="49"/>
  <c r="Y76" i="49"/>
  <c r="X76" i="49"/>
  <c r="Q76" i="49"/>
  <c r="J76" i="49"/>
  <c r="I76" i="49"/>
  <c r="D76" i="49"/>
  <c r="C76" i="49"/>
  <c r="K76" i="49" s="1" a="1"/>
  <c r="K76" i="49" s="1"/>
  <c r="BZ75" i="49"/>
  <c r="BW75" i="49"/>
  <c r="BV75" i="49"/>
  <c r="BS75" i="49"/>
  <c r="BK75" i="49"/>
  <c r="BG75" i="49"/>
  <c r="BC75" i="49"/>
  <c r="AV75" i="49"/>
  <c r="AS75" i="49"/>
  <c r="AR75" i="49"/>
  <c r="AN75" i="49"/>
  <c r="AG75" i="49"/>
  <c r="Z75" i="49"/>
  <c r="Y75" i="49"/>
  <c r="X75" i="49"/>
  <c r="Q75" i="49"/>
  <c r="L75" i="49" a="1"/>
  <c r="L75" i="49" s="1"/>
  <c r="K75" i="49" a="1"/>
  <c r="K75" i="49" s="1"/>
  <c r="J75" i="49"/>
  <c r="I75" i="49"/>
  <c r="D75" i="49"/>
  <c r="C75" i="49"/>
  <c r="BZ74" i="49"/>
  <c r="BW74" i="49"/>
  <c r="BV74" i="49"/>
  <c r="BS74" i="49"/>
  <c r="BR74" i="49"/>
  <c r="BK74" i="49"/>
  <c r="BH74" i="49"/>
  <c r="BG74" i="49"/>
  <c r="BD74" i="49"/>
  <c r="BC74" i="49"/>
  <c r="AV74" i="49"/>
  <c r="AS74" i="49"/>
  <c r="AR74" i="49"/>
  <c r="AO74" i="49"/>
  <c r="AN74" i="49"/>
  <c r="AG74" i="49"/>
  <c r="Z74" i="49"/>
  <c r="X74" i="49"/>
  <c r="Q74" i="49"/>
  <c r="K74" i="49" a="1"/>
  <c r="K74" i="49" s="1"/>
  <c r="J74" i="49"/>
  <c r="I74" i="49"/>
  <c r="D74" i="49"/>
  <c r="C74" i="49"/>
  <c r="BZ73" i="49"/>
  <c r="BW73" i="49"/>
  <c r="BV73" i="49"/>
  <c r="BS73" i="49"/>
  <c r="BR73" i="49"/>
  <c r="BK73" i="49"/>
  <c r="BH73" i="49"/>
  <c r="BG73" i="49"/>
  <c r="BD73" i="49"/>
  <c r="BC73" i="49"/>
  <c r="AV73" i="49"/>
  <c r="AS73" i="49"/>
  <c r="AR73" i="49"/>
  <c r="AO73" i="49"/>
  <c r="AN73" i="49"/>
  <c r="AG73" i="49"/>
  <c r="Z73" i="49"/>
  <c r="X73" i="49"/>
  <c r="Q73" i="49"/>
  <c r="J73" i="49"/>
  <c r="I73" i="49"/>
  <c r="D73" i="49"/>
  <c r="C73" i="49"/>
  <c r="BZ72" i="49"/>
  <c r="BW72" i="49"/>
  <c r="BV72" i="49"/>
  <c r="BS72" i="49"/>
  <c r="BR72" i="49"/>
  <c r="BK72" i="49"/>
  <c r="BH72" i="49"/>
  <c r="BG72" i="49"/>
  <c r="BD72" i="49"/>
  <c r="BC72" i="49"/>
  <c r="AV72" i="49"/>
  <c r="AS72" i="49"/>
  <c r="AR72" i="49"/>
  <c r="AO72" i="49"/>
  <c r="AN72" i="49"/>
  <c r="AG72" i="49"/>
  <c r="Z72" i="49"/>
  <c r="Y72" i="49"/>
  <c r="X72" i="49"/>
  <c r="Q72" i="49"/>
  <c r="J72" i="49"/>
  <c r="I72" i="49"/>
  <c r="D72" i="49"/>
  <c r="C72" i="49"/>
  <c r="BZ71" i="49"/>
  <c r="BW71" i="49"/>
  <c r="BS71" i="49"/>
  <c r="BR71" i="49"/>
  <c r="BK71" i="49"/>
  <c r="BG71" i="49"/>
  <c r="BC71" i="49"/>
  <c r="AV71" i="49"/>
  <c r="AR71" i="49"/>
  <c r="AN71" i="49"/>
  <c r="AG71" i="49"/>
  <c r="Z71" i="49"/>
  <c r="Y71" i="49"/>
  <c r="X71" i="49"/>
  <c r="Q71" i="49"/>
  <c r="J71" i="49"/>
  <c r="I71" i="49"/>
  <c r="D71" i="49"/>
  <c r="C71" i="49"/>
  <c r="K71" i="49" s="1" a="1"/>
  <c r="K71" i="49" s="1"/>
  <c r="BZ70" i="49"/>
  <c r="BW70" i="49"/>
  <c r="BV70" i="49"/>
  <c r="BS70" i="49"/>
  <c r="BR70" i="49"/>
  <c r="BK70" i="49"/>
  <c r="BH70" i="49"/>
  <c r="BG70" i="49"/>
  <c r="BD70" i="49"/>
  <c r="BC70" i="49"/>
  <c r="AV70" i="49"/>
  <c r="AS70" i="49"/>
  <c r="AR70" i="49"/>
  <c r="AO70" i="49"/>
  <c r="AN70" i="49"/>
  <c r="AG70" i="49"/>
  <c r="Z70" i="49"/>
  <c r="Q70" i="49"/>
  <c r="J70" i="49"/>
  <c r="I70" i="49"/>
  <c r="D70" i="49"/>
  <c r="C70" i="49"/>
  <c r="K70" i="49" s="1" a="1"/>
  <c r="K70" i="49" s="1"/>
  <c r="BZ69" i="49"/>
  <c r="BW69" i="49"/>
  <c r="BV69" i="49"/>
  <c r="BS69" i="49"/>
  <c r="BR69" i="49"/>
  <c r="BK69" i="49"/>
  <c r="BH69" i="49"/>
  <c r="BG69" i="49"/>
  <c r="BD69" i="49"/>
  <c r="BC69" i="49"/>
  <c r="AV69" i="49"/>
  <c r="AS69" i="49"/>
  <c r="AR69" i="49"/>
  <c r="AO69" i="49"/>
  <c r="AN69" i="49"/>
  <c r="AG69" i="49"/>
  <c r="Z69" i="49"/>
  <c r="X69" i="49"/>
  <c r="Y69" i="49"/>
  <c r="Q69" i="49"/>
  <c r="J69" i="49"/>
  <c r="I69" i="49"/>
  <c r="D69" i="49"/>
  <c r="C69" i="49"/>
  <c r="BZ68" i="49"/>
  <c r="BW68" i="49"/>
  <c r="BV68" i="49"/>
  <c r="BS68" i="49"/>
  <c r="BR68" i="49"/>
  <c r="BK68" i="49"/>
  <c r="BH68" i="49"/>
  <c r="BG68" i="49"/>
  <c r="BD68" i="49"/>
  <c r="BC68" i="49"/>
  <c r="AV68" i="49"/>
  <c r="AS68" i="49"/>
  <c r="AR68" i="49"/>
  <c r="AO68" i="49"/>
  <c r="AN68" i="49"/>
  <c r="AG68" i="49"/>
  <c r="Z68" i="49"/>
  <c r="Y68" i="49"/>
  <c r="X68" i="49"/>
  <c r="Q68" i="49"/>
  <c r="J68" i="49"/>
  <c r="I68" i="49"/>
  <c r="D68" i="49"/>
  <c r="C68" i="49"/>
  <c r="BZ67" i="49"/>
  <c r="BW67" i="49"/>
  <c r="BV67" i="49"/>
  <c r="BS67" i="49"/>
  <c r="BK67" i="49"/>
  <c r="BH67" i="49"/>
  <c r="BG67" i="49"/>
  <c r="BC67" i="49"/>
  <c r="AV67" i="49"/>
  <c r="AR67" i="49"/>
  <c r="AN67" i="49"/>
  <c r="AG67" i="49"/>
  <c r="Z67" i="49"/>
  <c r="Y67" i="49"/>
  <c r="X67" i="49"/>
  <c r="Q67" i="49"/>
  <c r="J67" i="49"/>
  <c r="I67" i="49"/>
  <c r="D67" i="49"/>
  <c r="C67" i="49"/>
  <c r="L67" i="49" s="1" a="1"/>
  <c r="L67" i="49" s="1"/>
  <c r="BZ66" i="49"/>
  <c r="BW66" i="49"/>
  <c r="BV66" i="49"/>
  <c r="BS66" i="49"/>
  <c r="BR66" i="49"/>
  <c r="BK66" i="49"/>
  <c r="BH66" i="49"/>
  <c r="BG66" i="49"/>
  <c r="BD66" i="49"/>
  <c r="BC66" i="49"/>
  <c r="AV66" i="49"/>
  <c r="AS66" i="49"/>
  <c r="AR66" i="49"/>
  <c r="AO66" i="49"/>
  <c r="AN66" i="49"/>
  <c r="AG66" i="49"/>
  <c r="Z66" i="49"/>
  <c r="Q66" i="49"/>
  <c r="K66" i="49" a="1"/>
  <c r="K66" i="49" s="1"/>
  <c r="J66" i="49"/>
  <c r="I66" i="49"/>
  <c r="D66" i="49"/>
  <c r="C66" i="49"/>
  <c r="L66" i="49" s="1" a="1"/>
  <c r="L66" i="49" s="1"/>
  <c r="BZ65" i="49"/>
  <c r="BW65" i="49"/>
  <c r="BV65" i="49"/>
  <c r="BS65" i="49"/>
  <c r="BR65" i="49"/>
  <c r="BK65" i="49"/>
  <c r="BH65" i="49"/>
  <c r="BG65" i="49"/>
  <c r="BD65" i="49"/>
  <c r="BC65" i="49"/>
  <c r="AV65" i="49"/>
  <c r="AS65" i="49"/>
  <c r="AR65" i="49"/>
  <c r="AO65" i="49"/>
  <c r="AN65" i="49"/>
  <c r="AG65" i="49"/>
  <c r="Z65" i="49"/>
  <c r="X65" i="49"/>
  <c r="Q65" i="49"/>
  <c r="J65" i="49"/>
  <c r="I65" i="49"/>
  <c r="D65" i="49"/>
  <c r="C65" i="49"/>
  <c r="BZ64" i="49"/>
  <c r="BW64" i="49"/>
  <c r="BV64" i="49"/>
  <c r="BS64" i="49"/>
  <c r="BR64" i="49"/>
  <c r="BK64" i="49"/>
  <c r="BH64" i="49"/>
  <c r="BG64" i="49"/>
  <c r="BD64" i="49"/>
  <c r="BC64" i="49"/>
  <c r="AV64" i="49"/>
  <c r="AS64" i="49"/>
  <c r="AR64" i="49"/>
  <c r="AO64" i="49"/>
  <c r="AN64" i="49"/>
  <c r="AG64" i="49"/>
  <c r="Z64" i="49"/>
  <c r="Y64" i="49"/>
  <c r="X64" i="49"/>
  <c r="Q64" i="49"/>
  <c r="J64" i="49"/>
  <c r="I64" i="49"/>
  <c r="D64" i="49"/>
  <c r="C64" i="49"/>
  <c r="BZ63" i="49"/>
  <c r="BW63" i="49"/>
  <c r="BS63" i="49"/>
  <c r="BK63" i="49"/>
  <c r="BG63" i="49"/>
  <c r="BC63" i="49"/>
  <c r="AV63" i="49"/>
  <c r="AR63" i="49"/>
  <c r="AN63" i="49"/>
  <c r="AG63" i="49"/>
  <c r="Z63" i="49"/>
  <c r="Y63" i="49"/>
  <c r="X63" i="49"/>
  <c r="Q63" i="49"/>
  <c r="L63" i="49" a="1"/>
  <c r="L63" i="49" s="1"/>
  <c r="K63" i="49" a="1"/>
  <c r="K63" i="49" s="1"/>
  <c r="J63" i="49"/>
  <c r="I63" i="49"/>
  <c r="D63" i="49"/>
  <c r="C63" i="49"/>
  <c r="BZ62" i="49"/>
  <c r="BW62" i="49"/>
  <c r="BV62" i="49"/>
  <c r="BS62" i="49"/>
  <c r="BR62" i="49"/>
  <c r="BK62" i="49"/>
  <c r="BH62" i="49"/>
  <c r="BG62" i="49"/>
  <c r="BD62" i="49"/>
  <c r="BC62" i="49"/>
  <c r="AV62" i="49"/>
  <c r="AS62" i="49"/>
  <c r="AR62" i="49"/>
  <c r="AO62" i="49"/>
  <c r="AN62" i="49"/>
  <c r="AG62" i="49"/>
  <c r="Z62" i="49"/>
  <c r="Q62" i="49"/>
  <c r="L62" i="49" a="1"/>
  <c r="L62" i="49" s="1"/>
  <c r="K62" i="49" a="1"/>
  <c r="K62" i="49" s="1"/>
  <c r="J62" i="49"/>
  <c r="I62" i="49"/>
  <c r="D62" i="49"/>
  <c r="C62" i="49"/>
  <c r="BZ61" i="49"/>
  <c r="BW61" i="49"/>
  <c r="BV61" i="49"/>
  <c r="BS61" i="49"/>
  <c r="BR61" i="49"/>
  <c r="BK61" i="49"/>
  <c r="BH61" i="49"/>
  <c r="BG61" i="49"/>
  <c r="BD61" i="49"/>
  <c r="BC61" i="49"/>
  <c r="AV61" i="49"/>
  <c r="AS61" i="49"/>
  <c r="AR61" i="49"/>
  <c r="AO61" i="49"/>
  <c r="AN61" i="49"/>
  <c r="AG61" i="49"/>
  <c r="Z61" i="49"/>
  <c r="Y61" i="49"/>
  <c r="X61" i="49"/>
  <c r="Q61" i="49"/>
  <c r="J61" i="49"/>
  <c r="I61" i="49"/>
  <c r="D61" i="49"/>
  <c r="C61" i="49"/>
  <c r="L61" i="49" s="1" a="1"/>
  <c r="L61" i="49" s="1"/>
  <c r="BZ60" i="49"/>
  <c r="BW60" i="49"/>
  <c r="BV60" i="49"/>
  <c r="BS60" i="49"/>
  <c r="BR60" i="49"/>
  <c r="BK60" i="49"/>
  <c r="BH60" i="49"/>
  <c r="BG60" i="49"/>
  <c r="BD60" i="49"/>
  <c r="BC60" i="49"/>
  <c r="AV60" i="49"/>
  <c r="AS60" i="49"/>
  <c r="AR60" i="49"/>
  <c r="AO60" i="49"/>
  <c r="AN60" i="49"/>
  <c r="AG60" i="49"/>
  <c r="Z60" i="49"/>
  <c r="Y60" i="49"/>
  <c r="X60" i="49"/>
  <c r="Q60" i="49"/>
  <c r="J60" i="49"/>
  <c r="I60" i="49"/>
  <c r="D60" i="49"/>
  <c r="C60" i="49"/>
  <c r="L60" i="49" s="1" a="1"/>
  <c r="L60" i="49" s="1"/>
  <c r="BZ59" i="49"/>
  <c r="BW59" i="49"/>
  <c r="BS59" i="49"/>
  <c r="BK59" i="49"/>
  <c r="BG59" i="49"/>
  <c r="BC59" i="49"/>
  <c r="AV59" i="49"/>
  <c r="AR59" i="49"/>
  <c r="AN59" i="49"/>
  <c r="AG59" i="49"/>
  <c r="Z59" i="49"/>
  <c r="Y59" i="49"/>
  <c r="X59" i="49"/>
  <c r="Q59" i="49"/>
  <c r="J59" i="49"/>
  <c r="I59" i="49"/>
  <c r="D59" i="49"/>
  <c r="C59" i="49"/>
  <c r="K59" i="49" s="1" a="1"/>
  <c r="K59" i="49" s="1"/>
  <c r="BZ58" i="49"/>
  <c r="BW58" i="49"/>
  <c r="BV58" i="49"/>
  <c r="BS58" i="49"/>
  <c r="BR58" i="49"/>
  <c r="BK58" i="49"/>
  <c r="BH58" i="49"/>
  <c r="BG58" i="49"/>
  <c r="BD58" i="49"/>
  <c r="BC58" i="49"/>
  <c r="AV58" i="49"/>
  <c r="AS58" i="49"/>
  <c r="AR58" i="49"/>
  <c r="AO58" i="49"/>
  <c r="AN58" i="49"/>
  <c r="AG58" i="49"/>
  <c r="Z58" i="49"/>
  <c r="Q58" i="49"/>
  <c r="K58" i="49" a="1"/>
  <c r="K58" i="49" s="1"/>
  <c r="J58" i="49"/>
  <c r="I58" i="49"/>
  <c r="D58" i="49"/>
  <c r="C58" i="49"/>
  <c r="BZ57" i="49"/>
  <c r="BW57" i="49"/>
  <c r="BV57" i="49"/>
  <c r="BS57" i="49"/>
  <c r="BR57" i="49"/>
  <c r="BK57" i="49"/>
  <c r="BH57" i="49"/>
  <c r="BG57" i="49"/>
  <c r="BD57" i="49"/>
  <c r="BC57" i="49"/>
  <c r="AV57" i="49"/>
  <c r="AS57" i="49"/>
  <c r="AR57" i="49"/>
  <c r="AO57" i="49"/>
  <c r="AN57" i="49"/>
  <c r="AG57" i="49"/>
  <c r="Z57" i="49"/>
  <c r="X57" i="49"/>
  <c r="Q57" i="49"/>
  <c r="L57" i="49" a="1"/>
  <c r="L57" i="49" s="1"/>
  <c r="J57" i="49"/>
  <c r="I57" i="49"/>
  <c r="D57" i="49"/>
  <c r="C57" i="49"/>
  <c r="K57" i="49" s="1" a="1"/>
  <c r="K57" i="49" s="1"/>
  <c r="BZ56" i="49"/>
  <c r="BW56" i="49"/>
  <c r="BV56" i="49"/>
  <c r="BS56" i="49"/>
  <c r="BR56" i="49"/>
  <c r="BK56" i="49"/>
  <c r="BH56" i="49"/>
  <c r="BG56" i="49"/>
  <c r="BD56" i="49"/>
  <c r="BC56" i="49"/>
  <c r="AV56" i="49"/>
  <c r="AS56" i="49"/>
  <c r="AR56" i="49"/>
  <c r="AO56" i="49"/>
  <c r="AN56" i="49"/>
  <c r="AG56" i="49"/>
  <c r="Z56" i="49"/>
  <c r="Y56" i="49"/>
  <c r="X56" i="49"/>
  <c r="Q56" i="49"/>
  <c r="J56" i="49"/>
  <c r="I56" i="49"/>
  <c r="D56" i="49"/>
  <c r="C56" i="49"/>
  <c r="K56" i="49" s="1" a="1"/>
  <c r="K56" i="49" s="1"/>
  <c r="BZ55" i="49"/>
  <c r="BW55" i="49"/>
  <c r="BS55" i="49"/>
  <c r="BK55" i="49"/>
  <c r="BG55" i="49"/>
  <c r="BC55" i="49"/>
  <c r="AV55" i="49"/>
  <c r="AR55" i="49"/>
  <c r="AO55" i="49"/>
  <c r="AN55" i="49"/>
  <c r="AG55" i="49"/>
  <c r="Z55" i="49"/>
  <c r="X55" i="49"/>
  <c r="Y55" i="49"/>
  <c r="Q55" i="49"/>
  <c r="L55" i="49" a="1"/>
  <c r="L55" i="49" s="1"/>
  <c r="J55" i="49"/>
  <c r="I55" i="49"/>
  <c r="D55" i="49"/>
  <c r="C55" i="49"/>
  <c r="K55" i="49" s="1" a="1"/>
  <c r="K55" i="49" s="1"/>
  <c r="BZ54" i="49"/>
  <c r="BW54" i="49"/>
  <c r="BV54" i="49"/>
  <c r="BS54" i="49"/>
  <c r="BR54" i="49"/>
  <c r="BK54" i="49"/>
  <c r="BH54" i="49"/>
  <c r="BG54" i="49"/>
  <c r="BD54" i="49"/>
  <c r="BC54" i="49"/>
  <c r="AV54" i="49"/>
  <c r="AS54" i="49"/>
  <c r="AR54" i="49"/>
  <c r="AO54" i="49"/>
  <c r="AN54" i="49"/>
  <c r="AG54" i="49"/>
  <c r="Z54" i="49"/>
  <c r="Q54" i="49"/>
  <c r="K54" i="49" a="1"/>
  <c r="K54" i="49" s="1"/>
  <c r="J54" i="49"/>
  <c r="I54" i="49"/>
  <c r="D54" i="49"/>
  <c r="C54" i="49"/>
  <c r="BZ53" i="49"/>
  <c r="BW53" i="49"/>
  <c r="BV53" i="49"/>
  <c r="BS53" i="49"/>
  <c r="BR53" i="49"/>
  <c r="BK53" i="49"/>
  <c r="BH53" i="49"/>
  <c r="BG53" i="49"/>
  <c r="BD53" i="49"/>
  <c r="BC53" i="49"/>
  <c r="AV53" i="49"/>
  <c r="AS53" i="49"/>
  <c r="AR53" i="49"/>
  <c r="AO53" i="49"/>
  <c r="AN53" i="49"/>
  <c r="AG53" i="49"/>
  <c r="Z53" i="49"/>
  <c r="X53" i="49"/>
  <c r="Q53" i="49"/>
  <c r="L53" i="49" a="1"/>
  <c r="L53" i="49" s="1"/>
  <c r="K53" i="49" a="1"/>
  <c r="K53" i="49" s="1"/>
  <c r="J53" i="49"/>
  <c r="I53" i="49"/>
  <c r="D53" i="49"/>
  <c r="C53" i="49"/>
  <c r="BZ52" i="49"/>
  <c r="BW52" i="49"/>
  <c r="BV52" i="49"/>
  <c r="BS52" i="49"/>
  <c r="BR52" i="49"/>
  <c r="BK52" i="49"/>
  <c r="BH52" i="49"/>
  <c r="BG52" i="49"/>
  <c r="BD52" i="49"/>
  <c r="BC52" i="49"/>
  <c r="AV52" i="49"/>
  <c r="AS52" i="49"/>
  <c r="AR52" i="49"/>
  <c r="AO52" i="49"/>
  <c r="AN52" i="49"/>
  <c r="AG52" i="49"/>
  <c r="Z52" i="49"/>
  <c r="Y52" i="49"/>
  <c r="X52" i="49"/>
  <c r="Q52" i="49"/>
  <c r="J52" i="49"/>
  <c r="I52" i="49"/>
  <c r="D52" i="49"/>
  <c r="C52" i="49"/>
  <c r="K52" i="49" s="1" a="1"/>
  <c r="K52" i="49" s="1"/>
  <c r="BZ51" i="49"/>
  <c r="BW51" i="49"/>
  <c r="BS51" i="49"/>
  <c r="BK51" i="49"/>
  <c r="BG51" i="49"/>
  <c r="BC51" i="49"/>
  <c r="AV51" i="49"/>
  <c r="AR51" i="49"/>
  <c r="AN51" i="49"/>
  <c r="AG51" i="49"/>
  <c r="Z51" i="49"/>
  <c r="X51" i="49"/>
  <c r="Y51" i="49"/>
  <c r="Q51" i="49"/>
  <c r="J51" i="49"/>
  <c r="I51" i="49"/>
  <c r="D51" i="49"/>
  <c r="C51" i="49"/>
  <c r="K51" i="49" s="1" a="1"/>
  <c r="K51" i="49" s="1"/>
  <c r="BZ50" i="49"/>
  <c r="BW50" i="49"/>
  <c r="BV50" i="49"/>
  <c r="BS50" i="49"/>
  <c r="BR50" i="49"/>
  <c r="BK50" i="49"/>
  <c r="BH50" i="49"/>
  <c r="BG50" i="49"/>
  <c r="BD50" i="49"/>
  <c r="BC50" i="49"/>
  <c r="AV50" i="49"/>
  <c r="AS50" i="49"/>
  <c r="AR50" i="49"/>
  <c r="AO50" i="49"/>
  <c r="AN50" i="49"/>
  <c r="AG50" i="49"/>
  <c r="Z50" i="49"/>
  <c r="Q50" i="49"/>
  <c r="J50" i="49"/>
  <c r="I50" i="49"/>
  <c r="D50" i="49"/>
  <c r="C50" i="49"/>
  <c r="BZ49" i="49"/>
  <c r="BW49" i="49"/>
  <c r="BV49" i="49"/>
  <c r="BS49" i="49"/>
  <c r="BR49" i="49"/>
  <c r="BK49" i="49"/>
  <c r="BH49" i="49"/>
  <c r="BG49" i="49"/>
  <c r="BD49" i="49"/>
  <c r="BC49" i="49"/>
  <c r="AV49" i="49"/>
  <c r="AS49" i="49"/>
  <c r="AR49" i="49"/>
  <c r="AO49" i="49"/>
  <c r="AN49" i="49"/>
  <c r="AG49" i="49"/>
  <c r="Z49" i="49"/>
  <c r="X49" i="49"/>
  <c r="Q49" i="49"/>
  <c r="L49" i="49" a="1"/>
  <c r="L49" i="49" s="1"/>
  <c r="K49" i="49" a="1"/>
  <c r="K49" i="49" s="1"/>
  <c r="J49" i="49"/>
  <c r="I49" i="49"/>
  <c r="D49" i="49"/>
  <c r="C49" i="49"/>
  <c r="BZ48" i="49"/>
  <c r="BW48" i="49"/>
  <c r="BV48" i="49"/>
  <c r="BS48" i="49"/>
  <c r="BR48" i="49"/>
  <c r="BK48" i="49"/>
  <c r="BH48" i="49"/>
  <c r="BG48" i="49"/>
  <c r="BD48" i="49"/>
  <c r="BC48" i="49"/>
  <c r="AV48" i="49"/>
  <c r="AS48" i="49"/>
  <c r="AR48" i="49"/>
  <c r="AO48" i="49"/>
  <c r="AN48" i="49"/>
  <c r="AG48" i="49"/>
  <c r="Z48" i="49"/>
  <c r="Y48" i="49"/>
  <c r="X48" i="49"/>
  <c r="Q48" i="49"/>
  <c r="J48" i="49"/>
  <c r="I48" i="49"/>
  <c r="D48" i="49"/>
  <c r="C48" i="49"/>
  <c r="L48" i="49" s="1" a="1"/>
  <c r="L48" i="49" s="1"/>
  <c r="BZ47" i="49"/>
  <c r="BW47" i="49"/>
  <c r="BS47" i="49"/>
  <c r="BK47" i="49"/>
  <c r="BG47" i="49"/>
  <c r="BD47" i="49"/>
  <c r="BC47" i="49"/>
  <c r="AV47" i="49"/>
  <c r="AR47" i="49"/>
  <c r="AO47" i="49"/>
  <c r="AN47" i="49"/>
  <c r="AG47" i="49"/>
  <c r="Z47" i="49"/>
  <c r="Y47" i="49"/>
  <c r="X47" i="49"/>
  <c r="Q47" i="49"/>
  <c r="J47" i="49"/>
  <c r="I47" i="49"/>
  <c r="D47" i="49"/>
  <c r="C47" i="49"/>
  <c r="BZ46" i="49"/>
  <c r="BW46" i="49"/>
  <c r="BV46" i="49"/>
  <c r="BS46" i="49"/>
  <c r="BR46" i="49"/>
  <c r="BK46" i="49"/>
  <c r="BH46" i="49"/>
  <c r="BG46" i="49"/>
  <c r="BD46" i="49"/>
  <c r="BC46" i="49"/>
  <c r="AV46" i="49"/>
  <c r="AS46" i="49"/>
  <c r="AR46" i="49"/>
  <c r="AO46" i="49"/>
  <c r="AN46" i="49"/>
  <c r="AG46" i="49"/>
  <c r="Z46" i="49"/>
  <c r="Q46" i="49"/>
  <c r="L46" i="49" a="1"/>
  <c r="L46" i="49" s="1"/>
  <c r="J46" i="49"/>
  <c r="I46" i="49"/>
  <c r="D46" i="49"/>
  <c r="C46" i="49"/>
  <c r="K46" i="49" s="1" a="1"/>
  <c r="K46" i="49" s="1"/>
  <c r="BZ45" i="49"/>
  <c r="BW45" i="49"/>
  <c r="BV45" i="49"/>
  <c r="BS45" i="49"/>
  <c r="BR45" i="49"/>
  <c r="BK45" i="49"/>
  <c r="BH45" i="49"/>
  <c r="BG45" i="49"/>
  <c r="BD45" i="49"/>
  <c r="BC45" i="49"/>
  <c r="AV45" i="49"/>
  <c r="AS45" i="49"/>
  <c r="AR45" i="49"/>
  <c r="AO45" i="49"/>
  <c r="AN45" i="49"/>
  <c r="AG45" i="49"/>
  <c r="Z45" i="49"/>
  <c r="X45" i="49"/>
  <c r="Q45" i="49"/>
  <c r="K45" i="49" a="1"/>
  <c r="K45" i="49" s="1"/>
  <c r="J45" i="49"/>
  <c r="I45" i="49"/>
  <c r="D45" i="49"/>
  <c r="C45" i="49"/>
  <c r="L45" i="49" s="1" a="1"/>
  <c r="L45" i="49" s="1"/>
  <c r="BZ44" i="49"/>
  <c r="BW44" i="49"/>
  <c r="BV44" i="49"/>
  <c r="BS44" i="49"/>
  <c r="BR44" i="49"/>
  <c r="BK44" i="49"/>
  <c r="BH44" i="49"/>
  <c r="BG44" i="49"/>
  <c r="BD44" i="49"/>
  <c r="BC44" i="49"/>
  <c r="AV44" i="49"/>
  <c r="AS44" i="49"/>
  <c r="AR44" i="49"/>
  <c r="AO44" i="49"/>
  <c r="AN44" i="49"/>
  <c r="AG44" i="49"/>
  <c r="Z44" i="49"/>
  <c r="Y44" i="49"/>
  <c r="X44" i="49"/>
  <c r="Q44" i="49"/>
  <c r="J44" i="49"/>
  <c r="I44" i="49"/>
  <c r="D44" i="49"/>
  <c r="C44" i="49"/>
  <c r="BZ43" i="49"/>
  <c r="BW43" i="49"/>
  <c r="BS43" i="49"/>
  <c r="BK43" i="49"/>
  <c r="BG43" i="49"/>
  <c r="BC43" i="49"/>
  <c r="AV43" i="49"/>
  <c r="AR43" i="49"/>
  <c r="AN43" i="49"/>
  <c r="AG43" i="49"/>
  <c r="Z43" i="49"/>
  <c r="X43" i="49"/>
  <c r="Y43" i="49"/>
  <c r="Q43" i="49"/>
  <c r="L43" i="49" a="1"/>
  <c r="L43" i="49" s="1"/>
  <c r="J43" i="49"/>
  <c r="I43" i="49"/>
  <c r="D43" i="49"/>
  <c r="C43" i="49"/>
  <c r="K43" i="49" s="1" a="1"/>
  <c r="K43" i="49" s="1"/>
  <c r="BZ42" i="49"/>
  <c r="BW42" i="49"/>
  <c r="BV42" i="49"/>
  <c r="BS42" i="49"/>
  <c r="BR42" i="49"/>
  <c r="BK42" i="49"/>
  <c r="BH42" i="49"/>
  <c r="BG42" i="49"/>
  <c r="BD42" i="49"/>
  <c r="BC42" i="49"/>
  <c r="AV42" i="49"/>
  <c r="AS42" i="49"/>
  <c r="AR42" i="49"/>
  <c r="AO42" i="49"/>
  <c r="AN42" i="49"/>
  <c r="AG42" i="49"/>
  <c r="Z42" i="49"/>
  <c r="Q42" i="49"/>
  <c r="J42" i="49"/>
  <c r="I42" i="49"/>
  <c r="D42" i="49"/>
  <c r="C42" i="49"/>
  <c r="BZ41" i="49"/>
  <c r="BW41" i="49"/>
  <c r="BV41" i="49"/>
  <c r="BS41" i="49"/>
  <c r="BR41" i="49"/>
  <c r="BK41" i="49"/>
  <c r="BH41" i="49"/>
  <c r="BG41" i="49"/>
  <c r="BD41" i="49"/>
  <c r="BC41" i="49"/>
  <c r="AV41" i="49"/>
  <c r="AS41" i="49"/>
  <c r="AR41" i="49"/>
  <c r="AO41" i="49"/>
  <c r="AN41" i="49"/>
  <c r="AG41" i="49"/>
  <c r="Z41" i="49"/>
  <c r="X41" i="49"/>
  <c r="Q41" i="49"/>
  <c r="L41" i="49" a="1"/>
  <c r="L41" i="49" s="1"/>
  <c r="J41" i="49"/>
  <c r="I41" i="49"/>
  <c r="D41" i="49"/>
  <c r="C41" i="49"/>
  <c r="K41" i="49" s="1" a="1"/>
  <c r="K41" i="49" s="1"/>
  <c r="BZ40" i="49"/>
  <c r="BW40" i="49"/>
  <c r="BV40" i="49"/>
  <c r="BS40" i="49"/>
  <c r="BR40" i="49"/>
  <c r="BK40" i="49"/>
  <c r="BH40" i="49"/>
  <c r="BG40" i="49"/>
  <c r="BD40" i="49"/>
  <c r="BC40" i="49"/>
  <c r="AV40" i="49"/>
  <c r="AS40" i="49"/>
  <c r="AR40" i="49"/>
  <c r="AO40" i="49"/>
  <c r="AN40" i="49"/>
  <c r="AG40" i="49"/>
  <c r="Z40" i="49"/>
  <c r="Y40" i="49"/>
  <c r="X40" i="49"/>
  <c r="Q40" i="49"/>
  <c r="L40" i="49" a="1"/>
  <c r="L40" i="49" s="1"/>
  <c r="K40" i="49" a="1"/>
  <c r="K40" i="49" s="1"/>
  <c r="J40" i="49"/>
  <c r="I40" i="49"/>
  <c r="D40" i="49"/>
  <c r="C40" i="49"/>
  <c r="BZ39" i="49"/>
  <c r="BW39" i="49"/>
  <c r="BS39" i="49"/>
  <c r="BK39" i="49"/>
  <c r="BG39" i="49"/>
  <c r="BC39" i="49"/>
  <c r="AV39" i="49"/>
  <c r="AR39" i="49"/>
  <c r="AO39" i="49"/>
  <c r="AN39" i="49"/>
  <c r="AG39" i="49"/>
  <c r="Z39" i="49"/>
  <c r="Y39" i="49"/>
  <c r="X39" i="49"/>
  <c r="Q39" i="49"/>
  <c r="L39" i="49" a="1"/>
  <c r="L39" i="49" s="1"/>
  <c r="J39" i="49"/>
  <c r="I39" i="49"/>
  <c r="D39" i="49"/>
  <c r="C39" i="49"/>
  <c r="K39" i="49" s="1" a="1"/>
  <c r="K39" i="49" s="1"/>
  <c r="BZ38" i="49"/>
  <c r="BW38" i="49"/>
  <c r="BV38" i="49"/>
  <c r="BS38" i="49"/>
  <c r="BR38" i="49"/>
  <c r="BK38" i="49"/>
  <c r="BH38" i="49"/>
  <c r="BG38" i="49"/>
  <c r="BD38" i="49"/>
  <c r="BC38" i="49"/>
  <c r="AV38" i="49"/>
  <c r="AS38" i="49"/>
  <c r="AR38" i="49"/>
  <c r="AO38" i="49"/>
  <c r="AN38" i="49"/>
  <c r="AG38" i="49"/>
  <c r="Z38" i="49"/>
  <c r="Q38" i="49"/>
  <c r="J38" i="49"/>
  <c r="I38" i="49"/>
  <c r="D38" i="49"/>
  <c r="C38" i="49"/>
  <c r="BZ37" i="49"/>
  <c r="BW37" i="49"/>
  <c r="BV37" i="49"/>
  <c r="BS37" i="49"/>
  <c r="BR37" i="49"/>
  <c r="BK37" i="49"/>
  <c r="BH37" i="49"/>
  <c r="BG37" i="49"/>
  <c r="BD37" i="49"/>
  <c r="BC37" i="49"/>
  <c r="AV37" i="49"/>
  <c r="AS37" i="49"/>
  <c r="AR37" i="49"/>
  <c r="AO37" i="49"/>
  <c r="AN37" i="49"/>
  <c r="AG37" i="49"/>
  <c r="Z37" i="49"/>
  <c r="X37" i="49"/>
  <c r="Q37" i="49"/>
  <c r="L37" i="49" a="1"/>
  <c r="L37" i="49" s="1"/>
  <c r="J37" i="49"/>
  <c r="I37" i="49"/>
  <c r="D37" i="49"/>
  <c r="C37" i="49"/>
  <c r="K37" i="49" s="1" a="1"/>
  <c r="K37" i="49" s="1"/>
  <c r="BZ36" i="49"/>
  <c r="BW36" i="49"/>
  <c r="BV36" i="49"/>
  <c r="BS36" i="49"/>
  <c r="BR36" i="49"/>
  <c r="BK36" i="49"/>
  <c r="BH36" i="49"/>
  <c r="BG36" i="49"/>
  <c r="BD36" i="49"/>
  <c r="BC36" i="49"/>
  <c r="AV36" i="49"/>
  <c r="AS36" i="49"/>
  <c r="AR36" i="49"/>
  <c r="AO36" i="49"/>
  <c r="AN36" i="49"/>
  <c r="AG36" i="49"/>
  <c r="Z36" i="49"/>
  <c r="Y36" i="49"/>
  <c r="X36" i="49"/>
  <c r="Q36" i="49"/>
  <c r="L36" i="49" a="1"/>
  <c r="L36" i="49" s="1"/>
  <c r="J36" i="49"/>
  <c r="I36" i="49"/>
  <c r="D36" i="49"/>
  <c r="C36" i="49"/>
  <c r="K36" i="49" s="1" a="1"/>
  <c r="K36" i="49" s="1"/>
  <c r="BZ35" i="49"/>
  <c r="BW35" i="49"/>
  <c r="BS35" i="49"/>
  <c r="BK35" i="49"/>
  <c r="BG35" i="49"/>
  <c r="BC35" i="49"/>
  <c r="AV35" i="49"/>
  <c r="AR35" i="49"/>
  <c r="AO35" i="49"/>
  <c r="AN35" i="49"/>
  <c r="AG35" i="49"/>
  <c r="Z35" i="49"/>
  <c r="Y35" i="49"/>
  <c r="X35" i="49"/>
  <c r="Q35" i="49"/>
  <c r="L35" i="49" a="1"/>
  <c r="L35" i="49" s="1"/>
  <c r="K35" i="49" a="1"/>
  <c r="K35" i="49" s="1"/>
  <c r="J35" i="49"/>
  <c r="I35" i="49"/>
  <c r="D35" i="49"/>
  <c r="C35" i="49"/>
  <c r="BZ34" i="49"/>
  <c r="BW34" i="49"/>
  <c r="BV34" i="49"/>
  <c r="BS34" i="49"/>
  <c r="BR34" i="49"/>
  <c r="BK34" i="49"/>
  <c r="BH34" i="49"/>
  <c r="BG34" i="49"/>
  <c r="BD34" i="49"/>
  <c r="BC34" i="49"/>
  <c r="AV34" i="49"/>
  <c r="AS34" i="49"/>
  <c r="AR34" i="49"/>
  <c r="AO34" i="49"/>
  <c r="AN34" i="49"/>
  <c r="AG34" i="49"/>
  <c r="Z34" i="49"/>
  <c r="Q34" i="49"/>
  <c r="J34" i="49"/>
  <c r="I34" i="49"/>
  <c r="D34" i="49"/>
  <c r="C34" i="49"/>
  <c r="BZ33" i="49"/>
  <c r="BW33" i="49"/>
  <c r="BV33" i="49"/>
  <c r="BS33" i="49"/>
  <c r="BR33" i="49"/>
  <c r="BK33" i="49"/>
  <c r="BH33" i="49"/>
  <c r="BG33" i="49"/>
  <c r="BD33" i="49"/>
  <c r="BC33" i="49"/>
  <c r="AV33" i="49"/>
  <c r="AS33" i="49"/>
  <c r="AR33" i="49"/>
  <c r="AO33" i="49"/>
  <c r="AN33" i="49"/>
  <c r="AG33" i="49"/>
  <c r="Z33" i="49"/>
  <c r="X33" i="49"/>
  <c r="Q33" i="49"/>
  <c r="J33" i="49"/>
  <c r="I33" i="49"/>
  <c r="D33" i="49"/>
  <c r="C33" i="49"/>
  <c r="K33" i="49" s="1" a="1"/>
  <c r="K33" i="49" s="1"/>
  <c r="BZ32" i="49"/>
  <c r="BW32" i="49"/>
  <c r="BV32" i="49"/>
  <c r="BS32" i="49"/>
  <c r="BR32" i="49"/>
  <c r="BK32" i="49"/>
  <c r="BH32" i="49"/>
  <c r="BG32" i="49"/>
  <c r="BD32" i="49"/>
  <c r="BC32" i="49"/>
  <c r="AV32" i="49"/>
  <c r="AS32" i="49"/>
  <c r="AR32" i="49"/>
  <c r="AO32" i="49"/>
  <c r="AN32" i="49"/>
  <c r="AG32" i="49"/>
  <c r="Z32" i="49"/>
  <c r="Y32" i="49"/>
  <c r="X32" i="49"/>
  <c r="Q32" i="49"/>
  <c r="L32" i="49" a="1"/>
  <c r="L32" i="49" s="1"/>
  <c r="K32" i="49" a="1"/>
  <c r="K32" i="49" s="1"/>
  <c r="J32" i="49"/>
  <c r="I32" i="49"/>
  <c r="D32" i="49"/>
  <c r="C32" i="49"/>
  <c r="BZ31" i="49"/>
  <c r="BW31" i="49"/>
  <c r="BS31" i="49"/>
  <c r="BK31" i="49"/>
  <c r="BG31" i="49"/>
  <c r="BC31" i="49"/>
  <c r="AV31" i="49"/>
  <c r="AR31" i="49"/>
  <c r="AN31" i="49"/>
  <c r="AG31" i="49"/>
  <c r="Z31" i="49"/>
  <c r="Y31" i="49"/>
  <c r="X31" i="49"/>
  <c r="Q31" i="49"/>
  <c r="L31" i="49" a="1"/>
  <c r="L31" i="49" s="1"/>
  <c r="J31" i="49"/>
  <c r="I31" i="49"/>
  <c r="D31" i="49"/>
  <c r="C31" i="49"/>
  <c r="K31" i="49" s="1" a="1"/>
  <c r="K31" i="49" s="1"/>
  <c r="BZ30" i="49"/>
  <c r="BW30" i="49"/>
  <c r="BV30" i="49"/>
  <c r="BS30" i="49"/>
  <c r="BR30" i="49"/>
  <c r="BK30" i="49"/>
  <c r="BH30" i="49"/>
  <c r="BG30" i="49"/>
  <c r="BD30" i="49"/>
  <c r="BC30" i="49"/>
  <c r="AV30" i="49"/>
  <c r="AS30" i="49"/>
  <c r="AR30" i="49"/>
  <c r="AO30" i="49"/>
  <c r="AN30" i="49"/>
  <c r="AG30" i="49"/>
  <c r="Z30" i="49"/>
  <c r="Q30" i="49"/>
  <c r="J30" i="49"/>
  <c r="I30" i="49"/>
  <c r="D30" i="49"/>
  <c r="C30" i="49"/>
  <c r="L30" i="49" s="1" a="1"/>
  <c r="L30" i="49" s="1"/>
  <c r="BZ29" i="49"/>
  <c r="BW29" i="49"/>
  <c r="BV29" i="49"/>
  <c r="BS29" i="49"/>
  <c r="BR29" i="49"/>
  <c r="BK29" i="49"/>
  <c r="BH29" i="49"/>
  <c r="BG29" i="49"/>
  <c r="BD29" i="49"/>
  <c r="BC29" i="49"/>
  <c r="AV29" i="49"/>
  <c r="AS29" i="49"/>
  <c r="AR29" i="49"/>
  <c r="AO29" i="49"/>
  <c r="AN29" i="49"/>
  <c r="AG29" i="49"/>
  <c r="Z29" i="49"/>
  <c r="X29" i="49"/>
  <c r="Q29" i="49"/>
  <c r="J29" i="49"/>
  <c r="I29" i="49"/>
  <c r="D29" i="49"/>
  <c r="C29" i="49"/>
  <c r="K29" i="49" s="1" a="1"/>
  <c r="K29" i="49" s="1"/>
  <c r="BZ28" i="49"/>
  <c r="BW28" i="49"/>
  <c r="BV28" i="49"/>
  <c r="BS28" i="49"/>
  <c r="BR28" i="49"/>
  <c r="BK28" i="49"/>
  <c r="BH28" i="49"/>
  <c r="BG28" i="49"/>
  <c r="BD28" i="49"/>
  <c r="BC28" i="49"/>
  <c r="AV28" i="49"/>
  <c r="AS28" i="49"/>
  <c r="AR28" i="49"/>
  <c r="AO28" i="49"/>
  <c r="AN28" i="49"/>
  <c r="AG28" i="49"/>
  <c r="Z28" i="49"/>
  <c r="Y28" i="49"/>
  <c r="X28" i="49"/>
  <c r="Q28" i="49"/>
  <c r="J28" i="49"/>
  <c r="I28" i="49"/>
  <c r="D28" i="49"/>
  <c r="C28" i="49"/>
  <c r="L28" i="49" s="1" a="1"/>
  <c r="L28" i="49" s="1"/>
  <c r="BZ27" i="49"/>
  <c r="BW27" i="49"/>
  <c r="BS27" i="49"/>
  <c r="BK27" i="49"/>
  <c r="BG27" i="49"/>
  <c r="BD27" i="49"/>
  <c r="BC27" i="49"/>
  <c r="AV27" i="49"/>
  <c r="AR27" i="49"/>
  <c r="AN27" i="49"/>
  <c r="AG27" i="49"/>
  <c r="Z27" i="49"/>
  <c r="Y27" i="49"/>
  <c r="X27" i="49"/>
  <c r="Q27" i="49"/>
  <c r="J27" i="49"/>
  <c r="I27" i="49"/>
  <c r="D27" i="49"/>
  <c r="C27" i="49"/>
  <c r="BZ26" i="49"/>
  <c r="BW26" i="49"/>
  <c r="BV26" i="49"/>
  <c r="BS26" i="49"/>
  <c r="BR26" i="49"/>
  <c r="BK26" i="49"/>
  <c r="BH26" i="49"/>
  <c r="BG26" i="49"/>
  <c r="BD26" i="49"/>
  <c r="BC26" i="49"/>
  <c r="AV26" i="49"/>
  <c r="AS26" i="49"/>
  <c r="AR26" i="49"/>
  <c r="AO26" i="49"/>
  <c r="AN26" i="49"/>
  <c r="AG26" i="49"/>
  <c r="Z26" i="49"/>
  <c r="Q26" i="49"/>
  <c r="J26" i="49"/>
  <c r="I26" i="49"/>
  <c r="D26" i="49"/>
  <c r="C26" i="49"/>
  <c r="K26" i="49" s="1" a="1"/>
  <c r="K26" i="49" s="1"/>
  <c r="BZ25" i="49"/>
  <c r="BW25" i="49"/>
  <c r="BV25" i="49"/>
  <c r="BS25" i="49"/>
  <c r="BR25" i="49"/>
  <c r="BK25" i="49"/>
  <c r="BH25" i="49"/>
  <c r="BG25" i="49"/>
  <c r="BD25" i="49"/>
  <c r="BC25" i="49"/>
  <c r="AV25" i="49"/>
  <c r="AS25" i="49"/>
  <c r="AR25" i="49"/>
  <c r="AO25" i="49"/>
  <c r="AN25" i="49"/>
  <c r="AG25" i="49"/>
  <c r="Z25" i="49"/>
  <c r="X25" i="49"/>
  <c r="Q25" i="49"/>
  <c r="J25" i="49"/>
  <c r="I25" i="49"/>
  <c r="D25" i="49"/>
  <c r="C25" i="49"/>
  <c r="K25" i="49" s="1" a="1"/>
  <c r="K25" i="49" s="1"/>
  <c r="BZ24" i="49"/>
  <c r="BW24" i="49"/>
  <c r="BV24" i="49"/>
  <c r="BS24" i="49"/>
  <c r="BR24" i="49"/>
  <c r="BK24" i="49"/>
  <c r="BH24" i="49"/>
  <c r="BG24" i="49"/>
  <c r="BD24" i="49"/>
  <c r="BC24" i="49"/>
  <c r="AV24" i="49"/>
  <c r="AS24" i="49"/>
  <c r="AR24" i="49"/>
  <c r="AO24" i="49"/>
  <c r="AN24" i="49"/>
  <c r="AG24" i="49"/>
  <c r="Z24" i="49"/>
  <c r="Y24" i="49"/>
  <c r="X24" i="49"/>
  <c r="Q24" i="49"/>
  <c r="J24" i="49"/>
  <c r="I24" i="49"/>
  <c r="D24" i="49"/>
  <c r="C24" i="49"/>
  <c r="L24" i="49" s="1" a="1"/>
  <c r="L24" i="49" s="1"/>
  <c r="BZ23" i="49"/>
  <c r="BW23" i="49"/>
  <c r="BS23" i="49"/>
  <c r="BR23" i="49"/>
  <c r="BK23" i="49"/>
  <c r="BG23" i="49"/>
  <c r="BC23" i="49"/>
  <c r="AV23" i="49"/>
  <c r="AR23" i="49"/>
  <c r="AN23" i="49"/>
  <c r="AG23" i="49"/>
  <c r="Z23" i="49"/>
  <c r="Y23" i="49"/>
  <c r="X23" i="49"/>
  <c r="Q23" i="49"/>
  <c r="J23" i="49"/>
  <c r="I23" i="49"/>
  <c r="D23" i="49"/>
  <c r="C23" i="49"/>
  <c r="BZ22" i="49"/>
  <c r="BW22" i="49"/>
  <c r="BV22" i="49"/>
  <c r="BS22" i="49"/>
  <c r="BR22" i="49"/>
  <c r="BK22" i="49"/>
  <c r="BH22" i="49"/>
  <c r="BG22" i="49"/>
  <c r="BD22" i="49"/>
  <c r="BC22" i="49"/>
  <c r="AV22" i="49"/>
  <c r="AS22" i="49"/>
  <c r="AR22" i="49"/>
  <c r="AO22" i="49"/>
  <c r="AN22" i="49"/>
  <c r="AG22" i="49"/>
  <c r="Z22" i="49"/>
  <c r="Q22" i="49"/>
  <c r="J22" i="49"/>
  <c r="I22" i="49"/>
  <c r="D22" i="49"/>
  <c r="C22" i="49"/>
  <c r="K22" i="49" s="1" a="1"/>
  <c r="K22" i="49" s="1"/>
  <c r="BZ21" i="49"/>
  <c r="BW21" i="49"/>
  <c r="BV21" i="49"/>
  <c r="BS21" i="49"/>
  <c r="BR21" i="49"/>
  <c r="BK21" i="49"/>
  <c r="BH21" i="49"/>
  <c r="BG21" i="49"/>
  <c r="BD21" i="49"/>
  <c r="BC21" i="49"/>
  <c r="AV21" i="49"/>
  <c r="AS21" i="49"/>
  <c r="AR21" i="49"/>
  <c r="AO21" i="49"/>
  <c r="AN21" i="49"/>
  <c r="AG21" i="49"/>
  <c r="Z21" i="49"/>
  <c r="X21" i="49"/>
  <c r="Q21" i="49"/>
  <c r="J21" i="49"/>
  <c r="I21" i="49"/>
  <c r="D21" i="49"/>
  <c r="C21" i="49"/>
  <c r="K21" i="49" s="1" a="1"/>
  <c r="K21" i="49" s="1"/>
  <c r="BZ20" i="49"/>
  <c r="BW20" i="49"/>
  <c r="BV20" i="49"/>
  <c r="BS20" i="49"/>
  <c r="BR20" i="49"/>
  <c r="BK20" i="49"/>
  <c r="BH20" i="49"/>
  <c r="BG20" i="49"/>
  <c r="BD20" i="49"/>
  <c r="BC20" i="49"/>
  <c r="AV20" i="49"/>
  <c r="AS20" i="49"/>
  <c r="AR20" i="49"/>
  <c r="AO20" i="49"/>
  <c r="AN20" i="49"/>
  <c r="AG20" i="49"/>
  <c r="Z20" i="49"/>
  <c r="Y20" i="49"/>
  <c r="X20" i="49"/>
  <c r="Q20" i="49"/>
  <c r="L20" i="49" a="1"/>
  <c r="L20" i="49" s="1"/>
  <c r="K20" i="49" a="1"/>
  <c r="K20" i="49" s="1"/>
  <c r="J20" i="49"/>
  <c r="I20" i="49"/>
  <c r="D20" i="49"/>
  <c r="C20" i="49"/>
  <c r="BZ19" i="49"/>
  <c r="BW19" i="49"/>
  <c r="BS19" i="49"/>
  <c r="BK19" i="49"/>
  <c r="BG19" i="49"/>
  <c r="BD19" i="49"/>
  <c r="BC19" i="49"/>
  <c r="AV19" i="49"/>
  <c r="AR19" i="49"/>
  <c r="AN19" i="49"/>
  <c r="AG19" i="49"/>
  <c r="Z19" i="49"/>
  <c r="Y19" i="49"/>
  <c r="X19" i="49"/>
  <c r="Q19" i="49"/>
  <c r="J19" i="49"/>
  <c r="I19" i="49"/>
  <c r="D19" i="49"/>
  <c r="C19" i="49"/>
  <c r="BZ18" i="49"/>
  <c r="BW18" i="49"/>
  <c r="BV18" i="49"/>
  <c r="BS18" i="49"/>
  <c r="BR18" i="49"/>
  <c r="BK18" i="49"/>
  <c r="BH18" i="49"/>
  <c r="BG18" i="49"/>
  <c r="BD18" i="49"/>
  <c r="BC18" i="49"/>
  <c r="AV18" i="49"/>
  <c r="AS18" i="49"/>
  <c r="AR18" i="49"/>
  <c r="AO18" i="49"/>
  <c r="AN18" i="49"/>
  <c r="AG18" i="49"/>
  <c r="Z18" i="49"/>
  <c r="X18" i="49"/>
  <c r="Q18" i="49"/>
  <c r="L18" i="49" a="1"/>
  <c r="L18" i="49" s="1"/>
  <c r="J18" i="49"/>
  <c r="I18" i="49"/>
  <c r="D18" i="49"/>
  <c r="C18" i="49"/>
  <c r="K18" i="49" s="1" a="1"/>
  <c r="K18" i="49" s="1"/>
  <c r="BZ17" i="49"/>
  <c r="BW17" i="49"/>
  <c r="BV17" i="49"/>
  <c r="BS17" i="49"/>
  <c r="BR17" i="49"/>
  <c r="BK17" i="49"/>
  <c r="BH17" i="49"/>
  <c r="BG17" i="49"/>
  <c r="BD17" i="49"/>
  <c r="BC17" i="49"/>
  <c r="AV17" i="49"/>
  <c r="AS17" i="49"/>
  <c r="AR17" i="49"/>
  <c r="AO17" i="49"/>
  <c r="AN17" i="49"/>
  <c r="AG17" i="49"/>
  <c r="Z17" i="49"/>
  <c r="Y17" i="49"/>
  <c r="X17" i="49"/>
  <c r="Q17" i="49"/>
  <c r="J17" i="49"/>
  <c r="I17" i="49"/>
  <c r="D17" i="49"/>
  <c r="C17" i="49"/>
  <c r="K17" i="49" s="1" a="1"/>
  <c r="K17" i="49" s="1"/>
  <c r="BZ16" i="49"/>
  <c r="BW16" i="49"/>
  <c r="BV16" i="49"/>
  <c r="BS16" i="49"/>
  <c r="BR16" i="49"/>
  <c r="BK16" i="49"/>
  <c r="BH16" i="49"/>
  <c r="BG16" i="49"/>
  <c r="BD16" i="49"/>
  <c r="BC16" i="49"/>
  <c r="AV16" i="49"/>
  <c r="AS16" i="49"/>
  <c r="AR16" i="49"/>
  <c r="AO16" i="49"/>
  <c r="AN16" i="49"/>
  <c r="AG16" i="49"/>
  <c r="Z16" i="49"/>
  <c r="Y16" i="49"/>
  <c r="Y15" i="49" s="1"/>
  <c r="X16" i="49"/>
  <c r="X15" i="49" s="1"/>
  <c r="Q16" i="49"/>
  <c r="J16" i="49"/>
  <c r="I16" i="49"/>
  <c r="D16" i="49"/>
  <c r="C16" i="49"/>
  <c r="L16" i="49" s="1" a="1"/>
  <c r="L16" i="49" s="1"/>
  <c r="BZ15" i="49"/>
  <c r="BW15" i="49"/>
  <c r="BV15" i="49"/>
  <c r="BS15" i="49"/>
  <c r="BR15" i="49"/>
  <c r="BK15" i="49"/>
  <c r="BH15" i="49"/>
  <c r="BG15" i="49"/>
  <c r="BD15" i="49"/>
  <c r="BC15" i="49"/>
  <c r="AV15" i="49"/>
  <c r="AS15" i="49"/>
  <c r="AR15" i="49"/>
  <c r="AO15" i="49"/>
  <c r="AN15" i="49"/>
  <c r="AG15" i="49"/>
  <c r="Z15" i="49"/>
  <c r="Q15" i="49"/>
  <c r="J15" i="49"/>
  <c r="I15" i="49"/>
  <c r="D15" i="49"/>
  <c r="C15" i="49"/>
  <c r="BU14" i="49"/>
  <c r="BT14" i="49"/>
  <c r="BQ14" i="49"/>
  <c r="BP14" i="49"/>
  <c r="BO14" i="49"/>
  <c r="BN14" i="49"/>
  <c r="BM14" i="49"/>
  <c r="BW14" i="49" s="1"/>
  <c r="BF14" i="49"/>
  <c r="BE14" i="49"/>
  <c r="BB14" i="49"/>
  <c r="BA14" i="49"/>
  <c r="AZ14" i="49"/>
  <c r="AY14" i="49"/>
  <c r="AW14" i="49"/>
  <c r="BG14" i="49" s="1"/>
  <c r="AQ14" i="49"/>
  <c r="AP14" i="49"/>
  <c r="AM14" i="49"/>
  <c r="AL14" i="49"/>
  <c r="AK14" i="49"/>
  <c r="AJ14" i="49"/>
  <c r="AH14" i="49"/>
  <c r="AN14" i="49" s="1"/>
  <c r="S14" i="49"/>
  <c r="R14" i="49"/>
  <c r="H14" i="49"/>
  <c r="G14" i="49"/>
  <c r="F14" i="49"/>
  <c r="E14" i="49"/>
  <c r="T14" i="49" s="1"/>
  <c r="P3" i="49"/>
  <c r="B2" i="49" a="1"/>
  <c r="B2" i="49" s="1"/>
  <c r="A1" i="48"/>
  <c r="BZ125" i="48"/>
  <c r="BW125" i="48"/>
  <c r="BV125" i="48"/>
  <c r="BS125" i="48"/>
  <c r="BR125" i="48"/>
  <c r="BK125" i="48"/>
  <c r="BH125" i="48"/>
  <c r="BG125" i="48"/>
  <c r="BD125" i="48"/>
  <c r="BC125" i="48"/>
  <c r="AV125" i="48"/>
  <c r="AS125" i="48"/>
  <c r="AR125" i="48"/>
  <c r="AO125" i="48"/>
  <c r="AN125" i="48"/>
  <c r="AG125" i="48"/>
  <c r="Z125" i="48"/>
  <c r="X125" i="48"/>
  <c r="Y125" i="48"/>
  <c r="Q125" i="48"/>
  <c r="J125" i="48"/>
  <c r="I125" i="48"/>
  <c r="D125" i="48"/>
  <c r="C125" i="48"/>
  <c r="K125" i="48" s="1" a="1"/>
  <c r="K125" i="48" s="1"/>
  <c r="BZ124" i="48"/>
  <c r="BW124" i="48"/>
  <c r="BV124" i="48"/>
  <c r="BS124" i="48"/>
  <c r="BR124" i="48"/>
  <c r="BK124" i="48"/>
  <c r="BH124" i="48"/>
  <c r="BG124" i="48"/>
  <c r="BD124" i="48"/>
  <c r="BC124" i="48"/>
  <c r="AV124" i="48"/>
  <c r="AS124" i="48"/>
  <c r="AR124" i="48"/>
  <c r="AO124" i="48"/>
  <c r="AN124" i="48"/>
  <c r="AG124" i="48"/>
  <c r="Z124" i="48"/>
  <c r="Y124" i="48"/>
  <c r="X124" i="48"/>
  <c r="Q124" i="48"/>
  <c r="L124" i="48" a="1"/>
  <c r="L124" i="48" s="1"/>
  <c r="J124" i="48"/>
  <c r="I124" i="48"/>
  <c r="D124" i="48"/>
  <c r="C124" i="48"/>
  <c r="K124" i="48" s="1" a="1"/>
  <c r="K124" i="48" s="1"/>
  <c r="BZ123" i="48"/>
  <c r="BV123" i="48"/>
  <c r="BR123" i="48"/>
  <c r="BK123" i="48"/>
  <c r="BH123" i="48"/>
  <c r="BD123" i="48"/>
  <c r="AV123" i="48"/>
  <c r="AS123" i="48"/>
  <c r="AO123" i="48"/>
  <c r="AG123" i="48"/>
  <c r="Z123" i="48"/>
  <c r="Y123" i="48"/>
  <c r="X123" i="48"/>
  <c r="Q123" i="48"/>
  <c r="L123" i="48" a="1"/>
  <c r="L123" i="48" s="1"/>
  <c r="K123" i="48" a="1"/>
  <c r="K123" i="48" s="1"/>
  <c r="J123" i="48"/>
  <c r="I123" i="48"/>
  <c r="D123" i="48"/>
  <c r="C123" i="48"/>
  <c r="BZ122" i="48"/>
  <c r="BW122" i="48"/>
  <c r="BV122" i="48"/>
  <c r="BS122" i="48"/>
  <c r="BR122" i="48"/>
  <c r="BK122" i="48"/>
  <c r="BH122" i="48"/>
  <c r="BG122" i="48"/>
  <c r="BD122" i="48"/>
  <c r="BC122" i="48"/>
  <c r="AV122" i="48"/>
  <c r="AS122" i="48"/>
  <c r="AR122" i="48"/>
  <c r="AO122" i="48"/>
  <c r="AN122" i="48"/>
  <c r="AG122" i="48"/>
  <c r="Z122" i="48"/>
  <c r="Q122" i="48"/>
  <c r="J122" i="48"/>
  <c r="I122" i="48"/>
  <c r="D122" i="48"/>
  <c r="C122" i="48"/>
  <c r="BZ121" i="48"/>
  <c r="BW121" i="48"/>
  <c r="BV121" i="48"/>
  <c r="BS121" i="48"/>
  <c r="BR121" i="48"/>
  <c r="BK121" i="48"/>
  <c r="BH121" i="48"/>
  <c r="BG121" i="48"/>
  <c r="BD121" i="48"/>
  <c r="BC121" i="48"/>
  <c r="AV121" i="48"/>
  <c r="AS121" i="48"/>
  <c r="AR121" i="48"/>
  <c r="AO121" i="48"/>
  <c r="AN121" i="48"/>
  <c r="AG121" i="48"/>
  <c r="Z121" i="48"/>
  <c r="X121" i="48"/>
  <c r="Y121" i="48"/>
  <c r="Q121" i="48"/>
  <c r="L121" i="48" a="1"/>
  <c r="L121" i="48" s="1"/>
  <c r="J121" i="48"/>
  <c r="I121" i="48"/>
  <c r="D121" i="48"/>
  <c r="C121" i="48"/>
  <c r="K121" i="48" s="1" a="1"/>
  <c r="K121" i="48" s="1"/>
  <c r="BZ120" i="48"/>
  <c r="BW120" i="48"/>
  <c r="BV120" i="48"/>
  <c r="BS120" i="48"/>
  <c r="BR120" i="48"/>
  <c r="BK120" i="48"/>
  <c r="BH120" i="48"/>
  <c r="BG120" i="48"/>
  <c r="BD120" i="48"/>
  <c r="BC120" i="48"/>
  <c r="AV120" i="48"/>
  <c r="AS120" i="48"/>
  <c r="AR120" i="48"/>
  <c r="AO120" i="48"/>
  <c r="AN120" i="48"/>
  <c r="AG120" i="48"/>
  <c r="Z120" i="48"/>
  <c r="Y120" i="48"/>
  <c r="X120" i="48"/>
  <c r="Q120" i="48"/>
  <c r="J120" i="48"/>
  <c r="I120" i="48"/>
  <c r="D120" i="48"/>
  <c r="C120" i="48"/>
  <c r="L120" i="48" s="1" a="1"/>
  <c r="L120" i="48" s="1"/>
  <c r="BZ119" i="48"/>
  <c r="BV119" i="48"/>
  <c r="BS119" i="48"/>
  <c r="BR119" i="48"/>
  <c r="BK119" i="48"/>
  <c r="BH119" i="48"/>
  <c r="BD119" i="48"/>
  <c r="AV119" i="48"/>
  <c r="AS119" i="48"/>
  <c r="AO119" i="48"/>
  <c r="AG119" i="48"/>
  <c r="Z119" i="48"/>
  <c r="Y119" i="48"/>
  <c r="X119" i="48"/>
  <c r="Q119" i="48"/>
  <c r="J119" i="48"/>
  <c r="I119" i="48"/>
  <c r="D119" i="48"/>
  <c r="C119" i="48"/>
  <c r="L119" i="48" s="1" a="1"/>
  <c r="L119" i="48" s="1"/>
  <c r="BZ118" i="48"/>
  <c r="BW118" i="48"/>
  <c r="BV118" i="48"/>
  <c r="BS118" i="48"/>
  <c r="BR118" i="48"/>
  <c r="BK118" i="48"/>
  <c r="BH118" i="48"/>
  <c r="BG118" i="48"/>
  <c r="BD118" i="48"/>
  <c r="BC118" i="48"/>
  <c r="AV118" i="48"/>
  <c r="AS118" i="48"/>
  <c r="AR118" i="48"/>
  <c r="AO118" i="48"/>
  <c r="AN118" i="48"/>
  <c r="AG118" i="48"/>
  <c r="Z118" i="48"/>
  <c r="Q118" i="48"/>
  <c r="J118" i="48"/>
  <c r="I118" i="48"/>
  <c r="D118" i="48"/>
  <c r="C118" i="48"/>
  <c r="BZ117" i="48"/>
  <c r="BW117" i="48"/>
  <c r="BV117" i="48"/>
  <c r="BS117" i="48"/>
  <c r="BR117" i="48"/>
  <c r="BK117" i="48"/>
  <c r="BH117" i="48"/>
  <c r="BG117" i="48"/>
  <c r="BD117" i="48"/>
  <c r="BC117" i="48"/>
  <c r="AV117" i="48"/>
  <c r="AS117" i="48"/>
  <c r="AR117" i="48"/>
  <c r="AO117" i="48"/>
  <c r="AN117" i="48"/>
  <c r="AG117" i="48"/>
  <c r="Z117" i="48"/>
  <c r="X117" i="48"/>
  <c r="Y117" i="48"/>
  <c r="Q117" i="48"/>
  <c r="L117" i="48" a="1"/>
  <c r="L117" i="48" s="1"/>
  <c r="J117" i="48"/>
  <c r="I117" i="48"/>
  <c r="D117" i="48"/>
  <c r="C117" i="48"/>
  <c r="K117" i="48" s="1" a="1"/>
  <c r="K117" i="48" s="1"/>
  <c r="BZ116" i="48"/>
  <c r="BW116" i="48"/>
  <c r="BV116" i="48"/>
  <c r="BS116" i="48"/>
  <c r="BR116" i="48"/>
  <c r="BK116" i="48"/>
  <c r="BH116" i="48"/>
  <c r="BG116" i="48"/>
  <c r="BD116" i="48"/>
  <c r="BC116" i="48"/>
  <c r="AV116" i="48"/>
  <c r="AS116" i="48"/>
  <c r="AR116" i="48"/>
  <c r="AO116" i="48"/>
  <c r="AN116" i="48"/>
  <c r="AG116" i="48"/>
  <c r="Z116" i="48"/>
  <c r="Y116" i="48"/>
  <c r="X116" i="48"/>
  <c r="Q116" i="48"/>
  <c r="J116" i="48"/>
  <c r="I116" i="48"/>
  <c r="D116" i="48"/>
  <c r="C116" i="48"/>
  <c r="L116" i="48" s="1" a="1"/>
  <c r="L116" i="48" s="1"/>
  <c r="BZ115" i="48"/>
  <c r="BV115" i="48"/>
  <c r="BR115" i="48"/>
  <c r="BK115" i="48"/>
  <c r="BH115" i="48"/>
  <c r="BD115" i="48"/>
  <c r="BC115" i="48"/>
  <c r="AV115" i="48"/>
  <c r="AS115" i="48"/>
  <c r="AO115" i="48"/>
  <c r="AG115" i="48"/>
  <c r="Z115" i="48"/>
  <c r="Y115" i="48"/>
  <c r="X115" i="48"/>
  <c r="Q115" i="48"/>
  <c r="L115" i="48" a="1"/>
  <c r="L115" i="48" s="1"/>
  <c r="J115" i="48"/>
  <c r="I115" i="48"/>
  <c r="D115" i="48"/>
  <c r="C115" i="48"/>
  <c r="K115" i="48" s="1" a="1"/>
  <c r="K115" i="48" s="1"/>
  <c r="BZ114" i="48"/>
  <c r="BW114" i="48"/>
  <c r="BV114" i="48"/>
  <c r="BS114" i="48"/>
  <c r="BR114" i="48"/>
  <c r="BK114" i="48"/>
  <c r="BH114" i="48"/>
  <c r="BG114" i="48"/>
  <c r="BD114" i="48"/>
  <c r="BC114" i="48"/>
  <c r="AV114" i="48"/>
  <c r="AS114" i="48"/>
  <c r="AR114" i="48"/>
  <c r="AO114" i="48"/>
  <c r="AN114" i="48"/>
  <c r="AG114" i="48"/>
  <c r="Z114" i="48"/>
  <c r="Q114" i="48"/>
  <c r="J114" i="48"/>
  <c r="I114" i="48"/>
  <c r="D114" i="48"/>
  <c r="C114" i="48"/>
  <c r="BZ113" i="48"/>
  <c r="BW113" i="48"/>
  <c r="BV113" i="48"/>
  <c r="BS113" i="48"/>
  <c r="BR113" i="48"/>
  <c r="BK113" i="48"/>
  <c r="BH113" i="48"/>
  <c r="BG113" i="48"/>
  <c r="BD113" i="48"/>
  <c r="BC113" i="48"/>
  <c r="AV113" i="48"/>
  <c r="AS113" i="48"/>
  <c r="AR113" i="48"/>
  <c r="AO113" i="48"/>
  <c r="AN113" i="48"/>
  <c r="AG113" i="48"/>
  <c r="Z113" i="48"/>
  <c r="X113" i="48"/>
  <c r="Y113" i="48"/>
  <c r="Q113" i="48"/>
  <c r="L113" i="48" a="1"/>
  <c r="L113" i="48" s="1"/>
  <c r="J113" i="48"/>
  <c r="I113" i="48"/>
  <c r="D113" i="48"/>
  <c r="C113" i="48"/>
  <c r="K113" i="48" s="1" a="1"/>
  <c r="K113" i="48" s="1"/>
  <c r="BZ112" i="48"/>
  <c r="BW112" i="48"/>
  <c r="BV112" i="48"/>
  <c r="BS112" i="48"/>
  <c r="BR112" i="48"/>
  <c r="BK112" i="48"/>
  <c r="BH112" i="48"/>
  <c r="BG112" i="48"/>
  <c r="BD112" i="48"/>
  <c r="BC112" i="48"/>
  <c r="AV112" i="48"/>
  <c r="AS112" i="48"/>
  <c r="AR112" i="48"/>
  <c r="AO112" i="48"/>
  <c r="AN112" i="48"/>
  <c r="AG112" i="48"/>
  <c r="Z112" i="48"/>
  <c r="Y112" i="48"/>
  <c r="X112" i="48"/>
  <c r="Q112" i="48"/>
  <c r="K112" i="48" a="1"/>
  <c r="K112" i="48" s="1"/>
  <c r="J112" i="48"/>
  <c r="I112" i="48"/>
  <c r="D112" i="48"/>
  <c r="C112" i="48"/>
  <c r="L112" i="48" s="1" a="1"/>
  <c r="L112" i="48" s="1"/>
  <c r="BZ111" i="48"/>
  <c r="BV111" i="48"/>
  <c r="BR111" i="48"/>
  <c r="BK111" i="48"/>
  <c r="BH111" i="48"/>
  <c r="BD111" i="48"/>
  <c r="AV111" i="48"/>
  <c r="AS111" i="48"/>
  <c r="AO111" i="48"/>
  <c r="AG111" i="48"/>
  <c r="Z111" i="48"/>
  <c r="Y111" i="48"/>
  <c r="X111" i="48"/>
  <c r="Q111" i="48"/>
  <c r="J111" i="48"/>
  <c r="I111" i="48"/>
  <c r="D111" i="48"/>
  <c r="C111" i="48"/>
  <c r="L111" i="48" s="1" a="1"/>
  <c r="L111" i="48" s="1"/>
  <c r="BZ110" i="48"/>
  <c r="BW110" i="48"/>
  <c r="BV110" i="48"/>
  <c r="BS110" i="48"/>
  <c r="BR110" i="48"/>
  <c r="BK110" i="48"/>
  <c r="BH110" i="48"/>
  <c r="BG110" i="48"/>
  <c r="BD110" i="48"/>
  <c r="BC110" i="48"/>
  <c r="AV110" i="48"/>
  <c r="AS110" i="48"/>
  <c r="AR110" i="48"/>
  <c r="AO110" i="48"/>
  <c r="AN110" i="48"/>
  <c r="AG110" i="48"/>
  <c r="Z110" i="48"/>
  <c r="Q110" i="48"/>
  <c r="J110" i="48"/>
  <c r="I110" i="48"/>
  <c r="D110" i="48"/>
  <c r="C110" i="48"/>
  <c r="BZ109" i="48"/>
  <c r="BW109" i="48"/>
  <c r="BV109" i="48"/>
  <c r="BS109" i="48"/>
  <c r="BR109" i="48"/>
  <c r="BK109" i="48"/>
  <c r="BH109" i="48"/>
  <c r="BG109" i="48"/>
  <c r="BD109" i="48"/>
  <c r="BC109" i="48"/>
  <c r="AV109" i="48"/>
  <c r="AS109" i="48"/>
  <c r="AR109" i="48"/>
  <c r="AO109" i="48"/>
  <c r="AN109" i="48"/>
  <c r="AG109" i="48"/>
  <c r="Z109" i="48"/>
  <c r="X109" i="48"/>
  <c r="Y109" i="48"/>
  <c r="Q109" i="48"/>
  <c r="J109" i="48"/>
  <c r="I109" i="48"/>
  <c r="D109" i="48"/>
  <c r="C109" i="48"/>
  <c r="L109" i="48" s="1" a="1"/>
  <c r="L109" i="48" s="1"/>
  <c r="BZ108" i="48"/>
  <c r="BW108" i="48"/>
  <c r="BV108" i="48"/>
  <c r="BS108" i="48"/>
  <c r="BR108" i="48"/>
  <c r="BK108" i="48"/>
  <c r="BH108" i="48"/>
  <c r="BG108" i="48"/>
  <c r="BD108" i="48"/>
  <c r="BC108" i="48"/>
  <c r="AV108" i="48"/>
  <c r="AS108" i="48"/>
  <c r="AR108" i="48"/>
  <c r="AO108" i="48"/>
  <c r="AN108" i="48"/>
  <c r="AG108" i="48"/>
  <c r="Z108" i="48"/>
  <c r="Y108" i="48"/>
  <c r="X108" i="48"/>
  <c r="Q108" i="48"/>
  <c r="L108" i="48" a="1"/>
  <c r="L108" i="48" s="1"/>
  <c r="K108" i="48" a="1"/>
  <c r="K108" i="48" s="1"/>
  <c r="J108" i="48"/>
  <c r="I108" i="48"/>
  <c r="D108" i="48"/>
  <c r="C108" i="48"/>
  <c r="BZ107" i="48"/>
  <c r="BV107" i="48"/>
  <c r="BR107" i="48"/>
  <c r="BK107" i="48"/>
  <c r="BH107" i="48"/>
  <c r="BD107" i="48"/>
  <c r="AV107" i="48"/>
  <c r="AS107" i="48"/>
  <c r="AO107" i="48"/>
  <c r="AG107" i="48"/>
  <c r="Z107" i="48"/>
  <c r="Y107" i="48"/>
  <c r="X107" i="48"/>
  <c r="Q107" i="48"/>
  <c r="K107" i="48" a="1"/>
  <c r="K107" i="48" s="1"/>
  <c r="J107" i="48"/>
  <c r="I107" i="48"/>
  <c r="D107" i="48"/>
  <c r="C107" i="48"/>
  <c r="L107" i="48" s="1" a="1"/>
  <c r="L107" i="48" s="1"/>
  <c r="BZ106" i="48"/>
  <c r="BW106" i="48"/>
  <c r="BV106" i="48"/>
  <c r="BS106" i="48"/>
  <c r="BR106" i="48"/>
  <c r="BK106" i="48"/>
  <c r="BH106" i="48"/>
  <c r="BG106" i="48"/>
  <c r="BD106" i="48"/>
  <c r="BC106" i="48"/>
  <c r="AV106" i="48"/>
  <c r="AS106" i="48"/>
  <c r="AR106" i="48"/>
  <c r="AO106" i="48"/>
  <c r="AN106" i="48"/>
  <c r="AG106" i="48"/>
  <c r="Z106" i="48"/>
  <c r="Q106" i="48"/>
  <c r="J106" i="48"/>
  <c r="I106" i="48"/>
  <c r="D106" i="48"/>
  <c r="C106" i="48"/>
  <c r="BZ105" i="48"/>
  <c r="BW105" i="48"/>
  <c r="BV105" i="48"/>
  <c r="BS105" i="48"/>
  <c r="BR105" i="48"/>
  <c r="BK105" i="48"/>
  <c r="BH105" i="48"/>
  <c r="BG105" i="48"/>
  <c r="BD105" i="48"/>
  <c r="BC105" i="48"/>
  <c r="AV105" i="48"/>
  <c r="AS105" i="48"/>
  <c r="AR105" i="48"/>
  <c r="AO105" i="48"/>
  <c r="AN105" i="48"/>
  <c r="AG105" i="48"/>
  <c r="Z105" i="48"/>
  <c r="Y105" i="48"/>
  <c r="X105" i="48"/>
  <c r="Q105" i="48"/>
  <c r="J105" i="48"/>
  <c r="I105" i="48"/>
  <c r="D105" i="48"/>
  <c r="C105" i="48"/>
  <c r="BZ104" i="48"/>
  <c r="BW104" i="48"/>
  <c r="BV104" i="48"/>
  <c r="BS104" i="48"/>
  <c r="BR104" i="48"/>
  <c r="BK104" i="48"/>
  <c r="BH104" i="48"/>
  <c r="BG104" i="48"/>
  <c r="BD104" i="48"/>
  <c r="BC104" i="48"/>
  <c r="AV104" i="48"/>
  <c r="AS104" i="48"/>
  <c r="AR104" i="48"/>
  <c r="AO104" i="48"/>
  <c r="AN104" i="48"/>
  <c r="AG104" i="48"/>
  <c r="Z104" i="48"/>
  <c r="Y104" i="48"/>
  <c r="X104" i="48"/>
  <c r="Q104" i="48"/>
  <c r="J104" i="48"/>
  <c r="I104" i="48"/>
  <c r="D104" i="48"/>
  <c r="C104" i="48"/>
  <c r="K104" i="48" s="1" a="1"/>
  <c r="K104" i="48" s="1"/>
  <c r="BZ103" i="48"/>
  <c r="BV103" i="48"/>
  <c r="BS103" i="48"/>
  <c r="BR103" i="48"/>
  <c r="BK103" i="48"/>
  <c r="BH103" i="48"/>
  <c r="BG103" i="48"/>
  <c r="BD103" i="48"/>
  <c r="AV103" i="48"/>
  <c r="AS103" i="48"/>
  <c r="AO103" i="48"/>
  <c r="AG103" i="48"/>
  <c r="Z103" i="48"/>
  <c r="Y103" i="48"/>
  <c r="X103" i="48"/>
  <c r="Q103" i="48"/>
  <c r="L103" i="48" a="1"/>
  <c r="L103" i="48" s="1"/>
  <c r="J103" i="48"/>
  <c r="I103" i="48"/>
  <c r="D103" i="48"/>
  <c r="C103" i="48"/>
  <c r="K103" i="48" s="1" a="1"/>
  <c r="K103" i="48" s="1"/>
  <c r="BZ102" i="48"/>
  <c r="BW102" i="48"/>
  <c r="BV102" i="48"/>
  <c r="BS102" i="48"/>
  <c r="BR102" i="48"/>
  <c r="BK102" i="48"/>
  <c r="BH102" i="48"/>
  <c r="BG102" i="48"/>
  <c r="BD102" i="48"/>
  <c r="BC102" i="48"/>
  <c r="AV102" i="48"/>
  <c r="AS102" i="48"/>
  <c r="AR102" i="48"/>
  <c r="AO102" i="48"/>
  <c r="AN102" i="48"/>
  <c r="AG102" i="48"/>
  <c r="Z102" i="48"/>
  <c r="Q102" i="48"/>
  <c r="K102" i="48" a="1"/>
  <c r="K102" i="48" s="1"/>
  <c r="J102" i="48"/>
  <c r="I102" i="48"/>
  <c r="D102" i="48"/>
  <c r="C102" i="48"/>
  <c r="L102" i="48" s="1" a="1"/>
  <c r="L102" i="48" s="1"/>
  <c r="BZ101" i="48"/>
  <c r="BW101" i="48"/>
  <c r="BV101" i="48"/>
  <c r="BS101" i="48"/>
  <c r="BR101" i="48"/>
  <c r="BK101" i="48"/>
  <c r="BH101" i="48"/>
  <c r="BG101" i="48"/>
  <c r="BD101" i="48"/>
  <c r="BC101" i="48"/>
  <c r="AV101" i="48"/>
  <c r="AS101" i="48"/>
  <c r="AR101" i="48"/>
  <c r="AO101" i="48"/>
  <c r="AN101" i="48"/>
  <c r="AG101" i="48"/>
  <c r="Z101" i="48"/>
  <c r="X101" i="48"/>
  <c r="Y101" i="48"/>
  <c r="Q101" i="48"/>
  <c r="L101" i="48" a="1"/>
  <c r="L101" i="48" s="1"/>
  <c r="J101" i="48"/>
  <c r="I101" i="48"/>
  <c r="D101" i="48"/>
  <c r="C101" i="48"/>
  <c r="K101" i="48" s="1" a="1"/>
  <c r="K101" i="48" s="1"/>
  <c r="BZ100" i="48"/>
  <c r="BW100" i="48"/>
  <c r="BV100" i="48"/>
  <c r="BS100" i="48"/>
  <c r="BR100" i="48"/>
  <c r="BK100" i="48"/>
  <c r="BH100" i="48"/>
  <c r="BG100" i="48"/>
  <c r="BD100" i="48"/>
  <c r="BC100" i="48"/>
  <c r="AV100" i="48"/>
  <c r="AS100" i="48"/>
  <c r="AR100" i="48"/>
  <c r="AO100" i="48"/>
  <c r="AN100" i="48"/>
  <c r="AG100" i="48"/>
  <c r="Z100" i="48"/>
  <c r="Y100" i="48"/>
  <c r="X100" i="48"/>
  <c r="Q100" i="48"/>
  <c r="J100" i="48"/>
  <c r="I100" i="48"/>
  <c r="D100" i="48"/>
  <c r="C100" i="48"/>
  <c r="BZ99" i="48"/>
  <c r="BV99" i="48"/>
  <c r="BR99" i="48"/>
  <c r="BK99" i="48"/>
  <c r="BH99" i="48"/>
  <c r="BD99" i="48"/>
  <c r="AV99" i="48"/>
  <c r="AS99" i="48"/>
  <c r="AO99" i="48"/>
  <c r="AG99" i="48"/>
  <c r="Z99" i="48"/>
  <c r="Y99" i="48"/>
  <c r="X99" i="48"/>
  <c r="Q99" i="48"/>
  <c r="L99" i="48" a="1"/>
  <c r="L99" i="48" s="1"/>
  <c r="J99" i="48"/>
  <c r="I99" i="48"/>
  <c r="D99" i="48"/>
  <c r="C99" i="48"/>
  <c r="K99" i="48" s="1" a="1"/>
  <c r="K99" i="48" s="1"/>
  <c r="BZ98" i="48"/>
  <c r="BW98" i="48"/>
  <c r="BV98" i="48"/>
  <c r="BS98" i="48"/>
  <c r="BR98" i="48"/>
  <c r="BK98" i="48"/>
  <c r="BH98" i="48"/>
  <c r="BG98" i="48"/>
  <c r="BD98" i="48"/>
  <c r="BC98" i="48"/>
  <c r="AV98" i="48"/>
  <c r="AS98" i="48"/>
  <c r="AR98" i="48"/>
  <c r="AO98" i="48"/>
  <c r="AN98" i="48"/>
  <c r="AG98" i="48"/>
  <c r="Z98" i="48"/>
  <c r="Q98" i="48"/>
  <c r="K98" i="48" a="1"/>
  <c r="K98" i="48" s="1"/>
  <c r="J98" i="48"/>
  <c r="I98" i="48"/>
  <c r="D98" i="48"/>
  <c r="C98" i="48"/>
  <c r="L98" i="48" s="1" a="1"/>
  <c r="L98" i="48" s="1"/>
  <c r="BZ97" i="48"/>
  <c r="BW97" i="48"/>
  <c r="BV97" i="48"/>
  <c r="BS97" i="48"/>
  <c r="BR97" i="48"/>
  <c r="BK97" i="48"/>
  <c r="BH97" i="48"/>
  <c r="BG97" i="48"/>
  <c r="BD97" i="48"/>
  <c r="BC97" i="48"/>
  <c r="AV97" i="48"/>
  <c r="AS97" i="48"/>
  <c r="AR97" i="48"/>
  <c r="AO97" i="48"/>
  <c r="AN97" i="48"/>
  <c r="AG97" i="48"/>
  <c r="Z97" i="48"/>
  <c r="X97" i="48"/>
  <c r="Y97" i="48"/>
  <c r="Q97" i="48"/>
  <c r="J97" i="48"/>
  <c r="I97" i="48"/>
  <c r="D97" i="48"/>
  <c r="C97" i="48"/>
  <c r="L97" i="48" s="1" a="1"/>
  <c r="L97" i="48" s="1"/>
  <c r="BZ96" i="48"/>
  <c r="BW96" i="48"/>
  <c r="BV96" i="48"/>
  <c r="BS96" i="48"/>
  <c r="BR96" i="48"/>
  <c r="BK96" i="48"/>
  <c r="BH96" i="48"/>
  <c r="BG96" i="48"/>
  <c r="BD96" i="48"/>
  <c r="BC96" i="48"/>
  <c r="AV96" i="48"/>
  <c r="AS96" i="48"/>
  <c r="AR96" i="48"/>
  <c r="AO96" i="48"/>
  <c r="AN96" i="48"/>
  <c r="AG96" i="48"/>
  <c r="Z96" i="48"/>
  <c r="Y96" i="48"/>
  <c r="X96" i="48"/>
  <c r="Q96" i="48"/>
  <c r="J96" i="48"/>
  <c r="I96" i="48"/>
  <c r="D96" i="48"/>
  <c r="C96" i="48"/>
  <c r="BZ95" i="48"/>
  <c r="BW95" i="48"/>
  <c r="BV95" i="48"/>
  <c r="BR95" i="48"/>
  <c r="BK95" i="48"/>
  <c r="BH95" i="48"/>
  <c r="BD95" i="48"/>
  <c r="AV95" i="48"/>
  <c r="AS95" i="48"/>
  <c r="AO95" i="48"/>
  <c r="AG95" i="48"/>
  <c r="Z95" i="48"/>
  <c r="X95" i="48"/>
  <c r="Y95" i="48"/>
  <c r="Q95" i="48"/>
  <c r="L95" i="48" a="1"/>
  <c r="L95" i="48" s="1"/>
  <c r="J95" i="48"/>
  <c r="I95" i="48"/>
  <c r="D95" i="48"/>
  <c r="C95" i="48"/>
  <c r="BZ94" i="48"/>
  <c r="BW94" i="48"/>
  <c r="BV94" i="48"/>
  <c r="BS94" i="48"/>
  <c r="BR94" i="48"/>
  <c r="BK94" i="48"/>
  <c r="BH94" i="48"/>
  <c r="BG94" i="48"/>
  <c r="BD94" i="48"/>
  <c r="BC94" i="48"/>
  <c r="AV94" i="48"/>
  <c r="AS94" i="48"/>
  <c r="AR94" i="48"/>
  <c r="AO94" i="48"/>
  <c r="AN94" i="48"/>
  <c r="AG94" i="48"/>
  <c r="Z94" i="48"/>
  <c r="Q94" i="48"/>
  <c r="L94" i="48" a="1"/>
  <c r="L94" i="48" s="1"/>
  <c r="K94" i="48" a="1"/>
  <c r="K94" i="48" s="1"/>
  <c r="J94" i="48"/>
  <c r="I94" i="48"/>
  <c r="D94" i="48"/>
  <c r="C94" i="48"/>
  <c r="BZ93" i="48"/>
  <c r="BW93" i="48"/>
  <c r="BV93" i="48"/>
  <c r="BS93" i="48"/>
  <c r="BR93" i="48"/>
  <c r="BK93" i="48"/>
  <c r="BH93" i="48"/>
  <c r="BG93" i="48"/>
  <c r="BD93" i="48"/>
  <c r="BC93" i="48"/>
  <c r="AV93" i="48"/>
  <c r="AS93" i="48"/>
  <c r="AR93" i="48"/>
  <c r="AO93" i="48"/>
  <c r="AN93" i="48"/>
  <c r="AG93" i="48"/>
  <c r="Z93" i="48"/>
  <c r="Y93" i="48"/>
  <c r="X93" i="48"/>
  <c r="Q93" i="48"/>
  <c r="K93" i="48" a="1"/>
  <c r="K93" i="48" s="1"/>
  <c r="J93" i="48"/>
  <c r="I93" i="48"/>
  <c r="D93" i="48"/>
  <c r="C93" i="48"/>
  <c r="L93" i="48" s="1" a="1"/>
  <c r="L93" i="48" s="1"/>
  <c r="BZ92" i="48"/>
  <c r="BW92" i="48"/>
  <c r="BV92" i="48"/>
  <c r="BS92" i="48"/>
  <c r="BR92" i="48"/>
  <c r="BK92" i="48"/>
  <c r="BH92" i="48"/>
  <c r="BG92" i="48"/>
  <c r="BD92" i="48"/>
  <c r="BC92" i="48"/>
  <c r="AV92" i="48"/>
  <c r="AS92" i="48"/>
  <c r="AR92" i="48"/>
  <c r="AO92" i="48"/>
  <c r="AN92" i="48"/>
  <c r="AG92" i="48"/>
  <c r="Z92" i="48"/>
  <c r="Y92" i="48"/>
  <c r="X92" i="48"/>
  <c r="Q92" i="48"/>
  <c r="J92" i="48"/>
  <c r="I92" i="48"/>
  <c r="D92" i="48"/>
  <c r="C92" i="48"/>
  <c r="BZ91" i="48"/>
  <c r="BV91" i="48"/>
  <c r="BS91" i="48"/>
  <c r="BR91" i="48"/>
  <c r="BK91" i="48"/>
  <c r="BH91" i="48"/>
  <c r="BD91" i="48"/>
  <c r="AV91" i="48"/>
  <c r="AS91" i="48"/>
  <c r="AO91" i="48"/>
  <c r="AG91" i="48"/>
  <c r="Z91" i="48"/>
  <c r="Y91" i="48"/>
  <c r="X91" i="48"/>
  <c r="Q91" i="48"/>
  <c r="L91" i="48" a="1"/>
  <c r="L91" i="48" s="1"/>
  <c r="J91" i="48"/>
  <c r="I91" i="48"/>
  <c r="D91" i="48"/>
  <c r="C91" i="48"/>
  <c r="K91" i="48" s="1" a="1"/>
  <c r="K91" i="48" s="1"/>
  <c r="BZ90" i="48"/>
  <c r="BW90" i="48"/>
  <c r="BV90" i="48"/>
  <c r="BS90" i="48"/>
  <c r="BR90" i="48"/>
  <c r="BK90" i="48"/>
  <c r="BH90" i="48"/>
  <c r="BG90" i="48"/>
  <c r="BD90" i="48"/>
  <c r="BC90" i="48"/>
  <c r="AV90" i="48"/>
  <c r="AS90" i="48"/>
  <c r="AR90" i="48"/>
  <c r="AO90" i="48"/>
  <c r="AN90" i="48"/>
  <c r="AG90" i="48"/>
  <c r="Z90" i="48"/>
  <c r="Q90" i="48"/>
  <c r="K90" i="48" a="1"/>
  <c r="K90" i="48" s="1"/>
  <c r="J90" i="48"/>
  <c r="I90" i="48"/>
  <c r="D90" i="48"/>
  <c r="C90" i="48"/>
  <c r="BZ89" i="48"/>
  <c r="BW89" i="48"/>
  <c r="BV89" i="48"/>
  <c r="BS89" i="48"/>
  <c r="BR89" i="48"/>
  <c r="BK89" i="48"/>
  <c r="BH89" i="48"/>
  <c r="BG89" i="48"/>
  <c r="BD89" i="48"/>
  <c r="BC89" i="48"/>
  <c r="AV89" i="48"/>
  <c r="AS89" i="48"/>
  <c r="AR89" i="48"/>
  <c r="AO89" i="48"/>
  <c r="AN89" i="48"/>
  <c r="AG89" i="48"/>
  <c r="Z89" i="48"/>
  <c r="X89" i="48"/>
  <c r="Y89" i="48"/>
  <c r="Q89" i="48"/>
  <c r="J89" i="48"/>
  <c r="I89" i="48"/>
  <c r="D89" i="48"/>
  <c r="C89" i="48"/>
  <c r="BZ88" i="48"/>
  <c r="BW88" i="48"/>
  <c r="BV88" i="48"/>
  <c r="BS88" i="48"/>
  <c r="BR88" i="48"/>
  <c r="BK88" i="48"/>
  <c r="BH88" i="48"/>
  <c r="BG88" i="48"/>
  <c r="BD88" i="48"/>
  <c r="BC88" i="48"/>
  <c r="AV88" i="48"/>
  <c r="AS88" i="48"/>
  <c r="AR88" i="48"/>
  <c r="AO88" i="48"/>
  <c r="AN88" i="48"/>
  <c r="AG88" i="48"/>
  <c r="Z88" i="48"/>
  <c r="Y88" i="48"/>
  <c r="X88" i="48"/>
  <c r="Q88" i="48"/>
  <c r="J88" i="48"/>
  <c r="I88" i="48"/>
  <c r="D88" i="48"/>
  <c r="C88" i="48"/>
  <c r="BZ87" i="48"/>
  <c r="BV87" i="48"/>
  <c r="BR87" i="48"/>
  <c r="BK87" i="48"/>
  <c r="BH87" i="48"/>
  <c r="BD87" i="48"/>
  <c r="AV87" i="48"/>
  <c r="AS87" i="48"/>
  <c r="AO87" i="48"/>
  <c r="AG87" i="48"/>
  <c r="Z87" i="48"/>
  <c r="Y87" i="48"/>
  <c r="X87" i="48"/>
  <c r="Q87" i="48"/>
  <c r="L87" i="48" a="1"/>
  <c r="L87" i="48" s="1"/>
  <c r="K87" i="48" a="1"/>
  <c r="K87" i="48" s="1"/>
  <c r="J87" i="48"/>
  <c r="I87" i="48"/>
  <c r="D87" i="48"/>
  <c r="C87" i="48"/>
  <c r="BZ86" i="48"/>
  <c r="BW86" i="48"/>
  <c r="BV86" i="48"/>
  <c r="BS86" i="48"/>
  <c r="BR86" i="48"/>
  <c r="BK86" i="48"/>
  <c r="BH86" i="48"/>
  <c r="BG86" i="48"/>
  <c r="BD86" i="48"/>
  <c r="BC86" i="48"/>
  <c r="AV86" i="48"/>
  <c r="AS86" i="48"/>
  <c r="AR86" i="48"/>
  <c r="AO86" i="48"/>
  <c r="AN86" i="48"/>
  <c r="AG86" i="48"/>
  <c r="Z86" i="48"/>
  <c r="Q86" i="48"/>
  <c r="J86" i="48"/>
  <c r="I86" i="48"/>
  <c r="D86" i="48"/>
  <c r="C86" i="48"/>
  <c r="K86" i="48" s="1" a="1"/>
  <c r="K86" i="48" s="1"/>
  <c r="BZ85" i="48"/>
  <c r="BW85" i="48"/>
  <c r="BV85" i="48"/>
  <c r="BS85" i="48"/>
  <c r="BR85" i="48"/>
  <c r="BK85" i="48"/>
  <c r="BH85" i="48"/>
  <c r="BG85" i="48"/>
  <c r="BD85" i="48"/>
  <c r="BC85" i="48"/>
  <c r="AV85" i="48"/>
  <c r="AS85" i="48"/>
  <c r="AR85" i="48"/>
  <c r="AO85" i="48"/>
  <c r="AN85" i="48"/>
  <c r="AG85" i="48"/>
  <c r="Z85" i="48"/>
  <c r="X85" i="48"/>
  <c r="Y85" i="48"/>
  <c r="Q85" i="48"/>
  <c r="J85" i="48"/>
  <c r="I85" i="48"/>
  <c r="D85" i="48"/>
  <c r="C85" i="48"/>
  <c r="BZ84" i="48"/>
  <c r="BW84" i="48"/>
  <c r="BV84" i="48"/>
  <c r="BS84" i="48"/>
  <c r="BR84" i="48"/>
  <c r="BK84" i="48"/>
  <c r="BH84" i="48"/>
  <c r="BG84" i="48"/>
  <c r="BD84" i="48"/>
  <c r="BC84" i="48"/>
  <c r="AV84" i="48"/>
  <c r="AS84" i="48"/>
  <c r="AR84" i="48"/>
  <c r="AO84" i="48"/>
  <c r="AN84" i="48"/>
  <c r="AG84" i="48"/>
  <c r="Z84" i="48"/>
  <c r="Y84" i="48"/>
  <c r="X84" i="48"/>
  <c r="Q84" i="48"/>
  <c r="J84" i="48"/>
  <c r="I84" i="48"/>
  <c r="D84" i="48"/>
  <c r="C84" i="48"/>
  <c r="BZ83" i="48"/>
  <c r="BV83" i="48"/>
  <c r="BS83" i="48"/>
  <c r="BR83" i="48"/>
  <c r="BK83" i="48"/>
  <c r="BH83" i="48"/>
  <c r="BD83" i="48"/>
  <c r="AV83" i="48"/>
  <c r="AS83" i="48"/>
  <c r="AO83" i="48"/>
  <c r="AG83" i="48"/>
  <c r="Z83" i="48"/>
  <c r="Y83" i="48"/>
  <c r="X83" i="48"/>
  <c r="Q83" i="48"/>
  <c r="J83" i="48"/>
  <c r="I83" i="48"/>
  <c r="D83" i="48"/>
  <c r="C83" i="48"/>
  <c r="L83" i="48" s="1" a="1"/>
  <c r="L83" i="48" s="1"/>
  <c r="BZ82" i="48"/>
  <c r="BW82" i="48"/>
  <c r="BV82" i="48"/>
  <c r="BS82" i="48"/>
  <c r="BR82" i="48"/>
  <c r="BK82" i="48"/>
  <c r="BH82" i="48"/>
  <c r="BG82" i="48"/>
  <c r="BD82" i="48"/>
  <c r="BC82" i="48"/>
  <c r="AV82" i="48"/>
  <c r="AS82" i="48"/>
  <c r="AR82" i="48"/>
  <c r="AO82" i="48"/>
  <c r="AN82" i="48"/>
  <c r="AG82" i="48"/>
  <c r="Z82" i="48"/>
  <c r="Q82" i="48"/>
  <c r="K82" i="48" a="1"/>
  <c r="K82" i="48" s="1"/>
  <c r="J82" i="48"/>
  <c r="I82" i="48"/>
  <c r="D82" i="48"/>
  <c r="C82" i="48"/>
  <c r="BZ81" i="48"/>
  <c r="BW81" i="48"/>
  <c r="BV81" i="48"/>
  <c r="BS81" i="48"/>
  <c r="BR81" i="48"/>
  <c r="BK81" i="48"/>
  <c r="BH81" i="48"/>
  <c r="BG81" i="48"/>
  <c r="BD81" i="48"/>
  <c r="BC81" i="48"/>
  <c r="AV81" i="48"/>
  <c r="AS81" i="48"/>
  <c r="AR81" i="48"/>
  <c r="AO81" i="48"/>
  <c r="AN81" i="48"/>
  <c r="AG81" i="48"/>
  <c r="Z81" i="48"/>
  <c r="X81" i="48"/>
  <c r="Y81" i="48"/>
  <c r="Q81" i="48"/>
  <c r="J81" i="48"/>
  <c r="I81" i="48"/>
  <c r="D81" i="48"/>
  <c r="C81" i="48"/>
  <c r="BZ80" i="48"/>
  <c r="BW80" i="48"/>
  <c r="BV80" i="48"/>
  <c r="BS80" i="48"/>
  <c r="BR80" i="48"/>
  <c r="BK80" i="48"/>
  <c r="BH80" i="48"/>
  <c r="BG80" i="48"/>
  <c r="BD80" i="48"/>
  <c r="BC80" i="48"/>
  <c r="AV80" i="48"/>
  <c r="AS80" i="48"/>
  <c r="AR80" i="48"/>
  <c r="AO80" i="48"/>
  <c r="AN80" i="48"/>
  <c r="AG80" i="48"/>
  <c r="Z80" i="48"/>
  <c r="Y80" i="48"/>
  <c r="X80" i="48"/>
  <c r="Q80" i="48"/>
  <c r="J80" i="48"/>
  <c r="I80" i="48"/>
  <c r="D80" i="48"/>
  <c r="C80" i="48"/>
  <c r="BZ79" i="48"/>
  <c r="BV79" i="48"/>
  <c r="BR79" i="48"/>
  <c r="BK79" i="48"/>
  <c r="BH79" i="48"/>
  <c r="BD79" i="48"/>
  <c r="BC79" i="48"/>
  <c r="AV79" i="48"/>
  <c r="AS79" i="48"/>
  <c r="AO79" i="48"/>
  <c r="AG79" i="48"/>
  <c r="Z79" i="48"/>
  <c r="Y79" i="48"/>
  <c r="X79" i="48"/>
  <c r="Q79" i="48"/>
  <c r="J79" i="48"/>
  <c r="I79" i="48"/>
  <c r="D79" i="48"/>
  <c r="C79" i="48"/>
  <c r="L79" i="48" s="1" a="1"/>
  <c r="L79" i="48" s="1"/>
  <c r="BZ78" i="48"/>
  <c r="BW78" i="48"/>
  <c r="BV78" i="48"/>
  <c r="BS78" i="48"/>
  <c r="BR78" i="48"/>
  <c r="BK78" i="48"/>
  <c r="BH78" i="48"/>
  <c r="BG78" i="48"/>
  <c r="BD78" i="48"/>
  <c r="BC78" i="48"/>
  <c r="AV78" i="48"/>
  <c r="AS78" i="48"/>
  <c r="AR78" i="48"/>
  <c r="AO78" i="48"/>
  <c r="AN78" i="48"/>
  <c r="AG78" i="48"/>
  <c r="Z78" i="48"/>
  <c r="Q78" i="48"/>
  <c r="J78" i="48"/>
  <c r="I78" i="48"/>
  <c r="D78" i="48"/>
  <c r="C78" i="48"/>
  <c r="K78" i="48" s="1" a="1"/>
  <c r="K78" i="48" s="1"/>
  <c r="BZ77" i="48"/>
  <c r="BW77" i="48"/>
  <c r="BV77" i="48"/>
  <c r="BS77" i="48"/>
  <c r="BR77" i="48"/>
  <c r="BK77" i="48"/>
  <c r="BH77" i="48"/>
  <c r="BG77" i="48"/>
  <c r="BD77" i="48"/>
  <c r="BC77" i="48"/>
  <c r="AV77" i="48"/>
  <c r="AS77" i="48"/>
  <c r="AR77" i="48"/>
  <c r="AO77" i="48"/>
  <c r="AN77" i="48"/>
  <c r="AG77" i="48"/>
  <c r="Z77" i="48"/>
  <c r="X77" i="48"/>
  <c r="Y77" i="48"/>
  <c r="Q77" i="48"/>
  <c r="J77" i="48"/>
  <c r="I77" i="48"/>
  <c r="D77" i="48"/>
  <c r="C77" i="48"/>
  <c r="K77" i="48" s="1" a="1"/>
  <c r="K77" i="48" s="1"/>
  <c r="BZ76" i="48"/>
  <c r="BW76" i="48"/>
  <c r="BV76" i="48"/>
  <c r="BS76" i="48"/>
  <c r="BR76" i="48"/>
  <c r="BK76" i="48"/>
  <c r="BH76" i="48"/>
  <c r="BG76" i="48"/>
  <c r="BD76" i="48"/>
  <c r="BC76" i="48"/>
  <c r="AV76" i="48"/>
  <c r="AS76" i="48"/>
  <c r="AR76" i="48"/>
  <c r="AO76" i="48"/>
  <c r="AN76" i="48"/>
  <c r="AG76" i="48"/>
  <c r="Z76" i="48"/>
  <c r="Y76" i="48"/>
  <c r="X76" i="48"/>
  <c r="Q76" i="48"/>
  <c r="J76" i="48"/>
  <c r="I76" i="48"/>
  <c r="D76" i="48"/>
  <c r="C76" i="48"/>
  <c r="L76" i="48" s="1" a="1"/>
  <c r="L76" i="48" s="1"/>
  <c r="BZ75" i="48"/>
  <c r="BV75" i="48"/>
  <c r="BR75" i="48"/>
  <c r="BK75" i="48"/>
  <c r="BH75" i="48"/>
  <c r="BD75" i="48"/>
  <c r="AV75" i="48"/>
  <c r="AS75" i="48"/>
  <c r="AO75" i="48"/>
  <c r="AG75" i="48"/>
  <c r="Z75" i="48"/>
  <c r="Y75" i="48"/>
  <c r="X75" i="48"/>
  <c r="Q75" i="48"/>
  <c r="J75" i="48"/>
  <c r="I75" i="48"/>
  <c r="D75" i="48"/>
  <c r="C75" i="48"/>
  <c r="BZ74" i="48"/>
  <c r="BW74" i="48"/>
  <c r="BV74" i="48"/>
  <c r="BS74" i="48"/>
  <c r="BR74" i="48"/>
  <c r="BK74" i="48"/>
  <c r="BH74" i="48"/>
  <c r="BG74" i="48"/>
  <c r="BD74" i="48"/>
  <c r="BC74" i="48"/>
  <c r="AV74" i="48"/>
  <c r="AS74" i="48"/>
  <c r="AR74" i="48"/>
  <c r="AO74" i="48"/>
  <c r="AN74" i="48"/>
  <c r="AG74" i="48"/>
  <c r="Z74" i="48"/>
  <c r="Q74" i="48"/>
  <c r="J74" i="48"/>
  <c r="I74" i="48"/>
  <c r="D74" i="48"/>
  <c r="C74" i="48"/>
  <c r="L74" i="48" s="1" a="1"/>
  <c r="L74" i="48" s="1"/>
  <c r="BZ73" i="48"/>
  <c r="BW73" i="48"/>
  <c r="BV73" i="48"/>
  <c r="BS73" i="48"/>
  <c r="BR73" i="48"/>
  <c r="BK73" i="48"/>
  <c r="BH73" i="48"/>
  <c r="BG73" i="48"/>
  <c r="BD73" i="48"/>
  <c r="BC73" i="48"/>
  <c r="AV73" i="48"/>
  <c r="AS73" i="48"/>
  <c r="AR73" i="48"/>
  <c r="AO73" i="48"/>
  <c r="AN73" i="48"/>
  <c r="AG73" i="48"/>
  <c r="Z73" i="48"/>
  <c r="X73" i="48"/>
  <c r="Y73" i="48"/>
  <c r="Q73" i="48"/>
  <c r="K73" i="48" a="1"/>
  <c r="K73" i="48" s="1"/>
  <c r="J73" i="48"/>
  <c r="I73" i="48"/>
  <c r="D73" i="48"/>
  <c r="C73" i="48"/>
  <c r="BZ72" i="48"/>
  <c r="BW72" i="48"/>
  <c r="BV72" i="48"/>
  <c r="BS72" i="48"/>
  <c r="BR72" i="48"/>
  <c r="BK72" i="48"/>
  <c r="BH72" i="48"/>
  <c r="BG72" i="48"/>
  <c r="BD72" i="48"/>
  <c r="BC72" i="48"/>
  <c r="AV72" i="48"/>
  <c r="AS72" i="48"/>
  <c r="AR72" i="48"/>
  <c r="AO72" i="48"/>
  <c r="AN72" i="48"/>
  <c r="AG72" i="48"/>
  <c r="Z72" i="48"/>
  <c r="Y72" i="48"/>
  <c r="X72" i="48"/>
  <c r="Q72" i="48"/>
  <c r="J72" i="48"/>
  <c r="I72" i="48"/>
  <c r="D72" i="48"/>
  <c r="C72" i="48"/>
  <c r="BZ71" i="48"/>
  <c r="BV71" i="48"/>
  <c r="BR71" i="48"/>
  <c r="BK71" i="48"/>
  <c r="BH71" i="48"/>
  <c r="BD71" i="48"/>
  <c r="AV71" i="48"/>
  <c r="AS71" i="48"/>
  <c r="AR71" i="48"/>
  <c r="AO71" i="48"/>
  <c r="AG71" i="48"/>
  <c r="Z71" i="48"/>
  <c r="Y71" i="48"/>
  <c r="X71" i="48"/>
  <c r="Q71" i="48"/>
  <c r="J71" i="48"/>
  <c r="I71" i="48"/>
  <c r="D71" i="48"/>
  <c r="C71" i="48"/>
  <c r="BZ70" i="48"/>
  <c r="BW70" i="48"/>
  <c r="BV70" i="48"/>
  <c r="BS70" i="48"/>
  <c r="BR70" i="48"/>
  <c r="BK70" i="48"/>
  <c r="BH70" i="48"/>
  <c r="BG70" i="48"/>
  <c r="BD70" i="48"/>
  <c r="BC70" i="48"/>
  <c r="AV70" i="48"/>
  <c r="AS70" i="48"/>
  <c r="AR70" i="48"/>
  <c r="AO70" i="48"/>
  <c r="AN70" i="48"/>
  <c r="AG70" i="48"/>
  <c r="Z70" i="48"/>
  <c r="Q70" i="48"/>
  <c r="L70" i="48" a="1"/>
  <c r="L70" i="48" s="1"/>
  <c r="J70" i="48"/>
  <c r="I70" i="48"/>
  <c r="D70" i="48"/>
  <c r="C70" i="48"/>
  <c r="K70" i="48" s="1" a="1"/>
  <c r="K70" i="48" s="1"/>
  <c r="BZ69" i="48"/>
  <c r="BW69" i="48"/>
  <c r="BV69" i="48"/>
  <c r="BS69" i="48"/>
  <c r="BR69" i="48"/>
  <c r="BK69" i="48"/>
  <c r="BH69" i="48"/>
  <c r="BG69" i="48"/>
  <c r="BD69" i="48"/>
  <c r="BC69" i="48"/>
  <c r="AV69" i="48"/>
  <c r="AS69" i="48"/>
  <c r="AR69" i="48"/>
  <c r="AO69" i="48"/>
  <c r="AN69" i="48"/>
  <c r="AG69" i="48"/>
  <c r="Z69" i="48"/>
  <c r="Y69" i="48"/>
  <c r="X69" i="48"/>
  <c r="Q69" i="48"/>
  <c r="K69" i="48" a="1"/>
  <c r="K69" i="48" s="1"/>
  <c r="J69" i="48"/>
  <c r="I69" i="48"/>
  <c r="D69" i="48"/>
  <c r="C69" i="48"/>
  <c r="BZ68" i="48"/>
  <c r="BW68" i="48"/>
  <c r="BV68" i="48"/>
  <c r="BS68" i="48"/>
  <c r="BR68" i="48"/>
  <c r="BK68" i="48"/>
  <c r="BH68" i="48"/>
  <c r="BG68" i="48"/>
  <c r="BD68" i="48"/>
  <c r="BC68" i="48"/>
  <c r="AV68" i="48"/>
  <c r="AS68" i="48"/>
  <c r="AR68" i="48"/>
  <c r="AO68" i="48"/>
  <c r="AN68" i="48"/>
  <c r="AG68" i="48"/>
  <c r="Z68" i="48"/>
  <c r="Y68" i="48"/>
  <c r="X68" i="48"/>
  <c r="Q68" i="48"/>
  <c r="J68" i="48"/>
  <c r="I68" i="48"/>
  <c r="D68" i="48"/>
  <c r="C68" i="48"/>
  <c r="BZ67" i="48"/>
  <c r="BV67" i="48"/>
  <c r="BR67" i="48"/>
  <c r="BK67" i="48"/>
  <c r="BH67" i="48"/>
  <c r="BD67" i="48"/>
  <c r="BC67" i="48"/>
  <c r="AV67" i="48"/>
  <c r="AS67" i="48"/>
  <c r="AR67" i="48"/>
  <c r="AO67" i="48"/>
  <c r="AG67" i="48"/>
  <c r="Z67" i="48"/>
  <c r="Y67" i="48"/>
  <c r="X67" i="48"/>
  <c r="Q67" i="48"/>
  <c r="J67" i="48"/>
  <c r="I67" i="48"/>
  <c r="D67" i="48"/>
  <c r="C67" i="48"/>
  <c r="L67" i="48" s="1" a="1"/>
  <c r="L67" i="48" s="1"/>
  <c r="BZ66" i="48"/>
  <c r="BW66" i="48"/>
  <c r="BV66" i="48"/>
  <c r="BS66" i="48"/>
  <c r="BR66" i="48"/>
  <c r="BK66" i="48"/>
  <c r="BH66" i="48"/>
  <c r="BG66" i="48"/>
  <c r="BD66" i="48"/>
  <c r="BC66" i="48"/>
  <c r="AV66" i="48"/>
  <c r="AS66" i="48"/>
  <c r="AR66" i="48"/>
  <c r="AO66" i="48"/>
  <c r="AN66" i="48"/>
  <c r="AG66" i="48"/>
  <c r="Z66" i="48"/>
  <c r="Q66" i="48"/>
  <c r="J66" i="48"/>
  <c r="I66" i="48"/>
  <c r="D66" i="48"/>
  <c r="C66" i="48"/>
  <c r="L66" i="48" s="1" a="1"/>
  <c r="L66" i="48" s="1"/>
  <c r="BZ65" i="48"/>
  <c r="BW65" i="48"/>
  <c r="BV65" i="48"/>
  <c r="BS65" i="48"/>
  <c r="BR65" i="48"/>
  <c r="BK65" i="48"/>
  <c r="BH65" i="48"/>
  <c r="BG65" i="48"/>
  <c r="BD65" i="48"/>
  <c r="BC65" i="48"/>
  <c r="AV65" i="48"/>
  <c r="AS65" i="48"/>
  <c r="AR65" i="48"/>
  <c r="AO65" i="48"/>
  <c r="AN65" i="48"/>
  <c r="AG65" i="48"/>
  <c r="Z65" i="48"/>
  <c r="Y65" i="48"/>
  <c r="X65" i="48"/>
  <c r="Q65" i="48"/>
  <c r="J65" i="48"/>
  <c r="I65" i="48"/>
  <c r="D65" i="48"/>
  <c r="C65" i="48"/>
  <c r="L65" i="48" s="1" a="1"/>
  <c r="L65" i="48" s="1"/>
  <c r="BZ64" i="48"/>
  <c r="BW64" i="48"/>
  <c r="BV64" i="48"/>
  <c r="BS64" i="48"/>
  <c r="BR64" i="48"/>
  <c r="BK64" i="48"/>
  <c r="BH64" i="48"/>
  <c r="BG64" i="48"/>
  <c r="BD64" i="48"/>
  <c r="BC64" i="48"/>
  <c r="AV64" i="48"/>
  <c r="AS64" i="48"/>
  <c r="AR64" i="48"/>
  <c r="AO64" i="48"/>
  <c r="AN64" i="48"/>
  <c r="AG64" i="48"/>
  <c r="Z64" i="48"/>
  <c r="Y64" i="48"/>
  <c r="X64" i="48"/>
  <c r="Q64" i="48"/>
  <c r="K64" i="48" a="1"/>
  <c r="K64" i="48" s="1"/>
  <c r="J64" i="48"/>
  <c r="I64" i="48"/>
  <c r="D64" i="48"/>
  <c r="C64" i="48"/>
  <c r="L64" i="48" s="1" a="1"/>
  <c r="L64" i="48" s="1"/>
  <c r="BZ63" i="48"/>
  <c r="BV63" i="48"/>
  <c r="BR63" i="48"/>
  <c r="BK63" i="48"/>
  <c r="BH63" i="48"/>
  <c r="BD63" i="48"/>
  <c r="AV63" i="48"/>
  <c r="AS63" i="48"/>
  <c r="AO63" i="48"/>
  <c r="AG63" i="48"/>
  <c r="Z63" i="48"/>
  <c r="Y63" i="48"/>
  <c r="X63" i="48"/>
  <c r="Q63" i="48"/>
  <c r="K63" i="48" a="1"/>
  <c r="K63" i="48" s="1"/>
  <c r="J63" i="48"/>
  <c r="I63" i="48"/>
  <c r="D63" i="48"/>
  <c r="C63" i="48"/>
  <c r="L63" i="48" s="1" a="1"/>
  <c r="L63" i="48" s="1"/>
  <c r="BZ62" i="48"/>
  <c r="BW62" i="48"/>
  <c r="BV62" i="48"/>
  <c r="BS62" i="48"/>
  <c r="BR62" i="48"/>
  <c r="BK62" i="48"/>
  <c r="BH62" i="48"/>
  <c r="BG62" i="48"/>
  <c r="BD62" i="48"/>
  <c r="BC62" i="48"/>
  <c r="AV62" i="48"/>
  <c r="AS62" i="48"/>
  <c r="AR62" i="48"/>
  <c r="AO62" i="48"/>
  <c r="AN62" i="48"/>
  <c r="AG62" i="48"/>
  <c r="Z62" i="48"/>
  <c r="Q62" i="48"/>
  <c r="L62" i="48" a="1"/>
  <c r="L62" i="48" s="1"/>
  <c r="K62" i="48" a="1"/>
  <c r="K62" i="48" s="1"/>
  <c r="J62" i="48"/>
  <c r="I62" i="48"/>
  <c r="D62" i="48"/>
  <c r="C62" i="48"/>
  <c r="BZ61" i="48"/>
  <c r="BW61" i="48"/>
  <c r="BV61" i="48"/>
  <c r="BS61" i="48"/>
  <c r="BR61" i="48"/>
  <c r="BK61" i="48"/>
  <c r="BH61" i="48"/>
  <c r="BG61" i="48"/>
  <c r="BD61" i="48"/>
  <c r="BC61" i="48"/>
  <c r="AV61" i="48"/>
  <c r="AS61" i="48"/>
  <c r="AR61" i="48"/>
  <c r="AO61" i="48"/>
  <c r="AN61" i="48"/>
  <c r="AG61" i="48"/>
  <c r="Z61" i="48"/>
  <c r="Y61" i="48"/>
  <c r="X61" i="48"/>
  <c r="Q61" i="48"/>
  <c r="J61" i="48"/>
  <c r="I61" i="48"/>
  <c r="D61" i="48"/>
  <c r="C61" i="48"/>
  <c r="L61" i="48" s="1" a="1"/>
  <c r="L61" i="48" s="1"/>
  <c r="BZ60" i="48"/>
  <c r="BW60" i="48"/>
  <c r="BV60" i="48"/>
  <c r="BS60" i="48"/>
  <c r="BR60" i="48"/>
  <c r="BK60" i="48"/>
  <c r="BH60" i="48"/>
  <c r="BG60" i="48"/>
  <c r="BD60" i="48"/>
  <c r="BC60" i="48"/>
  <c r="AV60" i="48"/>
  <c r="AS60" i="48"/>
  <c r="AR60" i="48"/>
  <c r="AO60" i="48"/>
  <c r="AN60" i="48"/>
  <c r="AG60" i="48"/>
  <c r="Z60" i="48"/>
  <c r="Y60" i="48"/>
  <c r="X60" i="48"/>
  <c r="Q60" i="48"/>
  <c r="J60" i="48"/>
  <c r="I60" i="48"/>
  <c r="D60" i="48"/>
  <c r="C60" i="48"/>
  <c r="L60" i="48" s="1" a="1"/>
  <c r="L60" i="48" s="1"/>
  <c r="BZ59" i="48"/>
  <c r="BV59" i="48"/>
  <c r="BS59" i="48"/>
  <c r="BR59" i="48"/>
  <c r="BK59" i="48"/>
  <c r="BH59" i="48"/>
  <c r="BD59" i="48"/>
  <c r="AV59" i="48"/>
  <c r="AS59" i="48"/>
  <c r="AR59" i="48"/>
  <c r="AO59" i="48"/>
  <c r="AG59" i="48"/>
  <c r="Z59" i="48"/>
  <c r="X59" i="48"/>
  <c r="Y59" i="48"/>
  <c r="Q59" i="48"/>
  <c r="L59" i="48" a="1"/>
  <c r="L59" i="48" s="1"/>
  <c r="J59" i="48"/>
  <c r="I59" i="48"/>
  <c r="D59" i="48"/>
  <c r="C59" i="48"/>
  <c r="K59" i="48" s="1" a="1"/>
  <c r="K59" i="48" s="1"/>
  <c r="BZ58" i="48"/>
  <c r="BW58" i="48"/>
  <c r="BV58" i="48"/>
  <c r="BS58" i="48"/>
  <c r="BR58" i="48"/>
  <c r="BK58" i="48"/>
  <c r="BH58" i="48"/>
  <c r="BG58" i="48"/>
  <c r="BD58" i="48"/>
  <c r="BC58" i="48"/>
  <c r="AV58" i="48"/>
  <c r="AS58" i="48"/>
  <c r="AR58" i="48"/>
  <c r="AO58" i="48"/>
  <c r="AN58" i="48"/>
  <c r="AG58" i="48"/>
  <c r="Z58" i="48"/>
  <c r="Q58" i="48"/>
  <c r="J58" i="48"/>
  <c r="I58" i="48"/>
  <c r="D58" i="48"/>
  <c r="C58" i="48"/>
  <c r="BZ57" i="48"/>
  <c r="BW57" i="48"/>
  <c r="BV57" i="48"/>
  <c r="BS57" i="48"/>
  <c r="BR57" i="48"/>
  <c r="BK57" i="48"/>
  <c r="BH57" i="48"/>
  <c r="BG57" i="48"/>
  <c r="BD57" i="48"/>
  <c r="BC57" i="48"/>
  <c r="AV57" i="48"/>
  <c r="AS57" i="48"/>
  <c r="AR57" i="48"/>
  <c r="AO57" i="48"/>
  <c r="AN57" i="48"/>
  <c r="AG57" i="48"/>
  <c r="Z57" i="48"/>
  <c r="Y57" i="48"/>
  <c r="X57" i="48"/>
  <c r="Q57" i="48"/>
  <c r="K57" i="48" a="1"/>
  <c r="K57" i="48" s="1"/>
  <c r="J57" i="48"/>
  <c r="I57" i="48"/>
  <c r="D57" i="48"/>
  <c r="C57" i="48"/>
  <c r="L57" i="48" s="1" a="1"/>
  <c r="L57" i="48" s="1"/>
  <c r="BZ56" i="48"/>
  <c r="BW56" i="48"/>
  <c r="BV56" i="48"/>
  <c r="BS56" i="48"/>
  <c r="BR56" i="48"/>
  <c r="BK56" i="48"/>
  <c r="BH56" i="48"/>
  <c r="BG56" i="48"/>
  <c r="BD56" i="48"/>
  <c r="BC56" i="48"/>
  <c r="AV56" i="48"/>
  <c r="AS56" i="48"/>
  <c r="AR56" i="48"/>
  <c r="AO56" i="48"/>
  <c r="AN56" i="48"/>
  <c r="AG56" i="48"/>
  <c r="Z56" i="48"/>
  <c r="Y56" i="48"/>
  <c r="X56" i="48"/>
  <c r="Q56" i="48"/>
  <c r="K56" i="48" a="1"/>
  <c r="K56" i="48" s="1"/>
  <c r="J56" i="48"/>
  <c r="I56" i="48"/>
  <c r="D56" i="48"/>
  <c r="C56" i="48"/>
  <c r="L56" i="48" s="1" a="1"/>
  <c r="L56" i="48" s="1"/>
  <c r="BZ55" i="48"/>
  <c r="BV55" i="48"/>
  <c r="BR55" i="48"/>
  <c r="BK55" i="48"/>
  <c r="BH55" i="48"/>
  <c r="BD55" i="48"/>
  <c r="AV55" i="48"/>
  <c r="AS55" i="48"/>
  <c r="AO55" i="48"/>
  <c r="AG55" i="48"/>
  <c r="Z55" i="48"/>
  <c r="Y55" i="48"/>
  <c r="X55" i="48"/>
  <c r="Q55" i="48"/>
  <c r="L55" i="48" a="1"/>
  <c r="L55" i="48" s="1"/>
  <c r="J55" i="48"/>
  <c r="I55" i="48"/>
  <c r="D55" i="48"/>
  <c r="C55" i="48"/>
  <c r="K55" i="48" s="1" a="1"/>
  <c r="K55" i="48" s="1"/>
  <c r="BZ54" i="48"/>
  <c r="BW54" i="48"/>
  <c r="BV54" i="48"/>
  <c r="BS54" i="48"/>
  <c r="BR54" i="48"/>
  <c r="BK54" i="48"/>
  <c r="BH54" i="48"/>
  <c r="BG54" i="48"/>
  <c r="BD54" i="48"/>
  <c r="BC54" i="48"/>
  <c r="AV54" i="48"/>
  <c r="AS54" i="48"/>
  <c r="AR54" i="48"/>
  <c r="AO54" i="48"/>
  <c r="AN54" i="48"/>
  <c r="AG54" i="48"/>
  <c r="Z54" i="48"/>
  <c r="Q54" i="48"/>
  <c r="J54" i="48"/>
  <c r="I54" i="48"/>
  <c r="D54" i="48"/>
  <c r="C54" i="48"/>
  <c r="BZ53" i="48"/>
  <c r="BW53" i="48"/>
  <c r="BV53" i="48"/>
  <c r="BS53" i="48"/>
  <c r="BR53" i="48"/>
  <c r="BK53" i="48"/>
  <c r="BH53" i="48"/>
  <c r="BG53" i="48"/>
  <c r="BD53" i="48"/>
  <c r="BC53" i="48"/>
  <c r="AV53" i="48"/>
  <c r="AS53" i="48"/>
  <c r="AR53" i="48"/>
  <c r="AO53" i="48"/>
  <c r="AN53" i="48"/>
  <c r="AG53" i="48"/>
  <c r="Z53" i="48"/>
  <c r="Y53" i="48"/>
  <c r="X53" i="48"/>
  <c r="Q53" i="48"/>
  <c r="L53" i="48" a="1"/>
  <c r="L53" i="48" s="1"/>
  <c r="K53" i="48" a="1"/>
  <c r="K53" i="48" s="1"/>
  <c r="J53" i="48"/>
  <c r="I53" i="48"/>
  <c r="D53" i="48"/>
  <c r="C53" i="48"/>
  <c r="BZ52" i="48"/>
  <c r="BW52" i="48"/>
  <c r="BV52" i="48"/>
  <c r="BS52" i="48"/>
  <c r="BR52" i="48"/>
  <c r="BK52" i="48"/>
  <c r="BH52" i="48"/>
  <c r="BG52" i="48"/>
  <c r="BD52" i="48"/>
  <c r="BC52" i="48"/>
  <c r="AV52" i="48"/>
  <c r="AS52" i="48"/>
  <c r="AR52" i="48"/>
  <c r="AO52" i="48"/>
  <c r="AN52" i="48"/>
  <c r="AG52" i="48"/>
  <c r="Z52" i="48"/>
  <c r="Y52" i="48"/>
  <c r="X52" i="48"/>
  <c r="Q52" i="48"/>
  <c r="J52" i="48"/>
  <c r="I52" i="48"/>
  <c r="D52" i="48"/>
  <c r="C52" i="48"/>
  <c r="L52" i="48" s="1" a="1"/>
  <c r="L52" i="48" s="1"/>
  <c r="BZ51" i="48"/>
  <c r="BV51" i="48"/>
  <c r="BR51" i="48"/>
  <c r="BK51" i="48"/>
  <c r="BH51" i="48"/>
  <c r="BD51" i="48"/>
  <c r="AV51" i="48"/>
  <c r="AS51" i="48"/>
  <c r="AO51" i="48"/>
  <c r="AG51" i="48"/>
  <c r="Z51" i="48"/>
  <c r="X51" i="48"/>
  <c r="Y51" i="48"/>
  <c r="Q51" i="48"/>
  <c r="J51" i="48"/>
  <c r="I51" i="48"/>
  <c r="D51" i="48"/>
  <c r="C51" i="48"/>
  <c r="K51" i="48" s="1" a="1"/>
  <c r="K51" i="48" s="1"/>
  <c r="BZ50" i="48"/>
  <c r="BW50" i="48"/>
  <c r="BV50" i="48"/>
  <c r="BS50" i="48"/>
  <c r="BR50" i="48"/>
  <c r="BK50" i="48"/>
  <c r="BH50" i="48"/>
  <c r="BG50" i="48"/>
  <c r="BD50" i="48"/>
  <c r="BC50" i="48"/>
  <c r="AV50" i="48"/>
  <c r="AS50" i="48"/>
  <c r="AR50" i="48"/>
  <c r="AO50" i="48"/>
  <c r="AN50" i="48"/>
  <c r="AG50" i="48"/>
  <c r="Z50" i="48"/>
  <c r="Q50" i="48"/>
  <c r="J50" i="48"/>
  <c r="I50" i="48"/>
  <c r="D50" i="48"/>
  <c r="C50" i="48"/>
  <c r="BZ49" i="48"/>
  <c r="BW49" i="48"/>
  <c r="BV49" i="48"/>
  <c r="BS49" i="48"/>
  <c r="BR49" i="48"/>
  <c r="BK49" i="48"/>
  <c r="BH49" i="48"/>
  <c r="BG49" i="48"/>
  <c r="BD49" i="48"/>
  <c r="BC49" i="48"/>
  <c r="AV49" i="48"/>
  <c r="AS49" i="48"/>
  <c r="AR49" i="48"/>
  <c r="AO49" i="48"/>
  <c r="AN49" i="48"/>
  <c r="AG49" i="48"/>
  <c r="Z49" i="48"/>
  <c r="Y49" i="48"/>
  <c r="X49" i="48"/>
  <c r="Q49" i="48"/>
  <c r="J49" i="48"/>
  <c r="I49" i="48"/>
  <c r="D49" i="48"/>
  <c r="C49" i="48"/>
  <c r="L49" i="48" s="1" a="1"/>
  <c r="L49" i="48" s="1"/>
  <c r="BZ48" i="48"/>
  <c r="BW48" i="48"/>
  <c r="BV48" i="48"/>
  <c r="BS48" i="48"/>
  <c r="BR48" i="48"/>
  <c r="BK48" i="48"/>
  <c r="BH48" i="48"/>
  <c r="BG48" i="48"/>
  <c r="BD48" i="48"/>
  <c r="BC48" i="48"/>
  <c r="AV48" i="48"/>
  <c r="AS48" i="48"/>
  <c r="AR48" i="48"/>
  <c r="AO48" i="48"/>
  <c r="AN48" i="48"/>
  <c r="AG48" i="48"/>
  <c r="Z48" i="48"/>
  <c r="X48" i="48"/>
  <c r="Y48" i="48"/>
  <c r="Q48" i="48"/>
  <c r="J48" i="48"/>
  <c r="I48" i="48"/>
  <c r="D48" i="48"/>
  <c r="C48" i="48"/>
  <c r="K48" i="48" s="1" a="1"/>
  <c r="K48" i="48" s="1"/>
  <c r="BZ47" i="48"/>
  <c r="BV47" i="48"/>
  <c r="BR47" i="48"/>
  <c r="BK47" i="48"/>
  <c r="BH47" i="48"/>
  <c r="BD47" i="48"/>
  <c r="BC47" i="48"/>
  <c r="AV47" i="48"/>
  <c r="AS47" i="48"/>
  <c r="AR47" i="48"/>
  <c r="AO47" i="48"/>
  <c r="AG47" i="48"/>
  <c r="Z47" i="48"/>
  <c r="Y47" i="48"/>
  <c r="X47" i="48"/>
  <c r="Q47" i="48"/>
  <c r="L47" i="48" a="1"/>
  <c r="L47" i="48" s="1"/>
  <c r="J47" i="48"/>
  <c r="I47" i="48"/>
  <c r="D47" i="48"/>
  <c r="C47" i="48"/>
  <c r="K47" i="48" s="1" a="1"/>
  <c r="K47" i="48" s="1"/>
  <c r="BZ46" i="48"/>
  <c r="BW46" i="48"/>
  <c r="BV46" i="48"/>
  <c r="BS46" i="48"/>
  <c r="BR46" i="48"/>
  <c r="BK46" i="48"/>
  <c r="BH46" i="48"/>
  <c r="BG46" i="48"/>
  <c r="BD46" i="48"/>
  <c r="BC46" i="48"/>
  <c r="AV46" i="48"/>
  <c r="AS46" i="48"/>
  <c r="AR46" i="48"/>
  <c r="AO46" i="48"/>
  <c r="AN46" i="48"/>
  <c r="AG46" i="48"/>
  <c r="Z46" i="48"/>
  <c r="Y46" i="48"/>
  <c r="Q46" i="48"/>
  <c r="L46" i="48" a="1"/>
  <c r="L46" i="48" s="1"/>
  <c r="J46" i="48"/>
  <c r="I46" i="48"/>
  <c r="D46" i="48"/>
  <c r="C46" i="48"/>
  <c r="K46" i="48" s="1" a="1"/>
  <c r="K46" i="48" s="1"/>
  <c r="BZ45" i="48"/>
  <c r="BW45" i="48"/>
  <c r="BV45" i="48"/>
  <c r="BS45" i="48"/>
  <c r="BR45" i="48"/>
  <c r="BK45" i="48"/>
  <c r="BH45" i="48"/>
  <c r="BG45" i="48"/>
  <c r="BD45" i="48"/>
  <c r="BC45" i="48"/>
  <c r="AV45" i="48"/>
  <c r="AS45" i="48"/>
  <c r="AR45" i="48"/>
  <c r="AO45" i="48"/>
  <c r="AN45" i="48"/>
  <c r="AG45" i="48"/>
  <c r="Z45" i="48"/>
  <c r="X45" i="48"/>
  <c r="Y45" i="48"/>
  <c r="Q45" i="48"/>
  <c r="J45" i="48"/>
  <c r="I45" i="48"/>
  <c r="D45" i="48"/>
  <c r="C45" i="48"/>
  <c r="K45" i="48" s="1" a="1"/>
  <c r="K45" i="48" s="1"/>
  <c r="BZ44" i="48"/>
  <c r="BW44" i="48"/>
  <c r="BV44" i="48"/>
  <c r="BS44" i="48"/>
  <c r="BR44" i="48"/>
  <c r="BK44" i="48"/>
  <c r="BH44" i="48"/>
  <c r="BG44" i="48"/>
  <c r="BD44" i="48"/>
  <c r="BC44" i="48"/>
  <c r="AV44" i="48"/>
  <c r="AS44" i="48"/>
  <c r="AR44" i="48"/>
  <c r="AO44" i="48"/>
  <c r="AN44" i="48"/>
  <c r="AG44" i="48"/>
  <c r="Z44" i="48"/>
  <c r="Y44" i="48"/>
  <c r="X44" i="48"/>
  <c r="Q44" i="48"/>
  <c r="L44" i="48" a="1"/>
  <c r="L44" i="48" s="1"/>
  <c r="J44" i="48"/>
  <c r="I44" i="48"/>
  <c r="D44" i="48"/>
  <c r="C44" i="48"/>
  <c r="K44" i="48" s="1" a="1"/>
  <c r="K44" i="48" s="1"/>
  <c r="BZ43" i="48"/>
  <c r="BV43" i="48"/>
  <c r="BR43" i="48"/>
  <c r="BK43" i="48"/>
  <c r="BH43" i="48"/>
  <c r="BD43" i="48"/>
  <c r="AV43" i="48"/>
  <c r="AS43" i="48"/>
  <c r="AO43" i="48"/>
  <c r="AG43" i="48"/>
  <c r="Z43" i="48"/>
  <c r="Y43" i="48"/>
  <c r="X43" i="48"/>
  <c r="Q43" i="48"/>
  <c r="J43" i="48"/>
  <c r="I43" i="48"/>
  <c r="D43" i="48"/>
  <c r="C43" i="48"/>
  <c r="K43" i="48" s="1" a="1"/>
  <c r="K43" i="48" s="1"/>
  <c r="BZ42" i="48"/>
  <c r="BW42" i="48"/>
  <c r="BV42" i="48"/>
  <c r="BS42" i="48"/>
  <c r="BR42" i="48"/>
  <c r="BK42" i="48"/>
  <c r="BH42" i="48"/>
  <c r="BG42" i="48"/>
  <c r="BD42" i="48"/>
  <c r="BC42" i="48"/>
  <c r="AV42" i="48"/>
  <c r="AS42" i="48"/>
  <c r="AR42" i="48"/>
  <c r="AO42" i="48"/>
  <c r="AN42" i="48"/>
  <c r="AG42" i="48"/>
  <c r="Z42" i="48"/>
  <c r="Q42" i="48"/>
  <c r="J42" i="48"/>
  <c r="I42" i="48"/>
  <c r="D42" i="48"/>
  <c r="C42" i="48"/>
  <c r="K42" i="48" s="1" a="1"/>
  <c r="K42" i="48" s="1"/>
  <c r="BZ41" i="48"/>
  <c r="BW41" i="48"/>
  <c r="BV41" i="48"/>
  <c r="BS41" i="48"/>
  <c r="BR41" i="48"/>
  <c r="BK41" i="48"/>
  <c r="BH41" i="48"/>
  <c r="BG41" i="48"/>
  <c r="BD41" i="48"/>
  <c r="BC41" i="48"/>
  <c r="AV41" i="48"/>
  <c r="AS41" i="48"/>
  <c r="AR41" i="48"/>
  <c r="AO41" i="48"/>
  <c r="AN41" i="48"/>
  <c r="AG41" i="48"/>
  <c r="Z41" i="48"/>
  <c r="Y41" i="48"/>
  <c r="X41" i="48"/>
  <c r="Q41" i="48"/>
  <c r="L41" i="48" a="1"/>
  <c r="L41" i="48" s="1"/>
  <c r="K41" i="48" a="1"/>
  <c r="K41" i="48" s="1"/>
  <c r="J41" i="48"/>
  <c r="I41" i="48"/>
  <c r="D41" i="48"/>
  <c r="C41" i="48"/>
  <c r="BZ40" i="48"/>
  <c r="BW40" i="48"/>
  <c r="BV40" i="48"/>
  <c r="BS40" i="48"/>
  <c r="BR40" i="48"/>
  <c r="BK40" i="48"/>
  <c r="BH40" i="48"/>
  <c r="BG40" i="48"/>
  <c r="BD40" i="48"/>
  <c r="BC40" i="48"/>
  <c r="AV40" i="48"/>
  <c r="AS40" i="48"/>
  <c r="AR40" i="48"/>
  <c r="AO40" i="48"/>
  <c r="AN40" i="48"/>
  <c r="AG40" i="48"/>
  <c r="Z40" i="48"/>
  <c r="Y40" i="48"/>
  <c r="X40" i="48"/>
  <c r="Q40" i="48"/>
  <c r="K40" i="48" a="1"/>
  <c r="K40" i="48" s="1"/>
  <c r="J40" i="48"/>
  <c r="I40" i="48"/>
  <c r="D40" i="48"/>
  <c r="C40" i="48"/>
  <c r="L40" i="48" s="1" a="1"/>
  <c r="L40" i="48" s="1"/>
  <c r="BZ39" i="48"/>
  <c r="BW39" i="48"/>
  <c r="BV39" i="48"/>
  <c r="BR39" i="48"/>
  <c r="BK39" i="48"/>
  <c r="BH39" i="48"/>
  <c r="BD39" i="48"/>
  <c r="BC39" i="48"/>
  <c r="AV39" i="48"/>
  <c r="AS39" i="48"/>
  <c r="AO39" i="48"/>
  <c r="AG39" i="48"/>
  <c r="Z39" i="48"/>
  <c r="Y39" i="48"/>
  <c r="X39" i="48"/>
  <c r="Q39" i="48"/>
  <c r="J39" i="48"/>
  <c r="I39" i="48"/>
  <c r="D39" i="48"/>
  <c r="C39" i="48"/>
  <c r="BZ38" i="48"/>
  <c r="BW38" i="48"/>
  <c r="BV38" i="48"/>
  <c r="BS38" i="48"/>
  <c r="BR38" i="48"/>
  <c r="BK38" i="48"/>
  <c r="BH38" i="48"/>
  <c r="BG38" i="48"/>
  <c r="BD38" i="48"/>
  <c r="BC38" i="48"/>
  <c r="AV38" i="48"/>
  <c r="AS38" i="48"/>
  <c r="AR38" i="48"/>
  <c r="AO38" i="48"/>
  <c r="AN38" i="48"/>
  <c r="AG38" i="48"/>
  <c r="Z38" i="48"/>
  <c r="Q38" i="48"/>
  <c r="J38" i="48"/>
  <c r="I38" i="48"/>
  <c r="D38" i="48"/>
  <c r="C38" i="48"/>
  <c r="BZ37" i="48"/>
  <c r="BW37" i="48"/>
  <c r="BV37" i="48"/>
  <c r="BS37" i="48"/>
  <c r="BR37" i="48"/>
  <c r="BK37" i="48"/>
  <c r="BH37" i="48"/>
  <c r="BG37" i="48"/>
  <c r="BD37" i="48"/>
  <c r="BC37" i="48"/>
  <c r="AV37" i="48"/>
  <c r="AS37" i="48"/>
  <c r="AR37" i="48"/>
  <c r="AO37" i="48"/>
  <c r="AN37" i="48"/>
  <c r="AG37" i="48"/>
  <c r="Z37" i="48"/>
  <c r="Y37" i="48"/>
  <c r="X37" i="48"/>
  <c r="Q37" i="48"/>
  <c r="J37" i="48"/>
  <c r="I37" i="48"/>
  <c r="D37" i="48"/>
  <c r="C37" i="48"/>
  <c r="BZ36" i="48"/>
  <c r="BW36" i="48"/>
  <c r="BV36" i="48"/>
  <c r="BS36" i="48"/>
  <c r="BR36" i="48"/>
  <c r="BK36" i="48"/>
  <c r="BH36" i="48"/>
  <c r="BG36" i="48"/>
  <c r="BD36" i="48"/>
  <c r="BC36" i="48"/>
  <c r="AV36" i="48"/>
  <c r="AS36" i="48"/>
  <c r="AR36" i="48"/>
  <c r="AO36" i="48"/>
  <c r="AN36" i="48"/>
  <c r="AG36" i="48"/>
  <c r="Z36" i="48"/>
  <c r="Y36" i="48"/>
  <c r="X36" i="48"/>
  <c r="Q36" i="48"/>
  <c r="K36" i="48" a="1"/>
  <c r="K36" i="48" s="1"/>
  <c r="J36" i="48"/>
  <c r="I36" i="48"/>
  <c r="D36" i="48"/>
  <c r="C36" i="48"/>
  <c r="L36" i="48" s="1" a="1"/>
  <c r="L36" i="48" s="1"/>
  <c r="BZ35" i="48"/>
  <c r="BV35" i="48"/>
  <c r="BR35" i="48"/>
  <c r="BK35" i="48"/>
  <c r="BH35" i="48"/>
  <c r="BD35" i="48"/>
  <c r="AV35" i="48"/>
  <c r="AS35" i="48"/>
  <c r="AO35" i="48"/>
  <c r="AG35" i="48"/>
  <c r="Z35" i="48"/>
  <c r="Y35" i="48"/>
  <c r="X35" i="48"/>
  <c r="Q35" i="48"/>
  <c r="J35" i="48"/>
  <c r="I35" i="48"/>
  <c r="D35" i="48"/>
  <c r="C35" i="48"/>
  <c r="L35" i="48" s="1" a="1"/>
  <c r="L35" i="48" s="1"/>
  <c r="BZ34" i="48"/>
  <c r="BW34" i="48"/>
  <c r="BV34" i="48"/>
  <c r="BS34" i="48"/>
  <c r="BR34" i="48"/>
  <c r="BK34" i="48"/>
  <c r="BH34" i="48"/>
  <c r="BG34" i="48"/>
  <c r="BD34" i="48"/>
  <c r="BC34" i="48"/>
  <c r="AV34" i="48"/>
  <c r="AS34" i="48"/>
  <c r="AR34" i="48"/>
  <c r="AO34" i="48"/>
  <c r="AN34" i="48"/>
  <c r="AG34" i="48"/>
  <c r="Z34" i="48"/>
  <c r="Q34" i="48"/>
  <c r="K34" i="48" a="1"/>
  <c r="K34" i="48" s="1"/>
  <c r="J34" i="48"/>
  <c r="I34" i="48"/>
  <c r="D34" i="48"/>
  <c r="C34" i="48"/>
  <c r="L34" i="48" s="1" a="1"/>
  <c r="L34" i="48" s="1"/>
  <c r="BZ33" i="48"/>
  <c r="BW33" i="48"/>
  <c r="BV33" i="48"/>
  <c r="BS33" i="48"/>
  <c r="BR33" i="48"/>
  <c r="BK33" i="48"/>
  <c r="BH33" i="48"/>
  <c r="BG33" i="48"/>
  <c r="BD33" i="48"/>
  <c r="BC33" i="48"/>
  <c r="AV33" i="48"/>
  <c r="AS33" i="48"/>
  <c r="AR33" i="48"/>
  <c r="AO33" i="48"/>
  <c r="AN33" i="48"/>
  <c r="AG33" i="48"/>
  <c r="Z33" i="48"/>
  <c r="Y33" i="48"/>
  <c r="X33" i="48"/>
  <c r="Q33" i="48"/>
  <c r="J33" i="48"/>
  <c r="I33" i="48"/>
  <c r="D33" i="48"/>
  <c r="C33" i="48"/>
  <c r="K33" i="48" s="1" a="1"/>
  <c r="K33" i="48" s="1"/>
  <c r="BZ32" i="48"/>
  <c r="BW32" i="48"/>
  <c r="BV32" i="48"/>
  <c r="BS32" i="48"/>
  <c r="BR32" i="48"/>
  <c r="BK32" i="48"/>
  <c r="BH32" i="48"/>
  <c r="BG32" i="48"/>
  <c r="BD32" i="48"/>
  <c r="BC32" i="48"/>
  <c r="AV32" i="48"/>
  <c r="AS32" i="48"/>
  <c r="AR32" i="48"/>
  <c r="AO32" i="48"/>
  <c r="AN32" i="48"/>
  <c r="AG32" i="48"/>
  <c r="Z32" i="48"/>
  <c r="X32" i="48"/>
  <c r="Y32" i="48"/>
  <c r="Q32" i="48"/>
  <c r="L32" i="48" a="1"/>
  <c r="L32" i="48" s="1"/>
  <c r="J32" i="48"/>
  <c r="I32" i="48"/>
  <c r="D32" i="48"/>
  <c r="C32" i="48"/>
  <c r="BZ31" i="48"/>
  <c r="BW31" i="48"/>
  <c r="BV31" i="48"/>
  <c r="BR31" i="48"/>
  <c r="BK31" i="48"/>
  <c r="BH31" i="48"/>
  <c r="BD31" i="48"/>
  <c r="AV31" i="48"/>
  <c r="AS31" i="48"/>
  <c r="AO31" i="48"/>
  <c r="AG31" i="48"/>
  <c r="Z31" i="48"/>
  <c r="Y31" i="48"/>
  <c r="X31" i="48"/>
  <c r="Q31" i="48"/>
  <c r="J31" i="48"/>
  <c r="I31" i="48"/>
  <c r="D31" i="48"/>
  <c r="C31" i="48"/>
  <c r="L31" i="48" s="1" a="1"/>
  <c r="L31" i="48" s="1"/>
  <c r="BZ30" i="48"/>
  <c r="BW30" i="48"/>
  <c r="BV30" i="48"/>
  <c r="BS30" i="48"/>
  <c r="BR30" i="48"/>
  <c r="BK30" i="48"/>
  <c r="BH30" i="48"/>
  <c r="BG30" i="48"/>
  <c r="BD30" i="48"/>
  <c r="BC30" i="48"/>
  <c r="AV30" i="48"/>
  <c r="AS30" i="48"/>
  <c r="AR30" i="48"/>
  <c r="AO30" i="48"/>
  <c r="AN30" i="48"/>
  <c r="AG30" i="48"/>
  <c r="Z30" i="48"/>
  <c r="Q30" i="48"/>
  <c r="K30" i="48" a="1"/>
  <c r="K30" i="48" s="1"/>
  <c r="J30" i="48"/>
  <c r="I30" i="48"/>
  <c r="D30" i="48"/>
  <c r="C30" i="48"/>
  <c r="L30" i="48" s="1" a="1"/>
  <c r="L30" i="48" s="1"/>
  <c r="BZ29" i="48"/>
  <c r="BW29" i="48"/>
  <c r="BV29" i="48"/>
  <c r="BS29" i="48"/>
  <c r="BR29" i="48"/>
  <c r="BK29" i="48"/>
  <c r="BH29" i="48"/>
  <c r="BG29" i="48"/>
  <c r="BD29" i="48"/>
  <c r="BC29" i="48"/>
  <c r="AV29" i="48"/>
  <c r="AS29" i="48"/>
  <c r="AR29" i="48"/>
  <c r="AO29" i="48"/>
  <c r="AN29" i="48"/>
  <c r="AG29" i="48"/>
  <c r="Z29" i="48"/>
  <c r="Y29" i="48"/>
  <c r="X29" i="48"/>
  <c r="Q29" i="48"/>
  <c r="J29" i="48"/>
  <c r="I29" i="48"/>
  <c r="D29" i="48"/>
  <c r="C29" i="48"/>
  <c r="K29" i="48" s="1" a="1"/>
  <c r="K29" i="48" s="1"/>
  <c r="BZ28" i="48"/>
  <c r="BW28" i="48"/>
  <c r="BV28" i="48"/>
  <c r="BS28" i="48"/>
  <c r="BR28" i="48"/>
  <c r="BK28" i="48"/>
  <c r="BH28" i="48"/>
  <c r="BG28" i="48"/>
  <c r="BD28" i="48"/>
  <c r="BC28" i="48"/>
  <c r="AV28" i="48"/>
  <c r="AS28" i="48"/>
  <c r="AR28" i="48"/>
  <c r="AO28" i="48"/>
  <c r="AN28" i="48"/>
  <c r="AG28" i="48"/>
  <c r="Z28" i="48"/>
  <c r="Y28" i="48"/>
  <c r="X28" i="48"/>
  <c r="Q28" i="48"/>
  <c r="J28" i="48"/>
  <c r="I28" i="48"/>
  <c r="D28" i="48"/>
  <c r="C28" i="48"/>
  <c r="L28" i="48" s="1" a="1"/>
  <c r="L28" i="48" s="1"/>
  <c r="BZ27" i="48"/>
  <c r="BV27" i="48"/>
  <c r="BR27" i="48"/>
  <c r="BK27" i="48"/>
  <c r="BH27" i="48"/>
  <c r="BD27" i="48"/>
  <c r="BC27" i="48"/>
  <c r="AV27" i="48"/>
  <c r="AS27" i="48"/>
  <c r="AO27" i="48"/>
  <c r="AG27" i="48"/>
  <c r="Z27" i="48"/>
  <c r="Y27" i="48"/>
  <c r="X27" i="48"/>
  <c r="Q27" i="48"/>
  <c r="J27" i="48"/>
  <c r="I27" i="48"/>
  <c r="D27" i="48"/>
  <c r="C27" i="48"/>
  <c r="L27" i="48" s="1" a="1"/>
  <c r="L27" i="48" s="1"/>
  <c r="BZ26" i="48"/>
  <c r="BW26" i="48"/>
  <c r="BV26" i="48"/>
  <c r="BS26" i="48"/>
  <c r="BR26" i="48"/>
  <c r="BK26" i="48"/>
  <c r="BH26" i="48"/>
  <c r="BG26" i="48"/>
  <c r="BD26" i="48"/>
  <c r="BC26" i="48"/>
  <c r="AV26" i="48"/>
  <c r="AS26" i="48"/>
  <c r="AR26" i="48"/>
  <c r="AO26" i="48"/>
  <c r="AN26" i="48"/>
  <c r="AG26" i="48"/>
  <c r="Z26" i="48"/>
  <c r="Q26" i="48"/>
  <c r="J26" i="48"/>
  <c r="I26" i="48"/>
  <c r="D26" i="48"/>
  <c r="C26" i="48"/>
  <c r="K26" i="48" s="1" a="1"/>
  <c r="K26" i="48" s="1"/>
  <c r="BZ25" i="48"/>
  <c r="BW25" i="48"/>
  <c r="BV25" i="48"/>
  <c r="BS25" i="48"/>
  <c r="BR25" i="48"/>
  <c r="BK25" i="48"/>
  <c r="BH25" i="48"/>
  <c r="BG25" i="48"/>
  <c r="BD25" i="48"/>
  <c r="BC25" i="48"/>
  <c r="AV25" i="48"/>
  <c r="AS25" i="48"/>
  <c r="AR25" i="48"/>
  <c r="AO25" i="48"/>
  <c r="AN25" i="48"/>
  <c r="AG25" i="48"/>
  <c r="Z25" i="48"/>
  <c r="Y25" i="48"/>
  <c r="X25" i="48"/>
  <c r="Q25" i="48"/>
  <c r="J25" i="48"/>
  <c r="I25" i="48"/>
  <c r="D25" i="48"/>
  <c r="C25" i="48"/>
  <c r="K25" i="48" s="1" a="1"/>
  <c r="K25" i="48" s="1"/>
  <c r="BZ24" i="48"/>
  <c r="BW24" i="48"/>
  <c r="BV24" i="48"/>
  <c r="BS24" i="48"/>
  <c r="BR24" i="48"/>
  <c r="BK24" i="48"/>
  <c r="BH24" i="48"/>
  <c r="BG24" i="48"/>
  <c r="BD24" i="48"/>
  <c r="BC24" i="48"/>
  <c r="AV24" i="48"/>
  <c r="AS24" i="48"/>
  <c r="AR24" i="48"/>
  <c r="AO24" i="48"/>
  <c r="AN24" i="48"/>
  <c r="AG24" i="48"/>
  <c r="Z24" i="48"/>
  <c r="X24" i="48"/>
  <c r="Y24" i="48"/>
  <c r="Q24" i="48"/>
  <c r="L24" i="48" a="1"/>
  <c r="L24" i="48" s="1"/>
  <c r="J24" i="48"/>
  <c r="I24" i="48"/>
  <c r="D24" i="48"/>
  <c r="C24" i="48"/>
  <c r="BZ23" i="48"/>
  <c r="BV23" i="48"/>
  <c r="BR23" i="48"/>
  <c r="BK23" i="48"/>
  <c r="BH23" i="48"/>
  <c r="BD23" i="48"/>
  <c r="AV23" i="48"/>
  <c r="AS23" i="48"/>
  <c r="AR23" i="48"/>
  <c r="AO23" i="48"/>
  <c r="AG23" i="48"/>
  <c r="Z23" i="48"/>
  <c r="Y23" i="48"/>
  <c r="X23" i="48"/>
  <c r="Q23" i="48"/>
  <c r="J23" i="48"/>
  <c r="I23" i="48"/>
  <c r="D23" i="48"/>
  <c r="C23" i="48"/>
  <c r="K23" i="48" s="1" a="1"/>
  <c r="K23" i="48" s="1"/>
  <c r="BZ22" i="48"/>
  <c r="BW22" i="48"/>
  <c r="BV22" i="48"/>
  <c r="BS22" i="48"/>
  <c r="BR22" i="48"/>
  <c r="BK22" i="48"/>
  <c r="BH22" i="48"/>
  <c r="BG22" i="48"/>
  <c r="BD22" i="48"/>
  <c r="BC22" i="48"/>
  <c r="AV22" i="48"/>
  <c r="AS22" i="48"/>
  <c r="AR22" i="48"/>
  <c r="AO22" i="48"/>
  <c r="AN22" i="48"/>
  <c r="AG22" i="48"/>
  <c r="Z22" i="48"/>
  <c r="Q22" i="48"/>
  <c r="J22" i="48"/>
  <c r="I22" i="48"/>
  <c r="D22" i="48"/>
  <c r="C22" i="48"/>
  <c r="L22" i="48" s="1" a="1"/>
  <c r="L22" i="48" s="1"/>
  <c r="BZ21" i="48"/>
  <c r="BW21" i="48"/>
  <c r="BV21" i="48"/>
  <c r="BS21" i="48"/>
  <c r="BR21" i="48"/>
  <c r="BK21" i="48"/>
  <c r="BH21" i="48"/>
  <c r="BG21" i="48"/>
  <c r="BD21" i="48"/>
  <c r="BC21" i="48"/>
  <c r="AV21" i="48"/>
  <c r="AS21" i="48"/>
  <c r="AR21" i="48"/>
  <c r="AO21" i="48"/>
  <c r="AN21" i="48"/>
  <c r="AG21" i="48"/>
  <c r="Z21" i="48"/>
  <c r="Y21" i="48"/>
  <c r="X21" i="48"/>
  <c r="Q21" i="48"/>
  <c r="J21" i="48"/>
  <c r="I21" i="48"/>
  <c r="D21" i="48"/>
  <c r="C21" i="48"/>
  <c r="L21" i="48" s="1" a="1"/>
  <c r="L21" i="48" s="1"/>
  <c r="BZ20" i="48"/>
  <c r="BW20" i="48"/>
  <c r="BV20" i="48"/>
  <c r="BS20" i="48"/>
  <c r="BR20" i="48"/>
  <c r="BK20" i="48"/>
  <c r="BH20" i="48"/>
  <c r="BG20" i="48"/>
  <c r="BD20" i="48"/>
  <c r="BC20" i="48"/>
  <c r="AV20" i="48"/>
  <c r="AS20" i="48"/>
  <c r="AR20" i="48"/>
  <c r="AO20" i="48"/>
  <c r="AN20" i="48"/>
  <c r="AG20" i="48"/>
  <c r="Z20" i="48"/>
  <c r="X20" i="48"/>
  <c r="Y20" i="48"/>
  <c r="Q20" i="48"/>
  <c r="K20" i="48" a="1"/>
  <c r="K20" i="48" s="1"/>
  <c r="J20" i="48"/>
  <c r="I20" i="48"/>
  <c r="D20" i="48"/>
  <c r="C20" i="48"/>
  <c r="BZ19" i="48"/>
  <c r="BV19" i="48"/>
  <c r="BR19" i="48"/>
  <c r="BK19" i="48"/>
  <c r="BH19" i="48"/>
  <c r="BD19" i="48"/>
  <c r="AV19" i="48"/>
  <c r="AS19" i="48"/>
  <c r="AO19" i="48"/>
  <c r="AG19" i="48"/>
  <c r="Z19" i="48"/>
  <c r="Y19" i="48"/>
  <c r="X19" i="48"/>
  <c r="Q19" i="48"/>
  <c r="J19" i="48"/>
  <c r="I19" i="48"/>
  <c r="D19" i="48"/>
  <c r="C19" i="48"/>
  <c r="L19" i="48" s="1" a="1"/>
  <c r="L19" i="48" s="1"/>
  <c r="BZ18" i="48"/>
  <c r="BW18" i="48"/>
  <c r="BV18" i="48"/>
  <c r="BS18" i="48"/>
  <c r="BR18" i="48"/>
  <c r="BK18" i="48"/>
  <c r="BH18" i="48"/>
  <c r="BG18" i="48"/>
  <c r="BD18" i="48"/>
  <c r="BC18" i="48"/>
  <c r="AV18" i="48"/>
  <c r="AS18" i="48"/>
  <c r="AR18" i="48"/>
  <c r="AO18" i="48"/>
  <c r="AN18" i="48"/>
  <c r="AG18" i="48"/>
  <c r="Z18" i="48"/>
  <c r="Q18" i="48"/>
  <c r="J18" i="48"/>
  <c r="I18" i="48"/>
  <c r="D18" i="48"/>
  <c r="C18" i="48"/>
  <c r="K18" i="48" s="1" a="1"/>
  <c r="K18" i="48" s="1"/>
  <c r="BZ17" i="48"/>
  <c r="BW17" i="48"/>
  <c r="BV17" i="48"/>
  <c r="BS17" i="48"/>
  <c r="BR17" i="48"/>
  <c r="BK17" i="48"/>
  <c r="BH17" i="48"/>
  <c r="BG17" i="48"/>
  <c r="BD17" i="48"/>
  <c r="BC17" i="48"/>
  <c r="AV17" i="48"/>
  <c r="AS17" i="48"/>
  <c r="AR17" i="48"/>
  <c r="AO17" i="48"/>
  <c r="AN17" i="48"/>
  <c r="AG17" i="48"/>
  <c r="Z17" i="48"/>
  <c r="Y17" i="48"/>
  <c r="X17" i="48"/>
  <c r="Q17" i="48"/>
  <c r="L17" i="48" a="1"/>
  <c r="L17" i="48" s="1"/>
  <c r="K17" i="48" a="1"/>
  <c r="K17" i="48" s="1"/>
  <c r="J17" i="48"/>
  <c r="I17" i="48"/>
  <c r="D17" i="48"/>
  <c r="C17" i="48"/>
  <c r="BZ16" i="48"/>
  <c r="BW16" i="48"/>
  <c r="BV16" i="48"/>
  <c r="BS16" i="48"/>
  <c r="BR16" i="48"/>
  <c r="BK16" i="48"/>
  <c r="BH16" i="48"/>
  <c r="BG16" i="48"/>
  <c r="BD16" i="48"/>
  <c r="BC16" i="48"/>
  <c r="AV16" i="48"/>
  <c r="AS16" i="48"/>
  <c r="AR16" i="48"/>
  <c r="AO16" i="48"/>
  <c r="AN16" i="48"/>
  <c r="AG16" i="48"/>
  <c r="Z16" i="48"/>
  <c r="Y16" i="48"/>
  <c r="Y15" i="48" s="1"/>
  <c r="X16" i="48"/>
  <c r="X15" i="48" s="1"/>
  <c r="Q16" i="48"/>
  <c r="K16" i="48" a="1"/>
  <c r="K16" i="48" s="1"/>
  <c r="J16" i="48"/>
  <c r="I16" i="48"/>
  <c r="D16" i="48"/>
  <c r="C16" i="48"/>
  <c r="L16" i="48" s="1" a="1"/>
  <c r="L16" i="48" s="1"/>
  <c r="BZ15" i="48"/>
  <c r="BW15" i="48"/>
  <c r="BV15" i="48"/>
  <c r="BS15" i="48"/>
  <c r="BR15" i="48"/>
  <c r="BK15" i="48"/>
  <c r="BH15" i="48"/>
  <c r="BG15" i="48"/>
  <c r="BD15" i="48"/>
  <c r="BC15" i="48"/>
  <c r="AV15" i="48"/>
  <c r="AS15" i="48"/>
  <c r="AR15" i="48"/>
  <c r="AO15" i="48"/>
  <c r="AN15" i="48"/>
  <c r="AG15" i="48"/>
  <c r="Z15" i="48"/>
  <c r="Q15" i="48"/>
  <c r="J15" i="48"/>
  <c r="I15" i="48"/>
  <c r="D15" i="48"/>
  <c r="C15" i="48"/>
  <c r="L15" i="48" s="1" a="1"/>
  <c r="L15" i="48" s="1"/>
  <c r="BU14" i="48"/>
  <c r="BT14" i="48"/>
  <c r="BQ14" i="48"/>
  <c r="BP14" i="48"/>
  <c r="BO14" i="48"/>
  <c r="BN14" i="48"/>
  <c r="BL14" i="48"/>
  <c r="BR14" i="48" s="1"/>
  <c r="BF14" i="48"/>
  <c r="BE14" i="48"/>
  <c r="BB14" i="48"/>
  <c r="BA14" i="48"/>
  <c r="AZ14" i="48"/>
  <c r="AY14" i="48"/>
  <c r="AX14" i="48"/>
  <c r="BH14" i="48" s="1"/>
  <c r="AQ14" i="48"/>
  <c r="AP14" i="48"/>
  <c r="AM14" i="48"/>
  <c r="AL14" i="48"/>
  <c r="AK14" i="48"/>
  <c r="AJ14" i="48"/>
  <c r="AI14" i="48"/>
  <c r="AS14" i="48" s="1"/>
  <c r="S14" i="48"/>
  <c r="R14" i="48"/>
  <c r="H14" i="48"/>
  <c r="G14" i="48"/>
  <c r="F14" i="48"/>
  <c r="U14" i="48" s="1"/>
  <c r="E14" i="48"/>
  <c r="T14" i="48" s="1"/>
  <c r="P3" i="48"/>
  <c r="B2" i="48" a="1"/>
  <c r="B2" i="48" s="1"/>
  <c r="N3" i="48"/>
  <c r="A1" i="47"/>
  <c r="N3" i="47" s="1"/>
  <c r="BZ125" i="47"/>
  <c r="BW125" i="47"/>
  <c r="BV125" i="47"/>
  <c r="BS125" i="47"/>
  <c r="BR125" i="47"/>
  <c r="BK125" i="47"/>
  <c r="BH125" i="47"/>
  <c r="BG125" i="47"/>
  <c r="BD125" i="47"/>
  <c r="BC125" i="47"/>
  <c r="AV125" i="47"/>
  <c r="AS125" i="47"/>
  <c r="AR125" i="47"/>
  <c r="AO125" i="47"/>
  <c r="AN125" i="47"/>
  <c r="AG125" i="47"/>
  <c r="Z125" i="47"/>
  <c r="Y125" i="47"/>
  <c r="X125" i="47"/>
  <c r="Q125" i="47"/>
  <c r="J125" i="47"/>
  <c r="I125" i="47"/>
  <c r="D125" i="47"/>
  <c r="C125" i="47"/>
  <c r="K125" i="47" s="1" a="1"/>
  <c r="K125" i="47" s="1"/>
  <c r="BZ124" i="47"/>
  <c r="BW124" i="47"/>
  <c r="BV124" i="47"/>
  <c r="BS124" i="47"/>
  <c r="BR124" i="47"/>
  <c r="BK124" i="47"/>
  <c r="BH124" i="47"/>
  <c r="BG124" i="47"/>
  <c r="BD124" i="47"/>
  <c r="BC124" i="47"/>
  <c r="AV124" i="47"/>
  <c r="AS124" i="47"/>
  <c r="AR124" i="47"/>
  <c r="AO124" i="47"/>
  <c r="AN124" i="47"/>
  <c r="AG124" i="47"/>
  <c r="Z124" i="47"/>
  <c r="Y124" i="47"/>
  <c r="X124" i="47"/>
  <c r="Q124" i="47"/>
  <c r="J124" i="47"/>
  <c r="I124" i="47"/>
  <c r="D124" i="47"/>
  <c r="C124" i="47"/>
  <c r="BZ123" i="47"/>
  <c r="BV123" i="47"/>
  <c r="BR123" i="47"/>
  <c r="BK123" i="47"/>
  <c r="BH123" i="47"/>
  <c r="BD123" i="47"/>
  <c r="AV123" i="47"/>
  <c r="AR123" i="47"/>
  <c r="AN123" i="47"/>
  <c r="AG123" i="47"/>
  <c r="Z123" i="47"/>
  <c r="Y123" i="47"/>
  <c r="X123" i="47"/>
  <c r="Q123" i="47"/>
  <c r="L123" i="47" a="1"/>
  <c r="L123" i="47" s="1"/>
  <c r="K123" i="47" a="1"/>
  <c r="K123" i="47" s="1"/>
  <c r="J123" i="47"/>
  <c r="I123" i="47"/>
  <c r="D123" i="47"/>
  <c r="C123" i="47"/>
  <c r="BZ122" i="47"/>
  <c r="BW122" i="47"/>
  <c r="BV122" i="47"/>
  <c r="BS122" i="47"/>
  <c r="BR122" i="47"/>
  <c r="BK122" i="47"/>
  <c r="BH122" i="47"/>
  <c r="BG122" i="47"/>
  <c r="BD122" i="47"/>
  <c r="BC122" i="47"/>
  <c r="AV122" i="47"/>
  <c r="AS122" i="47"/>
  <c r="AR122" i="47"/>
  <c r="AO122" i="47"/>
  <c r="AN122" i="47"/>
  <c r="AG122" i="47"/>
  <c r="Z122" i="47"/>
  <c r="X122" i="47"/>
  <c r="Q122" i="47"/>
  <c r="J122" i="47"/>
  <c r="I122" i="47"/>
  <c r="D122" i="47"/>
  <c r="C122" i="47"/>
  <c r="BZ121" i="47"/>
  <c r="BW121" i="47"/>
  <c r="BV121" i="47"/>
  <c r="BS121" i="47"/>
  <c r="BR121" i="47"/>
  <c r="BK121" i="47"/>
  <c r="BH121" i="47"/>
  <c r="BG121" i="47"/>
  <c r="BD121" i="47"/>
  <c r="BC121" i="47"/>
  <c r="AV121" i="47"/>
  <c r="AS121" i="47"/>
  <c r="AR121" i="47"/>
  <c r="AO121" i="47"/>
  <c r="AN121" i="47"/>
  <c r="AG121" i="47"/>
  <c r="Z121" i="47"/>
  <c r="Y121" i="47"/>
  <c r="X121" i="47"/>
  <c r="Q121" i="47"/>
  <c r="L121" i="47" a="1"/>
  <c r="L121" i="47" s="1"/>
  <c r="J121" i="47"/>
  <c r="I121" i="47"/>
  <c r="D121" i="47"/>
  <c r="C121" i="47"/>
  <c r="K121" i="47" s="1" a="1"/>
  <c r="K121" i="47" s="1"/>
  <c r="BZ120" i="47"/>
  <c r="BW120" i="47"/>
  <c r="BV120" i="47"/>
  <c r="BS120" i="47"/>
  <c r="BR120" i="47"/>
  <c r="BK120" i="47"/>
  <c r="BH120" i="47"/>
  <c r="BG120" i="47"/>
  <c r="BD120" i="47"/>
  <c r="BC120" i="47"/>
  <c r="AV120" i="47"/>
  <c r="AS120" i="47"/>
  <c r="AR120" i="47"/>
  <c r="AO120" i="47"/>
  <c r="AN120" i="47"/>
  <c r="AG120" i="47"/>
  <c r="Z120" i="47"/>
  <c r="Y120" i="47"/>
  <c r="X120" i="47"/>
  <c r="Q120" i="47"/>
  <c r="K120" i="47" a="1"/>
  <c r="K120" i="47" s="1"/>
  <c r="J120" i="47"/>
  <c r="I120" i="47"/>
  <c r="D120" i="47"/>
  <c r="C120" i="47"/>
  <c r="BZ119" i="47"/>
  <c r="BW119" i="47"/>
  <c r="BV119" i="47"/>
  <c r="BR119" i="47"/>
  <c r="BK119" i="47"/>
  <c r="BH119" i="47"/>
  <c r="BD119" i="47"/>
  <c r="AV119" i="47"/>
  <c r="AR119" i="47"/>
  <c r="AN119" i="47"/>
  <c r="AG119" i="47"/>
  <c r="Z119" i="47"/>
  <c r="Y119" i="47"/>
  <c r="X119" i="47"/>
  <c r="Q119" i="47"/>
  <c r="L119" i="47" a="1"/>
  <c r="L119" i="47" s="1"/>
  <c r="J119" i="47"/>
  <c r="I119" i="47"/>
  <c r="D119" i="47"/>
  <c r="C119" i="47"/>
  <c r="K119" i="47" s="1" a="1"/>
  <c r="K119" i="47" s="1"/>
  <c r="BZ118" i="47"/>
  <c r="BW118" i="47"/>
  <c r="BV118" i="47"/>
  <c r="BS118" i="47"/>
  <c r="BR118" i="47"/>
  <c r="BK118" i="47"/>
  <c r="BH118" i="47"/>
  <c r="BG118" i="47"/>
  <c r="BD118" i="47"/>
  <c r="BC118" i="47"/>
  <c r="AV118" i="47"/>
  <c r="AS118" i="47"/>
  <c r="AR118" i="47"/>
  <c r="AO118" i="47"/>
  <c r="AN118" i="47"/>
  <c r="AG118" i="47"/>
  <c r="Z118" i="47"/>
  <c r="Q118" i="47"/>
  <c r="K118" i="47" a="1"/>
  <c r="K118" i="47" s="1"/>
  <c r="J118" i="47"/>
  <c r="I118" i="47"/>
  <c r="D118" i="47"/>
  <c r="C118" i="47"/>
  <c r="BZ117" i="47"/>
  <c r="BW117" i="47"/>
  <c r="BV117" i="47"/>
  <c r="BS117" i="47"/>
  <c r="BR117" i="47"/>
  <c r="BK117" i="47"/>
  <c r="BH117" i="47"/>
  <c r="BG117" i="47"/>
  <c r="BD117" i="47"/>
  <c r="BC117" i="47"/>
  <c r="AV117" i="47"/>
  <c r="AS117" i="47"/>
  <c r="AR117" i="47"/>
  <c r="AO117" i="47"/>
  <c r="AN117" i="47"/>
  <c r="AG117" i="47"/>
  <c r="Z117" i="47"/>
  <c r="Y117" i="47"/>
  <c r="X117" i="47"/>
  <c r="Q117" i="47"/>
  <c r="J117" i="47"/>
  <c r="I117" i="47"/>
  <c r="D117" i="47"/>
  <c r="C117" i="47"/>
  <c r="K117" i="47" s="1" a="1"/>
  <c r="K117" i="47" s="1"/>
  <c r="BZ116" i="47"/>
  <c r="BW116" i="47"/>
  <c r="BV116" i="47"/>
  <c r="BS116" i="47"/>
  <c r="BR116" i="47"/>
  <c r="BK116" i="47"/>
  <c r="BH116" i="47"/>
  <c r="BG116" i="47"/>
  <c r="BD116" i="47"/>
  <c r="BC116" i="47"/>
  <c r="AV116" i="47"/>
  <c r="AS116" i="47"/>
  <c r="AR116" i="47"/>
  <c r="AO116" i="47"/>
  <c r="AN116" i="47"/>
  <c r="AG116" i="47"/>
  <c r="Z116" i="47"/>
  <c r="X116" i="47"/>
  <c r="Y116" i="47"/>
  <c r="Q116" i="47"/>
  <c r="J116" i="47"/>
  <c r="I116" i="47"/>
  <c r="D116" i="47"/>
  <c r="C116" i="47"/>
  <c r="K116" i="47" s="1" a="1"/>
  <c r="K116" i="47" s="1"/>
  <c r="BZ115" i="47"/>
  <c r="BV115" i="47"/>
  <c r="BR115" i="47"/>
  <c r="BK115" i="47"/>
  <c r="BH115" i="47"/>
  <c r="BD115" i="47"/>
  <c r="AV115" i="47"/>
  <c r="AR115" i="47"/>
  <c r="AN115" i="47"/>
  <c r="AG115" i="47"/>
  <c r="Z115" i="47"/>
  <c r="Y115" i="47"/>
  <c r="X115" i="47"/>
  <c r="Q115" i="47"/>
  <c r="J115" i="47"/>
  <c r="I115" i="47"/>
  <c r="D115" i="47"/>
  <c r="C115" i="47"/>
  <c r="L115" i="47" s="1" a="1"/>
  <c r="L115" i="47" s="1"/>
  <c r="BZ114" i="47"/>
  <c r="BW114" i="47"/>
  <c r="BV114" i="47"/>
  <c r="BS114" i="47"/>
  <c r="BR114" i="47"/>
  <c r="BK114" i="47"/>
  <c r="BH114" i="47"/>
  <c r="BG114" i="47"/>
  <c r="BD114" i="47"/>
  <c r="BC114" i="47"/>
  <c r="AV114" i="47"/>
  <c r="AS114" i="47"/>
  <c r="AR114" i="47"/>
  <c r="AO114" i="47"/>
  <c r="AN114" i="47"/>
  <c r="AG114" i="47"/>
  <c r="Z114" i="47"/>
  <c r="X114" i="47"/>
  <c r="Q114" i="47"/>
  <c r="J114" i="47"/>
  <c r="I114" i="47"/>
  <c r="D114" i="47"/>
  <c r="C114" i="47"/>
  <c r="K114" i="47" s="1" a="1"/>
  <c r="K114" i="47" s="1"/>
  <c r="BZ113" i="47"/>
  <c r="BW113" i="47"/>
  <c r="BV113" i="47"/>
  <c r="BS113" i="47"/>
  <c r="BR113" i="47"/>
  <c r="BK113" i="47"/>
  <c r="BH113" i="47"/>
  <c r="BG113" i="47"/>
  <c r="BD113" i="47"/>
  <c r="BC113" i="47"/>
  <c r="AV113" i="47"/>
  <c r="AS113" i="47"/>
  <c r="AR113" i="47"/>
  <c r="AO113" i="47"/>
  <c r="AN113" i="47"/>
  <c r="AG113" i="47"/>
  <c r="Z113" i="47"/>
  <c r="Y113" i="47"/>
  <c r="X113" i="47"/>
  <c r="Q113" i="47"/>
  <c r="L113" i="47" a="1"/>
  <c r="L113" i="47" s="1"/>
  <c r="J113" i="47"/>
  <c r="I113" i="47"/>
  <c r="D113" i="47"/>
  <c r="C113" i="47"/>
  <c r="K113" i="47" s="1" a="1"/>
  <c r="K113" i="47" s="1"/>
  <c r="BZ112" i="47"/>
  <c r="BW112" i="47"/>
  <c r="BV112" i="47"/>
  <c r="BS112" i="47"/>
  <c r="BR112" i="47"/>
  <c r="BK112" i="47"/>
  <c r="BH112" i="47"/>
  <c r="BG112" i="47"/>
  <c r="BD112" i="47"/>
  <c r="BC112" i="47"/>
  <c r="AV112" i="47"/>
  <c r="AS112" i="47"/>
  <c r="AR112" i="47"/>
  <c r="AO112" i="47"/>
  <c r="AN112" i="47"/>
  <c r="AG112" i="47"/>
  <c r="Z112" i="47"/>
  <c r="X112" i="47"/>
  <c r="Y112" i="47"/>
  <c r="Q112" i="47"/>
  <c r="L112" i="47" a="1"/>
  <c r="L112" i="47" s="1"/>
  <c r="J112" i="47"/>
  <c r="I112" i="47"/>
  <c r="D112" i="47"/>
  <c r="C112" i="47"/>
  <c r="BZ111" i="47"/>
  <c r="BV111" i="47"/>
  <c r="BR111" i="47"/>
  <c r="BK111" i="47"/>
  <c r="BH111" i="47"/>
  <c r="BG111" i="47"/>
  <c r="BD111" i="47"/>
  <c r="AV111" i="47"/>
  <c r="AR111" i="47"/>
  <c r="AN111" i="47"/>
  <c r="AG111" i="47"/>
  <c r="Z111" i="47"/>
  <c r="Y111" i="47"/>
  <c r="X111" i="47"/>
  <c r="Q111" i="47"/>
  <c r="L111" i="47" a="1"/>
  <c r="L111" i="47" s="1"/>
  <c r="K111" i="47" a="1"/>
  <c r="K111" i="47" s="1"/>
  <c r="J111" i="47"/>
  <c r="I111" i="47"/>
  <c r="D111" i="47"/>
  <c r="C111" i="47"/>
  <c r="BZ110" i="47"/>
  <c r="BW110" i="47"/>
  <c r="BV110" i="47"/>
  <c r="BS110" i="47"/>
  <c r="BR110" i="47"/>
  <c r="BK110" i="47"/>
  <c r="BH110" i="47"/>
  <c r="BG110" i="47"/>
  <c r="BD110" i="47"/>
  <c r="BC110" i="47"/>
  <c r="AV110" i="47"/>
  <c r="AS110" i="47"/>
  <c r="AR110" i="47"/>
  <c r="AO110" i="47"/>
  <c r="AN110" i="47"/>
  <c r="AG110" i="47"/>
  <c r="Z110" i="47"/>
  <c r="Q110" i="47"/>
  <c r="J110" i="47"/>
  <c r="I110" i="47"/>
  <c r="D110" i="47"/>
  <c r="C110" i="47"/>
  <c r="BZ109" i="47"/>
  <c r="BW109" i="47"/>
  <c r="BV109" i="47"/>
  <c r="BS109" i="47"/>
  <c r="BR109" i="47"/>
  <c r="BK109" i="47"/>
  <c r="BH109" i="47"/>
  <c r="BG109" i="47"/>
  <c r="BD109" i="47"/>
  <c r="BC109" i="47"/>
  <c r="AV109" i="47"/>
  <c r="AS109" i="47"/>
  <c r="AR109" i="47"/>
  <c r="AO109" i="47"/>
  <c r="AN109" i="47"/>
  <c r="AG109" i="47"/>
  <c r="Z109" i="47"/>
  <c r="Y109" i="47"/>
  <c r="X109" i="47"/>
  <c r="Q109" i="47"/>
  <c r="J109" i="47"/>
  <c r="I109" i="47"/>
  <c r="D109" i="47"/>
  <c r="C109" i="47"/>
  <c r="BZ108" i="47"/>
  <c r="BW108" i="47"/>
  <c r="BV108" i="47"/>
  <c r="BS108" i="47"/>
  <c r="BR108" i="47"/>
  <c r="BK108" i="47"/>
  <c r="BH108" i="47"/>
  <c r="BG108" i="47"/>
  <c r="BD108" i="47"/>
  <c r="BC108" i="47"/>
  <c r="AV108" i="47"/>
  <c r="AS108" i="47"/>
  <c r="AR108" i="47"/>
  <c r="AO108" i="47"/>
  <c r="AN108" i="47"/>
  <c r="AG108" i="47"/>
  <c r="Z108" i="47"/>
  <c r="Y108" i="47"/>
  <c r="X108" i="47"/>
  <c r="Q108" i="47"/>
  <c r="K108" i="47" a="1"/>
  <c r="K108" i="47" s="1"/>
  <c r="J108" i="47"/>
  <c r="I108" i="47"/>
  <c r="D108" i="47"/>
  <c r="C108" i="47"/>
  <c r="BZ107" i="47"/>
  <c r="BV107" i="47"/>
  <c r="BR107" i="47"/>
  <c r="BK107" i="47"/>
  <c r="BH107" i="47"/>
  <c r="BD107" i="47"/>
  <c r="AV107" i="47"/>
  <c r="AR107" i="47"/>
  <c r="AN107" i="47"/>
  <c r="AG107" i="47"/>
  <c r="Z107" i="47"/>
  <c r="Y107" i="47"/>
  <c r="X107" i="47"/>
  <c r="Q107" i="47"/>
  <c r="L107" i="47" a="1"/>
  <c r="L107" i="47" s="1"/>
  <c r="J107" i="47"/>
  <c r="I107" i="47"/>
  <c r="D107" i="47"/>
  <c r="C107" i="47"/>
  <c r="K107" i="47" s="1" a="1"/>
  <c r="K107" i="47" s="1"/>
  <c r="BZ106" i="47"/>
  <c r="BW106" i="47"/>
  <c r="BV106" i="47"/>
  <c r="BS106" i="47"/>
  <c r="BR106" i="47"/>
  <c r="BK106" i="47"/>
  <c r="BH106" i="47"/>
  <c r="BG106" i="47"/>
  <c r="BD106" i="47"/>
  <c r="BC106" i="47"/>
  <c r="AV106" i="47"/>
  <c r="AS106" i="47"/>
  <c r="AR106" i="47"/>
  <c r="AO106" i="47"/>
  <c r="AN106" i="47"/>
  <c r="AG106" i="47"/>
  <c r="Z106" i="47"/>
  <c r="Q106" i="47"/>
  <c r="J106" i="47"/>
  <c r="I106" i="47"/>
  <c r="D106" i="47"/>
  <c r="C106" i="47"/>
  <c r="BZ105" i="47"/>
  <c r="BW105" i="47"/>
  <c r="BV105" i="47"/>
  <c r="BS105" i="47"/>
  <c r="BR105" i="47"/>
  <c r="BK105" i="47"/>
  <c r="BH105" i="47"/>
  <c r="BG105" i="47"/>
  <c r="BD105" i="47"/>
  <c r="BC105" i="47"/>
  <c r="AV105" i="47"/>
  <c r="AS105" i="47"/>
  <c r="AR105" i="47"/>
  <c r="AO105" i="47"/>
  <c r="AN105" i="47"/>
  <c r="AG105" i="47"/>
  <c r="Z105" i="47"/>
  <c r="Y105" i="47"/>
  <c r="X105" i="47"/>
  <c r="Q105" i="47"/>
  <c r="J105" i="47"/>
  <c r="I105" i="47"/>
  <c r="D105" i="47"/>
  <c r="C105" i="47"/>
  <c r="L105" i="47" s="1" a="1"/>
  <c r="L105" i="47" s="1"/>
  <c r="BZ104" i="47"/>
  <c r="BW104" i="47"/>
  <c r="BV104" i="47"/>
  <c r="BS104" i="47"/>
  <c r="BR104" i="47"/>
  <c r="BK104" i="47"/>
  <c r="BH104" i="47"/>
  <c r="BG104" i="47"/>
  <c r="BD104" i="47"/>
  <c r="BC104" i="47"/>
  <c r="AV104" i="47"/>
  <c r="AS104" i="47"/>
  <c r="AR104" i="47"/>
  <c r="AO104" i="47"/>
  <c r="AN104" i="47"/>
  <c r="AG104" i="47"/>
  <c r="Z104" i="47"/>
  <c r="Y104" i="47"/>
  <c r="X104" i="47"/>
  <c r="Q104" i="47"/>
  <c r="J104" i="47"/>
  <c r="I104" i="47"/>
  <c r="D104" i="47"/>
  <c r="C104" i="47"/>
  <c r="K104" i="47" s="1" a="1"/>
  <c r="K104" i="47" s="1"/>
  <c r="BZ103" i="47"/>
  <c r="BV103" i="47"/>
  <c r="BR103" i="47"/>
  <c r="BK103" i="47"/>
  <c r="BH103" i="47"/>
  <c r="BD103" i="47"/>
  <c r="AV103" i="47"/>
  <c r="AR103" i="47"/>
  <c r="AN103" i="47"/>
  <c r="AG103" i="47"/>
  <c r="Z103" i="47"/>
  <c r="Y103" i="47"/>
  <c r="X103" i="47"/>
  <c r="Q103" i="47"/>
  <c r="J103" i="47"/>
  <c r="I103" i="47"/>
  <c r="D103" i="47"/>
  <c r="C103" i="47"/>
  <c r="L103" i="47" s="1" a="1"/>
  <c r="L103" i="47" s="1"/>
  <c r="BZ102" i="47"/>
  <c r="BW102" i="47"/>
  <c r="BV102" i="47"/>
  <c r="BS102" i="47"/>
  <c r="BR102" i="47"/>
  <c r="BK102" i="47"/>
  <c r="BH102" i="47"/>
  <c r="BG102" i="47"/>
  <c r="BD102" i="47"/>
  <c r="BC102" i="47"/>
  <c r="AV102" i="47"/>
  <c r="AS102" i="47"/>
  <c r="AR102" i="47"/>
  <c r="AO102" i="47"/>
  <c r="AN102" i="47"/>
  <c r="AG102" i="47"/>
  <c r="Z102" i="47"/>
  <c r="Q102" i="47"/>
  <c r="J102" i="47"/>
  <c r="I102" i="47"/>
  <c r="D102" i="47"/>
  <c r="C102" i="47"/>
  <c r="L102" i="47" s="1" a="1"/>
  <c r="L102" i="47" s="1"/>
  <c r="BZ101" i="47"/>
  <c r="BW101" i="47"/>
  <c r="BV101" i="47"/>
  <c r="BS101" i="47"/>
  <c r="BR101" i="47"/>
  <c r="BK101" i="47"/>
  <c r="BH101" i="47"/>
  <c r="BG101" i="47"/>
  <c r="BD101" i="47"/>
  <c r="BC101" i="47"/>
  <c r="AV101" i="47"/>
  <c r="AS101" i="47"/>
  <c r="AR101" i="47"/>
  <c r="AO101" i="47"/>
  <c r="AN101" i="47"/>
  <c r="AG101" i="47"/>
  <c r="Z101" i="47"/>
  <c r="Y101" i="47"/>
  <c r="X101" i="47"/>
  <c r="Q101" i="47"/>
  <c r="J101" i="47"/>
  <c r="I101" i="47"/>
  <c r="D101" i="47"/>
  <c r="C101" i="47"/>
  <c r="BZ100" i="47"/>
  <c r="BW100" i="47"/>
  <c r="BV100" i="47"/>
  <c r="BS100" i="47"/>
  <c r="BR100" i="47"/>
  <c r="BK100" i="47"/>
  <c r="BH100" i="47"/>
  <c r="BG100" i="47"/>
  <c r="BD100" i="47"/>
  <c r="BC100" i="47"/>
  <c r="AV100" i="47"/>
  <c r="AS100" i="47"/>
  <c r="AR100" i="47"/>
  <c r="AO100" i="47"/>
  <c r="AN100" i="47"/>
  <c r="AG100" i="47"/>
  <c r="Z100" i="47"/>
  <c r="Y100" i="47"/>
  <c r="X100" i="47"/>
  <c r="Q100" i="47"/>
  <c r="J100" i="47"/>
  <c r="I100" i="47"/>
  <c r="D100" i="47"/>
  <c r="C100" i="47"/>
  <c r="K100" i="47" s="1" a="1"/>
  <c r="K100" i="47" s="1"/>
  <c r="BZ99" i="47"/>
  <c r="BV99" i="47"/>
  <c r="BR99" i="47"/>
  <c r="BK99" i="47"/>
  <c r="BH99" i="47"/>
  <c r="BG99" i="47"/>
  <c r="BD99" i="47"/>
  <c r="AV99" i="47"/>
  <c r="AR99" i="47"/>
  <c r="AN99" i="47"/>
  <c r="AG99" i="47"/>
  <c r="Z99" i="47"/>
  <c r="Y99" i="47"/>
  <c r="X99" i="47"/>
  <c r="Q99" i="47"/>
  <c r="J99" i="47"/>
  <c r="I99" i="47"/>
  <c r="D99" i="47"/>
  <c r="C99" i="47"/>
  <c r="BZ98" i="47"/>
  <c r="BW98" i="47"/>
  <c r="BV98" i="47"/>
  <c r="BS98" i="47"/>
  <c r="BR98" i="47"/>
  <c r="BK98" i="47"/>
  <c r="BH98" i="47"/>
  <c r="BG98" i="47"/>
  <c r="BD98" i="47"/>
  <c r="BC98" i="47"/>
  <c r="AV98" i="47"/>
  <c r="AS98" i="47"/>
  <c r="AR98" i="47"/>
  <c r="AO98" i="47"/>
  <c r="AN98" i="47"/>
  <c r="AG98" i="47"/>
  <c r="Z98" i="47"/>
  <c r="Q98" i="47"/>
  <c r="J98" i="47"/>
  <c r="I98" i="47"/>
  <c r="D98" i="47"/>
  <c r="C98" i="47"/>
  <c r="L98" i="47" s="1" a="1"/>
  <c r="L98" i="47" s="1"/>
  <c r="BZ97" i="47"/>
  <c r="BW97" i="47"/>
  <c r="BV97" i="47"/>
  <c r="BS97" i="47"/>
  <c r="BR97" i="47"/>
  <c r="BK97" i="47"/>
  <c r="BH97" i="47"/>
  <c r="BG97" i="47"/>
  <c r="BD97" i="47"/>
  <c r="BC97" i="47"/>
  <c r="AV97" i="47"/>
  <c r="AS97" i="47"/>
  <c r="AR97" i="47"/>
  <c r="AO97" i="47"/>
  <c r="AN97" i="47"/>
  <c r="AG97" i="47"/>
  <c r="Z97" i="47"/>
  <c r="Y97" i="47"/>
  <c r="X97" i="47"/>
  <c r="Q97" i="47"/>
  <c r="J97" i="47"/>
  <c r="I97" i="47"/>
  <c r="D97" i="47"/>
  <c r="C97" i="47"/>
  <c r="L97" i="47" s="1" a="1"/>
  <c r="L97" i="47" s="1"/>
  <c r="BZ96" i="47"/>
  <c r="BW96" i="47"/>
  <c r="BV96" i="47"/>
  <c r="BS96" i="47"/>
  <c r="BR96" i="47"/>
  <c r="BK96" i="47"/>
  <c r="BH96" i="47"/>
  <c r="BG96" i="47"/>
  <c r="BD96" i="47"/>
  <c r="BC96" i="47"/>
  <c r="AV96" i="47"/>
  <c r="AS96" i="47"/>
  <c r="AR96" i="47"/>
  <c r="AO96" i="47"/>
  <c r="AN96" i="47"/>
  <c r="AG96" i="47"/>
  <c r="Z96" i="47"/>
  <c r="Y96" i="47"/>
  <c r="X96" i="47"/>
  <c r="Q96" i="47"/>
  <c r="K96" i="47" a="1"/>
  <c r="K96" i="47" s="1"/>
  <c r="J96" i="47"/>
  <c r="I96" i="47"/>
  <c r="D96" i="47"/>
  <c r="C96" i="47"/>
  <c r="BZ95" i="47"/>
  <c r="BW95" i="47"/>
  <c r="BV95" i="47"/>
  <c r="BR95" i="47"/>
  <c r="BK95" i="47"/>
  <c r="BH95" i="47"/>
  <c r="BD95" i="47"/>
  <c r="AV95" i="47"/>
  <c r="AS95" i="47"/>
  <c r="AR95" i="47"/>
  <c r="AN95" i="47"/>
  <c r="AG95" i="47"/>
  <c r="Z95" i="47"/>
  <c r="X95" i="47"/>
  <c r="Y95" i="47"/>
  <c r="Q95" i="47"/>
  <c r="L95" i="47" a="1"/>
  <c r="L95" i="47" s="1"/>
  <c r="J95" i="47"/>
  <c r="I95" i="47"/>
  <c r="D95" i="47"/>
  <c r="C95" i="47"/>
  <c r="K95" i="47" s="1" a="1"/>
  <c r="K95" i="47" s="1"/>
  <c r="BZ94" i="47"/>
  <c r="BW94" i="47"/>
  <c r="BV94" i="47"/>
  <c r="BS94" i="47"/>
  <c r="BR94" i="47"/>
  <c r="BK94" i="47"/>
  <c r="BH94" i="47"/>
  <c r="BG94" i="47"/>
  <c r="BD94" i="47"/>
  <c r="BC94" i="47"/>
  <c r="AV94" i="47"/>
  <c r="AS94" i="47"/>
  <c r="AR94" i="47"/>
  <c r="AO94" i="47"/>
  <c r="AN94" i="47"/>
  <c r="AG94" i="47"/>
  <c r="Z94" i="47"/>
  <c r="Q94" i="47"/>
  <c r="L94" i="47" a="1"/>
  <c r="L94" i="47" s="1"/>
  <c r="J94" i="47"/>
  <c r="I94" i="47"/>
  <c r="D94" i="47"/>
  <c r="C94" i="47"/>
  <c r="K94" i="47" s="1" a="1"/>
  <c r="K94" i="47" s="1"/>
  <c r="BZ93" i="47"/>
  <c r="BW93" i="47"/>
  <c r="BV93" i="47"/>
  <c r="BS93" i="47"/>
  <c r="BR93" i="47"/>
  <c r="BK93" i="47"/>
  <c r="BH93" i="47"/>
  <c r="BG93" i="47"/>
  <c r="BD93" i="47"/>
  <c r="BC93" i="47"/>
  <c r="AV93" i="47"/>
  <c r="AS93" i="47"/>
  <c r="AR93" i="47"/>
  <c r="AO93" i="47"/>
  <c r="AN93" i="47"/>
  <c r="AG93" i="47"/>
  <c r="Z93" i="47"/>
  <c r="Y93" i="47"/>
  <c r="X93" i="47"/>
  <c r="Q93" i="47"/>
  <c r="K93" i="47" a="1"/>
  <c r="K93" i="47" s="1"/>
  <c r="J93" i="47"/>
  <c r="I93" i="47"/>
  <c r="D93" i="47"/>
  <c r="C93" i="47"/>
  <c r="BZ92" i="47"/>
  <c r="BW92" i="47"/>
  <c r="BV92" i="47"/>
  <c r="BS92" i="47"/>
  <c r="BR92" i="47"/>
  <c r="BK92" i="47"/>
  <c r="BH92" i="47"/>
  <c r="BG92" i="47"/>
  <c r="BD92" i="47"/>
  <c r="BC92" i="47"/>
  <c r="AV92" i="47"/>
  <c r="AS92" i="47"/>
  <c r="AR92" i="47"/>
  <c r="AO92" i="47"/>
  <c r="AN92" i="47"/>
  <c r="AG92" i="47"/>
  <c r="Z92" i="47"/>
  <c r="Y92" i="47"/>
  <c r="X92" i="47"/>
  <c r="Q92" i="47"/>
  <c r="L92" i="47" a="1"/>
  <c r="L92" i="47" s="1"/>
  <c r="K92" i="47" a="1"/>
  <c r="K92" i="47" s="1"/>
  <c r="J92" i="47"/>
  <c r="I92" i="47"/>
  <c r="D92" i="47"/>
  <c r="C92" i="47"/>
  <c r="BZ91" i="47"/>
  <c r="BW91" i="47"/>
  <c r="BV91" i="47"/>
  <c r="BR91" i="47"/>
  <c r="BK91" i="47"/>
  <c r="BH91" i="47"/>
  <c r="BD91" i="47"/>
  <c r="AV91" i="47"/>
  <c r="AR91" i="47"/>
  <c r="AN91" i="47"/>
  <c r="AG91" i="47"/>
  <c r="Z91" i="47"/>
  <c r="Y91" i="47"/>
  <c r="X91" i="47"/>
  <c r="Q91" i="47"/>
  <c r="J91" i="47"/>
  <c r="I91" i="47"/>
  <c r="D91" i="47"/>
  <c r="C91" i="47"/>
  <c r="BZ90" i="47"/>
  <c r="BW90" i="47"/>
  <c r="BV90" i="47"/>
  <c r="BS90" i="47"/>
  <c r="BR90" i="47"/>
  <c r="BK90" i="47"/>
  <c r="BH90" i="47"/>
  <c r="BG90" i="47"/>
  <c r="BD90" i="47"/>
  <c r="BC90" i="47"/>
  <c r="AV90" i="47"/>
  <c r="AS90" i="47"/>
  <c r="AR90" i="47"/>
  <c r="AO90" i="47"/>
  <c r="AN90" i="47"/>
  <c r="AG90" i="47"/>
  <c r="Z90" i="47"/>
  <c r="X90" i="47"/>
  <c r="Q90" i="47"/>
  <c r="L90" i="47" a="1"/>
  <c r="L90" i="47" s="1"/>
  <c r="J90" i="47"/>
  <c r="I90" i="47"/>
  <c r="D90" i="47"/>
  <c r="C90" i="47"/>
  <c r="BZ89" i="47"/>
  <c r="BW89" i="47"/>
  <c r="BV89" i="47"/>
  <c r="BS89" i="47"/>
  <c r="BR89" i="47"/>
  <c r="BK89" i="47"/>
  <c r="BH89" i="47"/>
  <c r="BG89" i="47"/>
  <c r="BD89" i="47"/>
  <c r="BC89" i="47"/>
  <c r="AV89" i="47"/>
  <c r="AS89" i="47"/>
  <c r="AR89" i="47"/>
  <c r="AO89" i="47"/>
  <c r="AN89" i="47"/>
  <c r="AG89" i="47"/>
  <c r="Z89" i="47"/>
  <c r="Y89" i="47"/>
  <c r="X89" i="47"/>
  <c r="Q89" i="47"/>
  <c r="J89" i="47"/>
  <c r="I89" i="47"/>
  <c r="D89" i="47"/>
  <c r="C89" i="47"/>
  <c r="K89" i="47" s="1" a="1"/>
  <c r="K89" i="47" s="1"/>
  <c r="BZ88" i="47"/>
  <c r="BW88" i="47"/>
  <c r="BV88" i="47"/>
  <c r="BS88" i="47"/>
  <c r="BR88" i="47"/>
  <c r="BK88" i="47"/>
  <c r="BH88" i="47"/>
  <c r="BG88" i="47"/>
  <c r="BD88" i="47"/>
  <c r="BC88" i="47"/>
  <c r="AV88" i="47"/>
  <c r="AS88" i="47"/>
  <c r="AR88" i="47"/>
  <c r="AO88" i="47"/>
  <c r="AN88" i="47"/>
  <c r="AG88" i="47"/>
  <c r="Z88" i="47"/>
  <c r="Y88" i="47"/>
  <c r="X88" i="47"/>
  <c r="Q88" i="47"/>
  <c r="J88" i="47"/>
  <c r="I88" i="47"/>
  <c r="D88" i="47"/>
  <c r="C88" i="47"/>
  <c r="L88" i="47" s="1" a="1"/>
  <c r="L88" i="47" s="1"/>
  <c r="BZ87" i="47"/>
  <c r="BV87" i="47"/>
  <c r="BR87" i="47"/>
  <c r="BK87" i="47"/>
  <c r="BH87" i="47"/>
  <c r="BD87" i="47"/>
  <c r="AV87" i="47"/>
  <c r="AR87" i="47"/>
  <c r="AN87" i="47"/>
  <c r="AG87" i="47"/>
  <c r="Z87" i="47"/>
  <c r="Y87" i="47"/>
  <c r="X87" i="47"/>
  <c r="Q87" i="47"/>
  <c r="J87" i="47"/>
  <c r="I87" i="47"/>
  <c r="D87" i="47"/>
  <c r="C87" i="47"/>
  <c r="BZ86" i="47"/>
  <c r="BW86" i="47"/>
  <c r="BV86" i="47"/>
  <c r="BS86" i="47"/>
  <c r="BR86" i="47"/>
  <c r="BK86" i="47"/>
  <c r="BH86" i="47"/>
  <c r="BG86" i="47"/>
  <c r="BD86" i="47"/>
  <c r="BC86" i="47"/>
  <c r="AV86" i="47"/>
  <c r="AS86" i="47"/>
  <c r="AR86" i="47"/>
  <c r="AO86" i="47"/>
  <c r="AN86" i="47"/>
  <c r="AG86" i="47"/>
  <c r="Z86" i="47"/>
  <c r="Q86" i="47"/>
  <c r="J86" i="47"/>
  <c r="I86" i="47"/>
  <c r="D86" i="47"/>
  <c r="C86" i="47"/>
  <c r="L86" i="47" s="1" a="1"/>
  <c r="L86" i="47" s="1"/>
  <c r="BZ85" i="47"/>
  <c r="BW85" i="47"/>
  <c r="BV85" i="47"/>
  <c r="BS85" i="47"/>
  <c r="BR85" i="47"/>
  <c r="BK85" i="47"/>
  <c r="BH85" i="47"/>
  <c r="BG85" i="47"/>
  <c r="BD85" i="47"/>
  <c r="BC85" i="47"/>
  <c r="AV85" i="47"/>
  <c r="AS85" i="47"/>
  <c r="AR85" i="47"/>
  <c r="AO85" i="47"/>
  <c r="AN85" i="47"/>
  <c r="AG85" i="47"/>
  <c r="Z85" i="47"/>
  <c r="Y85" i="47"/>
  <c r="X85" i="47"/>
  <c r="Q85" i="47"/>
  <c r="J85" i="47"/>
  <c r="I85" i="47"/>
  <c r="D85" i="47"/>
  <c r="C85" i="47"/>
  <c r="K85" i="47" s="1" a="1"/>
  <c r="K85" i="47" s="1"/>
  <c r="BZ84" i="47"/>
  <c r="BW84" i="47"/>
  <c r="BV84" i="47"/>
  <c r="BS84" i="47"/>
  <c r="BR84" i="47"/>
  <c r="BK84" i="47"/>
  <c r="BH84" i="47"/>
  <c r="BG84" i="47"/>
  <c r="BD84" i="47"/>
  <c r="BC84" i="47"/>
  <c r="AV84" i="47"/>
  <c r="AS84" i="47"/>
  <c r="AR84" i="47"/>
  <c r="AO84" i="47"/>
  <c r="AN84" i="47"/>
  <c r="AG84" i="47"/>
  <c r="Z84" i="47"/>
  <c r="Y84" i="47"/>
  <c r="X84" i="47"/>
  <c r="Q84" i="47"/>
  <c r="L84" i="47" a="1"/>
  <c r="L84" i="47" s="1"/>
  <c r="K84" i="47" a="1"/>
  <c r="K84" i="47" s="1"/>
  <c r="J84" i="47"/>
  <c r="I84" i="47"/>
  <c r="D84" i="47"/>
  <c r="C84" i="47"/>
  <c r="BZ83" i="47"/>
  <c r="BW83" i="47"/>
  <c r="BV83" i="47"/>
  <c r="BR83" i="47"/>
  <c r="BK83" i="47"/>
  <c r="BH83" i="47"/>
  <c r="BD83" i="47"/>
  <c r="AV83" i="47"/>
  <c r="AR83" i="47"/>
  <c r="AN83" i="47"/>
  <c r="AG83" i="47"/>
  <c r="Z83" i="47"/>
  <c r="Y83" i="47"/>
  <c r="X83" i="47"/>
  <c r="Q83" i="47"/>
  <c r="K83" i="47" a="1"/>
  <c r="K83" i="47" s="1"/>
  <c r="J83" i="47"/>
  <c r="I83" i="47"/>
  <c r="D83" i="47"/>
  <c r="C83" i="47"/>
  <c r="BZ82" i="47"/>
  <c r="BW82" i="47"/>
  <c r="BV82" i="47"/>
  <c r="BS82" i="47"/>
  <c r="BR82" i="47"/>
  <c r="BK82" i="47"/>
  <c r="BH82" i="47"/>
  <c r="BG82" i="47"/>
  <c r="BD82" i="47"/>
  <c r="BC82" i="47"/>
  <c r="AV82" i="47"/>
  <c r="AS82" i="47"/>
  <c r="AR82" i="47"/>
  <c r="AO82" i="47"/>
  <c r="AN82" i="47"/>
  <c r="AG82" i="47"/>
  <c r="Z82" i="47"/>
  <c r="X82" i="47"/>
  <c r="Q82" i="47"/>
  <c r="L82" i="47" a="1"/>
  <c r="L82" i="47" s="1"/>
  <c r="K82" i="47" a="1"/>
  <c r="K82" i="47" s="1"/>
  <c r="J82" i="47"/>
  <c r="I82" i="47"/>
  <c r="D82" i="47"/>
  <c r="C82" i="47"/>
  <c r="BZ81" i="47"/>
  <c r="BW81" i="47"/>
  <c r="BV81" i="47"/>
  <c r="BS81" i="47"/>
  <c r="BR81" i="47"/>
  <c r="BK81" i="47"/>
  <c r="BH81" i="47"/>
  <c r="BG81" i="47"/>
  <c r="BD81" i="47"/>
  <c r="BC81" i="47"/>
  <c r="AV81" i="47"/>
  <c r="AS81" i="47"/>
  <c r="AR81" i="47"/>
  <c r="AO81" i="47"/>
  <c r="AN81" i="47"/>
  <c r="AG81" i="47"/>
  <c r="Z81" i="47"/>
  <c r="Y81" i="47"/>
  <c r="X81" i="47"/>
  <c r="Q81" i="47"/>
  <c r="J81" i="47"/>
  <c r="I81" i="47"/>
  <c r="D81" i="47"/>
  <c r="C81" i="47"/>
  <c r="BZ80" i="47"/>
  <c r="BW80" i="47"/>
  <c r="BV80" i="47"/>
  <c r="BS80" i="47"/>
  <c r="BR80" i="47"/>
  <c r="BK80" i="47"/>
  <c r="BH80" i="47"/>
  <c r="BG80" i="47"/>
  <c r="BD80" i="47"/>
  <c r="BC80" i="47"/>
  <c r="AV80" i="47"/>
  <c r="AS80" i="47"/>
  <c r="AR80" i="47"/>
  <c r="AO80" i="47"/>
  <c r="AN80" i="47"/>
  <c r="AG80" i="47"/>
  <c r="Z80" i="47"/>
  <c r="Y80" i="47"/>
  <c r="X80" i="47"/>
  <c r="Q80" i="47"/>
  <c r="J80" i="47"/>
  <c r="I80" i="47"/>
  <c r="D80" i="47"/>
  <c r="C80" i="47"/>
  <c r="L80" i="47" s="1" a="1"/>
  <c r="L80" i="47" s="1"/>
  <c r="BZ79" i="47"/>
  <c r="BV79" i="47"/>
  <c r="BS79" i="47"/>
  <c r="BR79" i="47"/>
  <c r="BK79" i="47"/>
  <c r="BH79" i="47"/>
  <c r="BD79" i="47"/>
  <c r="AV79" i="47"/>
  <c r="AR79" i="47"/>
  <c r="AN79" i="47"/>
  <c r="AG79" i="47"/>
  <c r="Z79" i="47"/>
  <c r="Y79" i="47"/>
  <c r="X79" i="47"/>
  <c r="Q79" i="47"/>
  <c r="J79" i="47"/>
  <c r="I79" i="47"/>
  <c r="D79" i="47"/>
  <c r="C79" i="47"/>
  <c r="K79" i="47" s="1" a="1"/>
  <c r="K79" i="47" s="1"/>
  <c r="BZ78" i="47"/>
  <c r="BW78" i="47"/>
  <c r="BV78" i="47"/>
  <c r="BS78" i="47"/>
  <c r="BR78" i="47"/>
  <c r="BK78" i="47"/>
  <c r="BH78" i="47"/>
  <c r="BG78" i="47"/>
  <c r="BD78" i="47"/>
  <c r="BC78" i="47"/>
  <c r="AV78" i="47"/>
  <c r="AS78" i="47"/>
  <c r="AR78" i="47"/>
  <c r="AO78" i="47"/>
  <c r="AN78" i="47"/>
  <c r="AG78" i="47"/>
  <c r="Z78" i="47"/>
  <c r="Q78" i="47"/>
  <c r="K78" i="47" a="1"/>
  <c r="K78" i="47" s="1"/>
  <c r="J78" i="47"/>
  <c r="I78" i="47"/>
  <c r="D78" i="47"/>
  <c r="C78" i="47"/>
  <c r="L78" i="47" s="1" a="1"/>
  <c r="L78" i="47" s="1"/>
  <c r="BZ77" i="47"/>
  <c r="BW77" i="47"/>
  <c r="BV77" i="47"/>
  <c r="BS77" i="47"/>
  <c r="BR77" i="47"/>
  <c r="BK77" i="47"/>
  <c r="BH77" i="47"/>
  <c r="BG77" i="47"/>
  <c r="BD77" i="47"/>
  <c r="BC77" i="47"/>
  <c r="AV77" i="47"/>
  <c r="AS77" i="47"/>
  <c r="AR77" i="47"/>
  <c r="AO77" i="47"/>
  <c r="AN77" i="47"/>
  <c r="AG77" i="47"/>
  <c r="Z77" i="47"/>
  <c r="Y77" i="47"/>
  <c r="X77" i="47"/>
  <c r="Q77" i="47"/>
  <c r="J77" i="47"/>
  <c r="I77" i="47"/>
  <c r="D77" i="47"/>
  <c r="C77" i="47"/>
  <c r="BZ76" i="47"/>
  <c r="BW76" i="47"/>
  <c r="BV76" i="47"/>
  <c r="BS76" i="47"/>
  <c r="BR76" i="47"/>
  <c r="BK76" i="47"/>
  <c r="BH76" i="47"/>
  <c r="BG76" i="47"/>
  <c r="BD76" i="47"/>
  <c r="BC76" i="47"/>
  <c r="AV76" i="47"/>
  <c r="AS76" i="47"/>
  <c r="AR76" i="47"/>
  <c r="AO76" i="47"/>
  <c r="AN76" i="47"/>
  <c r="AG76" i="47"/>
  <c r="Z76" i="47"/>
  <c r="X76" i="47"/>
  <c r="Y76" i="47"/>
  <c r="Q76" i="47"/>
  <c r="J76" i="47"/>
  <c r="I76" i="47"/>
  <c r="D76" i="47"/>
  <c r="C76" i="47"/>
  <c r="L76" i="47" s="1" a="1"/>
  <c r="L76" i="47" s="1"/>
  <c r="BZ75" i="47"/>
  <c r="BV75" i="47"/>
  <c r="BR75" i="47"/>
  <c r="BK75" i="47"/>
  <c r="BH75" i="47"/>
  <c r="BG75" i="47"/>
  <c r="BD75" i="47"/>
  <c r="AV75" i="47"/>
  <c r="AR75" i="47"/>
  <c r="AN75" i="47"/>
  <c r="AG75" i="47"/>
  <c r="Z75" i="47"/>
  <c r="Y75" i="47"/>
  <c r="X75" i="47"/>
  <c r="Q75" i="47"/>
  <c r="J75" i="47"/>
  <c r="I75" i="47"/>
  <c r="D75" i="47"/>
  <c r="C75" i="47"/>
  <c r="L75" i="47" s="1" a="1"/>
  <c r="L75" i="47" s="1"/>
  <c r="BZ74" i="47"/>
  <c r="BW74" i="47"/>
  <c r="BV74" i="47"/>
  <c r="BS74" i="47"/>
  <c r="BR74" i="47"/>
  <c r="BK74" i="47"/>
  <c r="BH74" i="47"/>
  <c r="BG74" i="47"/>
  <c r="BD74" i="47"/>
  <c r="BC74" i="47"/>
  <c r="AV74" i="47"/>
  <c r="AS74" i="47"/>
  <c r="AR74" i="47"/>
  <c r="AO74" i="47"/>
  <c r="AN74" i="47"/>
  <c r="AG74" i="47"/>
  <c r="Z74" i="47"/>
  <c r="X74" i="47"/>
  <c r="Q74" i="47"/>
  <c r="J74" i="47"/>
  <c r="I74" i="47"/>
  <c r="D74" i="47"/>
  <c r="C74" i="47"/>
  <c r="L74" i="47" s="1" a="1"/>
  <c r="L74" i="47" s="1"/>
  <c r="BZ73" i="47"/>
  <c r="BW73" i="47"/>
  <c r="BV73" i="47"/>
  <c r="BS73" i="47"/>
  <c r="BR73" i="47"/>
  <c r="BK73" i="47"/>
  <c r="BH73" i="47"/>
  <c r="BG73" i="47"/>
  <c r="BD73" i="47"/>
  <c r="BC73" i="47"/>
  <c r="AV73" i="47"/>
  <c r="AS73" i="47"/>
  <c r="AR73" i="47"/>
  <c r="AO73" i="47"/>
  <c r="AN73" i="47"/>
  <c r="AG73" i="47"/>
  <c r="Z73" i="47"/>
  <c r="Y73" i="47"/>
  <c r="X73" i="47"/>
  <c r="Q73" i="47"/>
  <c r="J73" i="47"/>
  <c r="I73" i="47"/>
  <c r="D73" i="47"/>
  <c r="C73" i="47"/>
  <c r="BZ72" i="47"/>
  <c r="BW72" i="47"/>
  <c r="BV72" i="47"/>
  <c r="BS72" i="47"/>
  <c r="BR72" i="47"/>
  <c r="BK72" i="47"/>
  <c r="BH72" i="47"/>
  <c r="BG72" i="47"/>
  <c r="BD72" i="47"/>
  <c r="BC72" i="47"/>
  <c r="AV72" i="47"/>
  <c r="AS72" i="47"/>
  <c r="AR72" i="47"/>
  <c r="AO72" i="47"/>
  <c r="AN72" i="47"/>
  <c r="AG72" i="47"/>
  <c r="Z72" i="47"/>
  <c r="Y72" i="47"/>
  <c r="X72" i="47"/>
  <c r="Q72" i="47"/>
  <c r="J72" i="47"/>
  <c r="I72" i="47"/>
  <c r="D72" i="47"/>
  <c r="C72" i="47"/>
  <c r="L72" i="47" s="1" a="1"/>
  <c r="L72" i="47" s="1"/>
  <c r="BZ71" i="47"/>
  <c r="BV71" i="47"/>
  <c r="BR71" i="47"/>
  <c r="BK71" i="47"/>
  <c r="BH71" i="47"/>
  <c r="BD71" i="47"/>
  <c r="AV71" i="47"/>
  <c r="AR71" i="47"/>
  <c r="AN71" i="47"/>
  <c r="AG71" i="47"/>
  <c r="Z71" i="47"/>
  <c r="X71" i="47"/>
  <c r="Y71" i="47"/>
  <c r="Q71" i="47"/>
  <c r="L71" i="47" a="1"/>
  <c r="L71" i="47" s="1"/>
  <c r="K71" i="47" a="1"/>
  <c r="K71" i="47" s="1"/>
  <c r="J71" i="47"/>
  <c r="I71" i="47"/>
  <c r="D71" i="47"/>
  <c r="C71" i="47"/>
  <c r="BZ70" i="47"/>
  <c r="BW70" i="47"/>
  <c r="BV70" i="47"/>
  <c r="BS70" i="47"/>
  <c r="BR70" i="47"/>
  <c r="BK70" i="47"/>
  <c r="BH70" i="47"/>
  <c r="BG70" i="47"/>
  <c r="BD70" i="47"/>
  <c r="BC70" i="47"/>
  <c r="AV70" i="47"/>
  <c r="AS70" i="47"/>
  <c r="AR70" i="47"/>
  <c r="AO70" i="47"/>
  <c r="AN70" i="47"/>
  <c r="AG70" i="47"/>
  <c r="Z70" i="47"/>
  <c r="Q70" i="47"/>
  <c r="L70" i="47" a="1"/>
  <c r="L70" i="47" s="1"/>
  <c r="K70" i="47" a="1"/>
  <c r="K70" i="47" s="1"/>
  <c r="J70" i="47"/>
  <c r="I70" i="47"/>
  <c r="D70" i="47"/>
  <c r="C70" i="47"/>
  <c r="BZ69" i="47"/>
  <c r="BW69" i="47"/>
  <c r="BV69" i="47"/>
  <c r="BS69" i="47"/>
  <c r="BR69" i="47"/>
  <c r="BK69" i="47"/>
  <c r="BH69" i="47"/>
  <c r="BG69" i="47"/>
  <c r="BD69" i="47"/>
  <c r="BC69" i="47"/>
  <c r="AV69" i="47"/>
  <c r="AS69" i="47"/>
  <c r="AR69" i="47"/>
  <c r="AO69" i="47"/>
  <c r="AN69" i="47"/>
  <c r="AG69" i="47"/>
  <c r="Z69" i="47"/>
  <c r="Y69" i="47"/>
  <c r="X69" i="47"/>
  <c r="Q69" i="47"/>
  <c r="J69" i="47"/>
  <c r="I69" i="47"/>
  <c r="D69" i="47"/>
  <c r="C69" i="47"/>
  <c r="L69" i="47" s="1" a="1"/>
  <c r="L69" i="47" s="1"/>
  <c r="BZ68" i="47"/>
  <c r="BW68" i="47"/>
  <c r="BV68" i="47"/>
  <c r="BS68" i="47"/>
  <c r="BR68" i="47"/>
  <c r="BK68" i="47"/>
  <c r="BH68" i="47"/>
  <c r="BG68" i="47"/>
  <c r="BD68" i="47"/>
  <c r="BC68" i="47"/>
  <c r="AV68" i="47"/>
  <c r="AS68" i="47"/>
  <c r="AR68" i="47"/>
  <c r="AO68" i="47"/>
  <c r="AN68" i="47"/>
  <c r="AG68" i="47"/>
  <c r="Z68" i="47"/>
  <c r="Y68" i="47"/>
  <c r="X68" i="47"/>
  <c r="Q68" i="47"/>
  <c r="J68" i="47"/>
  <c r="I68" i="47"/>
  <c r="D68" i="47"/>
  <c r="C68" i="47"/>
  <c r="K68" i="47" s="1" a="1"/>
  <c r="K68" i="47" s="1"/>
  <c r="BZ67" i="47"/>
  <c r="BV67" i="47"/>
  <c r="BR67" i="47"/>
  <c r="BK67" i="47"/>
  <c r="BH67" i="47"/>
  <c r="BD67" i="47"/>
  <c r="AV67" i="47"/>
  <c r="AR67" i="47"/>
  <c r="AN67" i="47"/>
  <c r="AG67" i="47"/>
  <c r="Z67" i="47"/>
  <c r="X67" i="47"/>
  <c r="Y67" i="47"/>
  <c r="Q67" i="47"/>
  <c r="K67" i="47" a="1"/>
  <c r="K67" i="47" s="1"/>
  <c r="J67" i="47"/>
  <c r="I67" i="47"/>
  <c r="D67" i="47"/>
  <c r="C67" i="47"/>
  <c r="L67" i="47" s="1" a="1"/>
  <c r="L67" i="47" s="1"/>
  <c r="BZ66" i="47"/>
  <c r="BW66" i="47"/>
  <c r="BV66" i="47"/>
  <c r="BS66" i="47"/>
  <c r="BR66" i="47"/>
  <c r="BK66" i="47"/>
  <c r="BH66" i="47"/>
  <c r="BG66" i="47"/>
  <c r="BD66" i="47"/>
  <c r="BC66" i="47"/>
  <c r="AV66" i="47"/>
  <c r="AS66" i="47"/>
  <c r="AR66" i="47"/>
  <c r="AO66" i="47"/>
  <c r="AN66" i="47"/>
  <c r="AG66" i="47"/>
  <c r="Z66" i="47"/>
  <c r="Q66" i="47"/>
  <c r="K66" i="47" a="1"/>
  <c r="K66" i="47" s="1"/>
  <c r="J66" i="47"/>
  <c r="I66" i="47"/>
  <c r="D66" i="47"/>
  <c r="C66" i="47"/>
  <c r="L66" i="47" s="1" a="1"/>
  <c r="L66" i="47" s="1"/>
  <c r="BZ65" i="47"/>
  <c r="BW65" i="47"/>
  <c r="BV65" i="47"/>
  <c r="BS65" i="47"/>
  <c r="BR65" i="47"/>
  <c r="BK65" i="47"/>
  <c r="BH65" i="47"/>
  <c r="BG65" i="47"/>
  <c r="BD65" i="47"/>
  <c r="BC65" i="47"/>
  <c r="AV65" i="47"/>
  <c r="AS65" i="47"/>
  <c r="AR65" i="47"/>
  <c r="AO65" i="47"/>
  <c r="AN65" i="47"/>
  <c r="AG65" i="47"/>
  <c r="Z65" i="47"/>
  <c r="Y65" i="47"/>
  <c r="X65" i="47"/>
  <c r="Q65" i="47"/>
  <c r="J65" i="47"/>
  <c r="I65" i="47"/>
  <c r="D65" i="47"/>
  <c r="C65" i="47"/>
  <c r="K65" i="47" s="1" a="1"/>
  <c r="K65" i="47" s="1"/>
  <c r="BZ64" i="47"/>
  <c r="BW64" i="47"/>
  <c r="BV64" i="47"/>
  <c r="BS64" i="47"/>
  <c r="BR64" i="47"/>
  <c r="BK64" i="47"/>
  <c r="BH64" i="47"/>
  <c r="BG64" i="47"/>
  <c r="BD64" i="47"/>
  <c r="BC64" i="47"/>
  <c r="AV64" i="47"/>
  <c r="AS64" i="47"/>
  <c r="AR64" i="47"/>
  <c r="AO64" i="47"/>
  <c r="AN64" i="47"/>
  <c r="AG64" i="47"/>
  <c r="Z64" i="47"/>
  <c r="Y64" i="47"/>
  <c r="X64" i="47"/>
  <c r="Q64" i="47"/>
  <c r="J64" i="47"/>
  <c r="I64" i="47"/>
  <c r="D64" i="47"/>
  <c r="C64" i="47"/>
  <c r="L64" i="47" s="1" a="1"/>
  <c r="L64" i="47" s="1"/>
  <c r="BZ63" i="47"/>
  <c r="BV63" i="47"/>
  <c r="BR63" i="47"/>
  <c r="BK63" i="47"/>
  <c r="BH63" i="47"/>
  <c r="BD63" i="47"/>
  <c r="AV63" i="47"/>
  <c r="AR63" i="47"/>
  <c r="AN63" i="47"/>
  <c r="AG63" i="47"/>
  <c r="Z63" i="47"/>
  <c r="Y63" i="47"/>
  <c r="X63" i="47"/>
  <c r="Q63" i="47"/>
  <c r="J63" i="47"/>
  <c r="I63" i="47"/>
  <c r="D63" i="47"/>
  <c r="C63" i="47"/>
  <c r="K63" i="47" s="1" a="1"/>
  <c r="K63" i="47" s="1"/>
  <c r="BZ62" i="47"/>
  <c r="BW62" i="47"/>
  <c r="BV62" i="47"/>
  <c r="BS62" i="47"/>
  <c r="BR62" i="47"/>
  <c r="BK62" i="47"/>
  <c r="BH62" i="47"/>
  <c r="BG62" i="47"/>
  <c r="BD62" i="47"/>
  <c r="BC62" i="47"/>
  <c r="AV62" i="47"/>
  <c r="AS62" i="47"/>
  <c r="AR62" i="47"/>
  <c r="AO62" i="47"/>
  <c r="AN62" i="47"/>
  <c r="AG62" i="47"/>
  <c r="Z62" i="47"/>
  <c r="Q62" i="47"/>
  <c r="J62" i="47"/>
  <c r="I62" i="47"/>
  <c r="D62" i="47"/>
  <c r="C62" i="47"/>
  <c r="L62" i="47" s="1" a="1"/>
  <c r="L62" i="47" s="1"/>
  <c r="BZ61" i="47"/>
  <c r="BW61" i="47"/>
  <c r="BV61" i="47"/>
  <c r="BS61" i="47"/>
  <c r="BR61" i="47"/>
  <c r="BK61" i="47"/>
  <c r="BH61" i="47"/>
  <c r="BG61" i="47"/>
  <c r="BD61" i="47"/>
  <c r="BC61" i="47"/>
  <c r="AV61" i="47"/>
  <c r="AS61" i="47"/>
  <c r="AR61" i="47"/>
  <c r="AO61" i="47"/>
  <c r="AN61" i="47"/>
  <c r="AG61" i="47"/>
  <c r="Z61" i="47"/>
  <c r="Y61" i="47"/>
  <c r="X61" i="47"/>
  <c r="Q61" i="47"/>
  <c r="J61" i="47"/>
  <c r="I61" i="47"/>
  <c r="D61" i="47"/>
  <c r="C61" i="47"/>
  <c r="K61" i="47" s="1" a="1"/>
  <c r="K61" i="47" s="1"/>
  <c r="BZ60" i="47"/>
  <c r="BW60" i="47"/>
  <c r="BV60" i="47"/>
  <c r="BS60" i="47"/>
  <c r="BR60" i="47"/>
  <c r="BK60" i="47"/>
  <c r="BH60" i="47"/>
  <c r="BG60" i="47"/>
  <c r="BD60" i="47"/>
  <c r="BC60" i="47"/>
  <c r="AV60" i="47"/>
  <c r="AS60" i="47"/>
  <c r="AR60" i="47"/>
  <c r="AO60" i="47"/>
  <c r="AN60" i="47"/>
  <c r="AG60" i="47"/>
  <c r="Z60" i="47"/>
  <c r="Y60" i="47"/>
  <c r="X60" i="47"/>
  <c r="Q60" i="47"/>
  <c r="L60" i="47" a="1"/>
  <c r="L60" i="47" s="1"/>
  <c r="K60" i="47" a="1"/>
  <c r="K60" i="47" s="1"/>
  <c r="J60" i="47"/>
  <c r="I60" i="47"/>
  <c r="D60" i="47"/>
  <c r="C60" i="47"/>
  <c r="BZ59" i="47"/>
  <c r="BV59" i="47"/>
  <c r="BR59" i="47"/>
  <c r="BK59" i="47"/>
  <c r="BH59" i="47"/>
  <c r="BD59" i="47"/>
  <c r="AV59" i="47"/>
  <c r="AR59" i="47"/>
  <c r="AN59" i="47"/>
  <c r="AG59" i="47"/>
  <c r="Z59" i="47"/>
  <c r="X59" i="47"/>
  <c r="Y59" i="47"/>
  <c r="Q59" i="47"/>
  <c r="K59" i="47" a="1"/>
  <c r="K59" i="47" s="1"/>
  <c r="J59" i="47"/>
  <c r="I59" i="47"/>
  <c r="D59" i="47"/>
  <c r="C59" i="47"/>
  <c r="L59" i="47" s="1" a="1"/>
  <c r="L59" i="47" s="1"/>
  <c r="BZ58" i="47"/>
  <c r="BW58" i="47"/>
  <c r="BV58" i="47"/>
  <c r="BS58" i="47"/>
  <c r="BR58" i="47"/>
  <c r="BK58" i="47"/>
  <c r="BH58" i="47"/>
  <c r="BG58" i="47"/>
  <c r="BD58" i="47"/>
  <c r="BC58" i="47"/>
  <c r="AV58" i="47"/>
  <c r="AS58" i="47"/>
  <c r="AR58" i="47"/>
  <c r="AO58" i="47"/>
  <c r="AN58" i="47"/>
  <c r="AG58" i="47"/>
  <c r="Z58" i="47"/>
  <c r="Q58" i="47"/>
  <c r="J58" i="47"/>
  <c r="I58" i="47"/>
  <c r="D58" i="47"/>
  <c r="C58" i="47"/>
  <c r="L58" i="47" s="1" a="1"/>
  <c r="L58" i="47" s="1"/>
  <c r="BZ57" i="47"/>
  <c r="BW57" i="47"/>
  <c r="BV57" i="47"/>
  <c r="BS57" i="47"/>
  <c r="BR57" i="47"/>
  <c r="BK57" i="47"/>
  <c r="BH57" i="47"/>
  <c r="BG57" i="47"/>
  <c r="BD57" i="47"/>
  <c r="BC57" i="47"/>
  <c r="AV57" i="47"/>
  <c r="AS57" i="47"/>
  <c r="AR57" i="47"/>
  <c r="AO57" i="47"/>
  <c r="AN57" i="47"/>
  <c r="AG57" i="47"/>
  <c r="Z57" i="47"/>
  <c r="Y57" i="47"/>
  <c r="X57" i="47"/>
  <c r="Q57" i="47"/>
  <c r="J57" i="47"/>
  <c r="I57" i="47"/>
  <c r="D57" i="47"/>
  <c r="C57" i="47"/>
  <c r="K57" i="47" s="1" a="1"/>
  <c r="K57" i="47" s="1"/>
  <c r="BZ56" i="47"/>
  <c r="BW56" i="47"/>
  <c r="BV56" i="47"/>
  <c r="BS56" i="47"/>
  <c r="BR56" i="47"/>
  <c r="BK56" i="47"/>
  <c r="BH56" i="47"/>
  <c r="BG56" i="47"/>
  <c r="BD56" i="47"/>
  <c r="BC56" i="47"/>
  <c r="AV56" i="47"/>
  <c r="AS56" i="47"/>
  <c r="AR56" i="47"/>
  <c r="AO56" i="47"/>
  <c r="AN56" i="47"/>
  <c r="AG56" i="47"/>
  <c r="Z56" i="47"/>
  <c r="Y56" i="47"/>
  <c r="X56" i="47"/>
  <c r="Q56" i="47"/>
  <c r="K56" i="47" a="1"/>
  <c r="K56" i="47" s="1"/>
  <c r="J56" i="47"/>
  <c r="I56" i="47"/>
  <c r="D56" i="47"/>
  <c r="C56" i="47"/>
  <c r="L56" i="47" s="1" a="1"/>
  <c r="L56" i="47" s="1"/>
  <c r="BZ55" i="47"/>
  <c r="BV55" i="47"/>
  <c r="BR55" i="47"/>
  <c r="BK55" i="47"/>
  <c r="BH55" i="47"/>
  <c r="BD55" i="47"/>
  <c r="AV55" i="47"/>
  <c r="AR55" i="47"/>
  <c r="AN55" i="47"/>
  <c r="AG55" i="47"/>
  <c r="Z55" i="47"/>
  <c r="Y55" i="47"/>
  <c r="X55" i="47"/>
  <c r="Q55" i="47"/>
  <c r="L55" i="47" a="1"/>
  <c r="L55" i="47" s="1"/>
  <c r="K55" i="47" a="1"/>
  <c r="K55" i="47" s="1"/>
  <c r="J55" i="47"/>
  <c r="I55" i="47"/>
  <c r="D55" i="47"/>
  <c r="C55" i="47"/>
  <c r="BZ54" i="47"/>
  <c r="BW54" i="47"/>
  <c r="BV54" i="47"/>
  <c r="BS54" i="47"/>
  <c r="BR54" i="47"/>
  <c r="BK54" i="47"/>
  <c r="BH54" i="47"/>
  <c r="BG54" i="47"/>
  <c r="BD54" i="47"/>
  <c r="BC54" i="47"/>
  <c r="AV54" i="47"/>
  <c r="AS54" i="47"/>
  <c r="AR54" i="47"/>
  <c r="AO54" i="47"/>
  <c r="AN54" i="47"/>
  <c r="AG54" i="47"/>
  <c r="Z54" i="47"/>
  <c r="Q54" i="47"/>
  <c r="J54" i="47"/>
  <c r="I54" i="47"/>
  <c r="D54" i="47"/>
  <c r="C54" i="47"/>
  <c r="BZ53" i="47"/>
  <c r="BW53" i="47"/>
  <c r="BV53" i="47"/>
  <c r="BS53" i="47"/>
  <c r="BR53" i="47"/>
  <c r="BK53" i="47"/>
  <c r="BH53" i="47"/>
  <c r="BG53" i="47"/>
  <c r="BD53" i="47"/>
  <c r="BC53" i="47"/>
  <c r="AV53" i="47"/>
  <c r="AS53" i="47"/>
  <c r="AR53" i="47"/>
  <c r="AO53" i="47"/>
  <c r="AN53" i="47"/>
  <c r="AG53" i="47"/>
  <c r="Z53" i="47"/>
  <c r="Y53" i="47"/>
  <c r="X53" i="47"/>
  <c r="Q53" i="47"/>
  <c r="L53" i="47" a="1"/>
  <c r="L53" i="47" s="1"/>
  <c r="J53" i="47"/>
  <c r="I53" i="47"/>
  <c r="D53" i="47"/>
  <c r="C53" i="47"/>
  <c r="K53" i="47" s="1" a="1"/>
  <c r="K53" i="47" s="1"/>
  <c r="BZ52" i="47"/>
  <c r="BW52" i="47"/>
  <c r="BV52" i="47"/>
  <c r="BS52" i="47"/>
  <c r="BR52" i="47"/>
  <c r="BK52" i="47"/>
  <c r="BH52" i="47"/>
  <c r="BG52" i="47"/>
  <c r="BD52" i="47"/>
  <c r="BC52" i="47"/>
  <c r="AV52" i="47"/>
  <c r="AS52" i="47"/>
  <c r="AR52" i="47"/>
  <c r="AO52" i="47"/>
  <c r="AN52" i="47"/>
  <c r="AG52" i="47"/>
  <c r="Z52" i="47"/>
  <c r="Y52" i="47"/>
  <c r="X52" i="47"/>
  <c r="Q52" i="47"/>
  <c r="J52" i="47"/>
  <c r="I52" i="47"/>
  <c r="D52" i="47"/>
  <c r="C52" i="47"/>
  <c r="L52" i="47" s="1" a="1"/>
  <c r="L52" i="47" s="1"/>
  <c r="BZ51" i="47"/>
  <c r="BV51" i="47"/>
  <c r="BR51" i="47"/>
  <c r="BK51" i="47"/>
  <c r="BH51" i="47"/>
  <c r="BD51" i="47"/>
  <c r="BC51" i="47"/>
  <c r="AV51" i="47"/>
  <c r="AR51" i="47"/>
  <c r="AO51" i="47"/>
  <c r="AN51" i="47"/>
  <c r="AG51" i="47"/>
  <c r="Z51" i="47"/>
  <c r="Y51" i="47"/>
  <c r="X51" i="47"/>
  <c r="Q51" i="47"/>
  <c r="L51" i="47" a="1"/>
  <c r="L51" i="47" s="1"/>
  <c r="J51" i="47"/>
  <c r="I51" i="47"/>
  <c r="D51" i="47"/>
  <c r="C51" i="47"/>
  <c r="K51" i="47" s="1" a="1"/>
  <c r="K51" i="47" s="1"/>
  <c r="BZ50" i="47"/>
  <c r="BW50" i="47"/>
  <c r="BV50" i="47"/>
  <c r="BS50" i="47"/>
  <c r="BR50" i="47"/>
  <c r="BK50" i="47"/>
  <c r="BH50" i="47"/>
  <c r="BG50" i="47"/>
  <c r="BD50" i="47"/>
  <c r="BC50" i="47"/>
  <c r="AV50" i="47"/>
  <c r="AS50" i="47"/>
  <c r="AR50" i="47"/>
  <c r="AO50" i="47"/>
  <c r="AN50" i="47"/>
  <c r="AG50" i="47"/>
  <c r="Z50" i="47"/>
  <c r="Q50" i="47"/>
  <c r="J50" i="47"/>
  <c r="I50" i="47"/>
  <c r="D50" i="47"/>
  <c r="C50" i="47"/>
  <c r="BZ49" i="47"/>
  <c r="BW49" i="47"/>
  <c r="BV49" i="47"/>
  <c r="BS49" i="47"/>
  <c r="BR49" i="47"/>
  <c r="BK49" i="47"/>
  <c r="BH49" i="47"/>
  <c r="BG49" i="47"/>
  <c r="BD49" i="47"/>
  <c r="BC49" i="47"/>
  <c r="AV49" i="47"/>
  <c r="AS49" i="47"/>
  <c r="AR49" i="47"/>
  <c r="AO49" i="47"/>
  <c r="AN49" i="47"/>
  <c r="AG49" i="47"/>
  <c r="Z49" i="47"/>
  <c r="Y49" i="47"/>
  <c r="X49" i="47"/>
  <c r="Q49" i="47"/>
  <c r="J49" i="47"/>
  <c r="I49" i="47"/>
  <c r="D49" i="47"/>
  <c r="C49" i="47"/>
  <c r="BZ48" i="47"/>
  <c r="BW48" i="47"/>
  <c r="BV48" i="47"/>
  <c r="BS48" i="47"/>
  <c r="BR48" i="47"/>
  <c r="BK48" i="47"/>
  <c r="BH48" i="47"/>
  <c r="BG48" i="47"/>
  <c r="BD48" i="47"/>
  <c r="BC48" i="47"/>
  <c r="AV48" i="47"/>
  <c r="AS48" i="47"/>
  <c r="AR48" i="47"/>
  <c r="AO48" i="47"/>
  <c r="AN48" i="47"/>
  <c r="AG48" i="47"/>
  <c r="Z48" i="47"/>
  <c r="Y48" i="47"/>
  <c r="X48" i="47"/>
  <c r="Q48" i="47"/>
  <c r="L48" i="47" a="1"/>
  <c r="L48" i="47" s="1"/>
  <c r="J48" i="47"/>
  <c r="I48" i="47"/>
  <c r="D48" i="47"/>
  <c r="C48" i="47"/>
  <c r="K48" i="47" s="1" a="1"/>
  <c r="K48" i="47" s="1"/>
  <c r="BZ47" i="47"/>
  <c r="BV47" i="47"/>
  <c r="BR47" i="47"/>
  <c r="BK47" i="47"/>
  <c r="BH47" i="47"/>
  <c r="BD47" i="47"/>
  <c r="AV47" i="47"/>
  <c r="AR47" i="47"/>
  <c r="AO47" i="47"/>
  <c r="AN47" i="47"/>
  <c r="AG47" i="47"/>
  <c r="Z47" i="47"/>
  <c r="Y47" i="47"/>
  <c r="X47" i="47"/>
  <c r="Q47" i="47"/>
  <c r="J47" i="47"/>
  <c r="I47" i="47"/>
  <c r="D47" i="47"/>
  <c r="C47" i="47"/>
  <c r="L47" i="47" s="1" a="1"/>
  <c r="L47" i="47" s="1"/>
  <c r="BZ46" i="47"/>
  <c r="BW46" i="47"/>
  <c r="BV46" i="47"/>
  <c r="BS46" i="47"/>
  <c r="BR46" i="47"/>
  <c r="BK46" i="47"/>
  <c r="BH46" i="47"/>
  <c r="BG46" i="47"/>
  <c r="BD46" i="47"/>
  <c r="BC46" i="47"/>
  <c r="AV46" i="47"/>
  <c r="AS46" i="47"/>
  <c r="AR46" i="47"/>
  <c r="AO46" i="47"/>
  <c r="AN46" i="47"/>
  <c r="AG46" i="47"/>
  <c r="Z46" i="47"/>
  <c r="Q46" i="47"/>
  <c r="J46" i="47"/>
  <c r="I46" i="47"/>
  <c r="D46" i="47"/>
  <c r="C46" i="47"/>
  <c r="K46" i="47" s="1" a="1"/>
  <c r="K46" i="47" s="1"/>
  <c r="BZ45" i="47"/>
  <c r="BW45" i="47"/>
  <c r="BV45" i="47"/>
  <c r="BS45" i="47"/>
  <c r="BR45" i="47"/>
  <c r="BK45" i="47"/>
  <c r="BH45" i="47"/>
  <c r="BG45" i="47"/>
  <c r="BD45" i="47"/>
  <c r="BC45" i="47"/>
  <c r="AV45" i="47"/>
  <c r="AS45" i="47"/>
  <c r="AR45" i="47"/>
  <c r="AO45" i="47"/>
  <c r="AN45" i="47"/>
  <c r="AG45" i="47"/>
  <c r="Z45" i="47"/>
  <c r="Y45" i="47"/>
  <c r="X45" i="47"/>
  <c r="Q45" i="47"/>
  <c r="J45" i="47"/>
  <c r="I45" i="47"/>
  <c r="D45" i="47"/>
  <c r="C45" i="47"/>
  <c r="BZ44" i="47"/>
  <c r="BW44" i="47"/>
  <c r="BV44" i="47"/>
  <c r="BS44" i="47"/>
  <c r="BR44" i="47"/>
  <c r="BK44" i="47"/>
  <c r="BH44" i="47"/>
  <c r="BG44" i="47"/>
  <c r="BD44" i="47"/>
  <c r="BC44" i="47"/>
  <c r="AV44" i="47"/>
  <c r="AS44" i="47"/>
  <c r="AR44" i="47"/>
  <c r="AO44" i="47"/>
  <c r="AN44" i="47"/>
  <c r="AG44" i="47"/>
  <c r="Z44" i="47"/>
  <c r="Y44" i="47"/>
  <c r="X44" i="47"/>
  <c r="Q44" i="47"/>
  <c r="J44" i="47"/>
  <c r="I44" i="47"/>
  <c r="D44" i="47"/>
  <c r="C44" i="47"/>
  <c r="K44" i="47" s="1" a="1"/>
  <c r="K44" i="47" s="1"/>
  <c r="BZ43" i="47"/>
  <c r="BV43" i="47"/>
  <c r="BR43" i="47"/>
  <c r="BK43" i="47"/>
  <c r="BH43" i="47"/>
  <c r="BD43" i="47"/>
  <c r="AV43" i="47"/>
  <c r="AR43" i="47"/>
  <c r="AN43" i="47"/>
  <c r="AG43" i="47"/>
  <c r="Z43" i="47"/>
  <c r="X43" i="47"/>
  <c r="Y43" i="47"/>
  <c r="Q43" i="47"/>
  <c r="J43" i="47"/>
  <c r="I43" i="47"/>
  <c r="D43" i="47"/>
  <c r="C43" i="47"/>
  <c r="L43" i="47" s="1" a="1"/>
  <c r="L43" i="47" s="1"/>
  <c r="BZ42" i="47"/>
  <c r="BW42" i="47"/>
  <c r="BV42" i="47"/>
  <c r="BS42" i="47"/>
  <c r="BR42" i="47"/>
  <c r="BK42" i="47"/>
  <c r="BH42" i="47"/>
  <c r="BG42" i="47"/>
  <c r="BD42" i="47"/>
  <c r="BC42" i="47"/>
  <c r="AV42" i="47"/>
  <c r="AS42" i="47"/>
  <c r="AR42" i="47"/>
  <c r="AO42" i="47"/>
  <c r="AN42" i="47"/>
  <c r="AG42" i="47"/>
  <c r="Z42" i="47"/>
  <c r="X42" i="47"/>
  <c r="Q42" i="47"/>
  <c r="J42" i="47"/>
  <c r="I42" i="47"/>
  <c r="D42" i="47"/>
  <c r="C42" i="47"/>
  <c r="K42" i="47" s="1" a="1"/>
  <c r="K42" i="47" s="1"/>
  <c r="BZ41" i="47"/>
  <c r="BW41" i="47"/>
  <c r="BV41" i="47"/>
  <c r="BS41" i="47"/>
  <c r="BR41" i="47"/>
  <c r="BK41" i="47"/>
  <c r="BH41" i="47"/>
  <c r="BG41" i="47"/>
  <c r="BD41" i="47"/>
  <c r="BC41" i="47"/>
  <c r="AV41" i="47"/>
  <c r="AS41" i="47"/>
  <c r="AR41" i="47"/>
  <c r="AO41" i="47"/>
  <c r="AN41" i="47"/>
  <c r="AG41" i="47"/>
  <c r="Z41" i="47"/>
  <c r="Y41" i="47"/>
  <c r="X41" i="47"/>
  <c r="Q41" i="47"/>
  <c r="J41" i="47"/>
  <c r="I41" i="47"/>
  <c r="D41" i="47"/>
  <c r="C41" i="47"/>
  <c r="BZ40" i="47"/>
  <c r="BW40" i="47"/>
  <c r="BV40" i="47"/>
  <c r="BS40" i="47"/>
  <c r="BR40" i="47"/>
  <c r="BK40" i="47"/>
  <c r="BH40" i="47"/>
  <c r="BG40" i="47"/>
  <c r="BD40" i="47"/>
  <c r="BC40" i="47"/>
  <c r="AV40" i="47"/>
  <c r="AS40" i="47"/>
  <c r="AR40" i="47"/>
  <c r="AO40" i="47"/>
  <c r="AN40" i="47"/>
  <c r="AG40" i="47"/>
  <c r="Z40" i="47"/>
  <c r="Y40" i="47"/>
  <c r="X40" i="47"/>
  <c r="Q40" i="47"/>
  <c r="L40" i="47" a="1"/>
  <c r="L40" i="47" s="1"/>
  <c r="J40" i="47"/>
  <c r="I40" i="47"/>
  <c r="D40" i="47"/>
  <c r="C40" i="47"/>
  <c r="K40" i="47" s="1" a="1"/>
  <c r="K40" i="47" s="1"/>
  <c r="BZ39" i="47"/>
  <c r="BV39" i="47"/>
  <c r="BR39" i="47"/>
  <c r="BK39" i="47"/>
  <c r="BH39" i="47"/>
  <c r="BG39" i="47"/>
  <c r="BD39" i="47"/>
  <c r="AV39" i="47"/>
  <c r="AR39" i="47"/>
  <c r="AN39" i="47"/>
  <c r="AG39" i="47"/>
  <c r="Z39" i="47"/>
  <c r="X39" i="47"/>
  <c r="Y39" i="47"/>
  <c r="Q39" i="47"/>
  <c r="L39" i="47" a="1"/>
  <c r="L39" i="47" s="1"/>
  <c r="K39" i="47" a="1"/>
  <c r="K39" i="47" s="1"/>
  <c r="J39" i="47"/>
  <c r="I39" i="47"/>
  <c r="D39" i="47"/>
  <c r="C39" i="47"/>
  <c r="BZ38" i="47"/>
  <c r="BW38" i="47"/>
  <c r="BV38" i="47"/>
  <c r="BS38" i="47"/>
  <c r="BR38" i="47"/>
  <c r="BK38" i="47"/>
  <c r="BH38" i="47"/>
  <c r="BG38" i="47"/>
  <c r="BD38" i="47"/>
  <c r="BC38" i="47"/>
  <c r="AV38" i="47"/>
  <c r="AS38" i="47"/>
  <c r="AR38" i="47"/>
  <c r="AO38" i="47"/>
  <c r="AN38" i="47"/>
  <c r="AG38" i="47"/>
  <c r="Z38" i="47"/>
  <c r="Q38" i="47"/>
  <c r="J38" i="47"/>
  <c r="I38" i="47"/>
  <c r="D38" i="47"/>
  <c r="C38" i="47"/>
  <c r="L38" i="47" s="1" a="1"/>
  <c r="L38" i="47" s="1"/>
  <c r="BZ37" i="47"/>
  <c r="BW37" i="47"/>
  <c r="BV37" i="47"/>
  <c r="BS37" i="47"/>
  <c r="BR37" i="47"/>
  <c r="BK37" i="47"/>
  <c r="BH37" i="47"/>
  <c r="BG37" i="47"/>
  <c r="BD37" i="47"/>
  <c r="BC37" i="47"/>
  <c r="AV37" i="47"/>
  <c r="AS37" i="47"/>
  <c r="AR37" i="47"/>
  <c r="AO37" i="47"/>
  <c r="AN37" i="47"/>
  <c r="AG37" i="47"/>
  <c r="Z37" i="47"/>
  <c r="Y37" i="47"/>
  <c r="X37" i="47"/>
  <c r="Q37" i="47"/>
  <c r="L37" i="47" a="1"/>
  <c r="L37" i="47" s="1"/>
  <c r="J37" i="47"/>
  <c r="I37" i="47"/>
  <c r="D37" i="47"/>
  <c r="C37" i="47"/>
  <c r="K37" i="47" s="1" a="1"/>
  <c r="K37" i="47" s="1"/>
  <c r="BZ36" i="47"/>
  <c r="BW36" i="47"/>
  <c r="BV36" i="47"/>
  <c r="BS36" i="47"/>
  <c r="BR36" i="47"/>
  <c r="BK36" i="47"/>
  <c r="BH36" i="47"/>
  <c r="BG36" i="47"/>
  <c r="BD36" i="47"/>
  <c r="BC36" i="47"/>
  <c r="AV36" i="47"/>
  <c r="AS36" i="47"/>
  <c r="AR36" i="47"/>
  <c r="AO36" i="47"/>
  <c r="AN36" i="47"/>
  <c r="AG36" i="47"/>
  <c r="Z36" i="47"/>
  <c r="Y36" i="47"/>
  <c r="X36" i="47"/>
  <c r="Q36" i="47"/>
  <c r="J36" i="47"/>
  <c r="I36" i="47"/>
  <c r="D36" i="47"/>
  <c r="C36" i="47"/>
  <c r="L36" i="47" s="1" a="1"/>
  <c r="L36" i="47" s="1"/>
  <c r="BZ35" i="47"/>
  <c r="BV35" i="47"/>
  <c r="BR35" i="47"/>
  <c r="BK35" i="47"/>
  <c r="BH35" i="47"/>
  <c r="BD35" i="47"/>
  <c r="AV35" i="47"/>
  <c r="AR35" i="47"/>
  <c r="AN35" i="47"/>
  <c r="AG35" i="47"/>
  <c r="Z35" i="47"/>
  <c r="Y35" i="47"/>
  <c r="X35" i="47"/>
  <c r="Q35" i="47"/>
  <c r="K35" i="47" a="1"/>
  <c r="K35" i="47" s="1"/>
  <c r="J35" i="47"/>
  <c r="I35" i="47"/>
  <c r="D35" i="47"/>
  <c r="C35" i="47"/>
  <c r="L35" i="47" s="1" a="1"/>
  <c r="L35" i="47" s="1"/>
  <c r="BZ34" i="47"/>
  <c r="BW34" i="47"/>
  <c r="BV34" i="47"/>
  <c r="BS34" i="47"/>
  <c r="BR34" i="47"/>
  <c r="BK34" i="47"/>
  <c r="BH34" i="47"/>
  <c r="BG34" i="47"/>
  <c r="BD34" i="47"/>
  <c r="BC34" i="47"/>
  <c r="AV34" i="47"/>
  <c r="AS34" i="47"/>
  <c r="AR34" i="47"/>
  <c r="AO34" i="47"/>
  <c r="AN34" i="47"/>
  <c r="AG34" i="47"/>
  <c r="Z34" i="47"/>
  <c r="Q34" i="47"/>
  <c r="K34" i="47" a="1"/>
  <c r="K34" i="47" s="1"/>
  <c r="J34" i="47"/>
  <c r="I34" i="47"/>
  <c r="D34" i="47"/>
  <c r="C34" i="47"/>
  <c r="L34" i="47" s="1" a="1"/>
  <c r="L34" i="47" s="1"/>
  <c r="BZ33" i="47"/>
  <c r="BW33" i="47"/>
  <c r="BV33" i="47"/>
  <c r="BS33" i="47"/>
  <c r="BR33" i="47"/>
  <c r="BK33" i="47"/>
  <c r="BH33" i="47"/>
  <c r="BG33" i="47"/>
  <c r="BD33" i="47"/>
  <c r="BC33" i="47"/>
  <c r="AV33" i="47"/>
  <c r="AS33" i="47"/>
  <c r="AR33" i="47"/>
  <c r="AO33" i="47"/>
  <c r="AN33" i="47"/>
  <c r="AG33" i="47"/>
  <c r="Z33" i="47"/>
  <c r="Y33" i="47"/>
  <c r="X33" i="47"/>
  <c r="Q33" i="47"/>
  <c r="J33" i="47"/>
  <c r="I33" i="47"/>
  <c r="D33" i="47"/>
  <c r="C33" i="47"/>
  <c r="L33" i="47" s="1" a="1"/>
  <c r="L33" i="47" s="1"/>
  <c r="BZ32" i="47"/>
  <c r="BW32" i="47"/>
  <c r="BV32" i="47"/>
  <c r="BS32" i="47"/>
  <c r="BR32" i="47"/>
  <c r="BK32" i="47"/>
  <c r="BH32" i="47"/>
  <c r="BG32" i="47"/>
  <c r="BD32" i="47"/>
  <c r="BC32" i="47"/>
  <c r="AV32" i="47"/>
  <c r="AS32" i="47"/>
  <c r="AR32" i="47"/>
  <c r="AO32" i="47"/>
  <c r="AN32" i="47"/>
  <c r="AG32" i="47"/>
  <c r="Z32" i="47"/>
  <c r="Y32" i="47"/>
  <c r="X32" i="47"/>
  <c r="Q32" i="47"/>
  <c r="L32" i="47" a="1"/>
  <c r="L32" i="47" s="1"/>
  <c r="K32" i="47" a="1"/>
  <c r="K32" i="47" s="1"/>
  <c r="J32" i="47"/>
  <c r="I32" i="47"/>
  <c r="D32" i="47"/>
  <c r="C32" i="47"/>
  <c r="BZ31" i="47"/>
  <c r="BV31" i="47"/>
  <c r="BR31" i="47"/>
  <c r="BK31" i="47"/>
  <c r="BH31" i="47"/>
  <c r="BD31" i="47"/>
  <c r="AV31" i="47"/>
  <c r="AR31" i="47"/>
  <c r="AN31" i="47"/>
  <c r="AG31" i="47"/>
  <c r="Z31" i="47"/>
  <c r="Y31" i="47"/>
  <c r="X31" i="47"/>
  <c r="Q31" i="47"/>
  <c r="K31" i="47" a="1"/>
  <c r="K31" i="47" s="1"/>
  <c r="J31" i="47"/>
  <c r="I31" i="47"/>
  <c r="D31" i="47"/>
  <c r="C31" i="47"/>
  <c r="L31" i="47" s="1" a="1"/>
  <c r="L31" i="47" s="1"/>
  <c r="BZ30" i="47"/>
  <c r="BW30" i="47"/>
  <c r="BV30" i="47"/>
  <c r="BS30" i="47"/>
  <c r="BR30" i="47"/>
  <c r="BK30" i="47"/>
  <c r="BH30" i="47"/>
  <c r="BG30" i="47"/>
  <c r="BD30" i="47"/>
  <c r="BC30" i="47"/>
  <c r="AV30" i="47"/>
  <c r="AS30" i="47"/>
  <c r="AR30" i="47"/>
  <c r="AO30" i="47"/>
  <c r="AN30" i="47"/>
  <c r="AG30" i="47"/>
  <c r="Z30" i="47"/>
  <c r="Q30" i="47"/>
  <c r="J30" i="47"/>
  <c r="I30" i="47"/>
  <c r="D30" i="47"/>
  <c r="C30" i="47"/>
  <c r="K30" i="47" s="1" a="1"/>
  <c r="K30" i="47" s="1"/>
  <c r="BZ29" i="47"/>
  <c r="BW29" i="47"/>
  <c r="BV29" i="47"/>
  <c r="BS29" i="47"/>
  <c r="BR29" i="47"/>
  <c r="BK29" i="47"/>
  <c r="BH29" i="47"/>
  <c r="BG29" i="47"/>
  <c r="BD29" i="47"/>
  <c r="BC29" i="47"/>
  <c r="AV29" i="47"/>
  <c r="AS29" i="47"/>
  <c r="AR29" i="47"/>
  <c r="AO29" i="47"/>
  <c r="AN29" i="47"/>
  <c r="AG29" i="47"/>
  <c r="Z29" i="47"/>
  <c r="Y29" i="47"/>
  <c r="X29" i="47"/>
  <c r="Q29" i="47"/>
  <c r="J29" i="47"/>
  <c r="I29" i="47"/>
  <c r="D29" i="47"/>
  <c r="C29" i="47"/>
  <c r="L29" i="47" s="1" a="1"/>
  <c r="L29" i="47" s="1"/>
  <c r="BZ28" i="47"/>
  <c r="BW28" i="47"/>
  <c r="BV28" i="47"/>
  <c r="BS28" i="47"/>
  <c r="BR28" i="47"/>
  <c r="BK28" i="47"/>
  <c r="BH28" i="47"/>
  <c r="BG28" i="47"/>
  <c r="BD28" i="47"/>
  <c r="BC28" i="47"/>
  <c r="AV28" i="47"/>
  <c r="AS28" i="47"/>
  <c r="AR28" i="47"/>
  <c r="AO28" i="47"/>
  <c r="AN28" i="47"/>
  <c r="AG28" i="47"/>
  <c r="Z28" i="47"/>
  <c r="Y28" i="47"/>
  <c r="X28" i="47"/>
  <c r="Q28" i="47"/>
  <c r="L28" i="47" a="1"/>
  <c r="L28" i="47" s="1"/>
  <c r="K28" i="47" a="1"/>
  <c r="K28" i="47" s="1"/>
  <c r="J28" i="47"/>
  <c r="I28" i="47"/>
  <c r="D28" i="47"/>
  <c r="C28" i="47"/>
  <c r="BZ27" i="47"/>
  <c r="BV27" i="47"/>
  <c r="BR27" i="47"/>
  <c r="BK27" i="47"/>
  <c r="BH27" i="47"/>
  <c r="BD27" i="47"/>
  <c r="BC27" i="47"/>
  <c r="AV27" i="47"/>
  <c r="AS27" i="47"/>
  <c r="AR27" i="47"/>
  <c r="AN27" i="47"/>
  <c r="AG27" i="47"/>
  <c r="Z27" i="47"/>
  <c r="Y27" i="47"/>
  <c r="X27" i="47"/>
  <c r="Q27" i="47"/>
  <c r="K27" i="47" a="1"/>
  <c r="K27" i="47" s="1"/>
  <c r="J27" i="47"/>
  <c r="I27" i="47"/>
  <c r="D27" i="47"/>
  <c r="C27" i="47"/>
  <c r="L27" i="47" s="1" a="1"/>
  <c r="L27" i="47" s="1"/>
  <c r="BZ26" i="47"/>
  <c r="BW26" i="47"/>
  <c r="BV26" i="47"/>
  <c r="BS26" i="47"/>
  <c r="BR26" i="47"/>
  <c r="BK26" i="47"/>
  <c r="BH26" i="47"/>
  <c r="BG26" i="47"/>
  <c r="BD26" i="47"/>
  <c r="BC26" i="47"/>
  <c r="AV26" i="47"/>
  <c r="AS26" i="47"/>
  <c r="AR26" i="47"/>
  <c r="AO26" i="47"/>
  <c r="AN26" i="47"/>
  <c r="AG26" i="47"/>
  <c r="Z26" i="47"/>
  <c r="Q26" i="47"/>
  <c r="J26" i="47"/>
  <c r="I26" i="47"/>
  <c r="D26" i="47"/>
  <c r="C26" i="47"/>
  <c r="K26" i="47" s="1" a="1"/>
  <c r="K26" i="47" s="1"/>
  <c r="BZ25" i="47"/>
  <c r="BW25" i="47"/>
  <c r="BV25" i="47"/>
  <c r="BS25" i="47"/>
  <c r="BR25" i="47"/>
  <c r="BK25" i="47"/>
  <c r="BH25" i="47"/>
  <c r="BG25" i="47"/>
  <c r="BD25" i="47"/>
  <c r="BC25" i="47"/>
  <c r="AV25" i="47"/>
  <c r="AS25" i="47"/>
  <c r="AR25" i="47"/>
  <c r="AO25" i="47"/>
  <c r="AN25" i="47"/>
  <c r="AG25" i="47"/>
  <c r="Z25" i="47"/>
  <c r="X25" i="47"/>
  <c r="Y25" i="47"/>
  <c r="Q25" i="47"/>
  <c r="J25" i="47"/>
  <c r="I25" i="47"/>
  <c r="D25" i="47"/>
  <c r="C25" i="47"/>
  <c r="L25" i="47" s="1" a="1"/>
  <c r="L25" i="47" s="1"/>
  <c r="BZ24" i="47"/>
  <c r="BW24" i="47"/>
  <c r="BV24" i="47"/>
  <c r="BS24" i="47"/>
  <c r="BR24" i="47"/>
  <c r="BK24" i="47"/>
  <c r="BH24" i="47"/>
  <c r="BG24" i="47"/>
  <c r="BD24" i="47"/>
  <c r="BC24" i="47"/>
  <c r="AV24" i="47"/>
  <c r="AS24" i="47"/>
  <c r="AR24" i="47"/>
  <c r="AO24" i="47"/>
  <c r="AN24" i="47"/>
  <c r="AG24" i="47"/>
  <c r="Z24" i="47"/>
  <c r="Y24" i="47"/>
  <c r="X24" i="47"/>
  <c r="Q24" i="47"/>
  <c r="L24" i="47" a="1"/>
  <c r="L24" i="47" s="1"/>
  <c r="J24" i="47"/>
  <c r="I24" i="47"/>
  <c r="D24" i="47"/>
  <c r="C24" i="47"/>
  <c r="K24" i="47" s="1" a="1"/>
  <c r="K24" i="47" s="1"/>
  <c r="BZ23" i="47"/>
  <c r="BW23" i="47"/>
  <c r="BV23" i="47"/>
  <c r="BR23" i="47"/>
  <c r="BK23" i="47"/>
  <c r="BH23" i="47"/>
  <c r="BD23" i="47"/>
  <c r="AV23" i="47"/>
  <c r="AS23" i="47"/>
  <c r="AR23" i="47"/>
  <c r="AN23" i="47"/>
  <c r="AG23" i="47"/>
  <c r="Z23" i="47"/>
  <c r="Y23" i="47"/>
  <c r="X23" i="47"/>
  <c r="Q23" i="47"/>
  <c r="L23" i="47" a="1"/>
  <c r="L23" i="47" s="1"/>
  <c r="K23" i="47" a="1"/>
  <c r="K23" i="47" s="1"/>
  <c r="J23" i="47"/>
  <c r="I23" i="47"/>
  <c r="D23" i="47"/>
  <c r="C23" i="47"/>
  <c r="BZ22" i="47"/>
  <c r="BW22" i="47"/>
  <c r="BV22" i="47"/>
  <c r="BS22" i="47"/>
  <c r="BR22" i="47"/>
  <c r="BK22" i="47"/>
  <c r="BH22" i="47"/>
  <c r="BG22" i="47"/>
  <c r="BD22" i="47"/>
  <c r="BC22" i="47"/>
  <c r="AV22" i="47"/>
  <c r="AS22" i="47"/>
  <c r="AR22" i="47"/>
  <c r="AO22" i="47"/>
  <c r="AN22" i="47"/>
  <c r="AG22" i="47"/>
  <c r="Z22" i="47"/>
  <c r="X22" i="47"/>
  <c r="Q22" i="47"/>
  <c r="J22" i="47"/>
  <c r="I22" i="47"/>
  <c r="D22" i="47"/>
  <c r="C22" i="47"/>
  <c r="BZ21" i="47"/>
  <c r="BW21" i="47"/>
  <c r="BV21" i="47"/>
  <c r="BS21" i="47"/>
  <c r="BR21" i="47"/>
  <c r="BK21" i="47"/>
  <c r="BH21" i="47"/>
  <c r="BG21" i="47"/>
  <c r="BD21" i="47"/>
  <c r="BC21" i="47"/>
  <c r="AV21" i="47"/>
  <c r="AS21" i="47"/>
  <c r="AR21" i="47"/>
  <c r="AO21" i="47"/>
  <c r="AN21" i="47"/>
  <c r="AG21" i="47"/>
  <c r="Z21" i="47"/>
  <c r="Y21" i="47"/>
  <c r="X21" i="47"/>
  <c r="Q21" i="47"/>
  <c r="L21" i="47" a="1"/>
  <c r="L21" i="47" s="1"/>
  <c r="J21" i="47"/>
  <c r="I21" i="47"/>
  <c r="D21" i="47"/>
  <c r="C21" i="47"/>
  <c r="K21" i="47" s="1" a="1"/>
  <c r="K21" i="47" s="1"/>
  <c r="BZ20" i="47"/>
  <c r="BW20" i="47"/>
  <c r="BV20" i="47"/>
  <c r="BS20" i="47"/>
  <c r="BR20" i="47"/>
  <c r="BK20" i="47"/>
  <c r="BH20" i="47"/>
  <c r="BG20" i="47"/>
  <c r="BD20" i="47"/>
  <c r="BC20" i="47"/>
  <c r="AV20" i="47"/>
  <c r="AS20" i="47"/>
  <c r="AR20" i="47"/>
  <c r="AO20" i="47"/>
  <c r="AN20" i="47"/>
  <c r="AG20" i="47"/>
  <c r="Z20" i="47"/>
  <c r="X20" i="47"/>
  <c r="Y20" i="47"/>
  <c r="Q20" i="47"/>
  <c r="K20" i="47" a="1"/>
  <c r="K20" i="47" s="1"/>
  <c r="J20" i="47"/>
  <c r="I20" i="47"/>
  <c r="D20" i="47"/>
  <c r="C20" i="47"/>
  <c r="L20" i="47" s="1" a="1"/>
  <c r="L20" i="47" s="1"/>
  <c r="BZ19" i="47"/>
  <c r="BW19" i="47"/>
  <c r="BV19" i="47"/>
  <c r="BR19" i="47"/>
  <c r="BK19" i="47"/>
  <c r="BH19" i="47"/>
  <c r="BD19" i="47"/>
  <c r="AV19" i="47"/>
  <c r="AR19" i="47"/>
  <c r="AN19" i="47"/>
  <c r="AG19" i="47"/>
  <c r="Z19" i="47"/>
  <c r="Y19" i="47"/>
  <c r="X19" i="47"/>
  <c r="Q19" i="47"/>
  <c r="J19" i="47"/>
  <c r="I19" i="47"/>
  <c r="D19" i="47"/>
  <c r="C19" i="47"/>
  <c r="L19" i="47" s="1" a="1"/>
  <c r="L19" i="47" s="1"/>
  <c r="BZ18" i="47"/>
  <c r="BW18" i="47"/>
  <c r="BV18" i="47"/>
  <c r="BS18" i="47"/>
  <c r="BR18" i="47"/>
  <c r="BK18" i="47"/>
  <c r="BH18" i="47"/>
  <c r="BG18" i="47"/>
  <c r="BD18" i="47"/>
  <c r="BC18" i="47"/>
  <c r="AV18" i="47"/>
  <c r="AS18" i="47"/>
  <c r="AR18" i="47"/>
  <c r="AO18" i="47"/>
  <c r="AN18" i="47"/>
  <c r="AG18" i="47"/>
  <c r="Z18" i="47"/>
  <c r="Q18" i="47"/>
  <c r="K18" i="47" a="1"/>
  <c r="K18" i="47" s="1"/>
  <c r="J18" i="47"/>
  <c r="I18" i="47"/>
  <c r="D18" i="47"/>
  <c r="C18" i="47"/>
  <c r="L18" i="47" s="1" a="1"/>
  <c r="L18" i="47" s="1"/>
  <c r="BZ17" i="47"/>
  <c r="BW17" i="47"/>
  <c r="BV17" i="47"/>
  <c r="BS17" i="47"/>
  <c r="BR17" i="47"/>
  <c r="BK17" i="47"/>
  <c r="BH17" i="47"/>
  <c r="BG17" i="47"/>
  <c r="BD17" i="47"/>
  <c r="BC17" i="47"/>
  <c r="AV17" i="47"/>
  <c r="AS17" i="47"/>
  <c r="AR17" i="47"/>
  <c r="AO17" i="47"/>
  <c r="AN17" i="47"/>
  <c r="AG17" i="47"/>
  <c r="Z17" i="47"/>
  <c r="Y17" i="47"/>
  <c r="X17" i="47"/>
  <c r="Q17" i="47"/>
  <c r="K17" i="47" a="1"/>
  <c r="K17" i="47" s="1"/>
  <c r="J17" i="47"/>
  <c r="I17" i="47"/>
  <c r="D17" i="47"/>
  <c r="C17" i="47"/>
  <c r="BZ16" i="47"/>
  <c r="BW16" i="47"/>
  <c r="BV16" i="47"/>
  <c r="BS16" i="47"/>
  <c r="BR16" i="47"/>
  <c r="BK16" i="47"/>
  <c r="BH16" i="47"/>
  <c r="BG16" i="47"/>
  <c r="BD16" i="47"/>
  <c r="BC16" i="47"/>
  <c r="AV16" i="47"/>
  <c r="AS16" i="47"/>
  <c r="AR16" i="47"/>
  <c r="AO16" i="47"/>
  <c r="AN16" i="47"/>
  <c r="AG16" i="47"/>
  <c r="Z16" i="47"/>
  <c r="Y16" i="47"/>
  <c r="Y15" i="47" s="1"/>
  <c r="X16" i="47"/>
  <c r="X15" i="47" s="1"/>
  <c r="Q16" i="47"/>
  <c r="J16" i="47"/>
  <c r="I16" i="47"/>
  <c r="D16" i="47"/>
  <c r="C16" i="47"/>
  <c r="BZ15" i="47"/>
  <c r="BW15" i="47"/>
  <c r="BV15" i="47"/>
  <c r="BS15" i="47"/>
  <c r="BR15" i="47"/>
  <c r="BK15" i="47"/>
  <c r="BH15" i="47"/>
  <c r="BG15" i="47"/>
  <c r="BD15" i="47"/>
  <c r="BC15" i="47"/>
  <c r="AV15" i="47"/>
  <c r="AS15" i="47"/>
  <c r="AR15" i="47"/>
  <c r="AO15" i="47"/>
  <c r="AN15" i="47"/>
  <c r="AG15" i="47"/>
  <c r="Z15" i="47"/>
  <c r="Q15" i="47"/>
  <c r="J15" i="47"/>
  <c r="I15" i="47"/>
  <c r="D15" i="47"/>
  <c r="C15" i="47"/>
  <c r="L15" i="47" s="1" a="1"/>
  <c r="L15" i="47" s="1"/>
  <c r="BU14" i="47"/>
  <c r="BT14" i="47"/>
  <c r="BQ14" i="47"/>
  <c r="BP14" i="47"/>
  <c r="BO14" i="47"/>
  <c r="BN14" i="47"/>
  <c r="BL14" i="47"/>
  <c r="BR14" i="47" s="1"/>
  <c r="BF14" i="47"/>
  <c r="BE14" i="47"/>
  <c r="BB14" i="47"/>
  <c r="BA14" i="47"/>
  <c r="AZ14" i="47"/>
  <c r="AY14" i="47"/>
  <c r="AX14" i="47"/>
  <c r="BD14" i="47" s="1"/>
  <c r="AQ14" i="47"/>
  <c r="AP14" i="47"/>
  <c r="AM14" i="47"/>
  <c r="AL14" i="47"/>
  <c r="AK14" i="47"/>
  <c r="AJ14" i="47"/>
  <c r="AH14" i="47"/>
  <c r="AR14" i="47" s="1"/>
  <c r="S14" i="47"/>
  <c r="R14" i="47"/>
  <c r="H14" i="47"/>
  <c r="G14" i="47"/>
  <c r="F14" i="47"/>
  <c r="U14" i="47" s="1"/>
  <c r="E14" i="47"/>
  <c r="T14" i="47" s="1"/>
  <c r="P3" i="47"/>
  <c r="B2" i="47" a="1"/>
  <c r="B2" i="47" s="1"/>
  <c r="A1" i="46"/>
  <c r="BZ125" i="46"/>
  <c r="BW125" i="46"/>
  <c r="BV125" i="46"/>
  <c r="BS125" i="46"/>
  <c r="BR125" i="46"/>
  <c r="BK125" i="46"/>
  <c r="BH125" i="46"/>
  <c r="BG125" i="46"/>
  <c r="BD125" i="46"/>
  <c r="BC125" i="46"/>
  <c r="AV125" i="46"/>
  <c r="AS125" i="46"/>
  <c r="AR125" i="46"/>
  <c r="AO125" i="46"/>
  <c r="AN125" i="46"/>
  <c r="AG125" i="46"/>
  <c r="Z125" i="46"/>
  <c r="X125" i="46"/>
  <c r="Y125" i="46"/>
  <c r="Q125" i="46"/>
  <c r="J125" i="46"/>
  <c r="I125" i="46"/>
  <c r="D125" i="46"/>
  <c r="C125" i="46"/>
  <c r="K125" i="46" s="1" a="1"/>
  <c r="K125" i="46" s="1"/>
  <c r="BZ124" i="46"/>
  <c r="BW124" i="46"/>
  <c r="BV124" i="46"/>
  <c r="BS124" i="46"/>
  <c r="BR124" i="46"/>
  <c r="BK124" i="46"/>
  <c r="BH124" i="46"/>
  <c r="BG124" i="46"/>
  <c r="BD124" i="46"/>
  <c r="BC124" i="46"/>
  <c r="AV124" i="46"/>
  <c r="AS124" i="46"/>
  <c r="AR124" i="46"/>
  <c r="AO124" i="46"/>
  <c r="AN124" i="46"/>
  <c r="AG124" i="46"/>
  <c r="Z124" i="46"/>
  <c r="Y124" i="46"/>
  <c r="X124" i="46"/>
  <c r="Q124" i="46"/>
  <c r="J124" i="46"/>
  <c r="I124" i="46"/>
  <c r="D124" i="46"/>
  <c r="C124" i="46"/>
  <c r="L124" i="46" s="1" a="1"/>
  <c r="L124" i="46" s="1"/>
  <c r="BZ123" i="46"/>
  <c r="BW123" i="46"/>
  <c r="BS123" i="46"/>
  <c r="BK123" i="46"/>
  <c r="AV123" i="46"/>
  <c r="AR123" i="46"/>
  <c r="AN123" i="46"/>
  <c r="AG123" i="46"/>
  <c r="Z123" i="46"/>
  <c r="Y123" i="46"/>
  <c r="X123" i="46"/>
  <c r="Q123" i="46"/>
  <c r="K123" i="46" a="1"/>
  <c r="K123" i="46" s="1"/>
  <c r="J123" i="46"/>
  <c r="I123" i="46"/>
  <c r="D123" i="46"/>
  <c r="C123" i="46"/>
  <c r="BZ122" i="46"/>
  <c r="BW122" i="46"/>
  <c r="BV122" i="46"/>
  <c r="BS122" i="46"/>
  <c r="BR122" i="46"/>
  <c r="BK122" i="46"/>
  <c r="BH122" i="46"/>
  <c r="BG122" i="46"/>
  <c r="BD122" i="46"/>
  <c r="BC122" i="46"/>
  <c r="AV122" i="46"/>
  <c r="AS122" i="46"/>
  <c r="AR122" i="46"/>
  <c r="AO122" i="46"/>
  <c r="AN122" i="46"/>
  <c r="AG122" i="46"/>
  <c r="Z122" i="46"/>
  <c r="Q122" i="46"/>
  <c r="J122" i="46"/>
  <c r="I122" i="46"/>
  <c r="D122" i="46"/>
  <c r="C122" i="46"/>
  <c r="L122" i="46" s="1" a="1"/>
  <c r="L122" i="46" s="1"/>
  <c r="BZ121" i="46"/>
  <c r="BW121" i="46"/>
  <c r="BV121" i="46"/>
  <c r="BS121" i="46"/>
  <c r="BR121" i="46"/>
  <c r="BK121" i="46"/>
  <c r="BH121" i="46"/>
  <c r="BG121" i="46"/>
  <c r="BD121" i="46"/>
  <c r="BC121" i="46"/>
  <c r="AV121" i="46"/>
  <c r="AS121" i="46"/>
  <c r="AR121" i="46"/>
  <c r="AO121" i="46"/>
  <c r="AN121" i="46"/>
  <c r="AG121" i="46"/>
  <c r="Z121" i="46"/>
  <c r="Y121" i="46"/>
  <c r="X121" i="46"/>
  <c r="Q121" i="46"/>
  <c r="J121" i="46"/>
  <c r="I121" i="46"/>
  <c r="D121" i="46"/>
  <c r="C121" i="46"/>
  <c r="K121" i="46" s="1" a="1"/>
  <c r="K121" i="46" s="1"/>
  <c r="BZ120" i="46"/>
  <c r="BW120" i="46"/>
  <c r="BV120" i="46"/>
  <c r="BS120" i="46"/>
  <c r="BR120" i="46"/>
  <c r="BK120" i="46"/>
  <c r="BH120" i="46"/>
  <c r="BG120" i="46"/>
  <c r="BD120" i="46"/>
  <c r="BC120" i="46"/>
  <c r="AV120" i="46"/>
  <c r="AS120" i="46"/>
  <c r="AR120" i="46"/>
  <c r="AO120" i="46"/>
  <c r="AN120" i="46"/>
  <c r="AG120" i="46"/>
  <c r="Z120" i="46"/>
  <c r="Y120" i="46"/>
  <c r="X120" i="46"/>
  <c r="Q120" i="46"/>
  <c r="K120" i="46" a="1"/>
  <c r="K120" i="46" s="1"/>
  <c r="J120" i="46"/>
  <c r="I120" i="46"/>
  <c r="D120" i="46"/>
  <c r="C120" i="46"/>
  <c r="L120" i="46" s="1" a="1"/>
  <c r="L120" i="46" s="1"/>
  <c r="BZ119" i="46"/>
  <c r="BW119" i="46"/>
  <c r="BS119" i="46"/>
  <c r="BK119" i="46"/>
  <c r="BH119" i="46"/>
  <c r="AV119" i="46"/>
  <c r="AR119" i="46"/>
  <c r="AN119" i="46"/>
  <c r="AG119" i="46"/>
  <c r="Z119" i="46"/>
  <c r="Y119" i="46"/>
  <c r="X119" i="46"/>
  <c r="Q119" i="46"/>
  <c r="J119" i="46"/>
  <c r="I119" i="46"/>
  <c r="D119" i="46"/>
  <c r="C119" i="46"/>
  <c r="K119" i="46" s="1" a="1"/>
  <c r="K119" i="46" s="1"/>
  <c r="BZ118" i="46"/>
  <c r="BW118" i="46"/>
  <c r="BV118" i="46"/>
  <c r="BS118" i="46"/>
  <c r="BR118" i="46"/>
  <c r="BK118" i="46"/>
  <c r="BH118" i="46"/>
  <c r="BG118" i="46"/>
  <c r="BD118" i="46"/>
  <c r="BC118" i="46"/>
  <c r="AV118" i="46"/>
  <c r="AS118" i="46"/>
  <c r="AR118" i="46"/>
  <c r="AO118" i="46"/>
  <c r="AN118" i="46"/>
  <c r="AG118" i="46"/>
  <c r="Z118" i="46"/>
  <c r="Q118" i="46"/>
  <c r="J118" i="46"/>
  <c r="I118" i="46"/>
  <c r="D118" i="46"/>
  <c r="C118" i="46"/>
  <c r="L118" i="46" s="1" a="1"/>
  <c r="L118" i="46" s="1"/>
  <c r="BZ117" i="46"/>
  <c r="BW117" i="46"/>
  <c r="BV117" i="46"/>
  <c r="BS117" i="46"/>
  <c r="BR117" i="46"/>
  <c r="BK117" i="46"/>
  <c r="BH117" i="46"/>
  <c r="BG117" i="46"/>
  <c r="BD117" i="46"/>
  <c r="BC117" i="46"/>
  <c r="AV117" i="46"/>
  <c r="AS117" i="46"/>
  <c r="AR117" i="46"/>
  <c r="AO117" i="46"/>
  <c r="AN117" i="46"/>
  <c r="AG117" i="46"/>
  <c r="Z117" i="46"/>
  <c r="Y117" i="46"/>
  <c r="X117" i="46"/>
  <c r="Q117" i="46"/>
  <c r="J117" i="46"/>
  <c r="I117" i="46"/>
  <c r="D117" i="46"/>
  <c r="C117" i="46"/>
  <c r="K117" i="46" s="1" a="1"/>
  <c r="K117" i="46" s="1"/>
  <c r="BZ116" i="46"/>
  <c r="BW116" i="46"/>
  <c r="BV116" i="46"/>
  <c r="BS116" i="46"/>
  <c r="BR116" i="46"/>
  <c r="BK116" i="46"/>
  <c r="BH116" i="46"/>
  <c r="BG116" i="46"/>
  <c r="BD116" i="46"/>
  <c r="BC116" i="46"/>
  <c r="AV116" i="46"/>
  <c r="AS116" i="46"/>
  <c r="AR116" i="46"/>
  <c r="AO116" i="46"/>
  <c r="AN116" i="46"/>
  <c r="AG116" i="46"/>
  <c r="Z116" i="46"/>
  <c r="Y116" i="46"/>
  <c r="X116" i="46"/>
  <c r="Q116" i="46"/>
  <c r="L116" i="46" a="1"/>
  <c r="L116" i="46" s="1"/>
  <c r="K116" i="46" a="1"/>
  <c r="K116" i="46" s="1"/>
  <c r="J116" i="46"/>
  <c r="I116" i="46"/>
  <c r="D116" i="46"/>
  <c r="C116" i="46"/>
  <c r="BZ115" i="46"/>
  <c r="BW115" i="46"/>
  <c r="BS115" i="46"/>
  <c r="BK115" i="46"/>
  <c r="BG115" i="46"/>
  <c r="BD115" i="46"/>
  <c r="AV115" i="46"/>
  <c r="AR115" i="46"/>
  <c r="AN115" i="46"/>
  <c r="AG115" i="46"/>
  <c r="Z115" i="46"/>
  <c r="Y115" i="46"/>
  <c r="X115" i="46"/>
  <c r="Q115" i="46"/>
  <c r="L115" i="46" a="1"/>
  <c r="L115" i="46" s="1"/>
  <c r="K115" i="46" a="1"/>
  <c r="K115" i="46" s="1"/>
  <c r="J115" i="46"/>
  <c r="I115" i="46"/>
  <c r="D115" i="46"/>
  <c r="C115" i="46"/>
  <c r="BZ114" i="46"/>
  <c r="BW114" i="46"/>
  <c r="BV114" i="46"/>
  <c r="BS114" i="46"/>
  <c r="BR114" i="46"/>
  <c r="BK114" i="46"/>
  <c r="BH114" i="46"/>
  <c r="BG114" i="46"/>
  <c r="BD114" i="46"/>
  <c r="BC114" i="46"/>
  <c r="AV114" i="46"/>
  <c r="AS114" i="46"/>
  <c r="AR114" i="46"/>
  <c r="AO114" i="46"/>
  <c r="AN114" i="46"/>
  <c r="AG114" i="46"/>
  <c r="Z114" i="46"/>
  <c r="Q114" i="46"/>
  <c r="K114" i="46" a="1"/>
  <c r="K114" i="46" s="1"/>
  <c r="J114" i="46"/>
  <c r="I114" i="46"/>
  <c r="D114" i="46"/>
  <c r="C114" i="46"/>
  <c r="L114" i="46" s="1" a="1"/>
  <c r="L114" i="46" s="1"/>
  <c r="BZ113" i="46"/>
  <c r="BW113" i="46"/>
  <c r="BV113" i="46"/>
  <c r="BS113" i="46"/>
  <c r="BR113" i="46"/>
  <c r="BK113" i="46"/>
  <c r="BH113" i="46"/>
  <c r="BG113" i="46"/>
  <c r="BD113" i="46"/>
  <c r="BC113" i="46"/>
  <c r="AV113" i="46"/>
  <c r="AS113" i="46"/>
  <c r="AR113" i="46"/>
  <c r="AO113" i="46"/>
  <c r="AN113" i="46"/>
  <c r="AG113" i="46"/>
  <c r="Z113" i="46"/>
  <c r="Y113" i="46"/>
  <c r="X113" i="46"/>
  <c r="Q113" i="46"/>
  <c r="J113" i="46"/>
  <c r="I113" i="46"/>
  <c r="D113" i="46"/>
  <c r="C113" i="46"/>
  <c r="K113" i="46" s="1" a="1"/>
  <c r="K113" i="46" s="1"/>
  <c r="BZ112" i="46"/>
  <c r="BW112" i="46"/>
  <c r="BV112" i="46"/>
  <c r="BS112" i="46"/>
  <c r="BR112" i="46"/>
  <c r="BK112" i="46"/>
  <c r="BH112" i="46"/>
  <c r="BG112" i="46"/>
  <c r="BD112" i="46"/>
  <c r="BC112" i="46"/>
  <c r="AV112" i="46"/>
  <c r="AS112" i="46"/>
  <c r="AR112" i="46"/>
  <c r="AO112" i="46"/>
  <c r="AN112" i="46"/>
  <c r="AG112" i="46"/>
  <c r="Z112" i="46"/>
  <c r="Y112" i="46"/>
  <c r="X112" i="46"/>
  <c r="Q112" i="46"/>
  <c r="L112" i="46" a="1"/>
  <c r="L112" i="46" s="1"/>
  <c r="J112" i="46"/>
  <c r="I112" i="46"/>
  <c r="D112" i="46"/>
  <c r="C112" i="46"/>
  <c r="BZ111" i="46"/>
  <c r="BW111" i="46"/>
  <c r="BV111" i="46"/>
  <c r="BS111" i="46"/>
  <c r="BK111" i="46"/>
  <c r="BG111" i="46"/>
  <c r="BD111" i="46"/>
  <c r="AV111" i="46"/>
  <c r="AR111" i="46"/>
  <c r="AN111" i="46"/>
  <c r="AG111" i="46"/>
  <c r="Z111" i="46"/>
  <c r="Y111" i="46"/>
  <c r="X111" i="46"/>
  <c r="Q111" i="46"/>
  <c r="J111" i="46"/>
  <c r="I111" i="46"/>
  <c r="D111" i="46"/>
  <c r="C111" i="46"/>
  <c r="L111" i="46" s="1" a="1"/>
  <c r="L111" i="46" s="1"/>
  <c r="BZ110" i="46"/>
  <c r="BW110" i="46"/>
  <c r="BV110" i="46"/>
  <c r="BS110" i="46"/>
  <c r="BR110" i="46"/>
  <c r="BK110" i="46"/>
  <c r="BH110" i="46"/>
  <c r="BG110" i="46"/>
  <c r="BD110" i="46"/>
  <c r="BC110" i="46"/>
  <c r="AV110" i="46"/>
  <c r="AS110" i="46"/>
  <c r="AR110" i="46"/>
  <c r="AO110" i="46"/>
  <c r="AN110" i="46"/>
  <c r="AG110" i="46"/>
  <c r="Z110" i="46"/>
  <c r="Q110" i="46"/>
  <c r="J110" i="46"/>
  <c r="I110" i="46"/>
  <c r="D110" i="46"/>
  <c r="C110" i="46"/>
  <c r="L110" i="46" s="1" a="1"/>
  <c r="L110" i="46" s="1"/>
  <c r="BZ109" i="46"/>
  <c r="BW109" i="46"/>
  <c r="BV109" i="46"/>
  <c r="BS109" i="46"/>
  <c r="BR109" i="46"/>
  <c r="BK109" i="46"/>
  <c r="BH109" i="46"/>
  <c r="BG109" i="46"/>
  <c r="BD109" i="46"/>
  <c r="BC109" i="46"/>
  <c r="AV109" i="46"/>
  <c r="AS109" i="46"/>
  <c r="AR109" i="46"/>
  <c r="AO109" i="46"/>
  <c r="AN109" i="46"/>
  <c r="AG109" i="46"/>
  <c r="Z109" i="46"/>
  <c r="Y109" i="46"/>
  <c r="X109" i="46"/>
  <c r="Q109" i="46"/>
  <c r="J109" i="46"/>
  <c r="I109" i="46"/>
  <c r="D109" i="46"/>
  <c r="C109" i="46"/>
  <c r="K109" i="46" s="1" a="1"/>
  <c r="K109" i="46" s="1"/>
  <c r="BZ108" i="46"/>
  <c r="BW108" i="46"/>
  <c r="BV108" i="46"/>
  <c r="BS108" i="46"/>
  <c r="BR108" i="46"/>
  <c r="BK108" i="46"/>
  <c r="BH108" i="46"/>
  <c r="BG108" i="46"/>
  <c r="BD108" i="46"/>
  <c r="BC108" i="46"/>
  <c r="AV108" i="46"/>
  <c r="AS108" i="46"/>
  <c r="AR108" i="46"/>
  <c r="AO108" i="46"/>
  <c r="AN108" i="46"/>
  <c r="AG108" i="46"/>
  <c r="Z108" i="46"/>
  <c r="Y108" i="46"/>
  <c r="X108" i="46"/>
  <c r="Q108" i="46"/>
  <c r="J108" i="46"/>
  <c r="I108" i="46"/>
  <c r="D108" i="46"/>
  <c r="C108" i="46"/>
  <c r="L108" i="46" s="1" a="1"/>
  <c r="L108" i="46" s="1"/>
  <c r="BZ107" i="46"/>
  <c r="BW107" i="46"/>
  <c r="BS107" i="46"/>
  <c r="BK107" i="46"/>
  <c r="AV107" i="46"/>
  <c r="AR107" i="46"/>
  <c r="AN107" i="46"/>
  <c r="AG107" i="46"/>
  <c r="Z107" i="46"/>
  <c r="Y107" i="46"/>
  <c r="X107" i="46"/>
  <c r="Q107" i="46"/>
  <c r="J107" i="46"/>
  <c r="I107" i="46"/>
  <c r="D107" i="46"/>
  <c r="C107" i="46"/>
  <c r="L107" i="46" s="1" a="1"/>
  <c r="L107" i="46" s="1"/>
  <c r="BZ106" i="46"/>
  <c r="BW106" i="46"/>
  <c r="BV106" i="46"/>
  <c r="BS106" i="46"/>
  <c r="BR106" i="46"/>
  <c r="BK106" i="46"/>
  <c r="BH106" i="46"/>
  <c r="BG106" i="46"/>
  <c r="BD106" i="46"/>
  <c r="BC106" i="46"/>
  <c r="AV106" i="46"/>
  <c r="AS106" i="46"/>
  <c r="AR106" i="46"/>
  <c r="AO106" i="46"/>
  <c r="AN106" i="46"/>
  <c r="AG106" i="46"/>
  <c r="Z106" i="46"/>
  <c r="Q106" i="46"/>
  <c r="J106" i="46"/>
  <c r="I106" i="46"/>
  <c r="D106" i="46"/>
  <c r="C106" i="46"/>
  <c r="K106" i="46" s="1" a="1"/>
  <c r="K106" i="46" s="1"/>
  <c r="BZ105" i="46"/>
  <c r="BW105" i="46"/>
  <c r="BV105" i="46"/>
  <c r="BS105" i="46"/>
  <c r="BR105" i="46"/>
  <c r="BK105" i="46"/>
  <c r="BH105" i="46"/>
  <c r="BG105" i="46"/>
  <c r="BD105" i="46"/>
  <c r="BC105" i="46"/>
  <c r="AV105" i="46"/>
  <c r="AS105" i="46"/>
  <c r="AR105" i="46"/>
  <c r="AO105" i="46"/>
  <c r="AN105" i="46"/>
  <c r="AG105" i="46"/>
  <c r="Z105" i="46"/>
  <c r="Y105" i="46"/>
  <c r="X105" i="46"/>
  <c r="Q105" i="46"/>
  <c r="J105" i="46"/>
  <c r="I105" i="46"/>
  <c r="D105" i="46"/>
  <c r="C105" i="46"/>
  <c r="L105" i="46" s="1" a="1"/>
  <c r="L105" i="46" s="1"/>
  <c r="BZ104" i="46"/>
  <c r="BW104" i="46"/>
  <c r="BV104" i="46"/>
  <c r="BS104" i="46"/>
  <c r="BR104" i="46"/>
  <c r="BK104" i="46"/>
  <c r="BH104" i="46"/>
  <c r="BG104" i="46"/>
  <c r="BD104" i="46"/>
  <c r="BC104" i="46"/>
  <c r="AV104" i="46"/>
  <c r="AS104" i="46"/>
  <c r="AR104" i="46"/>
  <c r="AO104" i="46"/>
  <c r="AN104" i="46"/>
  <c r="AG104" i="46"/>
  <c r="Z104" i="46"/>
  <c r="Y104" i="46"/>
  <c r="X104" i="46"/>
  <c r="Q104" i="46"/>
  <c r="J104" i="46"/>
  <c r="I104" i="46"/>
  <c r="D104" i="46"/>
  <c r="C104" i="46"/>
  <c r="BZ103" i="46"/>
  <c r="BW103" i="46"/>
  <c r="BS103" i="46"/>
  <c r="BK103" i="46"/>
  <c r="BG103" i="46"/>
  <c r="BD103" i="46"/>
  <c r="AV103" i="46"/>
  <c r="AR103" i="46"/>
  <c r="AN103" i="46"/>
  <c r="AG103" i="46"/>
  <c r="Z103" i="46"/>
  <c r="Y103" i="46"/>
  <c r="X103" i="46"/>
  <c r="Q103" i="46"/>
  <c r="L103" i="46" a="1"/>
  <c r="L103" i="46" s="1"/>
  <c r="K103" i="46" a="1"/>
  <c r="K103" i="46" s="1"/>
  <c r="J103" i="46"/>
  <c r="I103" i="46"/>
  <c r="D103" i="46"/>
  <c r="C103" i="46"/>
  <c r="BZ102" i="46"/>
  <c r="BW102" i="46"/>
  <c r="BV102" i="46"/>
  <c r="BS102" i="46"/>
  <c r="BR102" i="46"/>
  <c r="BK102" i="46"/>
  <c r="BH102" i="46"/>
  <c r="BG102" i="46"/>
  <c r="BD102" i="46"/>
  <c r="BC102" i="46"/>
  <c r="AV102" i="46"/>
  <c r="AS102" i="46"/>
  <c r="AR102" i="46"/>
  <c r="AO102" i="46"/>
  <c r="AN102" i="46"/>
  <c r="AG102" i="46"/>
  <c r="Z102" i="46"/>
  <c r="Q102" i="46"/>
  <c r="J102" i="46"/>
  <c r="I102" i="46"/>
  <c r="D102" i="46"/>
  <c r="C102" i="46"/>
  <c r="BZ101" i="46"/>
  <c r="BW101" i="46"/>
  <c r="BV101" i="46"/>
  <c r="BS101" i="46"/>
  <c r="BR101" i="46"/>
  <c r="BK101" i="46"/>
  <c r="BH101" i="46"/>
  <c r="BG101" i="46"/>
  <c r="BD101" i="46"/>
  <c r="BC101" i="46"/>
  <c r="AV101" i="46"/>
  <c r="AS101" i="46"/>
  <c r="AR101" i="46"/>
  <c r="AO101" i="46"/>
  <c r="AN101" i="46"/>
  <c r="AG101" i="46"/>
  <c r="Z101" i="46"/>
  <c r="Y101" i="46"/>
  <c r="X101" i="46"/>
  <c r="Q101" i="46"/>
  <c r="J101" i="46"/>
  <c r="I101" i="46"/>
  <c r="D101" i="46"/>
  <c r="C101" i="46"/>
  <c r="BZ100" i="46"/>
  <c r="BW100" i="46"/>
  <c r="BV100" i="46"/>
  <c r="BS100" i="46"/>
  <c r="BR100" i="46"/>
  <c r="BK100" i="46"/>
  <c r="BH100" i="46"/>
  <c r="BG100" i="46"/>
  <c r="BD100" i="46"/>
  <c r="BC100" i="46"/>
  <c r="AV100" i="46"/>
  <c r="AS100" i="46"/>
  <c r="AR100" i="46"/>
  <c r="AO100" i="46"/>
  <c r="AN100" i="46"/>
  <c r="AG100" i="46"/>
  <c r="Z100" i="46"/>
  <c r="X100" i="46"/>
  <c r="Y100" i="46"/>
  <c r="Q100" i="46"/>
  <c r="L100" i="46" a="1"/>
  <c r="L100" i="46" s="1"/>
  <c r="K100" i="46" a="1"/>
  <c r="K100" i="46" s="1"/>
  <c r="J100" i="46"/>
  <c r="I100" i="46"/>
  <c r="D100" i="46"/>
  <c r="C100" i="46"/>
  <c r="BZ99" i="46"/>
  <c r="BW99" i="46"/>
  <c r="BV99" i="46"/>
  <c r="BS99" i="46"/>
  <c r="BK99" i="46"/>
  <c r="BG99" i="46"/>
  <c r="BD99" i="46"/>
  <c r="AV99" i="46"/>
  <c r="AR99" i="46"/>
  <c r="AN99" i="46"/>
  <c r="AG99" i="46"/>
  <c r="Z99" i="46"/>
  <c r="Y99" i="46"/>
  <c r="X99" i="46"/>
  <c r="Q99" i="46"/>
  <c r="L99" i="46" a="1"/>
  <c r="L99" i="46" s="1"/>
  <c r="K99" i="46" a="1"/>
  <c r="K99" i="46" s="1"/>
  <c r="J99" i="46"/>
  <c r="I99" i="46"/>
  <c r="D99" i="46"/>
  <c r="C99" i="46"/>
  <c r="BZ98" i="46"/>
  <c r="BW98" i="46"/>
  <c r="BV98" i="46"/>
  <c r="BS98" i="46"/>
  <c r="BR98" i="46"/>
  <c r="BK98" i="46"/>
  <c r="BH98" i="46"/>
  <c r="BG98" i="46"/>
  <c r="BD98" i="46"/>
  <c r="BC98" i="46"/>
  <c r="AV98" i="46"/>
  <c r="AS98" i="46"/>
  <c r="AR98" i="46"/>
  <c r="AO98" i="46"/>
  <c r="AN98" i="46"/>
  <c r="AG98" i="46"/>
  <c r="Z98" i="46"/>
  <c r="Q98" i="46"/>
  <c r="J98" i="46"/>
  <c r="I98" i="46"/>
  <c r="D98" i="46"/>
  <c r="C98" i="46"/>
  <c r="BZ97" i="46"/>
  <c r="BW97" i="46"/>
  <c r="BV97" i="46"/>
  <c r="BS97" i="46"/>
  <c r="BR97" i="46"/>
  <c r="BK97" i="46"/>
  <c r="BH97" i="46"/>
  <c r="BG97" i="46"/>
  <c r="BD97" i="46"/>
  <c r="BC97" i="46"/>
  <c r="AV97" i="46"/>
  <c r="AS97" i="46"/>
  <c r="AR97" i="46"/>
  <c r="AO97" i="46"/>
  <c r="AN97" i="46"/>
  <c r="AG97" i="46"/>
  <c r="Z97" i="46"/>
  <c r="Y97" i="46"/>
  <c r="X97" i="46"/>
  <c r="Q97" i="46"/>
  <c r="J97" i="46"/>
  <c r="I97" i="46"/>
  <c r="D97" i="46"/>
  <c r="C97" i="46"/>
  <c r="BZ96" i="46"/>
  <c r="BW96" i="46"/>
  <c r="BV96" i="46"/>
  <c r="BS96" i="46"/>
  <c r="BR96" i="46"/>
  <c r="BK96" i="46"/>
  <c r="BH96" i="46"/>
  <c r="BG96" i="46"/>
  <c r="BD96" i="46"/>
  <c r="BC96" i="46"/>
  <c r="AV96" i="46"/>
  <c r="AS96" i="46"/>
  <c r="AR96" i="46"/>
  <c r="AO96" i="46"/>
  <c r="AN96" i="46"/>
  <c r="AG96" i="46"/>
  <c r="Z96" i="46"/>
  <c r="Y96" i="46"/>
  <c r="X96" i="46"/>
  <c r="Q96" i="46"/>
  <c r="J96" i="46"/>
  <c r="I96" i="46"/>
  <c r="D96" i="46"/>
  <c r="C96" i="46"/>
  <c r="BZ95" i="46"/>
  <c r="BW95" i="46"/>
  <c r="BS95" i="46"/>
  <c r="BK95" i="46"/>
  <c r="BC95" i="46"/>
  <c r="AV95" i="46"/>
  <c r="AR95" i="46"/>
  <c r="AN95" i="46"/>
  <c r="AG95" i="46"/>
  <c r="Z95" i="46"/>
  <c r="Y95" i="46"/>
  <c r="X95" i="46"/>
  <c r="Q95" i="46"/>
  <c r="L95" i="46" a="1"/>
  <c r="L95" i="46" s="1"/>
  <c r="K95" i="46" a="1"/>
  <c r="K95" i="46" s="1"/>
  <c r="J95" i="46"/>
  <c r="I95" i="46"/>
  <c r="D95" i="46"/>
  <c r="C95" i="46"/>
  <c r="BZ94" i="46"/>
  <c r="BW94" i="46"/>
  <c r="BV94" i="46"/>
  <c r="BS94" i="46"/>
  <c r="BR94" i="46"/>
  <c r="BK94" i="46"/>
  <c r="BH94" i="46"/>
  <c r="BG94" i="46"/>
  <c r="BD94" i="46"/>
  <c r="BC94" i="46"/>
  <c r="AV94" i="46"/>
  <c r="AS94" i="46"/>
  <c r="AR94" i="46"/>
  <c r="AO94" i="46"/>
  <c r="AN94" i="46"/>
  <c r="AG94" i="46"/>
  <c r="Z94" i="46"/>
  <c r="Q94" i="46"/>
  <c r="K94" i="46" a="1"/>
  <c r="K94" i="46" s="1"/>
  <c r="J94" i="46"/>
  <c r="I94" i="46"/>
  <c r="D94" i="46"/>
  <c r="C94" i="46"/>
  <c r="L94" i="46" s="1" a="1"/>
  <c r="L94" i="46" s="1"/>
  <c r="BZ93" i="46"/>
  <c r="BW93" i="46"/>
  <c r="BV93" i="46"/>
  <c r="BS93" i="46"/>
  <c r="BR93" i="46"/>
  <c r="BK93" i="46"/>
  <c r="BH93" i="46"/>
  <c r="BG93" i="46"/>
  <c r="BD93" i="46"/>
  <c r="BC93" i="46"/>
  <c r="AV93" i="46"/>
  <c r="AS93" i="46"/>
  <c r="AR93" i="46"/>
  <c r="AO93" i="46"/>
  <c r="AN93" i="46"/>
  <c r="AG93" i="46"/>
  <c r="Z93" i="46"/>
  <c r="Y93" i="46"/>
  <c r="X93" i="46"/>
  <c r="Q93" i="46"/>
  <c r="J93" i="46"/>
  <c r="I93" i="46"/>
  <c r="D93" i="46"/>
  <c r="C93" i="46"/>
  <c r="K93" i="46" s="1" a="1"/>
  <c r="K93" i="46" s="1"/>
  <c r="BZ92" i="46"/>
  <c r="BW92" i="46"/>
  <c r="BV92" i="46"/>
  <c r="BS92" i="46"/>
  <c r="BR92" i="46"/>
  <c r="BK92" i="46"/>
  <c r="BH92" i="46"/>
  <c r="BG92" i="46"/>
  <c r="BD92" i="46"/>
  <c r="BC92" i="46"/>
  <c r="AV92" i="46"/>
  <c r="AS92" i="46"/>
  <c r="AR92" i="46"/>
  <c r="AO92" i="46"/>
  <c r="AN92" i="46"/>
  <c r="AG92" i="46"/>
  <c r="Z92" i="46"/>
  <c r="Y92" i="46"/>
  <c r="X92" i="46"/>
  <c r="Q92" i="46"/>
  <c r="J92" i="46"/>
  <c r="I92" i="46"/>
  <c r="D92" i="46"/>
  <c r="C92" i="46"/>
  <c r="BZ91" i="46"/>
  <c r="BW91" i="46"/>
  <c r="BV91" i="46"/>
  <c r="BS91" i="46"/>
  <c r="BK91" i="46"/>
  <c r="AV91" i="46"/>
  <c r="AR91" i="46"/>
  <c r="AN91" i="46"/>
  <c r="AG91" i="46"/>
  <c r="Z91" i="46"/>
  <c r="Y91" i="46"/>
  <c r="X91" i="46"/>
  <c r="Q91" i="46"/>
  <c r="J91" i="46"/>
  <c r="I91" i="46"/>
  <c r="D91" i="46"/>
  <c r="C91" i="46"/>
  <c r="BZ90" i="46"/>
  <c r="BW90" i="46"/>
  <c r="BV90" i="46"/>
  <c r="BS90" i="46"/>
  <c r="BR90" i="46"/>
  <c r="BK90" i="46"/>
  <c r="BH90" i="46"/>
  <c r="BG90" i="46"/>
  <c r="BD90" i="46"/>
  <c r="BC90" i="46"/>
  <c r="AV90" i="46"/>
  <c r="AS90" i="46"/>
  <c r="AR90" i="46"/>
  <c r="AO90" i="46"/>
  <c r="AN90" i="46"/>
  <c r="AG90" i="46"/>
  <c r="Z90" i="46"/>
  <c r="Q90" i="46"/>
  <c r="J90" i="46"/>
  <c r="I90" i="46"/>
  <c r="D90" i="46"/>
  <c r="C90" i="46"/>
  <c r="L90" i="46" s="1" a="1"/>
  <c r="L90" i="46" s="1"/>
  <c r="BZ89" i="46"/>
  <c r="BW89" i="46"/>
  <c r="BV89" i="46"/>
  <c r="BS89" i="46"/>
  <c r="BR89" i="46"/>
  <c r="BK89" i="46"/>
  <c r="BH89" i="46"/>
  <c r="BG89" i="46"/>
  <c r="BD89" i="46"/>
  <c r="BC89" i="46"/>
  <c r="AV89" i="46"/>
  <c r="AS89" i="46"/>
  <c r="AR89" i="46"/>
  <c r="AO89" i="46"/>
  <c r="AN89" i="46"/>
  <c r="AG89" i="46"/>
  <c r="Z89" i="46"/>
  <c r="Y89" i="46"/>
  <c r="X89" i="46"/>
  <c r="Q89" i="46"/>
  <c r="J89" i="46"/>
  <c r="I89" i="46"/>
  <c r="D89" i="46"/>
  <c r="C89" i="46"/>
  <c r="L89" i="46" s="1" a="1"/>
  <c r="L89" i="46" s="1"/>
  <c r="BZ88" i="46"/>
  <c r="BW88" i="46"/>
  <c r="BV88" i="46"/>
  <c r="BS88" i="46"/>
  <c r="BR88" i="46"/>
  <c r="BK88" i="46"/>
  <c r="BH88" i="46"/>
  <c r="BG88" i="46"/>
  <c r="BD88" i="46"/>
  <c r="BC88" i="46"/>
  <c r="AV88" i="46"/>
  <c r="AS88" i="46"/>
  <c r="AR88" i="46"/>
  <c r="AO88" i="46"/>
  <c r="AN88" i="46"/>
  <c r="AG88" i="46"/>
  <c r="Z88" i="46"/>
  <c r="Y88" i="46"/>
  <c r="X88" i="46"/>
  <c r="Q88" i="46"/>
  <c r="J88" i="46"/>
  <c r="I88" i="46"/>
  <c r="D88" i="46"/>
  <c r="C88" i="46"/>
  <c r="K88" i="46" s="1" a="1"/>
  <c r="K88" i="46" s="1"/>
  <c r="BZ87" i="46"/>
  <c r="BW87" i="46"/>
  <c r="BV87" i="46"/>
  <c r="BS87" i="46"/>
  <c r="BK87" i="46"/>
  <c r="BG87" i="46"/>
  <c r="AV87" i="46"/>
  <c r="AS87" i="46"/>
  <c r="AR87" i="46"/>
  <c r="AN87" i="46"/>
  <c r="AG87" i="46"/>
  <c r="Z87" i="46"/>
  <c r="Y87" i="46"/>
  <c r="X87" i="46"/>
  <c r="Q87" i="46"/>
  <c r="J87" i="46"/>
  <c r="I87" i="46"/>
  <c r="D87" i="46"/>
  <c r="C87" i="46"/>
  <c r="BZ86" i="46"/>
  <c r="BW86" i="46"/>
  <c r="BV86" i="46"/>
  <c r="BS86" i="46"/>
  <c r="BR86" i="46"/>
  <c r="BK86" i="46"/>
  <c r="BH86" i="46"/>
  <c r="BG86" i="46"/>
  <c r="BD86" i="46"/>
  <c r="BC86" i="46"/>
  <c r="AV86" i="46"/>
  <c r="AS86" i="46"/>
  <c r="AR86" i="46"/>
  <c r="AO86" i="46"/>
  <c r="AN86" i="46"/>
  <c r="AG86" i="46"/>
  <c r="Z86" i="46"/>
  <c r="Q86" i="46"/>
  <c r="J86" i="46"/>
  <c r="I86" i="46"/>
  <c r="D86" i="46"/>
  <c r="C86" i="46"/>
  <c r="L86" i="46" s="1" a="1"/>
  <c r="L86" i="46" s="1"/>
  <c r="BZ85" i="46"/>
  <c r="BW85" i="46"/>
  <c r="BV85" i="46"/>
  <c r="BS85" i="46"/>
  <c r="BR85" i="46"/>
  <c r="BK85" i="46"/>
  <c r="BH85" i="46"/>
  <c r="BG85" i="46"/>
  <c r="BD85" i="46"/>
  <c r="BC85" i="46"/>
  <c r="AV85" i="46"/>
  <c r="AS85" i="46"/>
  <c r="AR85" i="46"/>
  <c r="AO85" i="46"/>
  <c r="AN85" i="46"/>
  <c r="AG85" i="46"/>
  <c r="Z85" i="46"/>
  <c r="Y85" i="46"/>
  <c r="X85" i="46"/>
  <c r="Q85" i="46"/>
  <c r="K85" i="46" a="1"/>
  <c r="K85" i="46" s="1"/>
  <c r="J85" i="46"/>
  <c r="I85" i="46"/>
  <c r="D85" i="46"/>
  <c r="C85" i="46"/>
  <c r="L85" i="46" s="1" a="1"/>
  <c r="L85" i="46" s="1"/>
  <c r="BZ84" i="46"/>
  <c r="BW84" i="46"/>
  <c r="BV84" i="46"/>
  <c r="BS84" i="46"/>
  <c r="BR84" i="46"/>
  <c r="BK84" i="46"/>
  <c r="BH84" i="46"/>
  <c r="BG84" i="46"/>
  <c r="BD84" i="46"/>
  <c r="BC84" i="46"/>
  <c r="AV84" i="46"/>
  <c r="AS84" i="46"/>
  <c r="AR84" i="46"/>
  <c r="AO84" i="46"/>
  <c r="AN84" i="46"/>
  <c r="AG84" i="46"/>
  <c r="Z84" i="46"/>
  <c r="Y84" i="46"/>
  <c r="X84" i="46"/>
  <c r="Q84" i="46"/>
  <c r="K84" i="46" a="1"/>
  <c r="K84" i="46" s="1"/>
  <c r="J84" i="46"/>
  <c r="I84" i="46"/>
  <c r="D84" i="46"/>
  <c r="C84" i="46"/>
  <c r="L84" i="46" s="1" a="1"/>
  <c r="L84" i="46" s="1"/>
  <c r="BZ83" i="46"/>
  <c r="BW83" i="46"/>
  <c r="BS83" i="46"/>
  <c r="BK83" i="46"/>
  <c r="BG83" i="46"/>
  <c r="BD83" i="46"/>
  <c r="AV83" i="46"/>
  <c r="AS83" i="46"/>
  <c r="AR83" i="46"/>
  <c r="AN83" i="46"/>
  <c r="AG83" i="46"/>
  <c r="Z83" i="46"/>
  <c r="Y83" i="46"/>
  <c r="X83" i="46"/>
  <c r="Q83" i="46"/>
  <c r="L83" i="46" a="1"/>
  <c r="L83" i="46" s="1"/>
  <c r="J83" i="46"/>
  <c r="I83" i="46"/>
  <c r="D83" i="46"/>
  <c r="C83" i="46"/>
  <c r="BZ82" i="46"/>
  <c r="BW82" i="46"/>
  <c r="BV82" i="46"/>
  <c r="BS82" i="46"/>
  <c r="BR82" i="46"/>
  <c r="BK82" i="46"/>
  <c r="BH82" i="46"/>
  <c r="BG82" i="46"/>
  <c r="BD82" i="46"/>
  <c r="BC82" i="46"/>
  <c r="AV82" i="46"/>
  <c r="AS82" i="46"/>
  <c r="AR82" i="46"/>
  <c r="AO82" i="46"/>
  <c r="AN82" i="46"/>
  <c r="AG82" i="46"/>
  <c r="Z82" i="46"/>
  <c r="Q82" i="46"/>
  <c r="J82" i="46"/>
  <c r="I82" i="46"/>
  <c r="D82" i="46"/>
  <c r="C82" i="46"/>
  <c r="L82" i="46" s="1" a="1"/>
  <c r="L82" i="46" s="1"/>
  <c r="BZ81" i="46"/>
  <c r="BW81" i="46"/>
  <c r="BV81" i="46"/>
  <c r="BS81" i="46"/>
  <c r="BR81" i="46"/>
  <c r="BK81" i="46"/>
  <c r="BH81" i="46"/>
  <c r="BG81" i="46"/>
  <c r="BD81" i="46"/>
  <c r="BC81" i="46"/>
  <c r="AV81" i="46"/>
  <c r="AS81" i="46"/>
  <c r="AR81" i="46"/>
  <c r="AO81" i="46"/>
  <c r="AN81" i="46"/>
  <c r="AG81" i="46"/>
  <c r="Z81" i="46"/>
  <c r="Y81" i="46"/>
  <c r="X81" i="46"/>
  <c r="Q81" i="46"/>
  <c r="L81" i="46" a="1"/>
  <c r="L81" i="46" s="1"/>
  <c r="J81" i="46"/>
  <c r="I81" i="46"/>
  <c r="D81" i="46"/>
  <c r="C81" i="46"/>
  <c r="K81" i="46" s="1" a="1"/>
  <c r="K81" i="46" s="1"/>
  <c r="BZ80" i="46"/>
  <c r="BR80" i="46"/>
  <c r="BV80" i="46" s="1"/>
  <c r="BK80" i="46"/>
  <c r="AV80" i="46"/>
  <c r="AG80" i="46"/>
  <c r="Z80" i="46"/>
  <c r="Q80" i="46"/>
  <c r="K80" i="46" a="1"/>
  <c r="K80" i="46" s="1"/>
  <c r="J80" i="46"/>
  <c r="I80" i="46"/>
  <c r="D80" i="46"/>
  <c r="C80" i="46"/>
  <c r="L80" i="46" s="1" a="1"/>
  <c r="L80" i="46" s="1"/>
  <c r="BZ79" i="46"/>
  <c r="BK79" i="46"/>
  <c r="AV79" i="46"/>
  <c r="AG79" i="46"/>
  <c r="Z79" i="46"/>
  <c r="Q79" i="46"/>
  <c r="J79" i="46"/>
  <c r="I79" i="46"/>
  <c r="D79" i="46"/>
  <c r="C79" i="46"/>
  <c r="K79" i="46" s="1" a="1"/>
  <c r="K79" i="46" s="1"/>
  <c r="BZ78" i="46"/>
  <c r="BK78" i="46"/>
  <c r="AV78" i="46"/>
  <c r="AG78" i="46"/>
  <c r="Z78" i="46"/>
  <c r="Q78" i="46"/>
  <c r="J78" i="46"/>
  <c r="I78" i="46"/>
  <c r="D78" i="46"/>
  <c r="C78" i="46"/>
  <c r="BZ77" i="46"/>
  <c r="BK77" i="46"/>
  <c r="AV77" i="46"/>
  <c r="AG77" i="46"/>
  <c r="Z77" i="46"/>
  <c r="Q77" i="46"/>
  <c r="L77" i="46" a="1"/>
  <c r="L77" i="46" s="1"/>
  <c r="J77" i="46"/>
  <c r="I77" i="46"/>
  <c r="D77" i="46"/>
  <c r="C77" i="46"/>
  <c r="BZ76" i="46"/>
  <c r="BS76" i="46"/>
  <c r="BW76" i="46" s="1"/>
  <c r="BK76" i="46"/>
  <c r="AV76" i="46"/>
  <c r="AN76" i="46"/>
  <c r="AR76" i="46" s="1"/>
  <c r="AG76" i="46"/>
  <c r="Z76" i="46"/>
  <c r="Q76" i="46"/>
  <c r="J76" i="46"/>
  <c r="I76" i="46"/>
  <c r="D76" i="46"/>
  <c r="C76" i="46"/>
  <c r="K76" i="46" s="1" a="1"/>
  <c r="K76" i="46" s="1"/>
  <c r="BZ75" i="46"/>
  <c r="BK75" i="46"/>
  <c r="BC75" i="46"/>
  <c r="BG75" i="46" s="1"/>
  <c r="AV75" i="46"/>
  <c r="AG75" i="46"/>
  <c r="Z75" i="46"/>
  <c r="Q75" i="46"/>
  <c r="J75" i="46"/>
  <c r="I75" i="46"/>
  <c r="D75" i="46"/>
  <c r="C75" i="46"/>
  <c r="K75" i="46" s="1" a="1"/>
  <c r="K75" i="46" s="1"/>
  <c r="BZ74" i="46"/>
  <c r="BK74" i="46"/>
  <c r="AV74" i="46"/>
  <c r="AG74" i="46"/>
  <c r="Z74" i="46"/>
  <c r="Q74" i="46"/>
  <c r="K74" i="46" a="1"/>
  <c r="K74" i="46" s="1"/>
  <c r="J74" i="46"/>
  <c r="I74" i="46"/>
  <c r="D74" i="46"/>
  <c r="C74" i="46"/>
  <c r="BZ73" i="46"/>
  <c r="BS73" i="46"/>
  <c r="BW73" i="46" s="1"/>
  <c r="BK73" i="46"/>
  <c r="AV73" i="46"/>
  <c r="AN73" i="46"/>
  <c r="AR73" i="46" s="1"/>
  <c r="AG73" i="46"/>
  <c r="Z73" i="46"/>
  <c r="Q73" i="46"/>
  <c r="J73" i="46"/>
  <c r="I73" i="46"/>
  <c r="D73" i="46"/>
  <c r="C73" i="46"/>
  <c r="L73" i="46" s="1" a="1"/>
  <c r="L73" i="46" s="1"/>
  <c r="BZ72" i="46"/>
  <c r="BK72" i="46"/>
  <c r="AV72" i="46"/>
  <c r="AG72" i="46"/>
  <c r="Z72" i="46"/>
  <c r="Q72" i="46"/>
  <c r="J72" i="46"/>
  <c r="I72" i="46"/>
  <c r="D72" i="46"/>
  <c r="C72" i="46"/>
  <c r="BZ71" i="46"/>
  <c r="BK71" i="46"/>
  <c r="AV71" i="46"/>
  <c r="AG71" i="46"/>
  <c r="Z71" i="46"/>
  <c r="Q71" i="46"/>
  <c r="J71" i="46"/>
  <c r="I71" i="46"/>
  <c r="D71" i="46"/>
  <c r="C71" i="46"/>
  <c r="K71" i="46" s="1" a="1"/>
  <c r="K71" i="46" s="1"/>
  <c r="BZ70" i="46"/>
  <c r="BK70" i="46"/>
  <c r="AV70" i="46"/>
  <c r="AG70" i="46"/>
  <c r="Z70" i="46"/>
  <c r="Q70" i="46"/>
  <c r="J70" i="46"/>
  <c r="I70" i="46"/>
  <c r="D70" i="46"/>
  <c r="C70" i="46"/>
  <c r="BZ69" i="46"/>
  <c r="BR69" i="46"/>
  <c r="BV69" i="46" s="1"/>
  <c r="BK69" i="46"/>
  <c r="AV69" i="46"/>
  <c r="AG69" i="46"/>
  <c r="Z69" i="46"/>
  <c r="Q69" i="46"/>
  <c r="L69" i="46" a="1"/>
  <c r="L69" i="46" s="1"/>
  <c r="K69" i="46" a="1"/>
  <c r="K69" i="46" s="1"/>
  <c r="J69" i="46"/>
  <c r="I69" i="46"/>
  <c r="D69" i="46"/>
  <c r="C69" i="46"/>
  <c r="BZ68" i="46"/>
  <c r="BK68" i="46"/>
  <c r="AV68" i="46"/>
  <c r="AN68" i="46"/>
  <c r="AR68" i="46" s="1"/>
  <c r="AG68" i="46"/>
  <c r="Z68" i="46"/>
  <c r="Q68" i="46"/>
  <c r="J68" i="46"/>
  <c r="I68" i="46"/>
  <c r="D68" i="46"/>
  <c r="C68" i="46"/>
  <c r="BZ67" i="46"/>
  <c r="BK67" i="46"/>
  <c r="AV67" i="46"/>
  <c r="AO67" i="46"/>
  <c r="AS67" i="46" s="1"/>
  <c r="AG67" i="46"/>
  <c r="Z67" i="46"/>
  <c r="Q67" i="46"/>
  <c r="J67" i="46"/>
  <c r="I67" i="46"/>
  <c r="D67" i="46"/>
  <c r="C67" i="46"/>
  <c r="L67" i="46" s="1" a="1"/>
  <c r="L67" i="46" s="1"/>
  <c r="BZ66" i="46"/>
  <c r="BK66" i="46"/>
  <c r="BD66" i="46"/>
  <c r="BH66" i="46" s="1"/>
  <c r="AV66" i="46"/>
  <c r="AG66" i="46"/>
  <c r="Z66" i="46"/>
  <c r="Q66" i="46"/>
  <c r="K66" i="46" a="1"/>
  <c r="K66" i="46" s="1"/>
  <c r="J66" i="46"/>
  <c r="I66" i="46"/>
  <c r="D66" i="46"/>
  <c r="C66" i="46"/>
  <c r="BZ65" i="46"/>
  <c r="BK65" i="46"/>
  <c r="AV65" i="46"/>
  <c r="AG65" i="46"/>
  <c r="Z65" i="46"/>
  <c r="Q65" i="46"/>
  <c r="J65" i="46"/>
  <c r="I65" i="46"/>
  <c r="D65" i="46"/>
  <c r="C65" i="46"/>
  <c r="BZ64" i="46"/>
  <c r="BK64" i="46"/>
  <c r="AV64" i="46"/>
  <c r="AG64" i="46"/>
  <c r="Z64" i="46"/>
  <c r="Q64" i="46"/>
  <c r="J64" i="46"/>
  <c r="I64" i="46"/>
  <c r="D64" i="46"/>
  <c r="C64" i="46"/>
  <c r="BZ63" i="46"/>
  <c r="BK63" i="46"/>
  <c r="AV63" i="46"/>
  <c r="AN63" i="46"/>
  <c r="AR63" i="46" s="1"/>
  <c r="AG63" i="46"/>
  <c r="Z63" i="46"/>
  <c r="Q63" i="46"/>
  <c r="J63" i="46"/>
  <c r="I63" i="46"/>
  <c r="D63" i="46"/>
  <c r="C63" i="46"/>
  <c r="L63" i="46" s="1" a="1"/>
  <c r="L63" i="46" s="1"/>
  <c r="BZ62" i="46"/>
  <c r="BK62" i="46"/>
  <c r="AV62" i="46"/>
  <c r="AG62" i="46"/>
  <c r="Z62" i="46"/>
  <c r="Q62" i="46"/>
  <c r="J62" i="46"/>
  <c r="I62" i="46"/>
  <c r="D62" i="46"/>
  <c r="C62" i="46"/>
  <c r="K62" i="46" s="1" a="1"/>
  <c r="K62" i="46" s="1"/>
  <c r="BZ61" i="46"/>
  <c r="BK61" i="46"/>
  <c r="BD61" i="46"/>
  <c r="BH61" i="46" s="1"/>
  <c r="AV61" i="46"/>
  <c r="AG61" i="46"/>
  <c r="Z61" i="46"/>
  <c r="Q61" i="46"/>
  <c r="J61" i="46"/>
  <c r="I61" i="46"/>
  <c r="D61" i="46"/>
  <c r="C61" i="46"/>
  <c r="BZ60" i="46"/>
  <c r="BR60" i="46"/>
  <c r="BV60" i="46" s="1"/>
  <c r="BK60" i="46"/>
  <c r="AV60" i="46"/>
  <c r="AG60" i="46"/>
  <c r="Z60" i="46"/>
  <c r="Q60" i="46"/>
  <c r="L60" i="46" a="1"/>
  <c r="L60" i="46" s="1"/>
  <c r="K60" i="46" a="1"/>
  <c r="K60" i="46" s="1"/>
  <c r="J60" i="46"/>
  <c r="I60" i="46"/>
  <c r="D60" i="46"/>
  <c r="C60" i="46"/>
  <c r="BZ59" i="46"/>
  <c r="BK59" i="46"/>
  <c r="AV59" i="46"/>
  <c r="AN59" i="46"/>
  <c r="AR59" i="46" s="1"/>
  <c r="AG59" i="46"/>
  <c r="Z59" i="46"/>
  <c r="Q59" i="46"/>
  <c r="J59" i="46"/>
  <c r="I59" i="46"/>
  <c r="D59" i="46"/>
  <c r="C59" i="46"/>
  <c r="L59" i="46" s="1" a="1"/>
  <c r="L59" i="46" s="1"/>
  <c r="BZ58" i="46"/>
  <c r="BK58" i="46"/>
  <c r="BC58" i="46"/>
  <c r="BG58" i="46" s="1"/>
  <c r="AV58" i="46"/>
  <c r="AG58" i="46"/>
  <c r="Z58" i="46"/>
  <c r="Q58" i="46"/>
  <c r="K58" i="46" a="1"/>
  <c r="K58" i="46" s="1"/>
  <c r="J58" i="46"/>
  <c r="I58" i="46"/>
  <c r="D58" i="46"/>
  <c r="C58" i="46"/>
  <c r="L58" i="46" s="1" a="1"/>
  <c r="L58" i="46" s="1"/>
  <c r="BZ57" i="46"/>
  <c r="BK57" i="46"/>
  <c r="AV57" i="46"/>
  <c r="AG57" i="46"/>
  <c r="Z57" i="46"/>
  <c r="Q57" i="46"/>
  <c r="J57" i="46"/>
  <c r="I57" i="46"/>
  <c r="D57" i="46"/>
  <c r="C57" i="46"/>
  <c r="K57" i="46" s="1" a="1"/>
  <c r="K57" i="46" s="1"/>
  <c r="BZ56" i="46"/>
  <c r="BK56" i="46"/>
  <c r="AV56" i="46"/>
  <c r="AG56" i="46"/>
  <c r="Z56" i="46"/>
  <c r="Q56" i="46"/>
  <c r="L56" i="46" a="1"/>
  <c r="L56" i="46" s="1"/>
  <c r="K56" i="46" a="1"/>
  <c r="K56" i="46" s="1"/>
  <c r="J56" i="46"/>
  <c r="I56" i="46"/>
  <c r="D56" i="46"/>
  <c r="C56" i="46"/>
  <c r="BZ55" i="46"/>
  <c r="BS55" i="46"/>
  <c r="BW55" i="46" s="1"/>
  <c r="BK55" i="46"/>
  <c r="AV55" i="46"/>
  <c r="AG55" i="46"/>
  <c r="Z55" i="46"/>
  <c r="Q55" i="46"/>
  <c r="J55" i="46"/>
  <c r="I55" i="46"/>
  <c r="D55" i="46"/>
  <c r="C55" i="46"/>
  <c r="L55" i="46" s="1" a="1"/>
  <c r="L55" i="46" s="1"/>
  <c r="BZ54" i="46"/>
  <c r="BK54" i="46"/>
  <c r="AV54" i="46"/>
  <c r="AO54" i="46"/>
  <c r="AS54" i="46" s="1"/>
  <c r="AG54" i="46"/>
  <c r="Z54" i="46"/>
  <c r="Q54" i="46"/>
  <c r="J54" i="46"/>
  <c r="I54" i="46"/>
  <c r="D54" i="46"/>
  <c r="C54" i="46"/>
  <c r="L54" i="46" s="1" a="1"/>
  <c r="L54" i="46" s="1"/>
  <c r="BZ53" i="46"/>
  <c r="BK53" i="46"/>
  <c r="BC53" i="46"/>
  <c r="BG53" i="46" s="1"/>
  <c r="AV53" i="46"/>
  <c r="AG53" i="46"/>
  <c r="Z53" i="46"/>
  <c r="Q53" i="46"/>
  <c r="J53" i="46"/>
  <c r="I53" i="46"/>
  <c r="D53" i="46"/>
  <c r="C53" i="46"/>
  <c r="K53" i="46" s="1" a="1"/>
  <c r="K53" i="46" s="1"/>
  <c r="BZ52" i="46"/>
  <c r="BK52" i="46"/>
  <c r="AV52" i="46"/>
  <c r="AG52" i="46"/>
  <c r="Z52" i="46"/>
  <c r="Q52" i="46"/>
  <c r="L52" i="46" a="1"/>
  <c r="L52" i="46" s="1"/>
  <c r="K52" i="46" a="1"/>
  <c r="K52" i="46" s="1"/>
  <c r="J52" i="46"/>
  <c r="I52" i="46"/>
  <c r="D52" i="46"/>
  <c r="C52" i="46"/>
  <c r="BZ51" i="46"/>
  <c r="BK51" i="46"/>
  <c r="AV51" i="46"/>
  <c r="AN51" i="46"/>
  <c r="AR51" i="46" s="1"/>
  <c r="AG51" i="46"/>
  <c r="Z51" i="46"/>
  <c r="Q51" i="46"/>
  <c r="J51" i="46"/>
  <c r="I51" i="46"/>
  <c r="D51" i="46"/>
  <c r="C51" i="46"/>
  <c r="L51" i="46" s="1" a="1"/>
  <c r="L51" i="46" s="1"/>
  <c r="BZ50" i="46"/>
  <c r="BK50" i="46"/>
  <c r="AV50" i="46"/>
  <c r="AG50" i="46"/>
  <c r="Z50" i="46"/>
  <c r="Q50" i="46"/>
  <c r="J50" i="46"/>
  <c r="I50" i="46"/>
  <c r="D50" i="46"/>
  <c r="C50" i="46"/>
  <c r="L50" i="46" s="1" a="1"/>
  <c r="L50" i="46" s="1"/>
  <c r="BZ49" i="46"/>
  <c r="BK49" i="46"/>
  <c r="AV49" i="46"/>
  <c r="AG49" i="46"/>
  <c r="Z49" i="46"/>
  <c r="Q49" i="46"/>
  <c r="J49" i="46"/>
  <c r="I49" i="46"/>
  <c r="D49" i="46"/>
  <c r="C49" i="46"/>
  <c r="K49" i="46" s="1" a="1"/>
  <c r="K49" i="46" s="1"/>
  <c r="BZ48" i="46"/>
  <c r="BK48" i="46"/>
  <c r="BD48" i="46"/>
  <c r="BH48" i="46" s="1"/>
  <c r="AV48" i="46"/>
  <c r="AG48" i="46"/>
  <c r="Z48" i="46"/>
  <c r="Q48" i="46"/>
  <c r="L48" i="46" a="1"/>
  <c r="L48" i="46" s="1"/>
  <c r="K48" i="46" a="1"/>
  <c r="K48" i="46" s="1"/>
  <c r="J48" i="46"/>
  <c r="I48" i="46"/>
  <c r="D48" i="46"/>
  <c r="C48" i="46"/>
  <c r="BZ47" i="46"/>
  <c r="BK47" i="46"/>
  <c r="AV47" i="46"/>
  <c r="AG47" i="46"/>
  <c r="Z47" i="46"/>
  <c r="Q47" i="46"/>
  <c r="L47" i="46" a="1"/>
  <c r="L47" i="46" s="1"/>
  <c r="K47" i="46" a="1"/>
  <c r="K47" i="46" s="1"/>
  <c r="J47" i="46"/>
  <c r="I47" i="46"/>
  <c r="D47" i="46"/>
  <c r="C47" i="46"/>
  <c r="BZ46" i="46"/>
  <c r="BK46" i="46"/>
  <c r="AV46" i="46"/>
  <c r="AO46" i="46"/>
  <c r="AS46" i="46" s="1"/>
  <c r="AG46" i="46"/>
  <c r="Z46" i="46"/>
  <c r="Q46" i="46"/>
  <c r="J46" i="46"/>
  <c r="I46" i="46"/>
  <c r="D46" i="46"/>
  <c r="C46" i="46"/>
  <c r="L46" i="46" s="1" a="1"/>
  <c r="L46" i="46" s="1"/>
  <c r="BZ45" i="46"/>
  <c r="BK45" i="46"/>
  <c r="AV45" i="46"/>
  <c r="AG45" i="46"/>
  <c r="Z45" i="46"/>
  <c r="Q45" i="46"/>
  <c r="J45" i="46"/>
  <c r="I45" i="46"/>
  <c r="D45" i="46"/>
  <c r="C45" i="46"/>
  <c r="BZ44" i="46"/>
  <c r="BK44" i="46"/>
  <c r="BC44" i="46"/>
  <c r="BG44" i="46" s="1"/>
  <c r="AV44" i="46"/>
  <c r="AG44" i="46"/>
  <c r="Z44" i="46"/>
  <c r="Q44" i="46"/>
  <c r="K44" i="46" a="1"/>
  <c r="K44" i="46" s="1"/>
  <c r="J44" i="46"/>
  <c r="I44" i="46"/>
  <c r="D44" i="46"/>
  <c r="C44" i="46"/>
  <c r="L44" i="46" s="1" a="1"/>
  <c r="L44" i="46" s="1"/>
  <c r="BZ43" i="46"/>
  <c r="BK43" i="46"/>
  <c r="AV43" i="46"/>
  <c r="AG43" i="46"/>
  <c r="Z43" i="46"/>
  <c r="Q43" i="46"/>
  <c r="L43" i="46" a="1"/>
  <c r="L43" i="46" s="1"/>
  <c r="K43" i="46" a="1"/>
  <c r="K43" i="46" s="1"/>
  <c r="J43" i="46"/>
  <c r="I43" i="46"/>
  <c r="D43" i="46"/>
  <c r="C43" i="46"/>
  <c r="BZ42" i="46"/>
  <c r="BK42" i="46"/>
  <c r="AV42" i="46"/>
  <c r="AN42" i="46"/>
  <c r="AR42" i="46" s="1"/>
  <c r="AG42" i="46"/>
  <c r="Z42" i="46"/>
  <c r="Q42" i="46"/>
  <c r="J42" i="46"/>
  <c r="I42" i="46"/>
  <c r="D42" i="46"/>
  <c r="C42" i="46"/>
  <c r="L42" i="46" s="1" a="1"/>
  <c r="L42" i="46" s="1"/>
  <c r="BZ41" i="46"/>
  <c r="BK41" i="46"/>
  <c r="AV41" i="46"/>
  <c r="AN41" i="46"/>
  <c r="AR41" i="46" s="1"/>
  <c r="AG41" i="46"/>
  <c r="Z41" i="46"/>
  <c r="Y41" i="46"/>
  <c r="Q41" i="46"/>
  <c r="J41" i="46"/>
  <c r="I41" i="46"/>
  <c r="D41" i="46"/>
  <c r="C41" i="46"/>
  <c r="BZ40" i="46"/>
  <c r="BK40" i="46"/>
  <c r="AV40" i="46"/>
  <c r="AO40" i="46"/>
  <c r="AS40" i="46" s="1"/>
  <c r="AG40" i="46"/>
  <c r="Z40" i="46"/>
  <c r="Q40" i="46"/>
  <c r="J40" i="46"/>
  <c r="I40" i="46"/>
  <c r="D40" i="46"/>
  <c r="C40" i="46"/>
  <c r="L40" i="46" s="1" a="1"/>
  <c r="L40" i="46" s="1"/>
  <c r="BZ39" i="46"/>
  <c r="BK39" i="46"/>
  <c r="AV39" i="46"/>
  <c r="AG39" i="46"/>
  <c r="Z39" i="46"/>
  <c r="Q39" i="46"/>
  <c r="K39" i="46" a="1"/>
  <c r="K39" i="46" s="1"/>
  <c r="J39" i="46"/>
  <c r="I39" i="46"/>
  <c r="D39" i="46"/>
  <c r="C39" i="46"/>
  <c r="L39" i="46" s="1" a="1"/>
  <c r="L39" i="46" s="1"/>
  <c r="BZ38" i="46"/>
  <c r="BW38" i="46"/>
  <c r="BS38" i="46"/>
  <c r="BR38" i="46"/>
  <c r="BV38" i="46" s="1"/>
  <c r="BK38" i="46"/>
  <c r="AV38" i="46"/>
  <c r="AG38" i="46"/>
  <c r="Z38" i="46"/>
  <c r="Q38" i="46"/>
  <c r="J38" i="46"/>
  <c r="I38" i="46"/>
  <c r="D38" i="46"/>
  <c r="C38" i="46"/>
  <c r="L38" i="46" s="1" a="1"/>
  <c r="L38" i="46" s="1"/>
  <c r="BZ37" i="46"/>
  <c r="BW37" i="46"/>
  <c r="BS37" i="46"/>
  <c r="BK37" i="46"/>
  <c r="BH37" i="46"/>
  <c r="BD37" i="46"/>
  <c r="AV37" i="46"/>
  <c r="AG37" i="46"/>
  <c r="Z37" i="46"/>
  <c r="Y37" i="46"/>
  <c r="X37" i="46"/>
  <c r="Q37" i="46"/>
  <c r="J37" i="46"/>
  <c r="I37" i="46"/>
  <c r="D37" i="46"/>
  <c r="C37" i="46"/>
  <c r="BZ36" i="46"/>
  <c r="BK36" i="46"/>
  <c r="BD36" i="46"/>
  <c r="BH36" i="46" s="1"/>
  <c r="AV36" i="46"/>
  <c r="AS36" i="46"/>
  <c r="AR36" i="46"/>
  <c r="AO36" i="46"/>
  <c r="AN36" i="46"/>
  <c r="AG36" i="46"/>
  <c r="Z36" i="46"/>
  <c r="Y36" i="46"/>
  <c r="Q36" i="46"/>
  <c r="L36" i="46" a="1"/>
  <c r="L36" i="46" s="1"/>
  <c r="J36" i="46"/>
  <c r="I36" i="46"/>
  <c r="D36" i="46"/>
  <c r="C36" i="46"/>
  <c r="K36" i="46" s="1" a="1"/>
  <c r="K36" i="46" s="1"/>
  <c r="BZ35" i="46"/>
  <c r="BW35" i="46"/>
  <c r="BS35" i="46"/>
  <c r="BR35" i="46"/>
  <c r="BK35" i="46"/>
  <c r="AV35" i="46"/>
  <c r="AN35" i="46"/>
  <c r="AR35" i="46" s="1"/>
  <c r="AG35" i="46"/>
  <c r="Z35" i="46"/>
  <c r="X35" i="46"/>
  <c r="Y35" i="46"/>
  <c r="Q35" i="46"/>
  <c r="J35" i="46"/>
  <c r="I35" i="46"/>
  <c r="D35" i="46"/>
  <c r="C35" i="46"/>
  <c r="L35" i="46" s="1" a="1"/>
  <c r="L35" i="46" s="1"/>
  <c r="BZ34" i="46"/>
  <c r="BW34" i="46"/>
  <c r="BS34" i="46"/>
  <c r="BK34" i="46"/>
  <c r="BH34" i="46"/>
  <c r="BD34" i="46"/>
  <c r="AV34" i="46"/>
  <c r="AS34" i="46"/>
  <c r="AR34" i="46"/>
  <c r="AO34" i="46"/>
  <c r="AN34" i="46"/>
  <c r="AG34" i="46"/>
  <c r="Z34" i="46"/>
  <c r="Q34" i="46"/>
  <c r="J34" i="46"/>
  <c r="I34" i="46"/>
  <c r="D34" i="46"/>
  <c r="C34" i="46"/>
  <c r="L34" i="46" s="1" a="1"/>
  <c r="L34" i="46" s="1"/>
  <c r="BZ33" i="46"/>
  <c r="BW33" i="46"/>
  <c r="BV33" i="46"/>
  <c r="BS33" i="46"/>
  <c r="BR33" i="46"/>
  <c r="BK33" i="46"/>
  <c r="BH33" i="46"/>
  <c r="BG33" i="46"/>
  <c r="BD33" i="46"/>
  <c r="BC33" i="46"/>
  <c r="AV33" i="46"/>
  <c r="AS33" i="46"/>
  <c r="AR33" i="46"/>
  <c r="AO33" i="46"/>
  <c r="AN33" i="46"/>
  <c r="AG33" i="46"/>
  <c r="Z33" i="46"/>
  <c r="Y33" i="46"/>
  <c r="X33" i="46"/>
  <c r="Q33" i="46"/>
  <c r="J33" i="46"/>
  <c r="I33" i="46"/>
  <c r="D33" i="46"/>
  <c r="C33" i="46"/>
  <c r="BZ32" i="46"/>
  <c r="BW32" i="46"/>
  <c r="BV32" i="46"/>
  <c r="BS32" i="46"/>
  <c r="BR32" i="46"/>
  <c r="BK32" i="46"/>
  <c r="BH32" i="46"/>
  <c r="BG32" i="46"/>
  <c r="BD32" i="46"/>
  <c r="BC32" i="46"/>
  <c r="AV32" i="46"/>
  <c r="AS32" i="46"/>
  <c r="AR32" i="46"/>
  <c r="AO32" i="46"/>
  <c r="AN32" i="46"/>
  <c r="AG32" i="46"/>
  <c r="Z32" i="46"/>
  <c r="Y32" i="46"/>
  <c r="X32" i="46"/>
  <c r="Q32" i="46"/>
  <c r="J32" i="46"/>
  <c r="I32" i="46"/>
  <c r="D32" i="46"/>
  <c r="C32" i="46"/>
  <c r="L32" i="46" s="1" a="1"/>
  <c r="L32" i="46" s="1"/>
  <c r="BZ31" i="46"/>
  <c r="BW31" i="46"/>
  <c r="BS31" i="46"/>
  <c r="BK31" i="46"/>
  <c r="BH31" i="46"/>
  <c r="AV31" i="46"/>
  <c r="AR31" i="46"/>
  <c r="AO31" i="46"/>
  <c r="AN31" i="46"/>
  <c r="AG31" i="46"/>
  <c r="Z31" i="46"/>
  <c r="Y31" i="46"/>
  <c r="X31" i="46"/>
  <c r="Q31" i="46"/>
  <c r="K31" i="46" a="1"/>
  <c r="K31" i="46" s="1"/>
  <c r="J31" i="46"/>
  <c r="I31" i="46"/>
  <c r="D31" i="46"/>
  <c r="C31" i="46"/>
  <c r="L31" i="46" s="1" a="1"/>
  <c r="L31" i="46" s="1"/>
  <c r="BZ30" i="46"/>
  <c r="BW30" i="46"/>
  <c r="BV30" i="46"/>
  <c r="BS30" i="46"/>
  <c r="BR30" i="46"/>
  <c r="BK30" i="46"/>
  <c r="BH30" i="46"/>
  <c r="BG30" i="46"/>
  <c r="BD30" i="46"/>
  <c r="BC30" i="46"/>
  <c r="AV30" i="46"/>
  <c r="AS30" i="46"/>
  <c r="AR30" i="46"/>
  <c r="AO30" i="46"/>
  <c r="AN30" i="46"/>
  <c r="AG30" i="46"/>
  <c r="Z30" i="46"/>
  <c r="Q30" i="46"/>
  <c r="J30" i="46"/>
  <c r="I30" i="46"/>
  <c r="D30" i="46"/>
  <c r="C30" i="46"/>
  <c r="BZ29" i="46"/>
  <c r="BW29" i="46"/>
  <c r="BV29" i="46"/>
  <c r="BS29" i="46"/>
  <c r="BR29" i="46"/>
  <c r="BK29" i="46"/>
  <c r="BH29" i="46"/>
  <c r="BG29" i="46"/>
  <c r="BD29" i="46"/>
  <c r="BC29" i="46"/>
  <c r="AV29" i="46"/>
  <c r="AS29" i="46"/>
  <c r="AR29" i="46"/>
  <c r="AO29" i="46"/>
  <c r="AN29" i="46"/>
  <c r="AG29" i="46"/>
  <c r="Z29" i="46"/>
  <c r="Y29" i="46"/>
  <c r="X29" i="46"/>
  <c r="Q29" i="46"/>
  <c r="J29" i="46"/>
  <c r="I29" i="46"/>
  <c r="D29" i="46"/>
  <c r="C29" i="46"/>
  <c r="K29" i="46" s="1" a="1"/>
  <c r="K29" i="46" s="1"/>
  <c r="BZ28" i="46"/>
  <c r="BW28" i="46"/>
  <c r="BV28" i="46"/>
  <c r="BS28" i="46"/>
  <c r="BR28" i="46"/>
  <c r="BK28" i="46"/>
  <c r="BH28" i="46"/>
  <c r="BG28" i="46"/>
  <c r="BD28" i="46"/>
  <c r="BC28" i="46"/>
  <c r="AV28" i="46"/>
  <c r="AS28" i="46"/>
  <c r="AR28" i="46"/>
  <c r="AO28" i="46"/>
  <c r="AN28" i="46"/>
  <c r="AG28" i="46"/>
  <c r="Z28" i="46"/>
  <c r="Y28" i="46"/>
  <c r="X28" i="46"/>
  <c r="Q28" i="46"/>
  <c r="J28" i="46"/>
  <c r="I28" i="46"/>
  <c r="D28" i="46"/>
  <c r="C28" i="46"/>
  <c r="L28" i="46" s="1" a="1"/>
  <c r="L28" i="46" s="1"/>
  <c r="BZ27" i="46"/>
  <c r="BW27" i="46"/>
  <c r="BS27" i="46"/>
  <c r="BK27" i="46"/>
  <c r="BG27" i="46"/>
  <c r="BD27" i="46"/>
  <c r="AV27" i="46"/>
  <c r="AR27" i="46"/>
  <c r="AN27" i="46"/>
  <c r="AG27" i="46"/>
  <c r="Z27" i="46"/>
  <c r="Y27" i="46"/>
  <c r="X27" i="46"/>
  <c r="Q27" i="46"/>
  <c r="L27" i="46" a="1"/>
  <c r="L27" i="46" s="1"/>
  <c r="K27" i="46" a="1"/>
  <c r="K27" i="46" s="1"/>
  <c r="J27" i="46"/>
  <c r="I27" i="46"/>
  <c r="D27" i="46"/>
  <c r="C27" i="46"/>
  <c r="BZ26" i="46"/>
  <c r="BW26" i="46"/>
  <c r="BV26" i="46"/>
  <c r="BS26" i="46"/>
  <c r="BR26" i="46"/>
  <c r="BK26" i="46"/>
  <c r="BH26" i="46"/>
  <c r="BG26" i="46"/>
  <c r="BD26" i="46"/>
  <c r="BC26" i="46"/>
  <c r="AV26" i="46"/>
  <c r="AS26" i="46"/>
  <c r="AR26" i="46"/>
  <c r="AO26" i="46"/>
  <c r="AN26" i="46"/>
  <c r="AG26" i="46"/>
  <c r="Z26" i="46"/>
  <c r="Q26" i="46"/>
  <c r="J26" i="46"/>
  <c r="I26" i="46"/>
  <c r="D26" i="46"/>
  <c r="C26" i="46"/>
  <c r="BZ25" i="46"/>
  <c r="BW25" i="46"/>
  <c r="BV25" i="46"/>
  <c r="BS25" i="46"/>
  <c r="BR25" i="46"/>
  <c r="BK25" i="46"/>
  <c r="BH25" i="46"/>
  <c r="BG25" i="46"/>
  <c r="BD25" i="46"/>
  <c r="BC25" i="46"/>
  <c r="AV25" i="46"/>
  <c r="AS25" i="46"/>
  <c r="AR25" i="46"/>
  <c r="AO25" i="46"/>
  <c r="AN25" i="46"/>
  <c r="AG25" i="46"/>
  <c r="Z25" i="46"/>
  <c r="Y25" i="46"/>
  <c r="X25" i="46"/>
  <c r="Q25" i="46"/>
  <c r="J25" i="46"/>
  <c r="I25" i="46"/>
  <c r="D25" i="46"/>
  <c r="C25" i="46"/>
  <c r="BZ24" i="46"/>
  <c r="BW24" i="46"/>
  <c r="BV24" i="46"/>
  <c r="BS24" i="46"/>
  <c r="BR24" i="46"/>
  <c r="BK24" i="46"/>
  <c r="BH24" i="46"/>
  <c r="BG24" i="46"/>
  <c r="BD24" i="46"/>
  <c r="BC24" i="46"/>
  <c r="AV24" i="46"/>
  <c r="AS24" i="46"/>
  <c r="AR24" i="46"/>
  <c r="AO24" i="46"/>
  <c r="AN24" i="46"/>
  <c r="AG24" i="46"/>
  <c r="Z24" i="46"/>
  <c r="Y24" i="46"/>
  <c r="X24" i="46"/>
  <c r="Q24" i="46"/>
  <c r="L24" i="46" a="1"/>
  <c r="L24" i="46" s="1"/>
  <c r="J24" i="46"/>
  <c r="I24" i="46"/>
  <c r="D24" i="46"/>
  <c r="C24" i="46"/>
  <c r="K24" i="46" s="1" a="1"/>
  <c r="K24" i="46" s="1"/>
  <c r="BZ23" i="46"/>
  <c r="BW23" i="46"/>
  <c r="BS23" i="46"/>
  <c r="BK23" i="46"/>
  <c r="BC23" i="46"/>
  <c r="AV23" i="46"/>
  <c r="AR23" i="46"/>
  <c r="AO23" i="46"/>
  <c r="AN23" i="46"/>
  <c r="AG23" i="46"/>
  <c r="Z23" i="46"/>
  <c r="Y23" i="46"/>
  <c r="X23" i="46"/>
  <c r="Q23" i="46"/>
  <c r="K23" i="46" a="1"/>
  <c r="K23" i="46" s="1"/>
  <c r="J23" i="46"/>
  <c r="I23" i="46"/>
  <c r="D23" i="46"/>
  <c r="C23" i="46"/>
  <c r="BZ22" i="46"/>
  <c r="BW22" i="46"/>
  <c r="BV22" i="46"/>
  <c r="BS22" i="46"/>
  <c r="BR22" i="46"/>
  <c r="BK22" i="46"/>
  <c r="BH22" i="46"/>
  <c r="BG22" i="46"/>
  <c r="BD22" i="46"/>
  <c r="BC22" i="46"/>
  <c r="AV22" i="46"/>
  <c r="AS22" i="46"/>
  <c r="AR22" i="46"/>
  <c r="AO22" i="46"/>
  <c r="AN22" i="46"/>
  <c r="AG22" i="46"/>
  <c r="Z22" i="46"/>
  <c r="Q22" i="46"/>
  <c r="L22" i="46" a="1"/>
  <c r="L22" i="46" s="1"/>
  <c r="K22" i="46" a="1"/>
  <c r="K22" i="46" s="1"/>
  <c r="J22" i="46"/>
  <c r="I22" i="46"/>
  <c r="D22" i="46"/>
  <c r="C22" i="46"/>
  <c r="BZ21" i="46"/>
  <c r="BW21" i="46"/>
  <c r="BV21" i="46"/>
  <c r="BS21" i="46"/>
  <c r="BR21" i="46"/>
  <c r="BK21" i="46"/>
  <c r="BH21" i="46"/>
  <c r="BG21" i="46"/>
  <c r="BD21" i="46"/>
  <c r="BC21" i="46"/>
  <c r="AV21" i="46"/>
  <c r="AS21" i="46"/>
  <c r="AR21" i="46"/>
  <c r="AO21" i="46"/>
  <c r="AN21" i="46"/>
  <c r="AG21" i="46"/>
  <c r="Z21" i="46"/>
  <c r="Y21" i="46"/>
  <c r="X21" i="46"/>
  <c r="Q21" i="46"/>
  <c r="J21" i="46"/>
  <c r="I21" i="46"/>
  <c r="D21" i="46"/>
  <c r="C21" i="46"/>
  <c r="BZ20" i="46"/>
  <c r="BW20" i="46"/>
  <c r="BV20" i="46"/>
  <c r="BS20" i="46"/>
  <c r="BR20" i="46"/>
  <c r="BK20" i="46"/>
  <c r="BH20" i="46"/>
  <c r="BG20" i="46"/>
  <c r="BD20" i="46"/>
  <c r="BC20" i="46"/>
  <c r="AV20" i="46"/>
  <c r="AS20" i="46"/>
  <c r="AR20" i="46"/>
  <c r="AO20" i="46"/>
  <c r="AN20" i="46"/>
  <c r="AG20" i="46"/>
  <c r="Z20" i="46"/>
  <c r="Y20" i="46"/>
  <c r="X20" i="46"/>
  <c r="Q20" i="46"/>
  <c r="L20" i="46" a="1"/>
  <c r="L20" i="46" s="1"/>
  <c r="J20" i="46"/>
  <c r="I20" i="46"/>
  <c r="D20" i="46"/>
  <c r="C20" i="46"/>
  <c r="K20" i="46" s="1" a="1"/>
  <c r="K20" i="46" s="1"/>
  <c r="BZ19" i="46"/>
  <c r="BW19" i="46"/>
  <c r="BS19" i="46"/>
  <c r="BK19" i="46"/>
  <c r="BG19" i="46"/>
  <c r="BD19" i="46"/>
  <c r="AV19" i="46"/>
  <c r="AS19" i="46"/>
  <c r="AR19" i="46"/>
  <c r="AN19" i="46"/>
  <c r="AG19" i="46"/>
  <c r="Z19" i="46"/>
  <c r="Y19" i="46"/>
  <c r="X19" i="46"/>
  <c r="Q19" i="46"/>
  <c r="K19" i="46" a="1"/>
  <c r="K19" i="46" s="1"/>
  <c r="J19" i="46"/>
  <c r="I19" i="46"/>
  <c r="D19" i="46"/>
  <c r="C19" i="46"/>
  <c r="BZ18" i="46"/>
  <c r="BW18" i="46"/>
  <c r="BV18" i="46"/>
  <c r="BS18" i="46"/>
  <c r="BR18" i="46"/>
  <c r="BK18" i="46"/>
  <c r="BH18" i="46"/>
  <c r="BG18" i="46"/>
  <c r="BD18" i="46"/>
  <c r="BC18" i="46"/>
  <c r="AV18" i="46"/>
  <c r="AS18" i="46"/>
  <c r="AR18" i="46"/>
  <c r="AO18" i="46"/>
  <c r="AN18" i="46"/>
  <c r="AG18" i="46"/>
  <c r="Z18" i="46"/>
  <c r="Q18" i="46"/>
  <c r="L18" i="46" a="1"/>
  <c r="L18" i="46" s="1"/>
  <c r="K18" i="46" a="1"/>
  <c r="K18" i="46" s="1"/>
  <c r="J18" i="46"/>
  <c r="I18" i="46"/>
  <c r="D18" i="46"/>
  <c r="C18" i="46"/>
  <c r="BZ17" i="46"/>
  <c r="BW17" i="46"/>
  <c r="BV17" i="46"/>
  <c r="BS17" i="46"/>
  <c r="BR17" i="46"/>
  <c r="BK17" i="46"/>
  <c r="BH17" i="46"/>
  <c r="BG17" i="46"/>
  <c r="BD17" i="46"/>
  <c r="BC17" i="46"/>
  <c r="AV17" i="46"/>
  <c r="AS17" i="46"/>
  <c r="AR17" i="46"/>
  <c r="AO17" i="46"/>
  <c r="AN17" i="46"/>
  <c r="AG17" i="46"/>
  <c r="Z17" i="46"/>
  <c r="Y17" i="46"/>
  <c r="X17" i="46"/>
  <c r="Q17" i="46"/>
  <c r="J17" i="46"/>
  <c r="I17" i="46"/>
  <c r="D17" i="46"/>
  <c r="C17" i="46"/>
  <c r="BZ16" i="46"/>
  <c r="BW16" i="46"/>
  <c r="BV16" i="46"/>
  <c r="BS16" i="46"/>
  <c r="BR16" i="46"/>
  <c r="BK16" i="46"/>
  <c r="BH16" i="46"/>
  <c r="BG16" i="46"/>
  <c r="BD16" i="46"/>
  <c r="BC16" i="46"/>
  <c r="AV16" i="46"/>
  <c r="AS16" i="46"/>
  <c r="AR16" i="46"/>
  <c r="AO16" i="46"/>
  <c r="AN16" i="46"/>
  <c r="AG16" i="46"/>
  <c r="Z16" i="46"/>
  <c r="Y16" i="46"/>
  <c r="Y15" i="46" s="1"/>
  <c r="X16" i="46"/>
  <c r="X15" i="46" s="1"/>
  <c r="Q16" i="46"/>
  <c r="J16" i="46"/>
  <c r="I16" i="46"/>
  <c r="D16" i="46"/>
  <c r="C16" i="46"/>
  <c r="K16" i="46" s="1" a="1"/>
  <c r="K16" i="46" s="1"/>
  <c r="BZ15" i="46"/>
  <c r="BW15" i="46"/>
  <c r="BV15" i="46"/>
  <c r="BS15" i="46"/>
  <c r="BR15" i="46"/>
  <c r="BK15" i="46"/>
  <c r="BH15" i="46"/>
  <c r="BG15" i="46"/>
  <c r="BD15" i="46"/>
  <c r="BC15" i="46"/>
  <c r="AV15" i="46"/>
  <c r="AS15" i="46"/>
  <c r="AR15" i="46"/>
  <c r="AO15" i="46"/>
  <c r="AN15" i="46"/>
  <c r="AG15" i="46"/>
  <c r="Z15" i="46"/>
  <c r="Q15" i="46"/>
  <c r="K15" i="46" a="1"/>
  <c r="K15" i="46" s="1"/>
  <c r="J15" i="46"/>
  <c r="I15" i="46"/>
  <c r="D15" i="46"/>
  <c r="C15" i="46"/>
  <c r="BU14" i="46"/>
  <c r="BT14" i="46"/>
  <c r="BQ14" i="46"/>
  <c r="BP14" i="46"/>
  <c r="BO14" i="46"/>
  <c r="BN14" i="46"/>
  <c r="BM14" i="46"/>
  <c r="BF14" i="46"/>
  <c r="BE14" i="46"/>
  <c r="BB14" i="46"/>
  <c r="BA14" i="46"/>
  <c r="AZ14" i="46"/>
  <c r="AY14" i="46"/>
  <c r="AQ14" i="46"/>
  <c r="AP14" i="46"/>
  <c r="AM14" i="46"/>
  <c r="AL14" i="46"/>
  <c r="AK14" i="46"/>
  <c r="AJ14" i="46"/>
  <c r="AH14" i="46"/>
  <c r="S14" i="46"/>
  <c r="R14" i="46"/>
  <c r="H14" i="46"/>
  <c r="G14" i="46"/>
  <c r="F14" i="46"/>
  <c r="E14" i="46"/>
  <c r="T14" i="46" s="1"/>
  <c r="P3" i="46"/>
  <c r="BS79" i="46" s="1"/>
  <c r="BW79" i="46" s="1"/>
  <c r="N3" i="46"/>
  <c r="B2" i="46" a="1"/>
  <c r="B2" i="46" s="1"/>
  <c r="A1" i="45"/>
  <c r="BZ125" i="45"/>
  <c r="BW125" i="45"/>
  <c r="BV125" i="45"/>
  <c r="BS125" i="45"/>
  <c r="BR125" i="45"/>
  <c r="BK125" i="45"/>
  <c r="BH125" i="45"/>
  <c r="BG125" i="45"/>
  <c r="BD125" i="45"/>
  <c r="BC125" i="45"/>
  <c r="AV125" i="45"/>
  <c r="AS125" i="45"/>
  <c r="AR125" i="45"/>
  <c r="AO125" i="45"/>
  <c r="AN125" i="45"/>
  <c r="AG125" i="45"/>
  <c r="Z125" i="45"/>
  <c r="Y125" i="45"/>
  <c r="Q125" i="45"/>
  <c r="J125" i="45"/>
  <c r="I125" i="45"/>
  <c r="D125" i="45"/>
  <c r="C125" i="45"/>
  <c r="K125" i="45" s="1" a="1"/>
  <c r="K125" i="45" s="1"/>
  <c r="BZ124" i="45"/>
  <c r="BW124" i="45"/>
  <c r="BV124" i="45"/>
  <c r="BS124" i="45"/>
  <c r="BR124" i="45"/>
  <c r="BK124" i="45"/>
  <c r="BH124" i="45"/>
  <c r="BG124" i="45"/>
  <c r="BD124" i="45"/>
  <c r="BC124" i="45"/>
  <c r="AV124" i="45"/>
  <c r="AS124" i="45"/>
  <c r="AR124" i="45"/>
  <c r="AO124" i="45"/>
  <c r="AN124" i="45"/>
  <c r="AG124" i="45"/>
  <c r="Z124" i="45"/>
  <c r="Y124" i="45"/>
  <c r="X124" i="45"/>
  <c r="Q124" i="45"/>
  <c r="J124" i="45"/>
  <c r="I124" i="45"/>
  <c r="D124" i="45"/>
  <c r="C124" i="45"/>
  <c r="K124" i="45" s="1" a="1"/>
  <c r="K124" i="45" s="1"/>
  <c r="BZ123" i="45"/>
  <c r="BV123" i="45"/>
  <c r="BR123" i="45"/>
  <c r="BK123" i="45"/>
  <c r="BH123" i="45"/>
  <c r="BG123" i="45"/>
  <c r="BC123" i="45"/>
  <c r="AV123" i="45"/>
  <c r="AR123" i="45"/>
  <c r="AN123" i="45"/>
  <c r="AG123" i="45"/>
  <c r="Z123" i="45"/>
  <c r="Y123" i="45"/>
  <c r="Q123" i="45"/>
  <c r="J123" i="45"/>
  <c r="I123" i="45"/>
  <c r="D123" i="45"/>
  <c r="C123" i="45"/>
  <c r="L123" i="45" s="1" a="1"/>
  <c r="L123" i="45" s="1"/>
  <c r="BZ122" i="45"/>
  <c r="BW122" i="45"/>
  <c r="BV122" i="45"/>
  <c r="BS122" i="45"/>
  <c r="BR122" i="45"/>
  <c r="BK122" i="45"/>
  <c r="BH122" i="45"/>
  <c r="BG122" i="45"/>
  <c r="BD122" i="45"/>
  <c r="BC122" i="45"/>
  <c r="AV122" i="45"/>
  <c r="AS122" i="45"/>
  <c r="AR122" i="45"/>
  <c r="AO122" i="45"/>
  <c r="AN122" i="45"/>
  <c r="AG122" i="45"/>
  <c r="Z122" i="45"/>
  <c r="Q122" i="45"/>
  <c r="J122" i="45"/>
  <c r="I122" i="45"/>
  <c r="D122" i="45"/>
  <c r="C122" i="45"/>
  <c r="BZ121" i="45"/>
  <c r="BW121" i="45"/>
  <c r="BV121" i="45"/>
  <c r="BS121" i="45"/>
  <c r="BR121" i="45"/>
  <c r="BK121" i="45"/>
  <c r="BH121" i="45"/>
  <c r="BG121" i="45"/>
  <c r="BD121" i="45"/>
  <c r="BC121" i="45"/>
  <c r="AV121" i="45"/>
  <c r="AS121" i="45"/>
  <c r="AR121" i="45"/>
  <c r="AO121" i="45"/>
  <c r="AN121" i="45"/>
  <c r="AG121" i="45"/>
  <c r="Z121" i="45"/>
  <c r="Y121" i="45"/>
  <c r="Q121" i="45"/>
  <c r="J121" i="45"/>
  <c r="I121" i="45"/>
  <c r="D121" i="45"/>
  <c r="C121" i="45"/>
  <c r="K121" i="45" s="1" a="1"/>
  <c r="K121" i="45" s="1"/>
  <c r="BZ120" i="45"/>
  <c r="BW120" i="45"/>
  <c r="BV120" i="45"/>
  <c r="BS120" i="45"/>
  <c r="BR120" i="45"/>
  <c r="BK120" i="45"/>
  <c r="BH120" i="45"/>
  <c r="BG120" i="45"/>
  <c r="BD120" i="45"/>
  <c r="BC120" i="45"/>
  <c r="AV120" i="45"/>
  <c r="AS120" i="45"/>
  <c r="AR120" i="45"/>
  <c r="AO120" i="45"/>
  <c r="AN120" i="45"/>
  <c r="AG120" i="45"/>
  <c r="Z120" i="45"/>
  <c r="Y120" i="45"/>
  <c r="X120" i="45"/>
  <c r="Q120" i="45"/>
  <c r="J120" i="45"/>
  <c r="I120" i="45"/>
  <c r="D120" i="45"/>
  <c r="C120" i="45"/>
  <c r="K120" i="45" s="1" a="1"/>
  <c r="K120" i="45" s="1"/>
  <c r="BZ119" i="45"/>
  <c r="BV119" i="45"/>
  <c r="BR119" i="45"/>
  <c r="BK119" i="45"/>
  <c r="BG119" i="45"/>
  <c r="BC119" i="45"/>
  <c r="AV119" i="45"/>
  <c r="AR119" i="45"/>
  <c r="AN119" i="45"/>
  <c r="AG119" i="45"/>
  <c r="Z119" i="45"/>
  <c r="Y119" i="45"/>
  <c r="Q119" i="45"/>
  <c r="J119" i="45"/>
  <c r="I119" i="45"/>
  <c r="D119" i="45"/>
  <c r="C119" i="45"/>
  <c r="L119" i="45" s="1" a="1"/>
  <c r="L119" i="45" s="1"/>
  <c r="BZ118" i="45"/>
  <c r="BW118" i="45"/>
  <c r="BV118" i="45"/>
  <c r="BS118" i="45"/>
  <c r="BR118" i="45"/>
  <c r="BK118" i="45"/>
  <c r="BH118" i="45"/>
  <c r="BG118" i="45"/>
  <c r="BD118" i="45"/>
  <c r="BC118" i="45"/>
  <c r="AV118" i="45"/>
  <c r="AS118" i="45"/>
  <c r="AR118" i="45"/>
  <c r="AO118" i="45"/>
  <c r="AN118" i="45"/>
  <c r="AG118" i="45"/>
  <c r="Z118" i="45"/>
  <c r="Q118" i="45"/>
  <c r="J118" i="45"/>
  <c r="I118" i="45"/>
  <c r="D118" i="45"/>
  <c r="C118" i="45"/>
  <c r="BZ117" i="45"/>
  <c r="BW117" i="45"/>
  <c r="BV117" i="45"/>
  <c r="BS117" i="45"/>
  <c r="BR117" i="45"/>
  <c r="BK117" i="45"/>
  <c r="BH117" i="45"/>
  <c r="BG117" i="45"/>
  <c r="BD117" i="45"/>
  <c r="BC117" i="45"/>
  <c r="AV117" i="45"/>
  <c r="AS117" i="45"/>
  <c r="AR117" i="45"/>
  <c r="AO117" i="45"/>
  <c r="AN117" i="45"/>
  <c r="AG117" i="45"/>
  <c r="Z117" i="45"/>
  <c r="Y117" i="45"/>
  <c r="Q117" i="45"/>
  <c r="J117" i="45"/>
  <c r="I117" i="45"/>
  <c r="D117" i="45"/>
  <c r="C117" i="45"/>
  <c r="K117" i="45" s="1" a="1"/>
  <c r="K117" i="45" s="1"/>
  <c r="BZ116" i="45"/>
  <c r="BW116" i="45"/>
  <c r="BV116" i="45"/>
  <c r="BS116" i="45"/>
  <c r="BR116" i="45"/>
  <c r="BK116" i="45"/>
  <c r="BH116" i="45"/>
  <c r="BG116" i="45"/>
  <c r="BD116" i="45"/>
  <c r="BC116" i="45"/>
  <c r="AV116" i="45"/>
  <c r="AS116" i="45"/>
  <c r="AR116" i="45"/>
  <c r="AO116" i="45"/>
  <c r="AN116" i="45"/>
  <c r="AG116" i="45"/>
  <c r="Z116" i="45"/>
  <c r="Y116" i="45"/>
  <c r="X116" i="45"/>
  <c r="Q116" i="45"/>
  <c r="J116" i="45"/>
  <c r="I116" i="45"/>
  <c r="D116" i="45"/>
  <c r="C116" i="45"/>
  <c r="K116" i="45" s="1" a="1"/>
  <c r="K116" i="45" s="1"/>
  <c r="BZ115" i="45"/>
  <c r="BK115" i="45"/>
  <c r="AV115" i="45"/>
  <c r="AG115" i="45"/>
  <c r="Z115" i="45"/>
  <c r="Q115" i="45"/>
  <c r="L115" i="45" a="1"/>
  <c r="L115" i="45" s="1"/>
  <c r="J115" i="45"/>
  <c r="I115" i="45"/>
  <c r="D115" i="45"/>
  <c r="C115" i="45"/>
  <c r="BZ114" i="45"/>
  <c r="BR114" i="45"/>
  <c r="BV114" i="45" s="1"/>
  <c r="BK114" i="45"/>
  <c r="AV114" i="45"/>
  <c r="AG114" i="45"/>
  <c r="Z114" i="45"/>
  <c r="Q114" i="45"/>
  <c r="J114" i="45"/>
  <c r="I114" i="45"/>
  <c r="D114" i="45"/>
  <c r="C114" i="45"/>
  <c r="BZ113" i="45"/>
  <c r="BK113" i="45"/>
  <c r="AV113" i="45"/>
  <c r="AG113" i="45"/>
  <c r="Z113" i="45"/>
  <c r="Q113" i="45"/>
  <c r="J113" i="45"/>
  <c r="I113" i="45"/>
  <c r="D113" i="45"/>
  <c r="C113" i="45"/>
  <c r="L113" i="45" s="1" a="1"/>
  <c r="L113" i="45" s="1"/>
  <c r="BZ112" i="45"/>
  <c r="BK112" i="45"/>
  <c r="AV112" i="45"/>
  <c r="AG112" i="45"/>
  <c r="Z112" i="45"/>
  <c r="Q112" i="45"/>
  <c r="K112" i="45" a="1"/>
  <c r="K112" i="45" s="1"/>
  <c r="J112" i="45"/>
  <c r="I112" i="45"/>
  <c r="D112" i="45"/>
  <c r="C112" i="45"/>
  <c r="BZ111" i="45"/>
  <c r="BK111" i="45"/>
  <c r="AV111" i="45"/>
  <c r="AG111" i="45"/>
  <c r="Z111" i="45"/>
  <c r="Q111" i="45"/>
  <c r="L111" i="45" a="1"/>
  <c r="L111" i="45" s="1"/>
  <c r="J111" i="45"/>
  <c r="I111" i="45"/>
  <c r="D111" i="45"/>
  <c r="C111" i="45"/>
  <c r="BZ110" i="45"/>
  <c r="BK110" i="45"/>
  <c r="AV110" i="45"/>
  <c r="AN110" i="45"/>
  <c r="AR110" i="45" s="1"/>
  <c r="AG110" i="45"/>
  <c r="Z110" i="45"/>
  <c r="Q110" i="45"/>
  <c r="J110" i="45"/>
  <c r="I110" i="45"/>
  <c r="D110" i="45"/>
  <c r="C110" i="45"/>
  <c r="BZ109" i="45"/>
  <c r="BK109" i="45"/>
  <c r="AV109" i="45"/>
  <c r="AG109" i="45"/>
  <c r="Z109" i="45"/>
  <c r="Q109" i="45"/>
  <c r="J109" i="45"/>
  <c r="I109" i="45"/>
  <c r="D109" i="45"/>
  <c r="C109" i="45"/>
  <c r="L109" i="45" s="1" a="1"/>
  <c r="L109" i="45" s="1"/>
  <c r="BZ108" i="45"/>
  <c r="BK108" i="45"/>
  <c r="AV108" i="45"/>
  <c r="AG108" i="45"/>
  <c r="Z108" i="45"/>
  <c r="Q108" i="45"/>
  <c r="K108" i="45" a="1"/>
  <c r="K108" i="45" s="1"/>
  <c r="J108" i="45"/>
  <c r="I108" i="45"/>
  <c r="D108" i="45"/>
  <c r="C108" i="45"/>
  <c r="L108" i="45" s="1" a="1"/>
  <c r="L108" i="45" s="1"/>
  <c r="BZ107" i="45"/>
  <c r="BS107" i="45"/>
  <c r="BW107" i="45" s="1"/>
  <c r="BK107" i="45"/>
  <c r="AV107" i="45"/>
  <c r="AG107" i="45"/>
  <c r="Z107" i="45"/>
  <c r="Q107" i="45"/>
  <c r="J107" i="45"/>
  <c r="I107" i="45"/>
  <c r="D107" i="45"/>
  <c r="C107" i="45"/>
  <c r="K107" i="45" s="1" a="1"/>
  <c r="K107" i="45" s="1"/>
  <c r="BZ106" i="45"/>
  <c r="BK106" i="45"/>
  <c r="AV106" i="45"/>
  <c r="AG106" i="45"/>
  <c r="Z106" i="45"/>
  <c r="Q106" i="45"/>
  <c r="J106" i="45"/>
  <c r="I106" i="45"/>
  <c r="D106" i="45"/>
  <c r="C106" i="45"/>
  <c r="BZ105" i="45"/>
  <c r="BK105" i="45"/>
  <c r="AV105" i="45"/>
  <c r="AG105" i="45"/>
  <c r="Z105" i="45"/>
  <c r="Q105" i="45"/>
  <c r="J105" i="45"/>
  <c r="I105" i="45"/>
  <c r="D105" i="45"/>
  <c r="C105" i="45"/>
  <c r="K105" i="45" s="1" a="1"/>
  <c r="K105" i="45" s="1"/>
  <c r="BZ104" i="45"/>
  <c r="BK104" i="45"/>
  <c r="AV104" i="45"/>
  <c r="AG104" i="45"/>
  <c r="Z104" i="45"/>
  <c r="Q104" i="45"/>
  <c r="L104" i="45" a="1"/>
  <c r="L104" i="45" s="1"/>
  <c r="K104" i="45" a="1"/>
  <c r="K104" i="45" s="1"/>
  <c r="J104" i="45"/>
  <c r="I104" i="45"/>
  <c r="D104" i="45"/>
  <c r="C104" i="45"/>
  <c r="BZ103" i="45"/>
  <c r="BK103" i="45"/>
  <c r="AV103" i="45"/>
  <c r="AG103" i="45"/>
  <c r="Z103" i="45"/>
  <c r="Q103" i="45"/>
  <c r="J103" i="45"/>
  <c r="I103" i="45"/>
  <c r="D103" i="45"/>
  <c r="C103" i="45"/>
  <c r="BZ102" i="45"/>
  <c r="BK102" i="45"/>
  <c r="AV102" i="45"/>
  <c r="AG102" i="45"/>
  <c r="Z102" i="45"/>
  <c r="Q102" i="45"/>
  <c r="J102" i="45"/>
  <c r="I102" i="45"/>
  <c r="D102" i="45"/>
  <c r="C102" i="45"/>
  <c r="BZ101" i="45"/>
  <c r="BK101" i="45"/>
  <c r="AV101" i="45"/>
  <c r="AG101" i="45"/>
  <c r="Z101" i="45"/>
  <c r="Q101" i="45"/>
  <c r="J101" i="45"/>
  <c r="I101" i="45"/>
  <c r="D101" i="45"/>
  <c r="C101" i="45"/>
  <c r="BZ100" i="45"/>
  <c r="BK100" i="45"/>
  <c r="AV100" i="45"/>
  <c r="AG100" i="45"/>
  <c r="Z100" i="45"/>
  <c r="Q100" i="45"/>
  <c r="K100" i="45" a="1"/>
  <c r="K100" i="45" s="1"/>
  <c r="J100" i="45"/>
  <c r="I100" i="45"/>
  <c r="D100" i="45"/>
  <c r="C100" i="45"/>
  <c r="L100" i="45" s="1" a="1"/>
  <c r="L100" i="45" s="1"/>
  <c r="BZ99" i="45"/>
  <c r="BK99" i="45"/>
  <c r="AV99" i="45"/>
  <c r="AG99" i="45"/>
  <c r="Z99" i="45"/>
  <c r="Q99" i="45"/>
  <c r="K99" i="45" a="1"/>
  <c r="K99" i="45" s="1"/>
  <c r="J99" i="45"/>
  <c r="I99" i="45"/>
  <c r="D99" i="45"/>
  <c r="C99" i="45"/>
  <c r="L99" i="45" s="1" a="1"/>
  <c r="L99" i="45" s="1"/>
  <c r="BZ98" i="45"/>
  <c r="BK98" i="45"/>
  <c r="AV98" i="45"/>
  <c r="AG98" i="45"/>
  <c r="Z98" i="45"/>
  <c r="Q98" i="45"/>
  <c r="J98" i="45"/>
  <c r="I98" i="45"/>
  <c r="D98" i="45"/>
  <c r="C98" i="45"/>
  <c r="BZ97" i="45"/>
  <c r="BS97" i="45"/>
  <c r="BW97" i="45" s="1"/>
  <c r="BK97" i="45"/>
  <c r="AV97" i="45"/>
  <c r="AG97" i="45"/>
  <c r="Z97" i="45"/>
  <c r="Q97" i="45"/>
  <c r="J97" i="45"/>
  <c r="I97" i="45"/>
  <c r="D97" i="45"/>
  <c r="C97" i="45"/>
  <c r="BZ96" i="45"/>
  <c r="BK96" i="45"/>
  <c r="AV96" i="45"/>
  <c r="AG96" i="45"/>
  <c r="Z96" i="45"/>
  <c r="Q96" i="45"/>
  <c r="J96" i="45"/>
  <c r="I96" i="45"/>
  <c r="D96" i="45"/>
  <c r="C96" i="45"/>
  <c r="L96" i="45" s="1" a="1"/>
  <c r="L96" i="45" s="1"/>
  <c r="BZ95" i="45"/>
  <c r="BK95" i="45"/>
  <c r="AV95" i="45"/>
  <c r="AG95" i="45"/>
  <c r="Z95" i="45"/>
  <c r="Q95" i="45"/>
  <c r="J95" i="45"/>
  <c r="I95" i="45"/>
  <c r="D95" i="45"/>
  <c r="C95" i="45"/>
  <c r="L95" i="45" s="1" a="1"/>
  <c r="L95" i="45" s="1"/>
  <c r="BZ94" i="45"/>
  <c r="BK94" i="45"/>
  <c r="AV94" i="45"/>
  <c r="AG94" i="45"/>
  <c r="Z94" i="45"/>
  <c r="Q94" i="45"/>
  <c r="J94" i="45"/>
  <c r="I94" i="45"/>
  <c r="D94" i="45"/>
  <c r="C94" i="45"/>
  <c r="K94" i="45" s="1" a="1"/>
  <c r="K94" i="45" s="1"/>
  <c r="BZ93" i="45"/>
  <c r="BK93" i="45"/>
  <c r="AV93" i="45"/>
  <c r="AG93" i="45"/>
  <c r="Z93" i="45"/>
  <c r="Q93" i="45"/>
  <c r="J93" i="45"/>
  <c r="I93" i="45"/>
  <c r="D93" i="45"/>
  <c r="C93" i="45"/>
  <c r="BZ92" i="45"/>
  <c r="BK92" i="45"/>
  <c r="AV92" i="45"/>
  <c r="AG92" i="45"/>
  <c r="Z92" i="45"/>
  <c r="Q92" i="45"/>
  <c r="L92" i="45" a="1"/>
  <c r="L92" i="45" s="1"/>
  <c r="K92" i="45" a="1"/>
  <c r="K92" i="45" s="1"/>
  <c r="J92" i="45"/>
  <c r="I92" i="45"/>
  <c r="D92" i="45"/>
  <c r="C92" i="45"/>
  <c r="BZ91" i="45"/>
  <c r="BK91" i="45"/>
  <c r="AV91" i="45"/>
  <c r="AG91" i="45"/>
  <c r="Z91" i="45"/>
  <c r="Q91" i="45"/>
  <c r="J91" i="45"/>
  <c r="I91" i="45"/>
  <c r="D91" i="45"/>
  <c r="C91" i="45"/>
  <c r="BZ90" i="45"/>
  <c r="BK90" i="45"/>
  <c r="AV90" i="45"/>
  <c r="AG90" i="45"/>
  <c r="Z90" i="45"/>
  <c r="Q90" i="45"/>
  <c r="L90" i="45" a="1"/>
  <c r="L90" i="45" s="1"/>
  <c r="J90" i="45"/>
  <c r="I90" i="45"/>
  <c r="D90" i="45"/>
  <c r="C90" i="45"/>
  <c r="K90" i="45" s="1" a="1"/>
  <c r="K90" i="45" s="1"/>
  <c r="BZ89" i="45"/>
  <c r="BK89" i="45"/>
  <c r="AV89" i="45"/>
  <c r="AG89" i="45"/>
  <c r="Z89" i="45"/>
  <c r="Q89" i="45"/>
  <c r="J89" i="45"/>
  <c r="I89" i="45"/>
  <c r="D89" i="45"/>
  <c r="C89" i="45"/>
  <c r="BZ88" i="45"/>
  <c r="BK88" i="45"/>
  <c r="AV88" i="45"/>
  <c r="AG88" i="45"/>
  <c r="Z88" i="45"/>
  <c r="Q88" i="45"/>
  <c r="L88" i="45" a="1"/>
  <c r="L88" i="45" s="1"/>
  <c r="K88" i="45" a="1"/>
  <c r="K88" i="45" s="1"/>
  <c r="J88" i="45"/>
  <c r="I88" i="45"/>
  <c r="D88" i="45"/>
  <c r="C88" i="45"/>
  <c r="BZ87" i="45"/>
  <c r="BK87" i="45"/>
  <c r="AV87" i="45"/>
  <c r="AG87" i="45"/>
  <c r="Z87" i="45"/>
  <c r="Q87" i="45"/>
  <c r="J87" i="45"/>
  <c r="I87" i="45"/>
  <c r="D87" i="45"/>
  <c r="C87" i="45"/>
  <c r="BZ86" i="45"/>
  <c r="BK86" i="45"/>
  <c r="AV86" i="45"/>
  <c r="AG86" i="45"/>
  <c r="Z86" i="45"/>
  <c r="Q86" i="45"/>
  <c r="L86" i="45" a="1"/>
  <c r="L86" i="45" s="1"/>
  <c r="J86" i="45"/>
  <c r="I86" i="45"/>
  <c r="D86" i="45"/>
  <c r="C86" i="45"/>
  <c r="K86" i="45" s="1" a="1"/>
  <c r="K86" i="45" s="1"/>
  <c r="BZ85" i="45"/>
  <c r="BK85" i="45"/>
  <c r="AV85" i="45"/>
  <c r="AG85" i="45"/>
  <c r="Z85" i="45"/>
  <c r="Q85" i="45"/>
  <c r="J85" i="45"/>
  <c r="I85" i="45"/>
  <c r="D85" i="45"/>
  <c r="C85" i="45"/>
  <c r="L85" i="45" s="1" a="1"/>
  <c r="L85" i="45" s="1"/>
  <c r="BZ84" i="45"/>
  <c r="BK84" i="45"/>
  <c r="AV84" i="45"/>
  <c r="AG84" i="45"/>
  <c r="Z84" i="45"/>
  <c r="Q84" i="45"/>
  <c r="K84" i="45" a="1"/>
  <c r="K84" i="45" s="1"/>
  <c r="J84" i="45"/>
  <c r="I84" i="45"/>
  <c r="D84" i="45"/>
  <c r="C84" i="45"/>
  <c r="L84" i="45" s="1" a="1"/>
  <c r="L84" i="45" s="1"/>
  <c r="BZ83" i="45"/>
  <c r="BK83" i="45"/>
  <c r="AV83" i="45"/>
  <c r="AG83" i="45"/>
  <c r="Z83" i="45"/>
  <c r="Q83" i="45"/>
  <c r="K83" i="45" a="1"/>
  <c r="K83" i="45" s="1"/>
  <c r="J83" i="45"/>
  <c r="I83" i="45"/>
  <c r="D83" i="45"/>
  <c r="C83" i="45"/>
  <c r="L83" i="45" s="1" a="1"/>
  <c r="L83" i="45" s="1"/>
  <c r="BZ82" i="45"/>
  <c r="BK82" i="45"/>
  <c r="AV82" i="45"/>
  <c r="AG82" i="45"/>
  <c r="Z82" i="45"/>
  <c r="Q82" i="45"/>
  <c r="L82" i="45" a="1"/>
  <c r="L82" i="45" s="1"/>
  <c r="J82" i="45"/>
  <c r="I82" i="45"/>
  <c r="D82" i="45"/>
  <c r="C82" i="45"/>
  <c r="K82" i="45" s="1" a="1"/>
  <c r="K82" i="45" s="1"/>
  <c r="BZ81" i="45"/>
  <c r="BK81" i="45"/>
  <c r="AV81" i="45"/>
  <c r="AG81" i="45"/>
  <c r="Z81" i="45"/>
  <c r="Q81" i="45"/>
  <c r="J81" i="45"/>
  <c r="I81" i="45"/>
  <c r="D81" i="45"/>
  <c r="C81" i="45"/>
  <c r="BZ80" i="45"/>
  <c r="BK80" i="45"/>
  <c r="AV80" i="45"/>
  <c r="AG80" i="45"/>
  <c r="Z80" i="45"/>
  <c r="Q80" i="45"/>
  <c r="J80" i="45"/>
  <c r="I80" i="45"/>
  <c r="D80" i="45"/>
  <c r="C80" i="45"/>
  <c r="L80" i="45" s="1" a="1"/>
  <c r="L80" i="45" s="1"/>
  <c r="BZ79" i="45"/>
  <c r="BK79" i="45"/>
  <c r="AV79" i="45"/>
  <c r="AG79" i="45"/>
  <c r="Z79" i="45"/>
  <c r="Q79" i="45"/>
  <c r="J79" i="45"/>
  <c r="I79" i="45"/>
  <c r="D79" i="45"/>
  <c r="C79" i="45"/>
  <c r="BZ78" i="45"/>
  <c r="BK78" i="45"/>
  <c r="AV78" i="45"/>
  <c r="AG78" i="45"/>
  <c r="Z78" i="45"/>
  <c r="Q78" i="45"/>
  <c r="J78" i="45"/>
  <c r="I78" i="45"/>
  <c r="D78" i="45"/>
  <c r="C78" i="45"/>
  <c r="BZ77" i="45"/>
  <c r="BK77" i="45"/>
  <c r="AV77" i="45"/>
  <c r="AG77" i="45"/>
  <c r="Z77" i="45"/>
  <c r="Q77" i="45"/>
  <c r="L77" i="45" a="1"/>
  <c r="L77" i="45" s="1"/>
  <c r="J77" i="45"/>
  <c r="I77" i="45"/>
  <c r="D77" i="45"/>
  <c r="C77" i="45"/>
  <c r="K77" i="45" s="1" a="1"/>
  <c r="K77" i="45" s="1"/>
  <c r="BZ76" i="45"/>
  <c r="BK76" i="45"/>
  <c r="AV76" i="45"/>
  <c r="AG76" i="45"/>
  <c r="Z76" i="45"/>
  <c r="Q76" i="45"/>
  <c r="J76" i="45"/>
  <c r="I76" i="45"/>
  <c r="D76" i="45"/>
  <c r="C76" i="45"/>
  <c r="L76" i="45" s="1" a="1"/>
  <c r="L76" i="45" s="1"/>
  <c r="BZ75" i="45"/>
  <c r="BK75" i="45"/>
  <c r="AV75" i="45"/>
  <c r="AG75" i="45"/>
  <c r="Z75" i="45"/>
  <c r="Q75" i="45"/>
  <c r="J75" i="45"/>
  <c r="I75" i="45"/>
  <c r="D75" i="45"/>
  <c r="C75" i="45"/>
  <c r="BZ74" i="45"/>
  <c r="BK74" i="45"/>
  <c r="AV74" i="45"/>
  <c r="AG74" i="45"/>
  <c r="Z74" i="45"/>
  <c r="Q74" i="45"/>
  <c r="J74" i="45"/>
  <c r="I74" i="45"/>
  <c r="D74" i="45"/>
  <c r="C74" i="45"/>
  <c r="BZ73" i="45"/>
  <c r="BK73" i="45"/>
  <c r="AV73" i="45"/>
  <c r="AG73" i="45"/>
  <c r="Z73" i="45"/>
  <c r="Q73" i="45"/>
  <c r="J73" i="45"/>
  <c r="I73" i="45"/>
  <c r="D73" i="45"/>
  <c r="C73" i="45"/>
  <c r="BZ72" i="45"/>
  <c r="BK72" i="45"/>
  <c r="AV72" i="45"/>
  <c r="AG72" i="45"/>
  <c r="Z72" i="45"/>
  <c r="Q72" i="45"/>
  <c r="L72" i="45" a="1"/>
  <c r="L72" i="45" s="1"/>
  <c r="J72" i="45"/>
  <c r="I72" i="45"/>
  <c r="D72" i="45"/>
  <c r="C72" i="45"/>
  <c r="K72" i="45" s="1" a="1"/>
  <c r="K72" i="45" s="1"/>
  <c r="BZ71" i="45"/>
  <c r="BK71" i="45"/>
  <c r="AV71" i="45"/>
  <c r="AG71" i="45"/>
  <c r="Z71" i="45"/>
  <c r="Q71" i="45"/>
  <c r="J71" i="45"/>
  <c r="I71" i="45"/>
  <c r="D71" i="45"/>
  <c r="C71" i="45"/>
  <c r="BZ70" i="45"/>
  <c r="BK70" i="45"/>
  <c r="AV70" i="45"/>
  <c r="AG70" i="45"/>
  <c r="Z70" i="45"/>
  <c r="Q70" i="45"/>
  <c r="L70" i="45" a="1"/>
  <c r="L70" i="45" s="1"/>
  <c r="J70" i="45"/>
  <c r="I70" i="45"/>
  <c r="D70" i="45"/>
  <c r="C70" i="45"/>
  <c r="K70" i="45" s="1" a="1"/>
  <c r="K70" i="45" s="1"/>
  <c r="BZ69" i="45"/>
  <c r="BK69" i="45"/>
  <c r="AV69" i="45"/>
  <c r="AG69" i="45"/>
  <c r="Z69" i="45"/>
  <c r="Q69" i="45"/>
  <c r="J69" i="45"/>
  <c r="I69" i="45"/>
  <c r="D69" i="45"/>
  <c r="C69" i="45"/>
  <c r="BZ68" i="45"/>
  <c r="BK68" i="45"/>
  <c r="AV68" i="45"/>
  <c r="AG68" i="45"/>
  <c r="Z68" i="45"/>
  <c r="Q68" i="45"/>
  <c r="J68" i="45"/>
  <c r="I68" i="45"/>
  <c r="D68" i="45"/>
  <c r="C68" i="45"/>
  <c r="BZ67" i="45"/>
  <c r="BK67" i="45"/>
  <c r="AV67" i="45"/>
  <c r="AG67" i="45"/>
  <c r="Z67" i="45"/>
  <c r="Q67" i="45"/>
  <c r="L67" i="45" a="1"/>
  <c r="L67" i="45" s="1"/>
  <c r="J67" i="45"/>
  <c r="I67" i="45"/>
  <c r="D67" i="45"/>
  <c r="C67" i="45"/>
  <c r="K67" i="45" s="1" a="1"/>
  <c r="K67" i="45" s="1"/>
  <c r="BZ66" i="45"/>
  <c r="BK66" i="45"/>
  <c r="AV66" i="45"/>
  <c r="AG66" i="45"/>
  <c r="Z66" i="45"/>
  <c r="Q66" i="45"/>
  <c r="J66" i="45"/>
  <c r="I66" i="45"/>
  <c r="D66" i="45"/>
  <c r="C66" i="45"/>
  <c r="K66" i="45" s="1" a="1"/>
  <c r="K66" i="45" s="1"/>
  <c r="BZ65" i="45"/>
  <c r="BK65" i="45"/>
  <c r="AV65" i="45"/>
  <c r="AG65" i="45"/>
  <c r="Z65" i="45"/>
  <c r="Q65" i="45"/>
  <c r="J65" i="45"/>
  <c r="I65" i="45"/>
  <c r="D65" i="45"/>
  <c r="C65" i="45"/>
  <c r="L65" i="45" s="1" a="1"/>
  <c r="L65" i="45" s="1"/>
  <c r="BZ64" i="45"/>
  <c r="BK64" i="45"/>
  <c r="AV64" i="45"/>
  <c r="AG64" i="45"/>
  <c r="Z64" i="45"/>
  <c r="Q64" i="45"/>
  <c r="J64" i="45"/>
  <c r="I64" i="45"/>
  <c r="D64" i="45"/>
  <c r="C64" i="45"/>
  <c r="BZ63" i="45"/>
  <c r="BK63" i="45"/>
  <c r="AV63" i="45"/>
  <c r="AG63" i="45"/>
  <c r="Z63" i="45"/>
  <c r="Q63" i="45"/>
  <c r="L63" i="45" a="1"/>
  <c r="L63" i="45" s="1"/>
  <c r="K63" i="45" a="1"/>
  <c r="K63" i="45" s="1"/>
  <c r="J63" i="45"/>
  <c r="I63" i="45"/>
  <c r="D63" i="45"/>
  <c r="C63" i="45"/>
  <c r="BZ62" i="45"/>
  <c r="BK62" i="45"/>
  <c r="AV62" i="45"/>
  <c r="AG62" i="45"/>
  <c r="Z62" i="45"/>
  <c r="Q62" i="45"/>
  <c r="K62" i="45" a="1"/>
  <c r="K62" i="45" s="1"/>
  <c r="J62" i="45"/>
  <c r="I62" i="45"/>
  <c r="D62" i="45"/>
  <c r="C62" i="45"/>
  <c r="BZ61" i="45"/>
  <c r="BK61" i="45"/>
  <c r="AV61" i="45"/>
  <c r="AG61" i="45"/>
  <c r="Z61" i="45"/>
  <c r="Q61" i="45"/>
  <c r="J61" i="45"/>
  <c r="I61" i="45"/>
  <c r="D61" i="45"/>
  <c r="C61" i="45"/>
  <c r="L61" i="45" s="1" a="1"/>
  <c r="L61" i="45" s="1"/>
  <c r="BZ60" i="45"/>
  <c r="BK60" i="45"/>
  <c r="AV60" i="45"/>
  <c r="AG60" i="45"/>
  <c r="Z60" i="45"/>
  <c r="Q60" i="45"/>
  <c r="J60" i="45"/>
  <c r="I60" i="45"/>
  <c r="D60" i="45"/>
  <c r="C60" i="45"/>
  <c r="BZ59" i="45"/>
  <c r="BS59" i="45"/>
  <c r="BW59" i="45" s="1"/>
  <c r="BK59" i="45"/>
  <c r="AV59" i="45"/>
  <c r="AG59" i="45"/>
  <c r="Z59" i="45"/>
  <c r="Q59" i="45"/>
  <c r="L59" i="45" a="1"/>
  <c r="L59" i="45" s="1"/>
  <c r="K59" i="45" a="1"/>
  <c r="K59" i="45" s="1"/>
  <c r="J59" i="45"/>
  <c r="I59" i="45"/>
  <c r="D59" i="45"/>
  <c r="C59" i="45"/>
  <c r="BZ58" i="45"/>
  <c r="BK58" i="45"/>
  <c r="AV58" i="45"/>
  <c r="AG58" i="45"/>
  <c r="Z58" i="45"/>
  <c r="Q58" i="45"/>
  <c r="K58" i="45" a="1"/>
  <c r="K58" i="45" s="1"/>
  <c r="J58" i="45"/>
  <c r="I58" i="45"/>
  <c r="D58" i="45"/>
  <c r="C58" i="45"/>
  <c r="BZ57" i="45"/>
  <c r="BK57" i="45"/>
  <c r="AV57" i="45"/>
  <c r="AG57" i="45"/>
  <c r="Z57" i="45"/>
  <c r="Q57" i="45"/>
  <c r="J57" i="45"/>
  <c r="I57" i="45"/>
  <c r="D57" i="45"/>
  <c r="C57" i="45"/>
  <c r="BZ56" i="45"/>
  <c r="BK56" i="45"/>
  <c r="AV56" i="45"/>
  <c r="AO56" i="45"/>
  <c r="AS56" i="45" s="1"/>
  <c r="AG56" i="45"/>
  <c r="Z56" i="45"/>
  <c r="Q56" i="45"/>
  <c r="J56" i="45"/>
  <c r="I56" i="45"/>
  <c r="D56" i="45"/>
  <c r="C56" i="45"/>
  <c r="BZ55" i="45"/>
  <c r="BK55" i="45"/>
  <c r="AV55" i="45"/>
  <c r="AG55" i="45"/>
  <c r="Z55" i="45"/>
  <c r="Q55" i="45"/>
  <c r="L55" i="45" a="1"/>
  <c r="L55" i="45" s="1"/>
  <c r="K55" i="45" a="1"/>
  <c r="K55" i="45" s="1"/>
  <c r="J55" i="45"/>
  <c r="I55" i="45"/>
  <c r="D55" i="45"/>
  <c r="C55" i="45"/>
  <c r="BZ54" i="45"/>
  <c r="BK54" i="45"/>
  <c r="AV54" i="45"/>
  <c r="AG54" i="45"/>
  <c r="Z54" i="45"/>
  <c r="Q54" i="45"/>
  <c r="J54" i="45"/>
  <c r="I54" i="45"/>
  <c r="D54" i="45"/>
  <c r="C54" i="45"/>
  <c r="L54" i="45" s="1" a="1"/>
  <c r="L54" i="45" s="1"/>
  <c r="BZ53" i="45"/>
  <c r="BK53" i="45"/>
  <c r="AV53" i="45"/>
  <c r="AG53" i="45"/>
  <c r="Z53" i="45"/>
  <c r="Q53" i="45"/>
  <c r="J53" i="45"/>
  <c r="I53" i="45"/>
  <c r="D53" i="45"/>
  <c r="C53" i="45"/>
  <c r="L53" i="45" s="1" a="1"/>
  <c r="L53" i="45" s="1"/>
  <c r="BZ52" i="45"/>
  <c r="BK52" i="45"/>
  <c r="AV52" i="45"/>
  <c r="AG52" i="45"/>
  <c r="Z52" i="45"/>
  <c r="Q52" i="45"/>
  <c r="J52" i="45"/>
  <c r="I52" i="45"/>
  <c r="D52" i="45"/>
  <c r="C52" i="45"/>
  <c r="K52" i="45" s="1" a="1"/>
  <c r="K52" i="45" s="1"/>
  <c r="BZ51" i="45"/>
  <c r="BK51" i="45"/>
  <c r="AV51" i="45"/>
  <c r="AG51" i="45"/>
  <c r="Z51" i="45"/>
  <c r="Q51" i="45"/>
  <c r="K51" i="45" a="1"/>
  <c r="K51" i="45" s="1"/>
  <c r="J51" i="45"/>
  <c r="I51" i="45"/>
  <c r="D51" i="45"/>
  <c r="C51" i="45"/>
  <c r="BZ50" i="45"/>
  <c r="BK50" i="45"/>
  <c r="AV50" i="45"/>
  <c r="AG50" i="45"/>
  <c r="Z50" i="45"/>
  <c r="Q50" i="45"/>
  <c r="J50" i="45"/>
  <c r="I50" i="45"/>
  <c r="D50" i="45"/>
  <c r="C50" i="45"/>
  <c r="BZ49" i="45"/>
  <c r="BK49" i="45"/>
  <c r="AV49" i="45"/>
  <c r="AO49" i="45"/>
  <c r="AS49" i="45" s="1"/>
  <c r="AG49" i="45"/>
  <c r="Z49" i="45"/>
  <c r="Q49" i="45"/>
  <c r="J49" i="45"/>
  <c r="I49" i="45"/>
  <c r="D49" i="45"/>
  <c r="C49" i="45"/>
  <c r="K49" i="45" s="1" a="1"/>
  <c r="K49" i="45" s="1"/>
  <c r="BZ48" i="45"/>
  <c r="BK48" i="45"/>
  <c r="AV48" i="45"/>
  <c r="AG48" i="45"/>
  <c r="Z48" i="45"/>
  <c r="Q48" i="45"/>
  <c r="L48" i="45" a="1"/>
  <c r="L48" i="45" s="1"/>
  <c r="K48" i="45" a="1"/>
  <c r="K48" i="45" s="1"/>
  <c r="J48" i="45"/>
  <c r="I48" i="45"/>
  <c r="D48" i="45"/>
  <c r="C48" i="45"/>
  <c r="BZ47" i="45"/>
  <c r="BK47" i="45"/>
  <c r="AV47" i="45"/>
  <c r="AG47" i="45"/>
  <c r="Z47" i="45"/>
  <c r="Q47" i="45"/>
  <c r="K47" i="45" a="1"/>
  <c r="K47" i="45" s="1"/>
  <c r="J47" i="45"/>
  <c r="I47" i="45"/>
  <c r="D47" i="45"/>
  <c r="C47" i="45"/>
  <c r="BZ46" i="45"/>
  <c r="BK46" i="45"/>
  <c r="AV46" i="45"/>
  <c r="AG46" i="45"/>
  <c r="Z46" i="45"/>
  <c r="Q46" i="45"/>
  <c r="J46" i="45"/>
  <c r="I46" i="45"/>
  <c r="D46" i="45"/>
  <c r="C46" i="45"/>
  <c r="BZ45" i="45"/>
  <c r="BK45" i="45"/>
  <c r="AV45" i="45"/>
  <c r="AG45" i="45"/>
  <c r="Z45" i="45"/>
  <c r="Q45" i="45"/>
  <c r="J45" i="45"/>
  <c r="I45" i="45"/>
  <c r="D45" i="45"/>
  <c r="C45" i="45"/>
  <c r="BZ44" i="45"/>
  <c r="BK44" i="45"/>
  <c r="AV44" i="45"/>
  <c r="AG44" i="45"/>
  <c r="Z44" i="45"/>
  <c r="Q44" i="45"/>
  <c r="L44" i="45" a="1"/>
  <c r="L44" i="45" s="1"/>
  <c r="K44" i="45" a="1"/>
  <c r="K44" i="45" s="1"/>
  <c r="J44" i="45"/>
  <c r="I44" i="45"/>
  <c r="D44" i="45"/>
  <c r="C44" i="45"/>
  <c r="BZ43" i="45"/>
  <c r="BK43" i="45"/>
  <c r="AV43" i="45"/>
  <c r="AG43" i="45"/>
  <c r="Z43" i="45"/>
  <c r="Q43" i="45"/>
  <c r="J43" i="45"/>
  <c r="I43" i="45"/>
  <c r="D43" i="45"/>
  <c r="C43" i="45"/>
  <c r="K43" i="45" s="1" a="1"/>
  <c r="K43" i="45" s="1"/>
  <c r="BZ42" i="45"/>
  <c r="BK42" i="45"/>
  <c r="AV42" i="45"/>
  <c r="AG42" i="45"/>
  <c r="Z42" i="45"/>
  <c r="Q42" i="45"/>
  <c r="J42" i="45"/>
  <c r="I42" i="45"/>
  <c r="D42" i="45"/>
  <c r="C42" i="45"/>
  <c r="BZ41" i="45"/>
  <c r="BK41" i="45"/>
  <c r="BC41" i="45"/>
  <c r="BG41" i="45" s="1"/>
  <c r="AV41" i="45"/>
  <c r="AG41" i="45"/>
  <c r="Z41" i="45"/>
  <c r="Q41" i="45"/>
  <c r="L41" i="45" a="1"/>
  <c r="L41" i="45" s="1"/>
  <c r="J41" i="45"/>
  <c r="I41" i="45"/>
  <c r="D41" i="45"/>
  <c r="C41" i="45"/>
  <c r="K41" i="45" s="1" a="1"/>
  <c r="K41" i="45" s="1"/>
  <c r="BZ40" i="45"/>
  <c r="BK40" i="45"/>
  <c r="AV40" i="45"/>
  <c r="AG40" i="45"/>
  <c r="Z40" i="45"/>
  <c r="Q40" i="45"/>
  <c r="J40" i="45"/>
  <c r="I40" i="45"/>
  <c r="D40" i="45"/>
  <c r="C40" i="45"/>
  <c r="L40" i="45" s="1" a="1"/>
  <c r="L40" i="45" s="1"/>
  <c r="BZ39" i="45"/>
  <c r="BK39" i="45"/>
  <c r="AV39" i="45"/>
  <c r="AG39" i="45"/>
  <c r="Z39" i="45"/>
  <c r="Q39" i="45"/>
  <c r="J39" i="45"/>
  <c r="I39" i="45"/>
  <c r="D39" i="45"/>
  <c r="C39" i="45"/>
  <c r="K39" i="45" s="1" a="1"/>
  <c r="K39" i="45" s="1"/>
  <c r="BZ38" i="45"/>
  <c r="BK38" i="45"/>
  <c r="AV38" i="45"/>
  <c r="AG38" i="45"/>
  <c r="Z38" i="45"/>
  <c r="Q38" i="45"/>
  <c r="J38" i="45"/>
  <c r="I38" i="45"/>
  <c r="D38" i="45"/>
  <c r="C38" i="45"/>
  <c r="BZ37" i="45"/>
  <c r="BK37" i="45"/>
  <c r="AV37" i="45"/>
  <c r="AG37" i="45"/>
  <c r="Z37" i="45"/>
  <c r="Q37" i="45"/>
  <c r="J37" i="45"/>
  <c r="I37" i="45"/>
  <c r="D37" i="45"/>
  <c r="C37" i="45"/>
  <c r="BZ36" i="45"/>
  <c r="BK36" i="45"/>
  <c r="AV36" i="45"/>
  <c r="AG36" i="45"/>
  <c r="Z36" i="45"/>
  <c r="Q36" i="45"/>
  <c r="J36" i="45"/>
  <c r="I36" i="45"/>
  <c r="D36" i="45"/>
  <c r="C36" i="45"/>
  <c r="K36" i="45" s="1" a="1"/>
  <c r="K36" i="45" s="1"/>
  <c r="BZ35" i="45"/>
  <c r="BR35" i="45"/>
  <c r="BV35" i="45" s="1"/>
  <c r="BK35" i="45"/>
  <c r="AV35" i="45"/>
  <c r="AG35" i="45"/>
  <c r="Z35" i="45"/>
  <c r="Q35" i="45"/>
  <c r="J35" i="45"/>
  <c r="I35" i="45"/>
  <c r="D35" i="45"/>
  <c r="C35" i="45"/>
  <c r="BZ34" i="45"/>
  <c r="BK34" i="45"/>
  <c r="AV34" i="45"/>
  <c r="AG34" i="45"/>
  <c r="Z34" i="45"/>
  <c r="Q34" i="45"/>
  <c r="J34" i="45"/>
  <c r="I34" i="45"/>
  <c r="D34" i="45"/>
  <c r="C34" i="45"/>
  <c r="K34" i="45" s="1" a="1"/>
  <c r="K34" i="45" s="1"/>
  <c r="BZ33" i="45"/>
  <c r="BK33" i="45"/>
  <c r="AV33" i="45"/>
  <c r="AG33" i="45"/>
  <c r="Z33" i="45"/>
  <c r="Q33" i="45"/>
  <c r="J33" i="45"/>
  <c r="I33" i="45"/>
  <c r="D33" i="45"/>
  <c r="C33" i="45"/>
  <c r="L33" i="45" s="1" a="1"/>
  <c r="L33" i="45" s="1"/>
  <c r="BZ32" i="45"/>
  <c r="BK32" i="45"/>
  <c r="AV32" i="45"/>
  <c r="AG32" i="45"/>
  <c r="Z32" i="45"/>
  <c r="Q32" i="45"/>
  <c r="K32" i="45" a="1"/>
  <c r="K32" i="45" s="1"/>
  <c r="J32" i="45"/>
  <c r="I32" i="45"/>
  <c r="D32" i="45"/>
  <c r="C32" i="45"/>
  <c r="BZ31" i="45"/>
  <c r="BK31" i="45"/>
  <c r="AV31" i="45"/>
  <c r="AN31" i="45"/>
  <c r="AR31" i="45" s="1"/>
  <c r="AG31" i="45"/>
  <c r="Z31" i="45"/>
  <c r="Q31" i="45"/>
  <c r="J31" i="45"/>
  <c r="I31" i="45"/>
  <c r="D31" i="45"/>
  <c r="C31" i="45"/>
  <c r="BZ30" i="45"/>
  <c r="BK30" i="45"/>
  <c r="AV30" i="45"/>
  <c r="AO30" i="45"/>
  <c r="AS30" i="45" s="1"/>
  <c r="AG30" i="45"/>
  <c r="Z30" i="45"/>
  <c r="Q30" i="45"/>
  <c r="L30" i="45" a="1"/>
  <c r="L30" i="45" s="1"/>
  <c r="J30" i="45"/>
  <c r="I30" i="45"/>
  <c r="D30" i="45"/>
  <c r="C30" i="45"/>
  <c r="K30" i="45" s="1" a="1"/>
  <c r="K30" i="45" s="1"/>
  <c r="BZ29" i="45"/>
  <c r="BK29" i="45"/>
  <c r="BD29" i="45"/>
  <c r="BH29" i="45" s="1"/>
  <c r="AV29" i="45"/>
  <c r="AG29" i="45"/>
  <c r="Z29" i="45"/>
  <c r="Q29" i="45"/>
  <c r="L29" i="45" a="1"/>
  <c r="L29" i="45" s="1"/>
  <c r="J29" i="45"/>
  <c r="I29" i="45"/>
  <c r="D29" i="45"/>
  <c r="C29" i="45"/>
  <c r="K29" i="45" s="1" a="1"/>
  <c r="K29" i="45" s="1"/>
  <c r="BZ28" i="45"/>
  <c r="BS28" i="45"/>
  <c r="BW28" i="45" s="1"/>
  <c r="BK28" i="45"/>
  <c r="AV28" i="45"/>
  <c r="AO28" i="45"/>
  <c r="AS28" i="45" s="1"/>
  <c r="AG28" i="45"/>
  <c r="Z28" i="45"/>
  <c r="Q28" i="45"/>
  <c r="K28" i="45" a="1"/>
  <c r="K28" i="45" s="1"/>
  <c r="J28" i="45"/>
  <c r="I28" i="45"/>
  <c r="D28" i="45"/>
  <c r="C28" i="45"/>
  <c r="BZ27" i="45"/>
  <c r="BK27" i="45"/>
  <c r="AV27" i="45"/>
  <c r="AG27" i="45"/>
  <c r="Z27" i="45"/>
  <c r="Q27" i="45"/>
  <c r="J27" i="45"/>
  <c r="I27" i="45"/>
  <c r="D27" i="45"/>
  <c r="C27" i="45"/>
  <c r="BZ26" i="45"/>
  <c r="BK26" i="45"/>
  <c r="AV26" i="45"/>
  <c r="AG26" i="45"/>
  <c r="Z26" i="45"/>
  <c r="Q26" i="45"/>
  <c r="L26" i="45" a="1"/>
  <c r="L26" i="45" s="1"/>
  <c r="J26" i="45"/>
  <c r="I26" i="45"/>
  <c r="D26" i="45"/>
  <c r="C26" i="45"/>
  <c r="K26" i="45" s="1" a="1"/>
  <c r="K26" i="45" s="1"/>
  <c r="BZ25" i="45"/>
  <c r="BK25" i="45"/>
  <c r="BD25" i="45"/>
  <c r="BH25" i="45" s="1"/>
  <c r="AV25" i="45"/>
  <c r="AG25" i="45"/>
  <c r="Z25" i="45"/>
  <c r="Q25" i="45"/>
  <c r="L25" i="45" a="1"/>
  <c r="L25" i="45" s="1"/>
  <c r="J25" i="45"/>
  <c r="I25" i="45"/>
  <c r="D25" i="45"/>
  <c r="C25" i="45"/>
  <c r="K25" i="45" s="1" a="1"/>
  <c r="K25" i="45" s="1"/>
  <c r="BZ24" i="45"/>
  <c r="BR24" i="45"/>
  <c r="BV24" i="45" s="1"/>
  <c r="BK24" i="45"/>
  <c r="AV24" i="45"/>
  <c r="AG24" i="45"/>
  <c r="Z24" i="45"/>
  <c r="Q24" i="45"/>
  <c r="J24" i="45"/>
  <c r="I24" i="45"/>
  <c r="D24" i="45"/>
  <c r="C24" i="45"/>
  <c r="K24" i="45" s="1" a="1"/>
  <c r="K24" i="45" s="1"/>
  <c r="BZ23" i="45"/>
  <c r="BK23" i="45"/>
  <c r="AV23" i="45"/>
  <c r="AG23" i="45"/>
  <c r="Z23" i="45"/>
  <c r="Q23" i="45"/>
  <c r="J23" i="45"/>
  <c r="I23" i="45"/>
  <c r="D23" i="45"/>
  <c r="C23" i="45"/>
  <c r="BZ22" i="45"/>
  <c r="BK22" i="45"/>
  <c r="AV22" i="45"/>
  <c r="AG22" i="45"/>
  <c r="Z22" i="45"/>
  <c r="Q22" i="45"/>
  <c r="L22" i="45" a="1"/>
  <c r="L22" i="45" s="1"/>
  <c r="J22" i="45"/>
  <c r="I22" i="45"/>
  <c r="D22" i="45"/>
  <c r="C22" i="45"/>
  <c r="BZ21" i="45"/>
  <c r="BK21" i="45"/>
  <c r="BC21" i="45"/>
  <c r="BG21" i="45" s="1"/>
  <c r="AV21" i="45"/>
  <c r="AG21" i="45"/>
  <c r="Z21" i="45"/>
  <c r="Q21" i="45"/>
  <c r="L21" i="45" a="1"/>
  <c r="L21" i="45" s="1"/>
  <c r="J21" i="45"/>
  <c r="I21" i="45"/>
  <c r="D21" i="45"/>
  <c r="C21" i="45"/>
  <c r="K21" i="45" s="1" a="1"/>
  <c r="K21" i="45" s="1"/>
  <c r="BZ20" i="45"/>
  <c r="BR20" i="45"/>
  <c r="BV20" i="45" s="1"/>
  <c r="BK20" i="45"/>
  <c r="AV20" i="45"/>
  <c r="AG20" i="45"/>
  <c r="Z20" i="45"/>
  <c r="Y20" i="45"/>
  <c r="Q20" i="45"/>
  <c r="J20" i="45"/>
  <c r="I20" i="45"/>
  <c r="D20" i="45"/>
  <c r="C20" i="45"/>
  <c r="L20" i="45" s="1" a="1"/>
  <c r="L20" i="45" s="1"/>
  <c r="BZ19" i="45"/>
  <c r="BK19" i="45"/>
  <c r="AV19" i="45"/>
  <c r="AO19" i="45"/>
  <c r="AG19" i="45"/>
  <c r="Z19" i="45"/>
  <c r="Y19" i="45"/>
  <c r="Q19" i="45"/>
  <c r="J19" i="45"/>
  <c r="I19" i="45"/>
  <c r="D19" i="45"/>
  <c r="C19" i="45"/>
  <c r="K19" i="45" s="1" a="1"/>
  <c r="K19" i="45" s="1"/>
  <c r="BZ18" i="45"/>
  <c r="BS18" i="45"/>
  <c r="BW18" i="45" s="1"/>
  <c r="BK18" i="45"/>
  <c r="BH18" i="45"/>
  <c r="BD18" i="45"/>
  <c r="AV18" i="45"/>
  <c r="AS18" i="45"/>
  <c r="AR18" i="45"/>
  <c r="AO18" i="45"/>
  <c r="AN18" i="45"/>
  <c r="AG18" i="45"/>
  <c r="Z18" i="45"/>
  <c r="Q18" i="45"/>
  <c r="L18" i="45" a="1"/>
  <c r="L18" i="45" s="1"/>
  <c r="J18" i="45"/>
  <c r="I18" i="45"/>
  <c r="D18" i="45"/>
  <c r="C18" i="45"/>
  <c r="K18" i="45" s="1" a="1"/>
  <c r="K18" i="45" s="1"/>
  <c r="BZ17" i="45"/>
  <c r="BS17" i="45"/>
  <c r="BW17" i="45" s="1"/>
  <c r="BK17" i="45"/>
  <c r="BH17" i="45"/>
  <c r="BG17" i="45"/>
  <c r="BD17" i="45"/>
  <c r="BC17" i="45"/>
  <c r="AV17" i="45"/>
  <c r="AS17" i="45"/>
  <c r="AR17" i="45"/>
  <c r="AO17" i="45"/>
  <c r="AN17" i="45"/>
  <c r="AG17" i="45"/>
  <c r="Z17" i="45"/>
  <c r="Y17" i="45"/>
  <c r="Q17" i="45"/>
  <c r="J17" i="45"/>
  <c r="I17" i="45"/>
  <c r="D17" i="45"/>
  <c r="C17" i="45"/>
  <c r="L17" i="45" s="1" a="1"/>
  <c r="L17" i="45" s="1"/>
  <c r="BZ16" i="45"/>
  <c r="BW16" i="45"/>
  <c r="BS16" i="45"/>
  <c r="BK16" i="45"/>
  <c r="BH16" i="45"/>
  <c r="BG16" i="45"/>
  <c r="BD16" i="45"/>
  <c r="BC16" i="45"/>
  <c r="AV16" i="45"/>
  <c r="AS16" i="45"/>
  <c r="AR16" i="45"/>
  <c r="AO16" i="45"/>
  <c r="AN16" i="45"/>
  <c r="AG16" i="45"/>
  <c r="Z16" i="45"/>
  <c r="Y16" i="45"/>
  <c r="Y15" i="45" s="1"/>
  <c r="X16" i="45"/>
  <c r="X15" i="45" s="1"/>
  <c r="Q16" i="45"/>
  <c r="J16" i="45"/>
  <c r="I16" i="45"/>
  <c r="D16" i="45"/>
  <c r="C16" i="45"/>
  <c r="K16" i="45" s="1" a="1"/>
  <c r="K16" i="45" s="1"/>
  <c r="BZ15" i="45"/>
  <c r="BW15" i="45"/>
  <c r="BV15" i="45"/>
  <c r="BS15" i="45"/>
  <c r="BR15" i="45"/>
  <c r="BK15" i="45"/>
  <c r="BH15" i="45"/>
  <c r="BG15" i="45"/>
  <c r="BD15" i="45"/>
  <c r="BC15" i="45"/>
  <c r="AV15" i="45"/>
  <c r="AS15" i="45"/>
  <c r="AR15" i="45"/>
  <c r="AO15" i="45"/>
  <c r="AN15" i="45"/>
  <c r="AG15" i="45"/>
  <c r="Z15" i="45"/>
  <c r="Q15" i="45"/>
  <c r="K15" i="45" a="1"/>
  <c r="K15" i="45" s="1"/>
  <c r="J15" i="45"/>
  <c r="I15" i="45"/>
  <c r="D15" i="45"/>
  <c r="C15" i="45"/>
  <c r="BU14" i="45"/>
  <c r="BT14" i="45"/>
  <c r="BQ14" i="45"/>
  <c r="BP14" i="45"/>
  <c r="BO14" i="45"/>
  <c r="BN14" i="45"/>
  <c r="BM14" i="45"/>
  <c r="BL14" i="45"/>
  <c r="BF14" i="45"/>
  <c r="BE14" i="45"/>
  <c r="BB14" i="45"/>
  <c r="BA14" i="45"/>
  <c r="AZ14" i="45"/>
  <c r="AY14" i="45"/>
  <c r="AW14" i="45"/>
  <c r="AQ14" i="45"/>
  <c r="AP14" i="45"/>
  <c r="AM14" i="45"/>
  <c r="AL14" i="45"/>
  <c r="AK14" i="45"/>
  <c r="AJ14" i="45"/>
  <c r="AH14" i="45"/>
  <c r="S14" i="45"/>
  <c r="R14" i="45"/>
  <c r="H14" i="45"/>
  <c r="G14" i="45"/>
  <c r="F14" i="45"/>
  <c r="E14" i="45"/>
  <c r="T14" i="45" s="1"/>
  <c r="P3" i="45"/>
  <c r="N3" i="45"/>
  <c r="N6" i="45" s="1" a="1"/>
  <c r="N6" i="45" s="1"/>
  <c r="B2" i="45" a="1"/>
  <c r="B2" i="45" s="1"/>
  <c r="A1" i="44"/>
  <c r="N3" i="44" s="1"/>
  <c r="BZ125" i="44"/>
  <c r="BW125" i="44"/>
  <c r="BV125" i="44"/>
  <c r="BS125" i="44"/>
  <c r="BR125" i="44"/>
  <c r="BK125" i="44"/>
  <c r="BH125" i="44"/>
  <c r="BG125" i="44"/>
  <c r="BD125" i="44"/>
  <c r="BC125" i="44"/>
  <c r="AV125" i="44"/>
  <c r="AS125" i="44"/>
  <c r="AR125" i="44"/>
  <c r="AO125" i="44"/>
  <c r="AN125" i="44"/>
  <c r="AG125" i="44"/>
  <c r="Z125" i="44"/>
  <c r="X125" i="44"/>
  <c r="Q125" i="44"/>
  <c r="J125" i="44"/>
  <c r="I125" i="44"/>
  <c r="D125" i="44"/>
  <c r="C125" i="44"/>
  <c r="K125" i="44" s="1" a="1"/>
  <c r="K125" i="44" s="1"/>
  <c r="BZ124" i="44"/>
  <c r="BW124" i="44"/>
  <c r="BV124" i="44"/>
  <c r="BS124" i="44"/>
  <c r="BR124" i="44"/>
  <c r="BK124" i="44"/>
  <c r="BH124" i="44"/>
  <c r="BG124" i="44"/>
  <c r="BD124" i="44"/>
  <c r="BC124" i="44"/>
  <c r="AV124" i="44"/>
  <c r="AS124" i="44"/>
  <c r="AR124" i="44"/>
  <c r="AO124" i="44"/>
  <c r="AN124" i="44"/>
  <c r="AG124" i="44"/>
  <c r="Z124" i="44"/>
  <c r="Y124" i="44"/>
  <c r="X124" i="44"/>
  <c r="Q124" i="44"/>
  <c r="K124" i="44" a="1"/>
  <c r="K124" i="44" s="1"/>
  <c r="J124" i="44"/>
  <c r="I124" i="44"/>
  <c r="D124" i="44"/>
  <c r="C124" i="44"/>
  <c r="L124" i="44" s="1" a="1"/>
  <c r="L124" i="44" s="1"/>
  <c r="BZ123" i="44"/>
  <c r="BV123" i="44"/>
  <c r="BR123" i="44"/>
  <c r="BK123" i="44"/>
  <c r="BH123" i="44"/>
  <c r="BD123" i="44"/>
  <c r="AV123" i="44"/>
  <c r="AR123" i="44"/>
  <c r="AG123" i="44"/>
  <c r="Z123" i="44"/>
  <c r="Y123" i="44"/>
  <c r="X123" i="44"/>
  <c r="Q123" i="44"/>
  <c r="L123" i="44" a="1"/>
  <c r="L123" i="44" s="1"/>
  <c r="K123" i="44" a="1"/>
  <c r="K123" i="44" s="1"/>
  <c r="J123" i="44"/>
  <c r="I123" i="44"/>
  <c r="D123" i="44"/>
  <c r="C123" i="44"/>
  <c r="BZ122" i="44"/>
  <c r="BW122" i="44"/>
  <c r="BV122" i="44"/>
  <c r="BS122" i="44"/>
  <c r="BR122" i="44"/>
  <c r="BK122" i="44"/>
  <c r="BH122" i="44"/>
  <c r="BG122" i="44"/>
  <c r="BD122" i="44"/>
  <c r="BC122" i="44"/>
  <c r="AV122" i="44"/>
  <c r="AS122" i="44"/>
  <c r="AR122" i="44"/>
  <c r="AO122" i="44"/>
  <c r="AN122" i="44"/>
  <c r="AG122" i="44"/>
  <c r="Z122" i="44"/>
  <c r="Q122" i="44"/>
  <c r="J122" i="44"/>
  <c r="I122" i="44"/>
  <c r="D122" i="44"/>
  <c r="C122" i="44"/>
  <c r="BZ121" i="44"/>
  <c r="BW121" i="44"/>
  <c r="BV121" i="44"/>
  <c r="BS121" i="44"/>
  <c r="BR121" i="44"/>
  <c r="BK121" i="44"/>
  <c r="BH121" i="44"/>
  <c r="BG121" i="44"/>
  <c r="BD121" i="44"/>
  <c r="BC121" i="44"/>
  <c r="AV121" i="44"/>
  <c r="AS121" i="44"/>
  <c r="AR121" i="44"/>
  <c r="AO121" i="44"/>
  <c r="AN121" i="44"/>
  <c r="AG121" i="44"/>
  <c r="Z121" i="44"/>
  <c r="Q121" i="44"/>
  <c r="J121" i="44"/>
  <c r="I121" i="44"/>
  <c r="D121" i="44"/>
  <c r="C121" i="44"/>
  <c r="L121" i="44" s="1" a="1"/>
  <c r="L121" i="44" s="1"/>
  <c r="BZ120" i="44"/>
  <c r="BW120" i="44"/>
  <c r="BV120" i="44"/>
  <c r="BS120" i="44"/>
  <c r="BR120" i="44"/>
  <c r="BK120" i="44"/>
  <c r="BH120" i="44"/>
  <c r="BG120" i="44"/>
  <c r="BD120" i="44"/>
  <c r="BC120" i="44"/>
  <c r="AV120" i="44"/>
  <c r="AS120" i="44"/>
  <c r="AR120" i="44"/>
  <c r="AO120" i="44"/>
  <c r="AN120" i="44"/>
  <c r="AG120" i="44"/>
  <c r="Z120" i="44"/>
  <c r="Y120" i="44"/>
  <c r="X120" i="44"/>
  <c r="Q120" i="44"/>
  <c r="L120" i="44" a="1"/>
  <c r="L120" i="44" s="1"/>
  <c r="K120" i="44" a="1"/>
  <c r="K120" i="44" s="1"/>
  <c r="J120" i="44"/>
  <c r="I120" i="44"/>
  <c r="D120" i="44"/>
  <c r="C120" i="44"/>
  <c r="BZ119" i="44"/>
  <c r="BV119" i="44"/>
  <c r="BR119" i="44"/>
  <c r="BK119" i="44"/>
  <c r="BH119" i="44"/>
  <c r="BD119" i="44"/>
  <c r="AV119" i="44"/>
  <c r="AR119" i="44"/>
  <c r="AG119" i="44"/>
  <c r="Z119" i="44"/>
  <c r="Y119" i="44"/>
  <c r="X119" i="44"/>
  <c r="Q119" i="44"/>
  <c r="L119" i="44" a="1"/>
  <c r="L119" i="44" s="1"/>
  <c r="K119" i="44" a="1"/>
  <c r="K119" i="44" s="1"/>
  <c r="J119" i="44"/>
  <c r="I119" i="44"/>
  <c r="D119" i="44"/>
  <c r="C119" i="44"/>
  <c r="BZ118" i="44"/>
  <c r="BW118" i="44"/>
  <c r="BV118" i="44"/>
  <c r="BS118" i="44"/>
  <c r="BR118" i="44"/>
  <c r="BK118" i="44"/>
  <c r="BH118" i="44"/>
  <c r="BG118" i="44"/>
  <c r="BD118" i="44"/>
  <c r="BC118" i="44"/>
  <c r="AV118" i="44"/>
  <c r="AS118" i="44"/>
  <c r="AR118" i="44"/>
  <c r="AO118" i="44"/>
  <c r="AN118" i="44"/>
  <c r="AG118" i="44"/>
  <c r="Z118" i="44"/>
  <c r="Q118" i="44"/>
  <c r="J118" i="44"/>
  <c r="I118" i="44"/>
  <c r="D118" i="44"/>
  <c r="C118" i="44"/>
  <c r="BZ117" i="44"/>
  <c r="BW117" i="44"/>
  <c r="BV117" i="44"/>
  <c r="BS117" i="44"/>
  <c r="BR117" i="44"/>
  <c r="BK117" i="44"/>
  <c r="BH117" i="44"/>
  <c r="BG117" i="44"/>
  <c r="BD117" i="44"/>
  <c r="BC117" i="44"/>
  <c r="AV117" i="44"/>
  <c r="AS117" i="44"/>
  <c r="AR117" i="44"/>
  <c r="AO117" i="44"/>
  <c r="AN117" i="44"/>
  <c r="AG117" i="44"/>
  <c r="Z117" i="44"/>
  <c r="Y117" i="44"/>
  <c r="X117" i="44"/>
  <c r="Q117" i="44"/>
  <c r="J117" i="44"/>
  <c r="I117" i="44"/>
  <c r="D117" i="44"/>
  <c r="C117" i="44"/>
  <c r="BZ116" i="44"/>
  <c r="BW116" i="44"/>
  <c r="BV116" i="44"/>
  <c r="BS116" i="44"/>
  <c r="BR116" i="44"/>
  <c r="BK116" i="44"/>
  <c r="BH116" i="44"/>
  <c r="BG116" i="44"/>
  <c r="BD116" i="44"/>
  <c r="BC116" i="44"/>
  <c r="AV116" i="44"/>
  <c r="AS116" i="44"/>
  <c r="AR116" i="44"/>
  <c r="AO116" i="44"/>
  <c r="AN116" i="44"/>
  <c r="AG116" i="44"/>
  <c r="Z116" i="44"/>
  <c r="Y116" i="44"/>
  <c r="X116" i="44"/>
  <c r="Q116" i="44"/>
  <c r="L116" i="44" a="1"/>
  <c r="L116" i="44" s="1"/>
  <c r="J116" i="44"/>
  <c r="I116" i="44"/>
  <c r="D116" i="44"/>
  <c r="C116" i="44"/>
  <c r="K116" i="44" s="1" a="1"/>
  <c r="K116" i="44" s="1"/>
  <c r="BZ115" i="44"/>
  <c r="BK115" i="44"/>
  <c r="AV115" i="44"/>
  <c r="AN115" i="44"/>
  <c r="AR115" i="44" s="1"/>
  <c r="AG115" i="44"/>
  <c r="Z115" i="44"/>
  <c r="Q115" i="44"/>
  <c r="J115" i="44"/>
  <c r="I115" i="44"/>
  <c r="D115" i="44"/>
  <c r="C115" i="44"/>
  <c r="L115" i="44" s="1" a="1"/>
  <c r="L115" i="44" s="1"/>
  <c r="BZ114" i="44"/>
  <c r="BK114" i="44"/>
  <c r="AV114" i="44"/>
  <c r="AG114" i="44"/>
  <c r="Z114" i="44"/>
  <c r="Q114" i="44"/>
  <c r="J114" i="44"/>
  <c r="I114" i="44"/>
  <c r="D114" i="44"/>
  <c r="C114" i="44"/>
  <c r="BZ113" i="44"/>
  <c r="BK113" i="44"/>
  <c r="AV113" i="44"/>
  <c r="AG113" i="44"/>
  <c r="Z113" i="44"/>
  <c r="Q113" i="44"/>
  <c r="J113" i="44"/>
  <c r="I113" i="44"/>
  <c r="D113" i="44"/>
  <c r="C113" i="44"/>
  <c r="L113" i="44" s="1" a="1"/>
  <c r="L113" i="44" s="1"/>
  <c r="BZ112" i="44"/>
  <c r="BK112" i="44"/>
  <c r="AV112" i="44"/>
  <c r="AG112" i="44"/>
  <c r="Z112" i="44"/>
  <c r="Q112" i="44"/>
  <c r="L112" i="44" a="1"/>
  <c r="L112" i="44" s="1"/>
  <c r="K112" i="44" a="1"/>
  <c r="K112" i="44" s="1"/>
  <c r="J112" i="44"/>
  <c r="I112" i="44"/>
  <c r="D112" i="44"/>
  <c r="C112" i="44"/>
  <c r="BZ111" i="44"/>
  <c r="BK111" i="44"/>
  <c r="AV111" i="44"/>
  <c r="AG111" i="44"/>
  <c r="Z111" i="44"/>
  <c r="Q111" i="44"/>
  <c r="J111" i="44"/>
  <c r="I111" i="44"/>
  <c r="D111" i="44"/>
  <c r="C111" i="44"/>
  <c r="L111" i="44" s="1" a="1"/>
  <c r="L111" i="44" s="1"/>
  <c r="BZ110" i="44"/>
  <c r="BK110" i="44"/>
  <c r="BC110" i="44"/>
  <c r="BG110" i="44" s="1"/>
  <c r="AV110" i="44"/>
  <c r="AG110" i="44"/>
  <c r="Z110" i="44"/>
  <c r="Q110" i="44"/>
  <c r="J110" i="44"/>
  <c r="I110" i="44"/>
  <c r="D110" i="44"/>
  <c r="C110" i="44"/>
  <c r="BZ109" i="44"/>
  <c r="BK109" i="44"/>
  <c r="AV109" i="44"/>
  <c r="AG109" i="44"/>
  <c r="Z109" i="44"/>
  <c r="Q109" i="44"/>
  <c r="J109" i="44"/>
  <c r="I109" i="44"/>
  <c r="D109" i="44"/>
  <c r="C109" i="44"/>
  <c r="BZ108" i="44"/>
  <c r="BK108" i="44"/>
  <c r="AV108" i="44"/>
  <c r="AG108" i="44"/>
  <c r="Z108" i="44"/>
  <c r="Q108" i="44"/>
  <c r="L108" i="44" a="1"/>
  <c r="L108" i="44" s="1"/>
  <c r="K108" i="44" a="1"/>
  <c r="K108" i="44" s="1"/>
  <c r="J108" i="44"/>
  <c r="I108" i="44"/>
  <c r="D108" i="44"/>
  <c r="C108" i="44"/>
  <c r="BZ107" i="44"/>
  <c r="BK107" i="44"/>
  <c r="AV107" i="44"/>
  <c r="AG107" i="44"/>
  <c r="Z107" i="44"/>
  <c r="Q107" i="44"/>
  <c r="J107" i="44"/>
  <c r="I107" i="44"/>
  <c r="D107" i="44"/>
  <c r="C107" i="44"/>
  <c r="L107" i="44" s="1" a="1"/>
  <c r="L107" i="44" s="1"/>
  <c r="BZ106" i="44"/>
  <c r="BK106" i="44"/>
  <c r="AV106" i="44"/>
  <c r="AG106" i="44"/>
  <c r="Z106" i="44"/>
  <c r="Q106" i="44"/>
  <c r="J106" i="44"/>
  <c r="I106" i="44"/>
  <c r="D106" i="44"/>
  <c r="C106" i="44"/>
  <c r="BZ105" i="44"/>
  <c r="BK105" i="44"/>
  <c r="AV105" i="44"/>
  <c r="AG105" i="44"/>
  <c r="Z105" i="44"/>
  <c r="Q105" i="44"/>
  <c r="L105" i="44" a="1"/>
  <c r="L105" i="44" s="1"/>
  <c r="J105" i="44"/>
  <c r="I105" i="44"/>
  <c r="D105" i="44"/>
  <c r="C105" i="44"/>
  <c r="K105" i="44" s="1" a="1"/>
  <c r="K105" i="44" s="1"/>
  <c r="BZ104" i="44"/>
  <c r="BK104" i="44"/>
  <c r="AV104" i="44"/>
  <c r="AG104" i="44"/>
  <c r="Z104" i="44"/>
  <c r="Q104" i="44"/>
  <c r="L104" i="44" a="1"/>
  <c r="L104" i="44" s="1"/>
  <c r="J104" i="44"/>
  <c r="I104" i="44"/>
  <c r="D104" i="44"/>
  <c r="C104" i="44"/>
  <c r="K104" i="44" s="1" a="1"/>
  <c r="K104" i="44" s="1"/>
  <c r="BZ103" i="44"/>
  <c r="BK103" i="44"/>
  <c r="AV103" i="44"/>
  <c r="AG103" i="44"/>
  <c r="Z103" i="44"/>
  <c r="Q103" i="44"/>
  <c r="J103" i="44"/>
  <c r="I103" i="44"/>
  <c r="D103" i="44"/>
  <c r="C103" i="44"/>
  <c r="BZ102" i="44"/>
  <c r="BK102" i="44"/>
  <c r="AV102" i="44"/>
  <c r="AG102" i="44"/>
  <c r="Z102" i="44"/>
  <c r="Q102" i="44"/>
  <c r="L102" i="44" a="1"/>
  <c r="L102" i="44" s="1"/>
  <c r="J102" i="44"/>
  <c r="I102" i="44"/>
  <c r="D102" i="44"/>
  <c r="C102" i="44"/>
  <c r="K102" i="44" s="1" a="1"/>
  <c r="K102" i="44" s="1"/>
  <c r="BZ101" i="44"/>
  <c r="BK101" i="44"/>
  <c r="AV101" i="44"/>
  <c r="AG101" i="44"/>
  <c r="Z101" i="44"/>
  <c r="Q101" i="44"/>
  <c r="J101" i="44"/>
  <c r="I101" i="44"/>
  <c r="D101" i="44"/>
  <c r="C101" i="44"/>
  <c r="BZ100" i="44"/>
  <c r="BR100" i="44"/>
  <c r="BV100" i="44" s="1"/>
  <c r="BK100" i="44"/>
  <c r="AV100" i="44"/>
  <c r="AG100" i="44"/>
  <c r="Z100" i="44"/>
  <c r="Q100" i="44"/>
  <c r="L100" i="44" a="1"/>
  <c r="L100" i="44" s="1"/>
  <c r="J100" i="44"/>
  <c r="I100" i="44"/>
  <c r="D100" i="44"/>
  <c r="C100" i="44"/>
  <c r="K100" i="44" s="1" a="1"/>
  <c r="K100" i="44" s="1"/>
  <c r="BZ99" i="44"/>
  <c r="BK99" i="44"/>
  <c r="AV99" i="44"/>
  <c r="AG99" i="44"/>
  <c r="Z99" i="44"/>
  <c r="Q99" i="44"/>
  <c r="J99" i="44"/>
  <c r="I99" i="44"/>
  <c r="D99" i="44"/>
  <c r="C99" i="44"/>
  <c r="L99" i="44" s="1" a="1"/>
  <c r="L99" i="44" s="1"/>
  <c r="BZ98" i="44"/>
  <c r="BK98" i="44"/>
  <c r="AV98" i="44"/>
  <c r="AG98" i="44"/>
  <c r="Z98" i="44"/>
  <c r="Q98" i="44"/>
  <c r="J98" i="44"/>
  <c r="I98" i="44"/>
  <c r="D98" i="44"/>
  <c r="C98" i="44"/>
  <c r="K98" i="44" s="1" a="1"/>
  <c r="K98" i="44" s="1"/>
  <c r="BZ97" i="44"/>
  <c r="BK97" i="44"/>
  <c r="AV97" i="44"/>
  <c r="AG97" i="44"/>
  <c r="Z97" i="44"/>
  <c r="Q97" i="44"/>
  <c r="K97" i="44" a="1"/>
  <c r="K97" i="44" s="1"/>
  <c r="J97" i="44"/>
  <c r="I97" i="44"/>
  <c r="D97" i="44"/>
  <c r="C97" i="44"/>
  <c r="BZ96" i="44"/>
  <c r="BK96" i="44"/>
  <c r="AV96" i="44"/>
  <c r="AG96" i="44"/>
  <c r="Z96" i="44"/>
  <c r="Q96" i="44"/>
  <c r="J96" i="44"/>
  <c r="I96" i="44"/>
  <c r="D96" i="44"/>
  <c r="C96" i="44"/>
  <c r="BZ95" i="44"/>
  <c r="BK95" i="44"/>
  <c r="AV95" i="44"/>
  <c r="AG95" i="44"/>
  <c r="Z95" i="44"/>
  <c r="Q95" i="44"/>
  <c r="J95" i="44"/>
  <c r="I95" i="44"/>
  <c r="D95" i="44"/>
  <c r="C95" i="44"/>
  <c r="BZ94" i="44"/>
  <c r="BK94" i="44"/>
  <c r="AV94" i="44"/>
  <c r="AG94" i="44"/>
  <c r="Z94" i="44"/>
  <c r="Q94" i="44"/>
  <c r="K94" i="44" a="1"/>
  <c r="K94" i="44" s="1"/>
  <c r="J94" i="44"/>
  <c r="I94" i="44"/>
  <c r="D94" i="44"/>
  <c r="C94" i="44"/>
  <c r="L94" i="44" s="1" a="1"/>
  <c r="L94" i="44" s="1"/>
  <c r="BZ93" i="44"/>
  <c r="BK93" i="44"/>
  <c r="AV93" i="44"/>
  <c r="AG93" i="44"/>
  <c r="Z93" i="44"/>
  <c r="Q93" i="44"/>
  <c r="L93" i="44" a="1"/>
  <c r="L93" i="44" s="1"/>
  <c r="K93" i="44" a="1"/>
  <c r="K93" i="44" s="1"/>
  <c r="J93" i="44"/>
  <c r="I93" i="44"/>
  <c r="D93" i="44"/>
  <c r="C93" i="44"/>
  <c r="BZ92" i="44"/>
  <c r="BK92" i="44"/>
  <c r="AV92" i="44"/>
  <c r="AG92" i="44"/>
  <c r="Z92" i="44"/>
  <c r="Q92" i="44"/>
  <c r="J92" i="44"/>
  <c r="I92" i="44"/>
  <c r="D92" i="44"/>
  <c r="C92" i="44"/>
  <c r="BZ91" i="44"/>
  <c r="BK91" i="44"/>
  <c r="AV91" i="44"/>
  <c r="AG91" i="44"/>
  <c r="Z91" i="44"/>
  <c r="Q91" i="44"/>
  <c r="J91" i="44"/>
  <c r="I91" i="44"/>
  <c r="D91" i="44"/>
  <c r="C91" i="44"/>
  <c r="K91" i="44" s="1" a="1"/>
  <c r="K91" i="44" s="1"/>
  <c r="BZ90" i="44"/>
  <c r="BK90" i="44"/>
  <c r="AV90" i="44"/>
  <c r="AG90" i="44"/>
  <c r="Z90" i="44"/>
  <c r="Q90" i="44"/>
  <c r="J90" i="44"/>
  <c r="I90" i="44"/>
  <c r="D90" i="44"/>
  <c r="C90" i="44"/>
  <c r="BZ89" i="44"/>
  <c r="BK89" i="44"/>
  <c r="AV89" i="44"/>
  <c r="AG89" i="44"/>
  <c r="Z89" i="44"/>
  <c r="Q89" i="44"/>
  <c r="L89" i="44" a="1"/>
  <c r="L89" i="44" s="1"/>
  <c r="K89" i="44" a="1"/>
  <c r="K89" i="44" s="1"/>
  <c r="J89" i="44"/>
  <c r="I89" i="44"/>
  <c r="D89" i="44"/>
  <c r="C89" i="44"/>
  <c r="BZ88" i="44"/>
  <c r="BR88" i="44"/>
  <c r="BV88" i="44" s="1"/>
  <c r="BK88" i="44"/>
  <c r="AV88" i="44"/>
  <c r="AG88" i="44"/>
  <c r="Z88" i="44"/>
  <c r="Q88" i="44"/>
  <c r="L88" i="44" a="1"/>
  <c r="L88" i="44" s="1"/>
  <c r="J88" i="44"/>
  <c r="I88" i="44"/>
  <c r="D88" i="44"/>
  <c r="C88" i="44"/>
  <c r="K88" i="44" s="1" a="1"/>
  <c r="K88" i="44" s="1"/>
  <c r="BZ87" i="44"/>
  <c r="BK87" i="44"/>
  <c r="AV87" i="44"/>
  <c r="AG87" i="44"/>
  <c r="Z87" i="44"/>
  <c r="Q87" i="44"/>
  <c r="J87" i="44"/>
  <c r="I87" i="44"/>
  <c r="D87" i="44"/>
  <c r="C87" i="44"/>
  <c r="L87" i="44" s="1" a="1"/>
  <c r="L87" i="44" s="1"/>
  <c r="BZ86" i="44"/>
  <c r="BK86" i="44"/>
  <c r="AV86" i="44"/>
  <c r="AG86" i="44"/>
  <c r="Z86" i="44"/>
  <c r="Q86" i="44"/>
  <c r="J86" i="44"/>
  <c r="I86" i="44"/>
  <c r="D86" i="44"/>
  <c r="C86" i="44"/>
  <c r="BZ85" i="44"/>
  <c r="BK85" i="44"/>
  <c r="AV85" i="44"/>
  <c r="AG85" i="44"/>
  <c r="Z85" i="44"/>
  <c r="Q85" i="44"/>
  <c r="L85" i="44" a="1"/>
  <c r="L85" i="44" s="1"/>
  <c r="K85" i="44" a="1"/>
  <c r="K85" i="44" s="1"/>
  <c r="J85" i="44"/>
  <c r="I85" i="44"/>
  <c r="D85" i="44"/>
  <c r="C85" i="44"/>
  <c r="BZ84" i="44"/>
  <c r="BS84" i="44"/>
  <c r="BW84" i="44" s="1"/>
  <c r="BK84" i="44"/>
  <c r="AV84" i="44"/>
  <c r="AG84" i="44"/>
  <c r="Z84" i="44"/>
  <c r="Q84" i="44"/>
  <c r="J84" i="44"/>
  <c r="I84" i="44"/>
  <c r="D84" i="44"/>
  <c r="C84" i="44"/>
  <c r="L84" i="44" s="1" a="1"/>
  <c r="L84" i="44" s="1"/>
  <c r="BZ83" i="44"/>
  <c r="BK83" i="44"/>
  <c r="AV83" i="44"/>
  <c r="AG83" i="44"/>
  <c r="Z83" i="44"/>
  <c r="Q83" i="44"/>
  <c r="J83" i="44"/>
  <c r="I83" i="44"/>
  <c r="D83" i="44"/>
  <c r="C83" i="44"/>
  <c r="BZ82" i="44"/>
  <c r="BR82" i="44"/>
  <c r="BV82" i="44" s="1"/>
  <c r="BK82" i="44"/>
  <c r="AV82" i="44"/>
  <c r="AG82" i="44"/>
  <c r="Z82" i="44"/>
  <c r="Q82" i="44"/>
  <c r="L82" i="44" a="1"/>
  <c r="L82" i="44" s="1"/>
  <c r="J82" i="44"/>
  <c r="I82" i="44"/>
  <c r="D82" i="44"/>
  <c r="C82" i="44"/>
  <c r="BZ81" i="44"/>
  <c r="BK81" i="44"/>
  <c r="AV81" i="44"/>
  <c r="AG81" i="44"/>
  <c r="Z81" i="44"/>
  <c r="Q81" i="44"/>
  <c r="J81" i="44"/>
  <c r="I81" i="44"/>
  <c r="D81" i="44"/>
  <c r="C81" i="44"/>
  <c r="BZ80" i="44"/>
  <c r="BK80" i="44"/>
  <c r="BC80" i="44"/>
  <c r="BG80" i="44" s="1"/>
  <c r="AV80" i="44"/>
  <c r="AG80" i="44"/>
  <c r="Z80" i="44"/>
  <c r="Q80" i="44"/>
  <c r="L80" i="44" a="1"/>
  <c r="L80" i="44" s="1"/>
  <c r="K80" i="44" a="1"/>
  <c r="K80" i="44" s="1"/>
  <c r="J80" i="44"/>
  <c r="I80" i="44"/>
  <c r="D80" i="44"/>
  <c r="C80" i="44"/>
  <c r="BZ79" i="44"/>
  <c r="BK79" i="44"/>
  <c r="AV79" i="44"/>
  <c r="AG79" i="44"/>
  <c r="Z79" i="44"/>
  <c r="Q79" i="44"/>
  <c r="J79" i="44"/>
  <c r="I79" i="44"/>
  <c r="D79" i="44"/>
  <c r="C79" i="44"/>
  <c r="BZ78" i="44"/>
  <c r="BK78" i="44"/>
  <c r="AV78" i="44"/>
  <c r="AG78" i="44"/>
  <c r="Z78" i="44"/>
  <c r="Q78" i="44"/>
  <c r="L78" i="44" a="1"/>
  <c r="L78" i="44" s="1"/>
  <c r="J78" i="44"/>
  <c r="I78" i="44"/>
  <c r="D78" i="44"/>
  <c r="C78" i="44"/>
  <c r="BZ77" i="44"/>
  <c r="BK77" i="44"/>
  <c r="AV77" i="44"/>
  <c r="AG77" i="44"/>
  <c r="Z77" i="44"/>
  <c r="Q77" i="44"/>
  <c r="J77" i="44"/>
  <c r="I77" i="44"/>
  <c r="D77" i="44"/>
  <c r="C77" i="44"/>
  <c r="L77" i="44" s="1" a="1"/>
  <c r="L77" i="44" s="1"/>
  <c r="BZ76" i="44"/>
  <c r="BK76" i="44"/>
  <c r="AV76" i="44"/>
  <c r="AG76" i="44"/>
  <c r="Z76" i="44"/>
  <c r="Q76" i="44"/>
  <c r="K76" i="44" a="1"/>
  <c r="K76" i="44" s="1"/>
  <c r="J76" i="44"/>
  <c r="I76" i="44"/>
  <c r="D76" i="44"/>
  <c r="C76" i="44"/>
  <c r="L76" i="44" s="1" a="1"/>
  <c r="L76" i="44" s="1"/>
  <c r="BZ75" i="44"/>
  <c r="BK75" i="44"/>
  <c r="AV75" i="44"/>
  <c r="AG75" i="44"/>
  <c r="Z75" i="44"/>
  <c r="Q75" i="44"/>
  <c r="K75" i="44" a="1"/>
  <c r="K75" i="44" s="1"/>
  <c r="J75" i="44"/>
  <c r="I75" i="44"/>
  <c r="D75" i="44"/>
  <c r="C75" i="44"/>
  <c r="L75" i="44" s="1" a="1"/>
  <c r="L75" i="44" s="1"/>
  <c r="BZ74" i="44"/>
  <c r="BK74" i="44"/>
  <c r="AV74" i="44"/>
  <c r="AN74" i="44"/>
  <c r="AR74" i="44" s="1"/>
  <c r="AG74" i="44"/>
  <c r="Z74" i="44"/>
  <c r="Q74" i="44"/>
  <c r="J74" i="44"/>
  <c r="I74" i="44"/>
  <c r="D74" i="44"/>
  <c r="C74" i="44"/>
  <c r="L74" i="44" s="1" a="1"/>
  <c r="L74" i="44" s="1"/>
  <c r="BZ73" i="44"/>
  <c r="BK73" i="44"/>
  <c r="AV73" i="44"/>
  <c r="AG73" i="44"/>
  <c r="Z73" i="44"/>
  <c r="Q73" i="44"/>
  <c r="K73" i="44" a="1"/>
  <c r="K73" i="44" s="1"/>
  <c r="J73" i="44"/>
  <c r="I73" i="44"/>
  <c r="D73" i="44"/>
  <c r="C73" i="44"/>
  <c r="BZ72" i="44"/>
  <c r="BK72" i="44"/>
  <c r="AV72" i="44"/>
  <c r="AG72" i="44"/>
  <c r="Z72" i="44"/>
  <c r="Q72" i="44"/>
  <c r="J72" i="44"/>
  <c r="I72" i="44"/>
  <c r="D72" i="44"/>
  <c r="C72" i="44"/>
  <c r="BZ71" i="44"/>
  <c r="BK71" i="44"/>
  <c r="AV71" i="44"/>
  <c r="AG71" i="44"/>
  <c r="Z71" i="44"/>
  <c r="Q71" i="44"/>
  <c r="J71" i="44"/>
  <c r="I71" i="44"/>
  <c r="D71" i="44"/>
  <c r="C71" i="44"/>
  <c r="BZ70" i="44"/>
  <c r="BK70" i="44"/>
  <c r="AV70" i="44"/>
  <c r="AG70" i="44"/>
  <c r="Z70" i="44"/>
  <c r="Q70" i="44"/>
  <c r="K70" i="44" a="1"/>
  <c r="K70" i="44" s="1"/>
  <c r="J70" i="44"/>
  <c r="I70" i="44"/>
  <c r="D70" i="44"/>
  <c r="C70" i="44"/>
  <c r="L70" i="44" s="1" a="1"/>
  <c r="L70" i="44" s="1"/>
  <c r="BZ69" i="44"/>
  <c r="BK69" i="44"/>
  <c r="AV69" i="44"/>
  <c r="AG69" i="44"/>
  <c r="Z69" i="44"/>
  <c r="Q69" i="44"/>
  <c r="K69" i="44" a="1"/>
  <c r="K69" i="44" s="1"/>
  <c r="J69" i="44"/>
  <c r="I69" i="44"/>
  <c r="D69" i="44"/>
  <c r="C69" i="44"/>
  <c r="BZ68" i="44"/>
  <c r="BK68" i="44"/>
  <c r="AV68" i="44"/>
  <c r="AG68" i="44"/>
  <c r="Z68" i="44"/>
  <c r="Q68" i="44"/>
  <c r="J68" i="44"/>
  <c r="I68" i="44"/>
  <c r="D68" i="44"/>
  <c r="C68" i="44"/>
  <c r="BZ67" i="44"/>
  <c r="BK67" i="44"/>
  <c r="AV67" i="44"/>
  <c r="AG67" i="44"/>
  <c r="Z67" i="44"/>
  <c r="Q67" i="44"/>
  <c r="L67" i="44" a="1"/>
  <c r="L67" i="44" s="1"/>
  <c r="J67" i="44"/>
  <c r="I67" i="44"/>
  <c r="D67" i="44"/>
  <c r="C67" i="44"/>
  <c r="K67" i="44" s="1" a="1"/>
  <c r="K67" i="44" s="1"/>
  <c r="BZ66" i="44"/>
  <c r="BK66" i="44"/>
  <c r="AV66" i="44"/>
  <c r="AG66" i="44"/>
  <c r="Z66" i="44"/>
  <c r="Q66" i="44"/>
  <c r="J66" i="44"/>
  <c r="I66" i="44"/>
  <c r="D66" i="44"/>
  <c r="C66" i="44"/>
  <c r="BZ65" i="44"/>
  <c r="BK65" i="44"/>
  <c r="AV65" i="44"/>
  <c r="AG65" i="44"/>
  <c r="Z65" i="44"/>
  <c r="Q65" i="44"/>
  <c r="K65" i="44" a="1"/>
  <c r="K65" i="44" s="1"/>
  <c r="J65" i="44"/>
  <c r="I65" i="44"/>
  <c r="D65" i="44"/>
  <c r="C65" i="44"/>
  <c r="BZ64" i="44"/>
  <c r="BK64" i="44"/>
  <c r="AV64" i="44"/>
  <c r="AG64" i="44"/>
  <c r="Z64" i="44"/>
  <c r="Q64" i="44"/>
  <c r="J64" i="44"/>
  <c r="I64" i="44"/>
  <c r="D64" i="44"/>
  <c r="C64" i="44"/>
  <c r="BZ63" i="44"/>
  <c r="BR63" i="44"/>
  <c r="BV63" i="44" s="1"/>
  <c r="BK63" i="44"/>
  <c r="AV63" i="44"/>
  <c r="AG63" i="44"/>
  <c r="Z63" i="44"/>
  <c r="Q63" i="44"/>
  <c r="J63" i="44"/>
  <c r="I63" i="44"/>
  <c r="D63" i="44"/>
  <c r="C63" i="44"/>
  <c r="BZ62" i="44"/>
  <c r="BK62" i="44"/>
  <c r="AV62" i="44"/>
  <c r="AN62" i="44"/>
  <c r="AR62" i="44" s="1"/>
  <c r="AG62" i="44"/>
  <c r="Z62" i="44"/>
  <c r="Q62" i="44"/>
  <c r="J62" i="44"/>
  <c r="I62" i="44"/>
  <c r="D62" i="44"/>
  <c r="C62" i="44"/>
  <c r="BZ61" i="44"/>
  <c r="BK61" i="44"/>
  <c r="AV61" i="44"/>
  <c r="AG61" i="44"/>
  <c r="Z61" i="44"/>
  <c r="Q61" i="44"/>
  <c r="K61" i="44" a="1"/>
  <c r="K61" i="44" s="1"/>
  <c r="J61" i="44"/>
  <c r="I61" i="44"/>
  <c r="D61" i="44"/>
  <c r="C61" i="44"/>
  <c r="BZ60" i="44"/>
  <c r="BK60" i="44"/>
  <c r="BD60" i="44"/>
  <c r="BH60" i="44" s="1"/>
  <c r="AV60" i="44"/>
  <c r="AG60" i="44"/>
  <c r="Z60" i="44"/>
  <c r="Q60" i="44"/>
  <c r="J60" i="44"/>
  <c r="I60" i="44"/>
  <c r="D60" i="44"/>
  <c r="C60" i="44"/>
  <c r="BZ59" i="44"/>
  <c r="BK59" i="44"/>
  <c r="AV59" i="44"/>
  <c r="AG59" i="44"/>
  <c r="Z59" i="44"/>
  <c r="Q59" i="44"/>
  <c r="J59" i="44"/>
  <c r="I59" i="44"/>
  <c r="D59" i="44"/>
  <c r="C59" i="44"/>
  <c r="L59" i="44" s="1" a="1"/>
  <c r="L59" i="44" s="1"/>
  <c r="BZ58" i="44"/>
  <c r="BS58" i="44"/>
  <c r="BW58" i="44" s="1"/>
  <c r="BK58" i="44"/>
  <c r="AV58" i="44"/>
  <c r="AG58" i="44"/>
  <c r="Z58" i="44"/>
  <c r="Q58" i="44"/>
  <c r="K58" i="44" a="1"/>
  <c r="K58" i="44" s="1"/>
  <c r="J58" i="44"/>
  <c r="I58" i="44"/>
  <c r="D58" i="44"/>
  <c r="C58" i="44"/>
  <c r="L58" i="44" s="1" a="1"/>
  <c r="L58" i="44" s="1"/>
  <c r="BZ57" i="44"/>
  <c r="BK57" i="44"/>
  <c r="BD57" i="44"/>
  <c r="BH57" i="44" s="1"/>
  <c r="AV57" i="44"/>
  <c r="AG57" i="44"/>
  <c r="Z57" i="44"/>
  <c r="Q57" i="44"/>
  <c r="K57" i="44" a="1"/>
  <c r="K57" i="44" s="1"/>
  <c r="J57" i="44"/>
  <c r="I57" i="44"/>
  <c r="D57" i="44"/>
  <c r="C57" i="44"/>
  <c r="BZ56" i="44"/>
  <c r="BK56" i="44"/>
  <c r="AV56" i="44"/>
  <c r="AG56" i="44"/>
  <c r="Z56" i="44"/>
  <c r="Q56" i="44"/>
  <c r="J56" i="44"/>
  <c r="I56" i="44"/>
  <c r="D56" i="44"/>
  <c r="C56" i="44"/>
  <c r="BZ55" i="44"/>
  <c r="BK55" i="44"/>
  <c r="AV55" i="44"/>
  <c r="AN55" i="44"/>
  <c r="AR55" i="44" s="1"/>
  <c r="AG55" i="44"/>
  <c r="Z55" i="44"/>
  <c r="Q55" i="44"/>
  <c r="J55" i="44"/>
  <c r="I55" i="44"/>
  <c r="D55" i="44"/>
  <c r="C55" i="44"/>
  <c r="L55" i="44" s="1" a="1"/>
  <c r="L55" i="44" s="1"/>
  <c r="BZ54" i="44"/>
  <c r="BK54" i="44"/>
  <c r="AV54" i="44"/>
  <c r="AG54" i="44"/>
  <c r="Z54" i="44"/>
  <c r="Q54" i="44"/>
  <c r="L54" i="44" a="1"/>
  <c r="L54" i="44" s="1"/>
  <c r="K54" i="44" a="1"/>
  <c r="K54" i="44" s="1"/>
  <c r="J54" i="44"/>
  <c r="I54" i="44"/>
  <c r="D54" i="44"/>
  <c r="C54" i="44"/>
  <c r="BZ53" i="44"/>
  <c r="BK53" i="44"/>
  <c r="AV53" i="44"/>
  <c r="AN53" i="44"/>
  <c r="AR53" i="44" s="1"/>
  <c r="AG53" i="44"/>
  <c r="Z53" i="44"/>
  <c r="Q53" i="44"/>
  <c r="J53" i="44"/>
  <c r="I53" i="44"/>
  <c r="D53" i="44"/>
  <c r="C53" i="44"/>
  <c r="K53" i="44" s="1" a="1"/>
  <c r="K53" i="44" s="1"/>
  <c r="BZ52" i="44"/>
  <c r="BS52" i="44"/>
  <c r="BW52" i="44" s="1"/>
  <c r="BK52" i="44"/>
  <c r="AV52" i="44"/>
  <c r="AG52" i="44"/>
  <c r="Z52" i="44"/>
  <c r="Q52" i="44"/>
  <c r="J52" i="44"/>
  <c r="I52" i="44"/>
  <c r="D52" i="44"/>
  <c r="C52" i="44"/>
  <c r="BZ51" i="44"/>
  <c r="BK51" i="44"/>
  <c r="BD51" i="44"/>
  <c r="BH51" i="44" s="1"/>
  <c r="AV51" i="44"/>
  <c r="AG51" i="44"/>
  <c r="Z51" i="44"/>
  <c r="Q51" i="44"/>
  <c r="L51" i="44" a="1"/>
  <c r="L51" i="44" s="1"/>
  <c r="J51" i="44"/>
  <c r="I51" i="44"/>
  <c r="D51" i="44"/>
  <c r="C51" i="44"/>
  <c r="BZ50" i="44"/>
  <c r="BK50" i="44"/>
  <c r="BD50" i="44"/>
  <c r="BH50" i="44" s="1"/>
  <c r="AV50" i="44"/>
  <c r="AG50" i="44"/>
  <c r="Z50" i="44"/>
  <c r="Q50" i="44"/>
  <c r="J50" i="44"/>
  <c r="I50" i="44"/>
  <c r="D50" i="44"/>
  <c r="C50" i="44"/>
  <c r="K50" i="44" s="1" a="1"/>
  <c r="K50" i="44" s="1"/>
  <c r="BZ49" i="44"/>
  <c r="BK49" i="44"/>
  <c r="AV49" i="44"/>
  <c r="AN49" i="44"/>
  <c r="AR49" i="44" s="1"/>
  <c r="AG49" i="44"/>
  <c r="Z49" i="44"/>
  <c r="Q49" i="44"/>
  <c r="J49" i="44"/>
  <c r="I49" i="44"/>
  <c r="D49" i="44"/>
  <c r="C49" i="44"/>
  <c r="K49" i="44" s="1" a="1"/>
  <c r="K49" i="44" s="1"/>
  <c r="BZ48" i="44"/>
  <c r="BS48" i="44"/>
  <c r="BW48" i="44" s="1"/>
  <c r="BK48" i="44"/>
  <c r="AV48" i="44"/>
  <c r="AG48" i="44"/>
  <c r="Z48" i="44"/>
  <c r="Q48" i="44"/>
  <c r="J48" i="44"/>
  <c r="I48" i="44"/>
  <c r="D48" i="44"/>
  <c r="C48" i="44"/>
  <c r="BZ47" i="44"/>
  <c r="BK47" i="44"/>
  <c r="BD47" i="44"/>
  <c r="BH47" i="44" s="1"/>
  <c r="BC47" i="44"/>
  <c r="BG47" i="44" s="1"/>
  <c r="AV47" i="44"/>
  <c r="AG47" i="44"/>
  <c r="Z47" i="44"/>
  <c r="Q47" i="44"/>
  <c r="J47" i="44"/>
  <c r="I47" i="44"/>
  <c r="D47" i="44"/>
  <c r="C47" i="44"/>
  <c r="BZ46" i="44"/>
  <c r="BK46" i="44"/>
  <c r="AV46" i="44"/>
  <c r="AG46" i="44"/>
  <c r="Z46" i="44"/>
  <c r="Q46" i="44"/>
  <c r="L46" i="44" a="1"/>
  <c r="L46" i="44" s="1"/>
  <c r="K46" i="44" a="1"/>
  <c r="K46" i="44" s="1"/>
  <c r="J46" i="44"/>
  <c r="I46" i="44"/>
  <c r="D46" i="44"/>
  <c r="C46" i="44"/>
  <c r="BZ45" i="44"/>
  <c r="BS45" i="44"/>
  <c r="BW45" i="44" s="1"/>
  <c r="BK45" i="44"/>
  <c r="AV45" i="44"/>
  <c r="AG45" i="44"/>
  <c r="Z45" i="44"/>
  <c r="Q45" i="44"/>
  <c r="K45" i="44" a="1"/>
  <c r="K45" i="44" s="1"/>
  <c r="J45" i="44"/>
  <c r="I45" i="44"/>
  <c r="D45" i="44"/>
  <c r="C45" i="44"/>
  <c r="BZ44" i="44"/>
  <c r="BS44" i="44"/>
  <c r="BW44" i="44" s="1"/>
  <c r="BR44" i="44"/>
  <c r="BV44" i="44" s="1"/>
  <c r="BK44" i="44"/>
  <c r="AV44" i="44"/>
  <c r="AG44" i="44"/>
  <c r="Z44" i="44"/>
  <c r="Q44" i="44"/>
  <c r="J44" i="44"/>
  <c r="I44" i="44"/>
  <c r="D44" i="44"/>
  <c r="C44" i="44"/>
  <c r="BZ43" i="44"/>
  <c r="BR43" i="44"/>
  <c r="BV43" i="44" s="1"/>
  <c r="BK43" i="44"/>
  <c r="AV43" i="44"/>
  <c r="AG43" i="44"/>
  <c r="Z43" i="44"/>
  <c r="Q43" i="44"/>
  <c r="J43" i="44"/>
  <c r="I43" i="44"/>
  <c r="D43" i="44"/>
  <c r="C43" i="44"/>
  <c r="L43" i="44" s="1" a="1"/>
  <c r="L43" i="44" s="1"/>
  <c r="BZ42" i="44"/>
  <c r="BS42" i="44"/>
  <c r="BW42" i="44" s="1"/>
  <c r="BK42" i="44"/>
  <c r="AV42" i="44"/>
  <c r="AN42" i="44"/>
  <c r="AR42" i="44" s="1"/>
  <c r="AG42" i="44"/>
  <c r="Z42" i="44"/>
  <c r="Q42" i="44"/>
  <c r="J42" i="44"/>
  <c r="I42" i="44"/>
  <c r="D42" i="44"/>
  <c r="C42" i="44"/>
  <c r="L42" i="44" s="1" a="1"/>
  <c r="L42" i="44" s="1"/>
  <c r="BZ41" i="44"/>
  <c r="BK41" i="44"/>
  <c r="AV41" i="44"/>
  <c r="AO41" i="44"/>
  <c r="AS41" i="44" s="1"/>
  <c r="AG41" i="44"/>
  <c r="Z41" i="44"/>
  <c r="Q41" i="44"/>
  <c r="J41" i="44"/>
  <c r="I41" i="44"/>
  <c r="D41" i="44"/>
  <c r="C41" i="44"/>
  <c r="K41" i="44" s="1" a="1"/>
  <c r="K41" i="44" s="1"/>
  <c r="BZ40" i="44"/>
  <c r="BK40" i="44"/>
  <c r="BC40" i="44"/>
  <c r="BG40" i="44" s="1"/>
  <c r="AV40" i="44"/>
  <c r="AG40" i="44"/>
  <c r="Z40" i="44"/>
  <c r="Q40" i="44"/>
  <c r="J40" i="44"/>
  <c r="I40" i="44"/>
  <c r="D40" i="44"/>
  <c r="C40" i="44"/>
  <c r="BZ39" i="44"/>
  <c r="BK39" i="44"/>
  <c r="BD39" i="44"/>
  <c r="BH39" i="44" s="1"/>
  <c r="AV39" i="44"/>
  <c r="AG39" i="44"/>
  <c r="Z39" i="44"/>
  <c r="Q39" i="44"/>
  <c r="L39" i="44" a="1"/>
  <c r="L39" i="44" s="1"/>
  <c r="J39" i="44"/>
  <c r="I39" i="44"/>
  <c r="D39" i="44"/>
  <c r="C39" i="44"/>
  <c r="BZ38" i="44"/>
  <c r="BS38" i="44"/>
  <c r="BW38" i="44" s="1"/>
  <c r="BR38" i="44"/>
  <c r="BV38" i="44" s="1"/>
  <c r="BK38" i="44"/>
  <c r="AV38" i="44"/>
  <c r="AG38" i="44"/>
  <c r="Z38" i="44"/>
  <c r="Q38" i="44"/>
  <c r="J38" i="44"/>
  <c r="I38" i="44"/>
  <c r="D38" i="44"/>
  <c r="C38" i="44"/>
  <c r="L38" i="44" s="1" a="1"/>
  <c r="L38" i="44" s="1"/>
  <c r="BZ37" i="44"/>
  <c r="BS37" i="44"/>
  <c r="BW37" i="44" s="1"/>
  <c r="BK37" i="44"/>
  <c r="AV37" i="44"/>
  <c r="AO37" i="44"/>
  <c r="AS37" i="44" s="1"/>
  <c r="AN37" i="44"/>
  <c r="AR37" i="44" s="1"/>
  <c r="AG37" i="44"/>
  <c r="Z37" i="44"/>
  <c r="Q37" i="44"/>
  <c r="L37" i="44" a="1"/>
  <c r="L37" i="44" s="1"/>
  <c r="J37" i="44"/>
  <c r="I37" i="44"/>
  <c r="D37" i="44"/>
  <c r="C37" i="44"/>
  <c r="K37" i="44" s="1" a="1"/>
  <c r="K37" i="44" s="1"/>
  <c r="BZ36" i="44"/>
  <c r="BK36" i="44"/>
  <c r="BD36" i="44"/>
  <c r="BH36" i="44" s="1"/>
  <c r="AV36" i="44"/>
  <c r="AG36" i="44"/>
  <c r="Z36" i="44"/>
  <c r="Q36" i="44"/>
  <c r="K36" i="44" a="1"/>
  <c r="K36" i="44" s="1"/>
  <c r="J36" i="44"/>
  <c r="I36" i="44"/>
  <c r="D36" i="44"/>
  <c r="C36" i="44"/>
  <c r="L36" i="44" s="1" a="1"/>
  <c r="L36" i="44" s="1"/>
  <c r="BZ35" i="44"/>
  <c r="BR35" i="44"/>
  <c r="BV35" i="44" s="1"/>
  <c r="BK35" i="44"/>
  <c r="AV35" i="44"/>
  <c r="AG35" i="44"/>
  <c r="Z35" i="44"/>
  <c r="Q35" i="44"/>
  <c r="J35" i="44"/>
  <c r="I35" i="44"/>
  <c r="D35" i="44"/>
  <c r="C35" i="44"/>
  <c r="K35" i="44" s="1" a="1"/>
  <c r="K35" i="44" s="1"/>
  <c r="BZ34" i="44"/>
  <c r="BK34" i="44"/>
  <c r="AV34" i="44"/>
  <c r="AO34" i="44"/>
  <c r="AS34" i="44" s="1"/>
  <c r="AG34" i="44"/>
  <c r="Z34" i="44"/>
  <c r="Q34" i="44"/>
  <c r="L34" i="44" a="1"/>
  <c r="L34" i="44" s="1"/>
  <c r="J34" i="44"/>
  <c r="I34" i="44"/>
  <c r="D34" i="44"/>
  <c r="C34" i="44"/>
  <c r="BZ33" i="44"/>
  <c r="BK33" i="44"/>
  <c r="BD33" i="44"/>
  <c r="BH33" i="44" s="1"/>
  <c r="AV33" i="44"/>
  <c r="AG33" i="44"/>
  <c r="Z33" i="44"/>
  <c r="Q33" i="44"/>
  <c r="L33" i="44" a="1"/>
  <c r="L33" i="44" s="1"/>
  <c r="J33" i="44"/>
  <c r="I33" i="44"/>
  <c r="D33" i="44"/>
  <c r="C33" i="44"/>
  <c r="K33" i="44" s="1" a="1"/>
  <c r="K33" i="44" s="1"/>
  <c r="BZ32" i="44"/>
  <c r="BS32" i="44"/>
  <c r="BW32" i="44" s="1"/>
  <c r="BR32" i="44"/>
  <c r="BV32" i="44" s="1"/>
  <c r="BK32" i="44"/>
  <c r="AV32" i="44"/>
  <c r="AG32" i="44"/>
  <c r="Z32" i="44"/>
  <c r="Q32" i="44"/>
  <c r="J32" i="44"/>
  <c r="I32" i="44"/>
  <c r="D32" i="44"/>
  <c r="C32" i="44"/>
  <c r="L32" i="44" s="1" a="1"/>
  <c r="L32" i="44" s="1"/>
  <c r="BZ31" i="44"/>
  <c r="BK31" i="44"/>
  <c r="AV31" i="44"/>
  <c r="AG31" i="44"/>
  <c r="Z31" i="44"/>
  <c r="Q31" i="44"/>
  <c r="J31" i="44"/>
  <c r="I31" i="44"/>
  <c r="D31" i="44"/>
  <c r="C31" i="44"/>
  <c r="K31" i="44" s="1" a="1"/>
  <c r="K31" i="44" s="1"/>
  <c r="BZ30" i="44"/>
  <c r="BK30" i="44"/>
  <c r="BD30" i="44"/>
  <c r="BH30" i="44" s="1"/>
  <c r="BC30" i="44"/>
  <c r="BG30" i="44" s="1"/>
  <c r="AV30" i="44"/>
  <c r="AG30" i="44"/>
  <c r="Z30" i="44"/>
  <c r="Q30" i="44"/>
  <c r="J30" i="44"/>
  <c r="I30" i="44"/>
  <c r="D30" i="44"/>
  <c r="C30" i="44"/>
  <c r="BZ29" i="44"/>
  <c r="BK29" i="44"/>
  <c r="BD29" i="44"/>
  <c r="BH29" i="44" s="1"/>
  <c r="BC29" i="44"/>
  <c r="BG29" i="44" s="1"/>
  <c r="AV29" i="44"/>
  <c r="AG29" i="44"/>
  <c r="Z29" i="44"/>
  <c r="Q29" i="44"/>
  <c r="L29" i="44" a="1"/>
  <c r="L29" i="44" s="1"/>
  <c r="K29" i="44" a="1"/>
  <c r="K29" i="44" s="1"/>
  <c r="J29" i="44"/>
  <c r="I29" i="44"/>
  <c r="D29" i="44"/>
  <c r="C29" i="44"/>
  <c r="BZ28" i="44"/>
  <c r="BS28" i="44"/>
  <c r="BW28" i="44" s="1"/>
  <c r="BR28" i="44"/>
  <c r="BV28" i="44" s="1"/>
  <c r="BK28" i="44"/>
  <c r="AV28" i="44"/>
  <c r="AG28" i="44"/>
  <c r="Z28" i="44"/>
  <c r="Q28" i="44"/>
  <c r="J28" i="44"/>
  <c r="I28" i="44"/>
  <c r="D28" i="44"/>
  <c r="C28" i="44"/>
  <c r="L28" i="44" s="1" a="1"/>
  <c r="L28" i="44" s="1"/>
  <c r="BZ27" i="44"/>
  <c r="BK27" i="44"/>
  <c r="AV27" i="44"/>
  <c r="AG27" i="44"/>
  <c r="Z27" i="44"/>
  <c r="Q27" i="44"/>
  <c r="J27" i="44"/>
  <c r="I27" i="44"/>
  <c r="D27" i="44"/>
  <c r="C27" i="44"/>
  <c r="K27" i="44" s="1" a="1"/>
  <c r="K27" i="44" s="1"/>
  <c r="BZ26" i="44"/>
  <c r="BK26" i="44"/>
  <c r="AV26" i="44"/>
  <c r="AO26" i="44"/>
  <c r="AS26" i="44" s="1"/>
  <c r="AG26" i="44"/>
  <c r="Z26" i="44"/>
  <c r="Q26" i="44"/>
  <c r="L26" i="44" a="1"/>
  <c r="L26" i="44" s="1"/>
  <c r="K26" i="44" a="1"/>
  <c r="K26" i="44" s="1"/>
  <c r="J26" i="44"/>
  <c r="I26" i="44"/>
  <c r="D26" i="44"/>
  <c r="C26" i="44"/>
  <c r="BZ25" i="44"/>
  <c r="BK25" i="44"/>
  <c r="BD25" i="44"/>
  <c r="BH25" i="44" s="1"/>
  <c r="BC25" i="44"/>
  <c r="BG25" i="44" s="1"/>
  <c r="AV25" i="44"/>
  <c r="AG25" i="44"/>
  <c r="Z25" i="44"/>
  <c r="Q25" i="44"/>
  <c r="L25" i="44" a="1"/>
  <c r="L25" i="44" s="1"/>
  <c r="J25" i="44"/>
  <c r="I25" i="44"/>
  <c r="D25" i="44"/>
  <c r="C25" i="44"/>
  <c r="BZ24" i="44"/>
  <c r="BR24" i="44"/>
  <c r="BV24" i="44" s="1"/>
  <c r="BK24" i="44"/>
  <c r="AV24" i="44"/>
  <c r="AN24" i="44"/>
  <c r="AR24" i="44" s="1"/>
  <c r="AG24" i="44"/>
  <c r="Z24" i="44"/>
  <c r="Q24" i="44"/>
  <c r="J24" i="44"/>
  <c r="I24" i="44"/>
  <c r="D24" i="44"/>
  <c r="C24" i="44"/>
  <c r="BZ23" i="44"/>
  <c r="BK23" i="44"/>
  <c r="AV23" i="44"/>
  <c r="AG23" i="44"/>
  <c r="Z23" i="44"/>
  <c r="Q23" i="44"/>
  <c r="J23" i="44"/>
  <c r="I23" i="44"/>
  <c r="D23" i="44"/>
  <c r="C23" i="44"/>
  <c r="K23" i="44" s="1" a="1"/>
  <c r="K23" i="44" s="1"/>
  <c r="BZ22" i="44"/>
  <c r="BK22" i="44"/>
  <c r="AV22" i="44"/>
  <c r="AO22" i="44"/>
  <c r="AS22" i="44" s="1"/>
  <c r="AG22" i="44"/>
  <c r="Z22" i="44"/>
  <c r="Q22" i="44"/>
  <c r="L22" i="44" a="1"/>
  <c r="L22" i="44" s="1"/>
  <c r="K22" i="44" a="1"/>
  <c r="K22" i="44" s="1"/>
  <c r="J22" i="44"/>
  <c r="I22" i="44"/>
  <c r="D22" i="44"/>
  <c r="C22" i="44"/>
  <c r="BZ21" i="44"/>
  <c r="BK21" i="44"/>
  <c r="BD21" i="44"/>
  <c r="BH21" i="44" s="1"/>
  <c r="AV21" i="44"/>
  <c r="AG21" i="44"/>
  <c r="Z21" i="44"/>
  <c r="Q21" i="44"/>
  <c r="K21" i="44" a="1"/>
  <c r="K21" i="44" s="1"/>
  <c r="J21" i="44"/>
  <c r="I21" i="44"/>
  <c r="D21" i="44"/>
  <c r="C21" i="44"/>
  <c r="BZ20" i="44"/>
  <c r="BR20" i="44"/>
  <c r="BV20" i="44" s="1"/>
  <c r="BK20" i="44"/>
  <c r="AV20" i="44"/>
  <c r="AG20" i="44"/>
  <c r="Z20" i="44"/>
  <c r="Q20" i="44"/>
  <c r="J20" i="44"/>
  <c r="I20" i="44"/>
  <c r="D20" i="44"/>
  <c r="C20" i="44"/>
  <c r="L20" i="44" s="1" a="1"/>
  <c r="L20" i="44" s="1"/>
  <c r="BZ19" i="44"/>
  <c r="BR19" i="44"/>
  <c r="BV19" i="44" s="1"/>
  <c r="BK19" i="44"/>
  <c r="AV19" i="44"/>
  <c r="AG19" i="44"/>
  <c r="Z19" i="44"/>
  <c r="Q19" i="44"/>
  <c r="L19" i="44" a="1"/>
  <c r="L19" i="44" s="1"/>
  <c r="J19" i="44"/>
  <c r="I19" i="44"/>
  <c r="D19" i="44"/>
  <c r="C19" i="44"/>
  <c r="K19" i="44" s="1" a="1"/>
  <c r="K19" i="44" s="1"/>
  <c r="BZ18" i="44"/>
  <c r="BK18" i="44"/>
  <c r="BC18" i="44"/>
  <c r="BG18" i="44" s="1"/>
  <c r="AV18" i="44"/>
  <c r="AG18" i="44"/>
  <c r="Z18" i="44"/>
  <c r="Q18" i="44"/>
  <c r="L18" i="44" a="1"/>
  <c r="L18" i="44" s="1"/>
  <c r="K18" i="44" a="1"/>
  <c r="K18" i="44" s="1"/>
  <c r="J18" i="44"/>
  <c r="I18" i="44"/>
  <c r="D18" i="44"/>
  <c r="C18" i="44"/>
  <c r="BZ17" i="44"/>
  <c r="BR17" i="44"/>
  <c r="BV17" i="44" s="1"/>
  <c r="BK17" i="44"/>
  <c r="AV17" i="44"/>
  <c r="AO17" i="44"/>
  <c r="AS17" i="44" s="1"/>
  <c r="AG17" i="44"/>
  <c r="Z17" i="44"/>
  <c r="Q17" i="44"/>
  <c r="J17" i="44"/>
  <c r="I17" i="44"/>
  <c r="D17" i="44"/>
  <c r="C17" i="44"/>
  <c r="K17" i="44" s="1" a="1"/>
  <c r="K17" i="44" s="1"/>
  <c r="BZ16" i="44"/>
  <c r="BK16" i="44"/>
  <c r="BD16" i="44"/>
  <c r="BH16" i="44" s="1"/>
  <c r="AV16" i="44"/>
  <c r="AO16" i="44"/>
  <c r="AS16" i="44" s="1"/>
  <c r="AG16" i="44"/>
  <c r="Z16" i="44"/>
  <c r="Q16" i="44"/>
  <c r="J16" i="44"/>
  <c r="I16" i="44"/>
  <c r="D16" i="44"/>
  <c r="C16" i="44"/>
  <c r="L16" i="44" s="1" a="1"/>
  <c r="L16" i="44" s="1"/>
  <c r="BZ15" i="44"/>
  <c r="BW15" i="44"/>
  <c r="BV15" i="44"/>
  <c r="BS15" i="44"/>
  <c r="BR15" i="44"/>
  <c r="BK15" i="44"/>
  <c r="BH15" i="44"/>
  <c r="BG15" i="44"/>
  <c r="AV15" i="44"/>
  <c r="AS15" i="44"/>
  <c r="AR15" i="44"/>
  <c r="AN15" i="44"/>
  <c r="AG15" i="44"/>
  <c r="Z15" i="44"/>
  <c r="Q15" i="44"/>
  <c r="J15" i="44"/>
  <c r="I15" i="44"/>
  <c r="D15" i="44"/>
  <c r="C15" i="44"/>
  <c r="K15" i="44" s="1" a="1"/>
  <c r="K15" i="44" s="1"/>
  <c r="BU14" i="44"/>
  <c r="BT14" i="44"/>
  <c r="BQ14" i="44"/>
  <c r="BP14" i="44"/>
  <c r="BO14" i="44"/>
  <c r="BN14" i="44"/>
  <c r="BL14" i="44"/>
  <c r="BF14" i="44"/>
  <c r="BE14" i="44"/>
  <c r="BB14" i="44"/>
  <c r="BA14" i="44"/>
  <c r="AZ14" i="44"/>
  <c r="AY14" i="44"/>
  <c r="AX14" i="44"/>
  <c r="AW14" i="44"/>
  <c r="AQ14" i="44"/>
  <c r="AP14" i="44"/>
  <c r="AM14" i="44"/>
  <c r="AL14" i="44"/>
  <c r="AK14" i="44"/>
  <c r="AJ14" i="44"/>
  <c r="AH14" i="44"/>
  <c r="AN14" i="44" s="1"/>
  <c r="S14" i="44"/>
  <c r="R14" i="44"/>
  <c r="H14" i="44"/>
  <c r="G14" i="44"/>
  <c r="F14" i="44"/>
  <c r="E14" i="44"/>
  <c r="T14" i="44" s="1"/>
  <c r="P3" i="44"/>
  <c r="BD114" i="44" s="1"/>
  <c r="BH114" i="44" s="1"/>
  <c r="B2" i="44" a="1"/>
  <c r="B2" i="44" s="1"/>
  <c r="A1" i="43"/>
  <c r="N3" i="43" s="1"/>
  <c r="BZ125" i="43"/>
  <c r="BW125" i="43"/>
  <c r="BV125" i="43"/>
  <c r="BS125" i="43"/>
  <c r="BR125" i="43"/>
  <c r="BK125" i="43"/>
  <c r="BH125" i="43"/>
  <c r="BG125" i="43"/>
  <c r="BD125" i="43"/>
  <c r="BC125" i="43"/>
  <c r="AV125" i="43"/>
  <c r="AS125" i="43"/>
  <c r="AR125" i="43"/>
  <c r="AO125" i="43"/>
  <c r="AN125" i="43"/>
  <c r="AG125" i="43"/>
  <c r="Z125" i="43"/>
  <c r="X125" i="43"/>
  <c r="Q125" i="43"/>
  <c r="J125" i="43"/>
  <c r="I125" i="43"/>
  <c r="D125" i="43"/>
  <c r="C125" i="43"/>
  <c r="BZ124" i="43"/>
  <c r="BW124" i="43"/>
  <c r="BS124" i="43"/>
  <c r="BR124" i="43"/>
  <c r="BK124" i="43"/>
  <c r="BH124" i="43"/>
  <c r="BG124" i="43"/>
  <c r="BD124" i="43"/>
  <c r="BC124" i="43"/>
  <c r="AV124" i="43"/>
  <c r="AS124" i="43"/>
  <c r="AR124" i="43"/>
  <c r="AO124" i="43"/>
  <c r="AN124" i="43"/>
  <c r="AG124" i="43"/>
  <c r="Z124" i="43"/>
  <c r="Y124" i="43"/>
  <c r="X124" i="43"/>
  <c r="Q124" i="43"/>
  <c r="J124" i="43"/>
  <c r="I124" i="43"/>
  <c r="D124" i="43"/>
  <c r="C124" i="43"/>
  <c r="K124" i="43" s="1" a="1"/>
  <c r="K124" i="43" s="1"/>
  <c r="BZ123" i="43"/>
  <c r="BW123" i="43"/>
  <c r="BS123" i="43"/>
  <c r="BK123" i="43"/>
  <c r="BH123" i="43"/>
  <c r="BD123" i="43"/>
  <c r="AV123" i="43"/>
  <c r="AR123" i="43"/>
  <c r="AN123" i="43"/>
  <c r="AG123" i="43"/>
  <c r="Z123" i="43"/>
  <c r="Y123" i="43"/>
  <c r="X123" i="43"/>
  <c r="Q123" i="43"/>
  <c r="L123" i="43" a="1"/>
  <c r="L123" i="43" s="1"/>
  <c r="J123" i="43"/>
  <c r="I123" i="43"/>
  <c r="D123" i="43"/>
  <c r="C123" i="43"/>
  <c r="BZ122" i="43"/>
  <c r="BV122" i="43"/>
  <c r="BS122" i="43"/>
  <c r="BR122" i="43"/>
  <c r="BK122" i="43"/>
  <c r="BH122" i="43"/>
  <c r="BG122" i="43"/>
  <c r="BD122" i="43"/>
  <c r="BC122" i="43"/>
  <c r="AV122" i="43"/>
  <c r="AS122" i="43"/>
  <c r="AR122" i="43"/>
  <c r="AO122" i="43"/>
  <c r="AN122" i="43"/>
  <c r="AG122" i="43"/>
  <c r="Z122" i="43"/>
  <c r="Q122" i="43"/>
  <c r="J122" i="43"/>
  <c r="I122" i="43"/>
  <c r="D122" i="43"/>
  <c r="C122" i="43"/>
  <c r="BZ121" i="43"/>
  <c r="BW121" i="43"/>
  <c r="BV121" i="43"/>
  <c r="BS121" i="43"/>
  <c r="BR121" i="43"/>
  <c r="BK121" i="43"/>
  <c r="BH121" i="43"/>
  <c r="BG121" i="43"/>
  <c r="BD121" i="43"/>
  <c r="BC121" i="43"/>
  <c r="AV121" i="43"/>
  <c r="AS121" i="43"/>
  <c r="AR121" i="43"/>
  <c r="AO121" i="43"/>
  <c r="AN121" i="43"/>
  <c r="AG121" i="43"/>
  <c r="Z121" i="43"/>
  <c r="X121" i="43"/>
  <c r="Q121" i="43"/>
  <c r="J121" i="43"/>
  <c r="I121" i="43"/>
  <c r="D121" i="43"/>
  <c r="C121" i="43"/>
  <c r="BZ120" i="43"/>
  <c r="BW120" i="43"/>
  <c r="BV120" i="43"/>
  <c r="BS120" i="43"/>
  <c r="BK120" i="43"/>
  <c r="BH120" i="43"/>
  <c r="BG120" i="43"/>
  <c r="BD120" i="43"/>
  <c r="BC120" i="43"/>
  <c r="AV120" i="43"/>
  <c r="AS120" i="43"/>
  <c r="AR120" i="43"/>
  <c r="AO120" i="43"/>
  <c r="AN120" i="43"/>
  <c r="AG120" i="43"/>
  <c r="Z120" i="43"/>
  <c r="Y120" i="43"/>
  <c r="X120" i="43"/>
  <c r="Q120" i="43"/>
  <c r="J120" i="43"/>
  <c r="I120" i="43"/>
  <c r="D120" i="43"/>
  <c r="C120" i="43"/>
  <c r="K120" i="43" s="1" a="1"/>
  <c r="K120" i="43" s="1"/>
  <c r="BZ119" i="43"/>
  <c r="BW119" i="43"/>
  <c r="BS119" i="43"/>
  <c r="BK119" i="43"/>
  <c r="BH119" i="43"/>
  <c r="BG119" i="43"/>
  <c r="BD119" i="43"/>
  <c r="AV119" i="43"/>
  <c r="AR119" i="43"/>
  <c r="AN119" i="43"/>
  <c r="AG119" i="43"/>
  <c r="Z119" i="43"/>
  <c r="Y119" i="43"/>
  <c r="X119" i="43"/>
  <c r="Q119" i="43"/>
  <c r="L119" i="43" a="1"/>
  <c r="L119" i="43" s="1"/>
  <c r="J119" i="43"/>
  <c r="I119" i="43"/>
  <c r="D119" i="43"/>
  <c r="C119" i="43"/>
  <c r="K119" i="43" s="1" a="1"/>
  <c r="K119" i="43" s="1"/>
  <c r="BZ118" i="43"/>
  <c r="BV118" i="43"/>
  <c r="BR118" i="43"/>
  <c r="BK118" i="43"/>
  <c r="BH118" i="43"/>
  <c r="BG118" i="43"/>
  <c r="BD118" i="43"/>
  <c r="BC118" i="43"/>
  <c r="AV118" i="43"/>
  <c r="AS118" i="43"/>
  <c r="AR118" i="43"/>
  <c r="AO118" i="43"/>
  <c r="AN118" i="43"/>
  <c r="AG118" i="43"/>
  <c r="Z118" i="43"/>
  <c r="Q118" i="43"/>
  <c r="J118" i="43"/>
  <c r="I118" i="43"/>
  <c r="D118" i="43"/>
  <c r="C118" i="43"/>
  <c r="BZ117" i="43"/>
  <c r="BW117" i="43"/>
  <c r="BV117" i="43"/>
  <c r="BS117" i="43"/>
  <c r="BR117" i="43"/>
  <c r="BK117" i="43"/>
  <c r="BH117" i="43"/>
  <c r="BG117" i="43"/>
  <c r="BD117" i="43"/>
  <c r="BC117" i="43"/>
  <c r="AV117" i="43"/>
  <c r="AS117" i="43"/>
  <c r="AR117" i="43"/>
  <c r="AO117" i="43"/>
  <c r="AN117" i="43"/>
  <c r="AG117" i="43"/>
  <c r="Z117" i="43"/>
  <c r="X117" i="43"/>
  <c r="Q117" i="43"/>
  <c r="J117" i="43"/>
  <c r="I117" i="43"/>
  <c r="D117" i="43"/>
  <c r="C117" i="43"/>
  <c r="K117" i="43" s="1" a="1"/>
  <c r="K117" i="43" s="1"/>
  <c r="BZ116" i="43"/>
  <c r="BW116" i="43"/>
  <c r="BV116" i="43"/>
  <c r="BS116" i="43"/>
  <c r="BK116" i="43"/>
  <c r="BH116" i="43"/>
  <c r="BG116" i="43"/>
  <c r="BD116" i="43"/>
  <c r="BC116" i="43"/>
  <c r="AV116" i="43"/>
  <c r="AS116" i="43"/>
  <c r="AR116" i="43"/>
  <c r="AO116" i="43"/>
  <c r="AN116" i="43"/>
  <c r="AG116" i="43"/>
  <c r="Z116" i="43"/>
  <c r="Y116" i="43"/>
  <c r="X116" i="43"/>
  <c r="Q116" i="43"/>
  <c r="K116" i="43" a="1"/>
  <c r="K116" i="43" s="1"/>
  <c r="J116" i="43"/>
  <c r="I116" i="43"/>
  <c r="D116" i="43"/>
  <c r="C116" i="43"/>
  <c r="BZ115" i="43"/>
  <c r="BR115" i="43"/>
  <c r="BK115" i="43"/>
  <c r="AV115" i="43"/>
  <c r="AG115" i="43"/>
  <c r="Z115" i="43"/>
  <c r="Q115" i="43"/>
  <c r="J115" i="43"/>
  <c r="I115" i="43"/>
  <c r="D115" i="43"/>
  <c r="C115" i="43"/>
  <c r="K115" i="43" s="1" a="1"/>
  <c r="K115" i="43" s="1"/>
  <c r="BZ114" i="43"/>
  <c r="BK114" i="43"/>
  <c r="AV114" i="43"/>
  <c r="AG114" i="43"/>
  <c r="Z114" i="43"/>
  <c r="Q114" i="43"/>
  <c r="J114" i="43"/>
  <c r="I114" i="43"/>
  <c r="D114" i="43"/>
  <c r="C114" i="43"/>
  <c r="BZ113" i="43"/>
  <c r="BK113" i="43"/>
  <c r="BC113" i="43"/>
  <c r="BG113" i="43" s="1"/>
  <c r="AV113" i="43"/>
  <c r="AG113" i="43"/>
  <c r="Z113" i="43"/>
  <c r="Q113" i="43"/>
  <c r="L113" i="43" a="1"/>
  <c r="L113" i="43" s="1"/>
  <c r="J113" i="43"/>
  <c r="I113" i="43"/>
  <c r="D113" i="43"/>
  <c r="C113" i="43"/>
  <c r="K113" i="43" s="1" a="1"/>
  <c r="K113" i="43" s="1"/>
  <c r="BZ112" i="43"/>
  <c r="BK112" i="43"/>
  <c r="AV112" i="43"/>
  <c r="AG112" i="43"/>
  <c r="Z112" i="43"/>
  <c r="Q112" i="43"/>
  <c r="J112" i="43"/>
  <c r="I112" i="43"/>
  <c r="D112" i="43"/>
  <c r="C112" i="43"/>
  <c r="K112" i="43" s="1" a="1"/>
  <c r="K112" i="43" s="1"/>
  <c r="BZ111" i="43"/>
  <c r="BK111" i="43"/>
  <c r="AV111" i="43"/>
  <c r="AG111" i="43"/>
  <c r="Z111" i="43"/>
  <c r="Q111" i="43"/>
  <c r="K111" i="43" a="1"/>
  <c r="K111" i="43" s="1"/>
  <c r="J111" i="43"/>
  <c r="I111" i="43"/>
  <c r="D111" i="43"/>
  <c r="C111" i="43"/>
  <c r="L111" i="43" s="1" a="1"/>
  <c r="L111" i="43" s="1"/>
  <c r="BZ110" i="43"/>
  <c r="BK110" i="43"/>
  <c r="AV110" i="43"/>
  <c r="AG110" i="43"/>
  <c r="Z110" i="43"/>
  <c r="Q110" i="43"/>
  <c r="J110" i="43"/>
  <c r="I110" i="43"/>
  <c r="D110" i="43"/>
  <c r="C110" i="43"/>
  <c r="BZ109" i="43"/>
  <c r="BK109" i="43"/>
  <c r="AV109" i="43"/>
  <c r="AG109" i="43"/>
  <c r="Z109" i="43"/>
  <c r="Q109" i="43"/>
  <c r="J109" i="43"/>
  <c r="I109" i="43"/>
  <c r="D109" i="43"/>
  <c r="C109" i="43"/>
  <c r="BZ108" i="43"/>
  <c r="BK108" i="43"/>
  <c r="AV108" i="43"/>
  <c r="AG108" i="43"/>
  <c r="Z108" i="43"/>
  <c r="Q108" i="43"/>
  <c r="K108" i="43" a="1"/>
  <c r="K108" i="43" s="1"/>
  <c r="J108" i="43"/>
  <c r="I108" i="43"/>
  <c r="D108" i="43"/>
  <c r="C108" i="43"/>
  <c r="BZ107" i="43"/>
  <c r="BK107" i="43"/>
  <c r="AV107" i="43"/>
  <c r="AG107" i="43"/>
  <c r="Z107" i="43"/>
  <c r="Q107" i="43"/>
  <c r="J107" i="43"/>
  <c r="I107" i="43"/>
  <c r="D107" i="43"/>
  <c r="C107" i="43"/>
  <c r="K107" i="43" s="1" a="1"/>
  <c r="K107" i="43" s="1"/>
  <c r="BZ106" i="43"/>
  <c r="BK106" i="43"/>
  <c r="AV106" i="43"/>
  <c r="AG106" i="43"/>
  <c r="Z106" i="43"/>
  <c r="Q106" i="43"/>
  <c r="J106" i="43"/>
  <c r="I106" i="43"/>
  <c r="D106" i="43"/>
  <c r="C106" i="43"/>
  <c r="L106" i="43" s="1" a="1"/>
  <c r="L106" i="43" s="1"/>
  <c r="BZ105" i="43"/>
  <c r="BK105" i="43"/>
  <c r="AV105" i="43"/>
  <c r="AG105" i="43"/>
  <c r="Z105" i="43"/>
  <c r="Q105" i="43"/>
  <c r="J105" i="43"/>
  <c r="I105" i="43"/>
  <c r="D105" i="43"/>
  <c r="C105" i="43"/>
  <c r="L105" i="43" s="1" a="1"/>
  <c r="L105" i="43" s="1"/>
  <c r="BZ104" i="43"/>
  <c r="BK104" i="43"/>
  <c r="AV104" i="43"/>
  <c r="AG104" i="43"/>
  <c r="Z104" i="43"/>
  <c r="Q104" i="43"/>
  <c r="J104" i="43"/>
  <c r="I104" i="43"/>
  <c r="D104" i="43"/>
  <c r="C104" i="43"/>
  <c r="BZ103" i="43"/>
  <c r="BK103" i="43"/>
  <c r="AV103" i="43"/>
  <c r="AG103" i="43"/>
  <c r="Z103" i="43"/>
  <c r="Q103" i="43"/>
  <c r="L103" i="43" a="1"/>
  <c r="L103" i="43" s="1"/>
  <c r="K103" i="43" a="1"/>
  <c r="K103" i="43" s="1"/>
  <c r="J103" i="43"/>
  <c r="I103" i="43"/>
  <c r="D103" i="43"/>
  <c r="C103" i="43"/>
  <c r="BZ102" i="43"/>
  <c r="BK102" i="43"/>
  <c r="AV102" i="43"/>
  <c r="AG102" i="43"/>
  <c r="Z102" i="43"/>
  <c r="Q102" i="43"/>
  <c r="J102" i="43"/>
  <c r="I102" i="43"/>
  <c r="D102" i="43"/>
  <c r="C102" i="43"/>
  <c r="L102" i="43" s="1" a="1"/>
  <c r="L102" i="43" s="1"/>
  <c r="BZ101" i="43"/>
  <c r="BK101" i="43"/>
  <c r="AV101" i="43"/>
  <c r="AG101" i="43"/>
  <c r="Z101" i="43"/>
  <c r="Q101" i="43"/>
  <c r="J101" i="43"/>
  <c r="I101" i="43"/>
  <c r="D101" i="43"/>
  <c r="C101" i="43"/>
  <c r="L101" i="43" s="1" a="1"/>
  <c r="L101" i="43" s="1"/>
  <c r="BZ100" i="43"/>
  <c r="BK100" i="43"/>
  <c r="AV100" i="43"/>
  <c r="AG100" i="43"/>
  <c r="Z100" i="43"/>
  <c r="Q100" i="43"/>
  <c r="J100" i="43"/>
  <c r="I100" i="43"/>
  <c r="D100" i="43"/>
  <c r="C100" i="43"/>
  <c r="K100" i="43" s="1" a="1"/>
  <c r="K100" i="43" s="1"/>
  <c r="BZ99" i="43"/>
  <c r="BK99" i="43"/>
  <c r="AV99" i="43"/>
  <c r="AG99" i="43"/>
  <c r="Z99" i="43"/>
  <c r="Q99" i="43"/>
  <c r="L99" i="43" a="1"/>
  <c r="L99" i="43" s="1"/>
  <c r="K99" i="43" a="1"/>
  <c r="K99" i="43" s="1"/>
  <c r="J99" i="43"/>
  <c r="I99" i="43"/>
  <c r="D99" i="43"/>
  <c r="C99" i="43"/>
  <c r="BZ98" i="43"/>
  <c r="BK98" i="43"/>
  <c r="AV98" i="43"/>
  <c r="AG98" i="43"/>
  <c r="Z98" i="43"/>
  <c r="Q98" i="43"/>
  <c r="J98" i="43"/>
  <c r="I98" i="43"/>
  <c r="D98" i="43"/>
  <c r="C98" i="43"/>
  <c r="L98" i="43" s="1" a="1"/>
  <c r="L98" i="43" s="1"/>
  <c r="BZ97" i="43"/>
  <c r="BK97" i="43"/>
  <c r="AV97" i="43"/>
  <c r="AG97" i="43"/>
  <c r="Z97" i="43"/>
  <c r="Q97" i="43"/>
  <c r="J97" i="43"/>
  <c r="I97" i="43"/>
  <c r="D97" i="43"/>
  <c r="C97" i="43"/>
  <c r="L97" i="43" s="1" a="1"/>
  <c r="L97" i="43" s="1"/>
  <c r="BZ96" i="43"/>
  <c r="BK96" i="43"/>
  <c r="AV96" i="43"/>
  <c r="AG96" i="43"/>
  <c r="Z96" i="43"/>
  <c r="Q96" i="43"/>
  <c r="J96" i="43"/>
  <c r="I96" i="43"/>
  <c r="D96" i="43"/>
  <c r="C96" i="43"/>
  <c r="K96" i="43" s="1" a="1"/>
  <c r="K96" i="43" s="1"/>
  <c r="BZ95" i="43"/>
  <c r="BK95" i="43"/>
  <c r="AV95" i="43"/>
  <c r="AG95" i="43"/>
  <c r="Z95" i="43"/>
  <c r="Q95" i="43"/>
  <c r="L95" i="43" a="1"/>
  <c r="L95" i="43" s="1"/>
  <c r="K95" i="43" a="1"/>
  <c r="K95" i="43" s="1"/>
  <c r="J95" i="43"/>
  <c r="I95" i="43"/>
  <c r="D95" i="43"/>
  <c r="C95" i="43"/>
  <c r="BZ94" i="43"/>
  <c r="BK94" i="43"/>
  <c r="AV94" i="43"/>
  <c r="AG94" i="43"/>
  <c r="Z94" i="43"/>
  <c r="Q94" i="43"/>
  <c r="L94" i="43" a="1"/>
  <c r="L94" i="43" s="1"/>
  <c r="K94" i="43" a="1"/>
  <c r="K94" i="43" s="1"/>
  <c r="J94" i="43"/>
  <c r="I94" i="43"/>
  <c r="D94" i="43"/>
  <c r="C94" i="43"/>
  <c r="BZ93" i="43"/>
  <c r="BS93" i="43"/>
  <c r="BW93" i="43" s="1"/>
  <c r="BK93" i="43"/>
  <c r="AV93" i="43"/>
  <c r="AG93" i="43"/>
  <c r="Z93" i="43"/>
  <c r="Q93" i="43"/>
  <c r="J93" i="43"/>
  <c r="I93" i="43"/>
  <c r="D93" i="43"/>
  <c r="C93" i="43"/>
  <c r="BZ92" i="43"/>
  <c r="BK92" i="43"/>
  <c r="AV92" i="43"/>
  <c r="AG92" i="43"/>
  <c r="Z92" i="43"/>
  <c r="Q92" i="43"/>
  <c r="J92" i="43"/>
  <c r="I92" i="43"/>
  <c r="D92" i="43"/>
  <c r="C92" i="43"/>
  <c r="BZ91" i="43"/>
  <c r="BK91" i="43"/>
  <c r="AV91" i="43"/>
  <c r="AG91" i="43"/>
  <c r="Z91" i="43"/>
  <c r="Q91" i="43"/>
  <c r="L91" i="43" a="1"/>
  <c r="L91" i="43" s="1"/>
  <c r="K91" i="43" a="1"/>
  <c r="K91" i="43" s="1"/>
  <c r="J91" i="43"/>
  <c r="I91" i="43"/>
  <c r="D91" i="43"/>
  <c r="C91" i="43"/>
  <c r="BZ90" i="43"/>
  <c r="BK90" i="43"/>
  <c r="AV90" i="43"/>
  <c r="AG90" i="43"/>
  <c r="Z90" i="43"/>
  <c r="Q90" i="43"/>
  <c r="L90" i="43" a="1"/>
  <c r="L90" i="43" s="1"/>
  <c r="K90" i="43" a="1"/>
  <c r="K90" i="43" s="1"/>
  <c r="J90" i="43"/>
  <c r="I90" i="43"/>
  <c r="D90" i="43"/>
  <c r="C90" i="43"/>
  <c r="BZ89" i="43"/>
  <c r="BS89" i="43"/>
  <c r="BW89" i="43" s="1"/>
  <c r="BK89" i="43"/>
  <c r="AV89" i="43"/>
  <c r="AG89" i="43"/>
  <c r="Z89" i="43"/>
  <c r="Q89" i="43"/>
  <c r="J89" i="43"/>
  <c r="I89" i="43"/>
  <c r="D89" i="43"/>
  <c r="C89" i="43"/>
  <c r="L89" i="43" s="1" a="1"/>
  <c r="L89" i="43" s="1"/>
  <c r="BZ88" i="43"/>
  <c r="BK88" i="43"/>
  <c r="AV88" i="43"/>
  <c r="AG88" i="43"/>
  <c r="Z88" i="43"/>
  <c r="Q88" i="43"/>
  <c r="J88" i="43"/>
  <c r="I88" i="43"/>
  <c r="D88" i="43"/>
  <c r="C88" i="43"/>
  <c r="BZ87" i="43"/>
  <c r="BK87" i="43"/>
  <c r="AV87" i="43"/>
  <c r="AG87" i="43"/>
  <c r="Z87" i="43"/>
  <c r="Q87" i="43"/>
  <c r="J87" i="43"/>
  <c r="I87" i="43"/>
  <c r="D87" i="43"/>
  <c r="C87" i="43"/>
  <c r="L87" i="43" s="1" a="1"/>
  <c r="L87" i="43" s="1"/>
  <c r="BZ86" i="43"/>
  <c r="BK86" i="43"/>
  <c r="AV86" i="43"/>
  <c r="AG86" i="43"/>
  <c r="Z86" i="43"/>
  <c r="Q86" i="43"/>
  <c r="L86" i="43" a="1"/>
  <c r="L86" i="43" s="1"/>
  <c r="K86" i="43" a="1"/>
  <c r="K86" i="43" s="1"/>
  <c r="J86" i="43"/>
  <c r="I86" i="43"/>
  <c r="D86" i="43"/>
  <c r="C86" i="43"/>
  <c r="BZ85" i="43"/>
  <c r="BK85" i="43"/>
  <c r="AV85" i="43"/>
  <c r="AG85" i="43"/>
  <c r="Z85" i="43"/>
  <c r="Q85" i="43"/>
  <c r="J85" i="43"/>
  <c r="I85" i="43"/>
  <c r="D85" i="43"/>
  <c r="C85" i="43"/>
  <c r="L85" i="43" s="1" a="1"/>
  <c r="L85" i="43" s="1"/>
  <c r="BZ84" i="43"/>
  <c r="BK84" i="43"/>
  <c r="AV84" i="43"/>
  <c r="AG84" i="43"/>
  <c r="Z84" i="43"/>
  <c r="Q84" i="43"/>
  <c r="J84" i="43"/>
  <c r="I84" i="43"/>
  <c r="D84" i="43"/>
  <c r="C84" i="43"/>
  <c r="BZ83" i="43"/>
  <c r="BK83" i="43"/>
  <c r="AV83" i="43"/>
  <c r="AG83" i="43"/>
  <c r="Z83" i="43"/>
  <c r="Q83" i="43"/>
  <c r="L83" i="43" a="1"/>
  <c r="L83" i="43" s="1"/>
  <c r="J83" i="43"/>
  <c r="I83" i="43"/>
  <c r="D83" i="43"/>
  <c r="C83" i="43"/>
  <c r="K83" i="43" s="1" a="1"/>
  <c r="K83" i="43" s="1"/>
  <c r="BZ82" i="43"/>
  <c r="BK82" i="43"/>
  <c r="AV82" i="43"/>
  <c r="AG82" i="43"/>
  <c r="Z82" i="43"/>
  <c r="Q82" i="43"/>
  <c r="L82" i="43" a="1"/>
  <c r="L82" i="43" s="1"/>
  <c r="K82" i="43" a="1"/>
  <c r="K82" i="43" s="1"/>
  <c r="J82" i="43"/>
  <c r="I82" i="43"/>
  <c r="D82" i="43"/>
  <c r="C82" i="43"/>
  <c r="BZ81" i="43"/>
  <c r="BK81" i="43"/>
  <c r="AV81" i="43"/>
  <c r="AG81" i="43"/>
  <c r="Z81" i="43"/>
  <c r="Q81" i="43"/>
  <c r="J81" i="43"/>
  <c r="I81" i="43"/>
  <c r="D81" i="43"/>
  <c r="C81" i="43"/>
  <c r="BZ80" i="43"/>
  <c r="BK80" i="43"/>
  <c r="AV80" i="43"/>
  <c r="AG80" i="43"/>
  <c r="Z80" i="43"/>
  <c r="Q80" i="43"/>
  <c r="J80" i="43"/>
  <c r="I80" i="43"/>
  <c r="D80" i="43"/>
  <c r="C80" i="43"/>
  <c r="BZ79" i="43"/>
  <c r="BK79" i="43"/>
  <c r="AV79" i="43"/>
  <c r="AG79" i="43"/>
  <c r="Z79" i="43"/>
  <c r="Q79" i="43"/>
  <c r="L79" i="43" a="1"/>
  <c r="L79" i="43" s="1"/>
  <c r="J79" i="43"/>
  <c r="I79" i="43"/>
  <c r="D79" i="43"/>
  <c r="C79" i="43"/>
  <c r="K79" i="43" s="1" a="1"/>
  <c r="K79" i="43" s="1"/>
  <c r="BZ78" i="43"/>
  <c r="BK78" i="43"/>
  <c r="AV78" i="43"/>
  <c r="AG78" i="43"/>
  <c r="Z78" i="43"/>
  <c r="Q78" i="43"/>
  <c r="J78" i="43"/>
  <c r="I78" i="43"/>
  <c r="D78" i="43"/>
  <c r="C78" i="43"/>
  <c r="BZ77" i="43"/>
  <c r="BK77" i="43"/>
  <c r="AV77" i="43"/>
  <c r="AG77" i="43"/>
  <c r="Z77" i="43"/>
  <c r="Q77" i="43"/>
  <c r="L77" i="43" a="1"/>
  <c r="L77" i="43" s="1"/>
  <c r="K77" i="43" a="1"/>
  <c r="K77" i="43" s="1"/>
  <c r="J77" i="43"/>
  <c r="I77" i="43"/>
  <c r="D77" i="43"/>
  <c r="C77" i="43"/>
  <c r="BZ76" i="43"/>
  <c r="BK76" i="43"/>
  <c r="AV76" i="43"/>
  <c r="AG76" i="43"/>
  <c r="Z76" i="43"/>
  <c r="Q76" i="43"/>
  <c r="K76" i="43" a="1"/>
  <c r="K76" i="43" s="1"/>
  <c r="J76" i="43"/>
  <c r="I76" i="43"/>
  <c r="D76" i="43"/>
  <c r="C76" i="43"/>
  <c r="L76" i="43" s="1" a="1"/>
  <c r="L76" i="43" s="1"/>
  <c r="BZ75" i="43"/>
  <c r="BK75" i="43"/>
  <c r="AV75" i="43"/>
  <c r="AG75" i="43"/>
  <c r="Z75" i="43"/>
  <c r="Q75" i="43"/>
  <c r="J75" i="43"/>
  <c r="I75" i="43"/>
  <c r="D75" i="43"/>
  <c r="C75" i="43"/>
  <c r="K75" i="43" s="1" a="1"/>
  <c r="K75" i="43" s="1"/>
  <c r="BZ74" i="43"/>
  <c r="BK74" i="43"/>
  <c r="AV74" i="43"/>
  <c r="AG74" i="43"/>
  <c r="Z74" i="43"/>
  <c r="Q74" i="43"/>
  <c r="J74" i="43"/>
  <c r="I74" i="43"/>
  <c r="D74" i="43"/>
  <c r="C74" i="43"/>
  <c r="K74" i="43" s="1" a="1"/>
  <c r="K74" i="43" s="1"/>
  <c r="BZ73" i="43"/>
  <c r="BK73" i="43"/>
  <c r="AV73" i="43"/>
  <c r="AG73" i="43"/>
  <c r="Z73" i="43"/>
  <c r="Q73" i="43"/>
  <c r="L73" i="43" a="1"/>
  <c r="L73" i="43" s="1"/>
  <c r="J73" i="43"/>
  <c r="I73" i="43"/>
  <c r="D73" i="43"/>
  <c r="C73" i="43"/>
  <c r="K73" i="43" s="1" a="1"/>
  <c r="K73" i="43" s="1"/>
  <c r="BZ72" i="43"/>
  <c r="BK72" i="43"/>
  <c r="AV72" i="43"/>
  <c r="AG72" i="43"/>
  <c r="Z72" i="43"/>
  <c r="Q72" i="43"/>
  <c r="J72" i="43"/>
  <c r="I72" i="43"/>
  <c r="D72" i="43"/>
  <c r="C72" i="43"/>
  <c r="BZ71" i="43"/>
  <c r="BK71" i="43"/>
  <c r="AV71" i="43"/>
  <c r="AG71" i="43"/>
  <c r="Z71" i="43"/>
  <c r="Q71" i="43"/>
  <c r="L71" i="43" a="1"/>
  <c r="L71" i="43" s="1"/>
  <c r="J71" i="43"/>
  <c r="I71" i="43"/>
  <c r="D71" i="43"/>
  <c r="C71" i="43"/>
  <c r="K71" i="43" s="1" a="1"/>
  <c r="K71" i="43" s="1"/>
  <c r="BZ70" i="43"/>
  <c r="BK70" i="43"/>
  <c r="AV70" i="43"/>
  <c r="AG70" i="43"/>
  <c r="Z70" i="43"/>
  <c r="Q70" i="43"/>
  <c r="J70" i="43"/>
  <c r="I70" i="43"/>
  <c r="D70" i="43"/>
  <c r="C70" i="43"/>
  <c r="L70" i="43" s="1" a="1"/>
  <c r="L70" i="43" s="1"/>
  <c r="BZ69" i="43"/>
  <c r="BK69" i="43"/>
  <c r="AV69" i="43"/>
  <c r="AG69" i="43"/>
  <c r="Z69" i="43"/>
  <c r="Q69" i="43"/>
  <c r="J69" i="43"/>
  <c r="I69" i="43"/>
  <c r="D69" i="43"/>
  <c r="C69" i="43"/>
  <c r="K69" i="43" s="1" a="1"/>
  <c r="K69" i="43" s="1"/>
  <c r="BZ68" i="43"/>
  <c r="BK68" i="43"/>
  <c r="AV68" i="43"/>
  <c r="AG68" i="43"/>
  <c r="Z68" i="43"/>
  <c r="Q68" i="43"/>
  <c r="J68" i="43"/>
  <c r="I68" i="43"/>
  <c r="D68" i="43"/>
  <c r="C68" i="43"/>
  <c r="BZ67" i="43"/>
  <c r="BK67" i="43"/>
  <c r="AV67" i="43"/>
  <c r="AG67" i="43"/>
  <c r="Z67" i="43"/>
  <c r="Q67" i="43"/>
  <c r="J67" i="43"/>
  <c r="I67" i="43"/>
  <c r="D67" i="43"/>
  <c r="C67" i="43"/>
  <c r="K67" i="43" s="1" a="1"/>
  <c r="K67" i="43" s="1"/>
  <c r="BZ66" i="43"/>
  <c r="BK66" i="43"/>
  <c r="AV66" i="43"/>
  <c r="AG66" i="43"/>
  <c r="Z66" i="43"/>
  <c r="Q66" i="43"/>
  <c r="L66" i="43" a="1"/>
  <c r="L66" i="43" s="1"/>
  <c r="K66" i="43" a="1"/>
  <c r="K66" i="43" s="1"/>
  <c r="J66" i="43"/>
  <c r="I66" i="43"/>
  <c r="D66" i="43"/>
  <c r="C66" i="43"/>
  <c r="BZ65" i="43"/>
  <c r="BK65" i="43"/>
  <c r="AV65" i="43"/>
  <c r="AG65" i="43"/>
  <c r="Z65" i="43"/>
  <c r="Q65" i="43"/>
  <c r="J65" i="43"/>
  <c r="I65" i="43"/>
  <c r="D65" i="43"/>
  <c r="C65" i="43"/>
  <c r="K65" i="43" s="1" a="1"/>
  <c r="K65" i="43" s="1"/>
  <c r="BZ64" i="43"/>
  <c r="BK64" i="43"/>
  <c r="AV64" i="43"/>
  <c r="AG64" i="43"/>
  <c r="Z64" i="43"/>
  <c r="Q64" i="43"/>
  <c r="J64" i="43"/>
  <c r="I64" i="43"/>
  <c r="D64" i="43"/>
  <c r="C64" i="43"/>
  <c r="BZ63" i="43"/>
  <c r="BK63" i="43"/>
  <c r="AV63" i="43"/>
  <c r="AG63" i="43"/>
  <c r="Z63" i="43"/>
  <c r="Q63" i="43"/>
  <c r="L63" i="43" a="1"/>
  <c r="L63" i="43" s="1"/>
  <c r="J63" i="43"/>
  <c r="I63" i="43"/>
  <c r="D63" i="43"/>
  <c r="C63" i="43"/>
  <c r="K63" i="43" s="1" a="1"/>
  <c r="K63" i="43" s="1"/>
  <c r="BZ62" i="43"/>
  <c r="BK62" i="43"/>
  <c r="AV62" i="43"/>
  <c r="AG62" i="43"/>
  <c r="Z62" i="43"/>
  <c r="Q62" i="43"/>
  <c r="L62" i="43" a="1"/>
  <c r="L62" i="43" s="1"/>
  <c r="K62" i="43" a="1"/>
  <c r="K62" i="43" s="1"/>
  <c r="J62" i="43"/>
  <c r="I62" i="43"/>
  <c r="D62" i="43"/>
  <c r="C62" i="43"/>
  <c r="BZ61" i="43"/>
  <c r="BK61" i="43"/>
  <c r="AV61" i="43"/>
  <c r="AG61" i="43"/>
  <c r="Z61" i="43"/>
  <c r="Q61" i="43"/>
  <c r="J61" i="43"/>
  <c r="I61" i="43"/>
  <c r="D61" i="43"/>
  <c r="C61" i="43"/>
  <c r="K61" i="43" s="1" a="1"/>
  <c r="K61" i="43" s="1"/>
  <c r="BZ60" i="43"/>
  <c r="BK60" i="43"/>
  <c r="AV60" i="43"/>
  <c r="AG60" i="43"/>
  <c r="Z60" i="43"/>
  <c r="Q60" i="43"/>
  <c r="J60" i="43"/>
  <c r="I60" i="43"/>
  <c r="D60" i="43"/>
  <c r="C60" i="43"/>
  <c r="BZ59" i="43"/>
  <c r="BK59" i="43"/>
  <c r="AV59" i="43"/>
  <c r="AG59" i="43"/>
  <c r="Z59" i="43"/>
  <c r="Q59" i="43"/>
  <c r="J59" i="43"/>
  <c r="I59" i="43"/>
  <c r="D59" i="43"/>
  <c r="C59" i="43"/>
  <c r="L59" i="43" s="1" a="1"/>
  <c r="L59" i="43" s="1"/>
  <c r="BZ58" i="43"/>
  <c r="BK58" i="43"/>
  <c r="AV58" i="43"/>
  <c r="AG58" i="43"/>
  <c r="Z58" i="43"/>
  <c r="Q58" i="43"/>
  <c r="L58" i="43" a="1"/>
  <c r="L58" i="43" s="1"/>
  <c r="K58" i="43" a="1"/>
  <c r="K58" i="43" s="1"/>
  <c r="J58" i="43"/>
  <c r="I58" i="43"/>
  <c r="D58" i="43"/>
  <c r="C58" i="43"/>
  <c r="BZ57" i="43"/>
  <c r="BK57" i="43"/>
  <c r="AV57" i="43"/>
  <c r="AG57" i="43"/>
  <c r="Z57" i="43"/>
  <c r="Q57" i="43"/>
  <c r="J57" i="43"/>
  <c r="I57" i="43"/>
  <c r="D57" i="43"/>
  <c r="C57" i="43"/>
  <c r="L57" i="43" s="1" a="1"/>
  <c r="L57" i="43" s="1"/>
  <c r="BZ56" i="43"/>
  <c r="BK56" i="43"/>
  <c r="AV56" i="43"/>
  <c r="AG56" i="43"/>
  <c r="Z56" i="43"/>
  <c r="Q56" i="43"/>
  <c r="J56" i="43"/>
  <c r="I56" i="43"/>
  <c r="D56" i="43"/>
  <c r="C56" i="43"/>
  <c r="BZ55" i="43"/>
  <c r="BK55" i="43"/>
  <c r="AV55" i="43"/>
  <c r="AG55" i="43"/>
  <c r="Z55" i="43"/>
  <c r="Q55" i="43"/>
  <c r="L55" i="43" a="1"/>
  <c r="L55" i="43" s="1"/>
  <c r="J55" i="43"/>
  <c r="I55" i="43"/>
  <c r="D55" i="43"/>
  <c r="C55" i="43"/>
  <c r="BZ54" i="43"/>
  <c r="BK54" i="43"/>
  <c r="AV54" i="43"/>
  <c r="AG54" i="43"/>
  <c r="Z54" i="43"/>
  <c r="Q54" i="43"/>
  <c r="J54" i="43"/>
  <c r="I54" i="43"/>
  <c r="D54" i="43"/>
  <c r="C54" i="43"/>
  <c r="BZ53" i="43"/>
  <c r="BK53" i="43"/>
  <c r="AV53" i="43"/>
  <c r="AG53" i="43"/>
  <c r="Z53" i="43"/>
  <c r="Q53" i="43"/>
  <c r="L53" i="43" a="1"/>
  <c r="L53" i="43" s="1"/>
  <c r="J53" i="43"/>
  <c r="I53" i="43"/>
  <c r="D53" i="43"/>
  <c r="C53" i="43"/>
  <c r="K53" i="43" s="1" a="1"/>
  <c r="K53" i="43" s="1"/>
  <c r="BZ52" i="43"/>
  <c r="BK52" i="43"/>
  <c r="AV52" i="43"/>
  <c r="AG52" i="43"/>
  <c r="Z52" i="43"/>
  <c r="Q52" i="43"/>
  <c r="J52" i="43"/>
  <c r="I52" i="43"/>
  <c r="D52" i="43"/>
  <c r="C52" i="43"/>
  <c r="K52" i="43" s="1" a="1"/>
  <c r="K52" i="43" s="1"/>
  <c r="BZ51" i="43"/>
  <c r="BK51" i="43"/>
  <c r="AV51" i="43"/>
  <c r="AG51" i="43"/>
  <c r="Z51" i="43"/>
  <c r="Q51" i="43"/>
  <c r="J51" i="43"/>
  <c r="I51" i="43"/>
  <c r="D51" i="43"/>
  <c r="C51" i="43"/>
  <c r="BZ50" i="43"/>
  <c r="BK50" i="43"/>
  <c r="AV50" i="43"/>
  <c r="AG50" i="43"/>
  <c r="Z50" i="43"/>
  <c r="Q50" i="43"/>
  <c r="J50" i="43"/>
  <c r="I50" i="43"/>
  <c r="D50" i="43"/>
  <c r="C50" i="43"/>
  <c r="BZ49" i="43"/>
  <c r="BK49" i="43"/>
  <c r="AV49" i="43"/>
  <c r="AG49" i="43"/>
  <c r="Z49" i="43"/>
  <c r="Q49" i="43"/>
  <c r="L49" i="43" a="1"/>
  <c r="L49" i="43" s="1"/>
  <c r="J49" i="43"/>
  <c r="I49" i="43"/>
  <c r="D49" i="43"/>
  <c r="C49" i="43"/>
  <c r="K49" i="43" s="1" a="1"/>
  <c r="K49" i="43" s="1"/>
  <c r="BZ48" i="43"/>
  <c r="BK48" i="43"/>
  <c r="AV48" i="43"/>
  <c r="AG48" i="43"/>
  <c r="Z48" i="43"/>
  <c r="Q48" i="43"/>
  <c r="K48" i="43" a="1"/>
  <c r="K48" i="43" s="1"/>
  <c r="J48" i="43"/>
  <c r="I48" i="43"/>
  <c r="D48" i="43"/>
  <c r="C48" i="43"/>
  <c r="BZ47" i="43"/>
  <c r="BK47" i="43"/>
  <c r="AV47" i="43"/>
  <c r="AG47" i="43"/>
  <c r="Z47" i="43"/>
  <c r="Q47" i="43"/>
  <c r="J47" i="43"/>
  <c r="I47" i="43"/>
  <c r="D47" i="43"/>
  <c r="C47" i="43"/>
  <c r="L47" i="43" s="1" a="1"/>
  <c r="L47" i="43" s="1"/>
  <c r="BZ46" i="43"/>
  <c r="BK46" i="43"/>
  <c r="AV46" i="43"/>
  <c r="AO46" i="43"/>
  <c r="AS46" i="43" s="1"/>
  <c r="AG46" i="43"/>
  <c r="Z46" i="43"/>
  <c r="Q46" i="43"/>
  <c r="J46" i="43"/>
  <c r="I46" i="43"/>
  <c r="D46" i="43"/>
  <c r="C46" i="43"/>
  <c r="BZ45" i="43"/>
  <c r="BK45" i="43"/>
  <c r="AV45" i="43"/>
  <c r="AG45" i="43"/>
  <c r="Z45" i="43"/>
  <c r="Q45" i="43"/>
  <c r="L45" i="43" a="1"/>
  <c r="L45" i="43" s="1"/>
  <c r="J45" i="43"/>
  <c r="I45" i="43"/>
  <c r="D45" i="43"/>
  <c r="C45" i="43"/>
  <c r="K45" i="43" s="1" a="1"/>
  <c r="K45" i="43" s="1"/>
  <c r="BZ44" i="43"/>
  <c r="BK44" i="43"/>
  <c r="AV44" i="43"/>
  <c r="AG44" i="43"/>
  <c r="Z44" i="43"/>
  <c r="Q44" i="43"/>
  <c r="K44" i="43" a="1"/>
  <c r="K44" i="43" s="1"/>
  <c r="J44" i="43"/>
  <c r="I44" i="43"/>
  <c r="D44" i="43"/>
  <c r="C44" i="43"/>
  <c r="BZ43" i="43"/>
  <c r="BK43" i="43"/>
  <c r="AV43" i="43"/>
  <c r="AG43" i="43"/>
  <c r="Z43" i="43"/>
  <c r="Q43" i="43"/>
  <c r="J43" i="43"/>
  <c r="I43" i="43"/>
  <c r="D43" i="43"/>
  <c r="C43" i="43"/>
  <c r="L43" i="43" s="1" a="1"/>
  <c r="L43" i="43" s="1"/>
  <c r="BZ42" i="43"/>
  <c r="BK42" i="43"/>
  <c r="AV42" i="43"/>
  <c r="AG42" i="43"/>
  <c r="Z42" i="43"/>
  <c r="Q42" i="43"/>
  <c r="J42" i="43"/>
  <c r="I42" i="43"/>
  <c r="D42" i="43"/>
  <c r="C42" i="43"/>
  <c r="BZ41" i="43"/>
  <c r="BK41" i="43"/>
  <c r="AV41" i="43"/>
  <c r="AG41" i="43"/>
  <c r="Z41" i="43"/>
  <c r="Q41" i="43"/>
  <c r="L41" i="43" a="1"/>
  <c r="L41" i="43" s="1"/>
  <c r="J41" i="43"/>
  <c r="I41" i="43"/>
  <c r="D41" i="43"/>
  <c r="C41" i="43"/>
  <c r="K41" i="43" s="1" a="1"/>
  <c r="K41" i="43" s="1"/>
  <c r="BZ40" i="43"/>
  <c r="BK40" i="43"/>
  <c r="AV40" i="43"/>
  <c r="AG40" i="43"/>
  <c r="Z40" i="43"/>
  <c r="Q40" i="43"/>
  <c r="K40" i="43" a="1"/>
  <c r="K40" i="43" s="1"/>
  <c r="J40" i="43"/>
  <c r="I40" i="43"/>
  <c r="D40" i="43"/>
  <c r="C40" i="43"/>
  <c r="BZ39" i="43"/>
  <c r="BK39" i="43"/>
  <c r="AV39" i="43"/>
  <c r="AG39" i="43"/>
  <c r="Z39" i="43"/>
  <c r="Q39" i="43"/>
  <c r="L39" i="43" a="1"/>
  <c r="L39" i="43" s="1"/>
  <c r="J39" i="43"/>
  <c r="I39" i="43"/>
  <c r="D39" i="43"/>
  <c r="C39" i="43"/>
  <c r="K39" i="43" s="1" a="1"/>
  <c r="K39" i="43" s="1"/>
  <c r="BZ38" i="43"/>
  <c r="BK38" i="43"/>
  <c r="AV38" i="43"/>
  <c r="AN38" i="43"/>
  <c r="AR38" i="43" s="1"/>
  <c r="AG38" i="43"/>
  <c r="Z38" i="43"/>
  <c r="Q38" i="43"/>
  <c r="J38" i="43"/>
  <c r="I38" i="43"/>
  <c r="D38" i="43"/>
  <c r="C38" i="43"/>
  <c r="L38" i="43" s="1" a="1"/>
  <c r="L38" i="43" s="1"/>
  <c r="BZ37" i="43"/>
  <c r="BK37" i="43"/>
  <c r="AV37" i="43"/>
  <c r="AG37" i="43"/>
  <c r="Z37" i="43"/>
  <c r="Q37" i="43"/>
  <c r="J37" i="43"/>
  <c r="I37" i="43"/>
  <c r="D37" i="43"/>
  <c r="C37" i="43"/>
  <c r="K37" i="43" s="1" a="1"/>
  <c r="K37" i="43" s="1"/>
  <c r="BZ36" i="43"/>
  <c r="BK36" i="43"/>
  <c r="AV36" i="43"/>
  <c r="AG36" i="43"/>
  <c r="Z36" i="43"/>
  <c r="Q36" i="43"/>
  <c r="J36" i="43"/>
  <c r="I36" i="43"/>
  <c r="D36" i="43"/>
  <c r="C36" i="43"/>
  <c r="K36" i="43" s="1" a="1"/>
  <c r="K36" i="43" s="1"/>
  <c r="BZ35" i="43"/>
  <c r="BK35" i="43"/>
  <c r="BD35" i="43"/>
  <c r="BH35" i="43" s="1"/>
  <c r="AV35" i="43"/>
  <c r="AG35" i="43"/>
  <c r="Z35" i="43"/>
  <c r="Q35" i="43"/>
  <c r="K35" i="43" a="1"/>
  <c r="K35" i="43" s="1"/>
  <c r="J35" i="43"/>
  <c r="I35" i="43"/>
  <c r="D35" i="43"/>
  <c r="C35" i="43"/>
  <c r="L35" i="43" s="1" a="1"/>
  <c r="L35" i="43" s="1"/>
  <c r="BZ34" i="43"/>
  <c r="BS34" i="43"/>
  <c r="BW34" i="43" s="1"/>
  <c r="BK34" i="43"/>
  <c r="AV34" i="43"/>
  <c r="AN34" i="43"/>
  <c r="AR34" i="43" s="1"/>
  <c r="AG34" i="43"/>
  <c r="Z34" i="43"/>
  <c r="Q34" i="43"/>
  <c r="L34" i="43" a="1"/>
  <c r="L34" i="43" s="1"/>
  <c r="K34" i="43" a="1"/>
  <c r="K34" i="43" s="1"/>
  <c r="J34" i="43"/>
  <c r="I34" i="43"/>
  <c r="D34" i="43"/>
  <c r="C34" i="43"/>
  <c r="BZ33" i="43"/>
  <c r="BK33" i="43"/>
  <c r="BD33" i="43"/>
  <c r="BH33" i="43" s="1"/>
  <c r="AV33" i="43"/>
  <c r="AG33" i="43"/>
  <c r="Z33" i="43"/>
  <c r="Q33" i="43"/>
  <c r="J33" i="43"/>
  <c r="I33" i="43"/>
  <c r="D33" i="43"/>
  <c r="C33" i="43"/>
  <c r="K33" i="43" s="1" a="1"/>
  <c r="K33" i="43" s="1"/>
  <c r="BZ32" i="43"/>
  <c r="BS32" i="43"/>
  <c r="BW32" i="43" s="1"/>
  <c r="BK32" i="43"/>
  <c r="AV32" i="43"/>
  <c r="AN32" i="43"/>
  <c r="AR32" i="43" s="1"/>
  <c r="AG32" i="43"/>
  <c r="Z32" i="43"/>
  <c r="Q32" i="43"/>
  <c r="L32" i="43" a="1"/>
  <c r="L32" i="43" s="1"/>
  <c r="K32" i="43" a="1"/>
  <c r="K32" i="43" s="1"/>
  <c r="J32" i="43"/>
  <c r="I32" i="43"/>
  <c r="D32" i="43"/>
  <c r="C32" i="43"/>
  <c r="BZ31" i="43"/>
  <c r="BK31" i="43"/>
  <c r="AV31" i="43"/>
  <c r="AG31" i="43"/>
  <c r="Z31" i="43"/>
  <c r="Q31" i="43"/>
  <c r="L31" i="43" a="1"/>
  <c r="L31" i="43" s="1"/>
  <c r="J31" i="43"/>
  <c r="I31" i="43"/>
  <c r="D31" i="43"/>
  <c r="C31" i="43"/>
  <c r="K31" i="43" s="1" a="1"/>
  <c r="K31" i="43" s="1"/>
  <c r="BZ30" i="43"/>
  <c r="BR30" i="43"/>
  <c r="BV30" i="43" s="1"/>
  <c r="BK30" i="43"/>
  <c r="AV30" i="43"/>
  <c r="AN30" i="43"/>
  <c r="AR30" i="43" s="1"/>
  <c r="AG30" i="43"/>
  <c r="Z30" i="43"/>
  <c r="Q30" i="43"/>
  <c r="J30" i="43"/>
  <c r="I30" i="43"/>
  <c r="D30" i="43"/>
  <c r="C30" i="43"/>
  <c r="L30" i="43" s="1" a="1"/>
  <c r="L30" i="43" s="1"/>
  <c r="BZ29" i="43"/>
  <c r="BK29" i="43"/>
  <c r="AV29" i="43"/>
  <c r="AN29" i="43"/>
  <c r="AR29" i="43" s="1"/>
  <c r="AG29" i="43"/>
  <c r="Z29" i="43"/>
  <c r="Q29" i="43"/>
  <c r="J29" i="43"/>
  <c r="I29" i="43"/>
  <c r="D29" i="43"/>
  <c r="C29" i="43"/>
  <c r="K29" i="43" s="1" a="1"/>
  <c r="K29" i="43" s="1"/>
  <c r="BZ28" i="43"/>
  <c r="BK28" i="43"/>
  <c r="AV28" i="43"/>
  <c r="AO28" i="43"/>
  <c r="AS28" i="43" s="1"/>
  <c r="AG28" i="43"/>
  <c r="Z28" i="43"/>
  <c r="Q28" i="43"/>
  <c r="J28" i="43"/>
  <c r="I28" i="43"/>
  <c r="D28" i="43"/>
  <c r="C28" i="43"/>
  <c r="L28" i="43" s="1" a="1"/>
  <c r="L28" i="43" s="1"/>
  <c r="BZ27" i="43"/>
  <c r="BK27" i="43"/>
  <c r="AV27" i="43"/>
  <c r="AG27" i="43"/>
  <c r="Z27" i="43"/>
  <c r="Q27" i="43"/>
  <c r="K27" i="43" a="1"/>
  <c r="K27" i="43" s="1"/>
  <c r="J27" i="43"/>
  <c r="I27" i="43"/>
  <c r="D27" i="43"/>
  <c r="C27" i="43"/>
  <c r="L27" i="43" s="1" a="1"/>
  <c r="L27" i="43" s="1"/>
  <c r="BZ26" i="43"/>
  <c r="BK26" i="43"/>
  <c r="AV26" i="43"/>
  <c r="AG26" i="43"/>
  <c r="Z26" i="43"/>
  <c r="Q26" i="43"/>
  <c r="J26" i="43"/>
  <c r="I26" i="43"/>
  <c r="D26" i="43"/>
  <c r="C26" i="43"/>
  <c r="L26" i="43" s="1" a="1"/>
  <c r="L26" i="43" s="1"/>
  <c r="BZ25" i="43"/>
  <c r="BK25" i="43"/>
  <c r="AV25" i="43"/>
  <c r="AO25" i="43"/>
  <c r="AS25" i="43" s="1"/>
  <c r="AG25" i="43"/>
  <c r="Z25" i="43"/>
  <c r="Q25" i="43"/>
  <c r="L25" i="43" a="1"/>
  <c r="L25" i="43" s="1"/>
  <c r="J25" i="43"/>
  <c r="I25" i="43"/>
  <c r="D25" i="43"/>
  <c r="C25" i="43"/>
  <c r="K25" i="43" s="1" a="1"/>
  <c r="K25" i="43" s="1"/>
  <c r="BZ24" i="43"/>
  <c r="BK24" i="43"/>
  <c r="BC24" i="43"/>
  <c r="BG24" i="43" s="1"/>
  <c r="AV24" i="43"/>
  <c r="AG24" i="43"/>
  <c r="Z24" i="43"/>
  <c r="Q24" i="43"/>
  <c r="K24" i="43" a="1"/>
  <c r="K24" i="43" s="1"/>
  <c r="J24" i="43"/>
  <c r="I24" i="43"/>
  <c r="D24" i="43"/>
  <c r="C24" i="43"/>
  <c r="L24" i="43" s="1" a="1"/>
  <c r="L24" i="43" s="1"/>
  <c r="BZ23" i="43"/>
  <c r="BK23" i="43"/>
  <c r="AV23" i="43"/>
  <c r="AG23" i="43"/>
  <c r="Z23" i="43"/>
  <c r="Q23" i="43"/>
  <c r="L23" i="43" a="1"/>
  <c r="L23" i="43" s="1"/>
  <c r="J23" i="43"/>
  <c r="I23" i="43"/>
  <c r="D23" i="43"/>
  <c r="C23" i="43"/>
  <c r="K23" i="43" s="1" a="1"/>
  <c r="K23" i="43" s="1"/>
  <c r="BZ22" i="43"/>
  <c r="BK22" i="43"/>
  <c r="AV22" i="43"/>
  <c r="AO22" i="43"/>
  <c r="AS22" i="43" s="1"/>
  <c r="AG22" i="43"/>
  <c r="Z22" i="43"/>
  <c r="Q22" i="43"/>
  <c r="J22" i="43"/>
  <c r="I22" i="43"/>
  <c r="D22" i="43"/>
  <c r="C22" i="43"/>
  <c r="L22" i="43" s="1" a="1"/>
  <c r="L22" i="43" s="1"/>
  <c r="BZ21" i="43"/>
  <c r="BS21" i="43"/>
  <c r="BW21" i="43" s="1"/>
  <c r="BK21" i="43"/>
  <c r="AV21" i="43"/>
  <c r="AO21" i="43"/>
  <c r="AS21" i="43" s="1"/>
  <c r="AG21" i="43"/>
  <c r="Z21" i="43"/>
  <c r="Q21" i="43"/>
  <c r="L21" i="43" a="1"/>
  <c r="L21" i="43" s="1"/>
  <c r="J21" i="43"/>
  <c r="I21" i="43"/>
  <c r="D21" i="43"/>
  <c r="C21" i="43"/>
  <c r="K21" i="43" s="1" a="1"/>
  <c r="K21" i="43" s="1"/>
  <c r="BZ20" i="43"/>
  <c r="BK20" i="43"/>
  <c r="BD20" i="43"/>
  <c r="BH20" i="43" s="1"/>
  <c r="AV20" i="43"/>
  <c r="AG20" i="43"/>
  <c r="Z20" i="43"/>
  <c r="Q20" i="43"/>
  <c r="L20" i="43" a="1"/>
  <c r="L20" i="43" s="1"/>
  <c r="J20" i="43"/>
  <c r="I20" i="43"/>
  <c r="D20" i="43"/>
  <c r="C20" i="43"/>
  <c r="K20" i="43" s="1" a="1"/>
  <c r="K20" i="43" s="1"/>
  <c r="BZ19" i="43"/>
  <c r="BK19" i="43"/>
  <c r="BD19" i="43"/>
  <c r="BH19" i="43" s="1"/>
  <c r="AV19" i="43"/>
  <c r="AG19" i="43"/>
  <c r="Z19" i="43"/>
  <c r="Q19" i="43"/>
  <c r="L19" i="43" a="1"/>
  <c r="L19" i="43" s="1"/>
  <c r="J19" i="43"/>
  <c r="I19" i="43"/>
  <c r="D19" i="43"/>
  <c r="C19" i="43"/>
  <c r="K19" i="43" s="1" a="1"/>
  <c r="K19" i="43" s="1"/>
  <c r="BZ18" i="43"/>
  <c r="BR18" i="43"/>
  <c r="BV18" i="43" s="1"/>
  <c r="BK18" i="43"/>
  <c r="AV18" i="43"/>
  <c r="AN18" i="43"/>
  <c r="AR18" i="43" s="1"/>
  <c r="AG18" i="43"/>
  <c r="Z18" i="43"/>
  <c r="Q18" i="43"/>
  <c r="J18" i="43"/>
  <c r="I18" i="43"/>
  <c r="D18" i="43"/>
  <c r="C18" i="43"/>
  <c r="L18" i="43" s="1" a="1"/>
  <c r="L18" i="43" s="1"/>
  <c r="BZ17" i="43"/>
  <c r="BR17" i="43"/>
  <c r="BV17" i="43" s="1"/>
  <c r="BK17" i="43"/>
  <c r="AV17" i="43"/>
  <c r="AN17" i="43"/>
  <c r="AR17" i="43" s="1"/>
  <c r="AG17" i="43"/>
  <c r="Z17" i="43"/>
  <c r="Q17" i="43"/>
  <c r="J17" i="43"/>
  <c r="I17" i="43"/>
  <c r="D17" i="43"/>
  <c r="C17" i="43"/>
  <c r="K17" i="43" s="1" a="1"/>
  <c r="K17" i="43" s="1"/>
  <c r="BZ16" i="43"/>
  <c r="BK16" i="43"/>
  <c r="BC16" i="43"/>
  <c r="BG16" i="43" s="1"/>
  <c r="AV16" i="43"/>
  <c r="AO16" i="43"/>
  <c r="AS16" i="43" s="1"/>
  <c r="AG16" i="43"/>
  <c r="Z16" i="43"/>
  <c r="Q16" i="43"/>
  <c r="K16" i="43" a="1"/>
  <c r="K16" i="43" s="1"/>
  <c r="J16" i="43"/>
  <c r="I16" i="43"/>
  <c r="D16" i="43"/>
  <c r="C16" i="43"/>
  <c r="L16" i="43" s="1" a="1"/>
  <c r="L16" i="43" s="1"/>
  <c r="BZ15" i="43"/>
  <c r="BW15" i="43"/>
  <c r="BV15" i="43"/>
  <c r="BS15" i="43"/>
  <c r="BK15" i="43"/>
  <c r="BH15" i="43"/>
  <c r="BG15" i="43"/>
  <c r="AV15" i="43"/>
  <c r="AS15" i="43"/>
  <c r="AR15" i="43"/>
  <c r="AO15" i="43"/>
  <c r="AG15" i="43"/>
  <c r="Z15" i="43"/>
  <c r="Q15" i="43"/>
  <c r="K15" i="43" a="1"/>
  <c r="K15" i="43" s="1"/>
  <c r="J15" i="43"/>
  <c r="I15" i="43"/>
  <c r="D15" i="43"/>
  <c r="C15" i="43"/>
  <c r="L15" i="43" s="1" a="1"/>
  <c r="L15" i="43" s="1"/>
  <c r="BU14" i="43"/>
  <c r="BT14" i="43"/>
  <c r="BQ14" i="43"/>
  <c r="BP14" i="43"/>
  <c r="BO14" i="43"/>
  <c r="BN14" i="43"/>
  <c r="BF14" i="43"/>
  <c r="BE14" i="43"/>
  <c r="BB14" i="43"/>
  <c r="BA14" i="43"/>
  <c r="AZ14" i="43"/>
  <c r="AY14" i="43"/>
  <c r="AX14" i="43"/>
  <c r="AQ14" i="43"/>
  <c r="AP14" i="43"/>
  <c r="AM14" i="43"/>
  <c r="AL14" i="43"/>
  <c r="AK14" i="43"/>
  <c r="AJ14" i="43"/>
  <c r="AI14" i="43"/>
  <c r="AH14" i="43"/>
  <c r="S14" i="43"/>
  <c r="R14" i="43"/>
  <c r="H14" i="43"/>
  <c r="G14" i="43"/>
  <c r="F14" i="43"/>
  <c r="E14" i="43"/>
  <c r="T14" i="43" s="1"/>
  <c r="P3" i="43"/>
  <c r="BS106" i="43" s="1"/>
  <c r="BW106" i="43" s="1"/>
  <c r="B2" i="43" a="1"/>
  <c r="B2" i="43" s="1"/>
  <c r="A1" i="42"/>
  <c r="N3" i="42" s="1"/>
  <c r="BZ125" i="42"/>
  <c r="BW125" i="42"/>
  <c r="BV125" i="42"/>
  <c r="BS125" i="42"/>
  <c r="BR125" i="42"/>
  <c r="BK125" i="42"/>
  <c r="BH125" i="42"/>
  <c r="BG125" i="42"/>
  <c r="BD125" i="42"/>
  <c r="BC125" i="42"/>
  <c r="AV125" i="42"/>
  <c r="AS125" i="42"/>
  <c r="AR125" i="42"/>
  <c r="AO125" i="42"/>
  <c r="AN125" i="42"/>
  <c r="AG125" i="42"/>
  <c r="Z125" i="42"/>
  <c r="Q125" i="42"/>
  <c r="J125" i="42"/>
  <c r="I125" i="42"/>
  <c r="D125" i="42"/>
  <c r="C125" i="42"/>
  <c r="BZ124" i="42"/>
  <c r="BW124" i="42"/>
  <c r="BV124" i="42"/>
  <c r="BS124" i="42"/>
  <c r="BR124" i="42"/>
  <c r="BK124" i="42"/>
  <c r="BH124" i="42"/>
  <c r="BG124" i="42"/>
  <c r="BD124" i="42"/>
  <c r="BC124" i="42"/>
  <c r="AV124" i="42"/>
  <c r="AS124" i="42"/>
  <c r="AR124" i="42"/>
  <c r="AO124" i="42"/>
  <c r="AN124" i="42"/>
  <c r="AG124" i="42"/>
  <c r="Z124" i="42"/>
  <c r="Y124" i="42"/>
  <c r="X124" i="42"/>
  <c r="Q124" i="42"/>
  <c r="J124" i="42"/>
  <c r="I124" i="42"/>
  <c r="D124" i="42"/>
  <c r="C124" i="42"/>
  <c r="BZ123" i="42"/>
  <c r="BV123" i="42"/>
  <c r="BR123" i="42"/>
  <c r="BK123" i="42"/>
  <c r="BG123" i="42"/>
  <c r="BC123" i="42"/>
  <c r="AV123" i="42"/>
  <c r="AR123" i="42"/>
  <c r="AN123" i="42"/>
  <c r="AG123" i="42"/>
  <c r="Z123" i="42"/>
  <c r="Y123" i="42"/>
  <c r="X123" i="42"/>
  <c r="Q123" i="42"/>
  <c r="L123" i="42" a="1"/>
  <c r="L123" i="42" s="1"/>
  <c r="K123" i="42" a="1"/>
  <c r="K123" i="42" s="1"/>
  <c r="J123" i="42"/>
  <c r="I123" i="42"/>
  <c r="D123" i="42"/>
  <c r="C123" i="42"/>
  <c r="BZ122" i="42"/>
  <c r="BW122" i="42"/>
  <c r="BV122" i="42"/>
  <c r="BS122" i="42"/>
  <c r="BR122" i="42"/>
  <c r="BK122" i="42"/>
  <c r="BH122" i="42"/>
  <c r="BG122" i="42"/>
  <c r="BD122" i="42"/>
  <c r="BC122" i="42"/>
  <c r="AV122" i="42"/>
  <c r="AS122" i="42"/>
  <c r="AR122" i="42"/>
  <c r="AO122" i="42"/>
  <c r="AN122" i="42"/>
  <c r="AG122" i="42"/>
  <c r="Z122" i="42"/>
  <c r="Q122" i="42"/>
  <c r="J122" i="42"/>
  <c r="I122" i="42"/>
  <c r="D122" i="42"/>
  <c r="C122" i="42"/>
  <c r="BZ121" i="42"/>
  <c r="BW121" i="42"/>
  <c r="BV121" i="42"/>
  <c r="BS121" i="42"/>
  <c r="BR121" i="42"/>
  <c r="BK121" i="42"/>
  <c r="BH121" i="42"/>
  <c r="BG121" i="42"/>
  <c r="BD121" i="42"/>
  <c r="BC121" i="42"/>
  <c r="AV121" i="42"/>
  <c r="AS121" i="42"/>
  <c r="AR121" i="42"/>
  <c r="AO121" i="42"/>
  <c r="AN121" i="42"/>
  <c r="AG121" i="42"/>
  <c r="Z121" i="42"/>
  <c r="Q121" i="42"/>
  <c r="L121" i="42" a="1"/>
  <c r="L121" i="42" s="1"/>
  <c r="J121" i="42"/>
  <c r="I121" i="42"/>
  <c r="D121" i="42"/>
  <c r="C121" i="42"/>
  <c r="K121" i="42" s="1" a="1"/>
  <c r="K121" i="42" s="1"/>
  <c r="BZ120" i="42"/>
  <c r="BW120" i="42"/>
  <c r="BV120" i="42"/>
  <c r="BS120" i="42"/>
  <c r="BR120" i="42"/>
  <c r="BK120" i="42"/>
  <c r="BH120" i="42"/>
  <c r="BG120" i="42"/>
  <c r="BD120" i="42"/>
  <c r="BC120" i="42"/>
  <c r="AV120" i="42"/>
  <c r="AS120" i="42"/>
  <c r="AR120" i="42"/>
  <c r="AO120" i="42"/>
  <c r="AN120" i="42"/>
  <c r="AG120" i="42"/>
  <c r="Z120" i="42"/>
  <c r="Y120" i="42"/>
  <c r="X120" i="42"/>
  <c r="Q120" i="42"/>
  <c r="L120" i="42" a="1"/>
  <c r="L120" i="42" s="1"/>
  <c r="K120" i="42" a="1"/>
  <c r="K120" i="42" s="1"/>
  <c r="J120" i="42"/>
  <c r="I120" i="42"/>
  <c r="D120" i="42"/>
  <c r="C120" i="42"/>
  <c r="BZ119" i="42"/>
  <c r="BV119" i="42"/>
  <c r="BR119" i="42"/>
  <c r="BK119" i="42"/>
  <c r="BG119" i="42"/>
  <c r="BC119" i="42"/>
  <c r="AV119" i="42"/>
  <c r="AR119" i="42"/>
  <c r="AN119" i="42"/>
  <c r="AG119" i="42"/>
  <c r="Z119" i="42"/>
  <c r="Y119" i="42"/>
  <c r="X119" i="42"/>
  <c r="Q119" i="42"/>
  <c r="L119" i="42" a="1"/>
  <c r="L119" i="42" s="1"/>
  <c r="J119" i="42"/>
  <c r="I119" i="42"/>
  <c r="D119" i="42"/>
  <c r="C119" i="42"/>
  <c r="K119" i="42" s="1" a="1"/>
  <c r="K119" i="42" s="1"/>
  <c r="BZ118" i="42"/>
  <c r="BW118" i="42"/>
  <c r="BV118" i="42"/>
  <c r="BS118" i="42"/>
  <c r="BR118" i="42"/>
  <c r="BK118" i="42"/>
  <c r="BH118" i="42"/>
  <c r="BG118" i="42"/>
  <c r="BD118" i="42"/>
  <c r="BC118" i="42"/>
  <c r="AV118" i="42"/>
  <c r="AS118" i="42"/>
  <c r="AR118" i="42"/>
  <c r="AO118" i="42"/>
  <c r="AN118" i="42"/>
  <c r="AG118" i="42"/>
  <c r="Z118" i="42"/>
  <c r="Q118" i="42"/>
  <c r="J118" i="42"/>
  <c r="I118" i="42"/>
  <c r="D118" i="42"/>
  <c r="C118" i="42"/>
  <c r="BZ117" i="42"/>
  <c r="BW117" i="42"/>
  <c r="BV117" i="42"/>
  <c r="BS117" i="42"/>
  <c r="BR117" i="42"/>
  <c r="BK117" i="42"/>
  <c r="BH117" i="42"/>
  <c r="BG117" i="42"/>
  <c r="BD117" i="42"/>
  <c r="BC117" i="42"/>
  <c r="AV117" i="42"/>
  <c r="AS117" i="42"/>
  <c r="AR117" i="42"/>
  <c r="AO117" i="42"/>
  <c r="AN117" i="42"/>
  <c r="AG117" i="42"/>
  <c r="Z117" i="42"/>
  <c r="Q117" i="42"/>
  <c r="L117" i="42" a="1"/>
  <c r="L117" i="42" s="1"/>
  <c r="J117" i="42"/>
  <c r="I117" i="42"/>
  <c r="D117" i="42"/>
  <c r="C117" i="42"/>
  <c r="K117" i="42" s="1" a="1"/>
  <c r="K117" i="42" s="1"/>
  <c r="BZ116" i="42"/>
  <c r="BW116" i="42"/>
  <c r="BV116" i="42"/>
  <c r="BS116" i="42"/>
  <c r="BR116" i="42"/>
  <c r="BK116" i="42"/>
  <c r="BH116" i="42"/>
  <c r="BG116" i="42"/>
  <c r="BD116" i="42"/>
  <c r="BC116" i="42"/>
  <c r="AV116" i="42"/>
  <c r="AS116" i="42"/>
  <c r="AR116" i="42"/>
  <c r="AO116" i="42"/>
  <c r="AN116" i="42"/>
  <c r="AG116" i="42"/>
  <c r="Z116" i="42"/>
  <c r="Y116" i="42"/>
  <c r="X116" i="42"/>
  <c r="Q116" i="42"/>
  <c r="J116" i="42"/>
  <c r="I116" i="42"/>
  <c r="D116" i="42"/>
  <c r="C116" i="42"/>
  <c r="BZ115" i="42"/>
  <c r="BV115" i="42"/>
  <c r="BR115" i="42"/>
  <c r="BK115" i="42"/>
  <c r="AV115" i="42"/>
  <c r="AR115" i="42"/>
  <c r="AN115" i="42"/>
  <c r="AG115" i="42"/>
  <c r="Z115" i="42"/>
  <c r="X115" i="42"/>
  <c r="Q115" i="42"/>
  <c r="L115" i="42" a="1"/>
  <c r="L115" i="42" s="1"/>
  <c r="K115" i="42" a="1"/>
  <c r="K115" i="42" s="1"/>
  <c r="J115" i="42"/>
  <c r="I115" i="42"/>
  <c r="D115" i="42"/>
  <c r="C115" i="42"/>
  <c r="BZ114" i="42"/>
  <c r="BK114" i="42"/>
  <c r="AV114" i="42"/>
  <c r="AR114" i="42"/>
  <c r="AO114" i="42"/>
  <c r="AS114" i="42" s="1"/>
  <c r="AN114" i="42"/>
  <c r="AG114" i="42"/>
  <c r="Z114" i="42"/>
  <c r="Q114" i="42"/>
  <c r="J114" i="42"/>
  <c r="I114" i="42"/>
  <c r="D114" i="42"/>
  <c r="C114" i="42"/>
  <c r="BZ113" i="42"/>
  <c r="BK113" i="42"/>
  <c r="AV113" i="42"/>
  <c r="AR113" i="42"/>
  <c r="AN113" i="42"/>
  <c r="AG113" i="42"/>
  <c r="Z113" i="42"/>
  <c r="Q113" i="42"/>
  <c r="L113" i="42" a="1"/>
  <c r="L113" i="42" s="1"/>
  <c r="J113" i="42"/>
  <c r="I113" i="42"/>
  <c r="D113" i="42"/>
  <c r="C113" i="42"/>
  <c r="K113" i="42" s="1" a="1"/>
  <c r="K113" i="42" s="1"/>
  <c r="BZ112" i="42"/>
  <c r="BK112" i="42"/>
  <c r="AV112" i="42"/>
  <c r="AN112" i="42"/>
  <c r="AR112" i="42" s="1"/>
  <c r="AG112" i="42"/>
  <c r="Z112" i="42"/>
  <c r="Q112" i="42"/>
  <c r="J112" i="42"/>
  <c r="I112" i="42"/>
  <c r="D112" i="42"/>
  <c r="C112" i="42"/>
  <c r="BZ111" i="42"/>
  <c r="BK111" i="42"/>
  <c r="BC111" i="42"/>
  <c r="BG111" i="42" s="1"/>
  <c r="AV111" i="42"/>
  <c r="AG111" i="42"/>
  <c r="Z111" i="42"/>
  <c r="Q111" i="42"/>
  <c r="L111" i="42" a="1"/>
  <c r="L111" i="42" s="1"/>
  <c r="K111" i="42" a="1"/>
  <c r="K111" i="42" s="1"/>
  <c r="J111" i="42"/>
  <c r="I111" i="42"/>
  <c r="D111" i="42"/>
  <c r="C111" i="42"/>
  <c r="BZ110" i="42"/>
  <c r="BR110" i="42"/>
  <c r="BV110" i="42" s="1"/>
  <c r="BK110" i="42"/>
  <c r="AV110" i="42"/>
  <c r="AN110" i="42"/>
  <c r="AR110" i="42" s="1"/>
  <c r="AG110" i="42"/>
  <c r="Z110" i="42"/>
  <c r="Q110" i="42"/>
  <c r="J110" i="42"/>
  <c r="I110" i="42"/>
  <c r="D110" i="42"/>
  <c r="C110" i="42"/>
  <c r="BZ109" i="42"/>
  <c r="BK109" i="42"/>
  <c r="AV109" i="42"/>
  <c r="AO109" i="42"/>
  <c r="AS109" i="42" s="1"/>
  <c r="AG109" i="42"/>
  <c r="Z109" i="42"/>
  <c r="Q109" i="42"/>
  <c r="J109" i="42"/>
  <c r="I109" i="42"/>
  <c r="D109" i="42"/>
  <c r="C109" i="42"/>
  <c r="BZ108" i="42"/>
  <c r="BK108" i="42"/>
  <c r="BC108" i="42"/>
  <c r="BG108" i="42" s="1"/>
  <c r="AV108" i="42"/>
  <c r="AG108" i="42"/>
  <c r="Z108" i="42"/>
  <c r="Q108" i="42"/>
  <c r="L108" i="42" a="1"/>
  <c r="L108" i="42" s="1"/>
  <c r="K108" i="42" a="1"/>
  <c r="K108" i="42" s="1"/>
  <c r="J108" i="42"/>
  <c r="I108" i="42"/>
  <c r="D108" i="42"/>
  <c r="C108" i="42"/>
  <c r="BZ107" i="42"/>
  <c r="BK107" i="42"/>
  <c r="AV107" i="42"/>
  <c r="AG107" i="42"/>
  <c r="Z107" i="42"/>
  <c r="Q107" i="42"/>
  <c r="J107" i="42"/>
  <c r="I107" i="42"/>
  <c r="D107" i="42"/>
  <c r="C107" i="42"/>
  <c r="BZ106" i="42"/>
  <c r="BK106" i="42"/>
  <c r="AV106" i="42"/>
  <c r="AO106" i="42"/>
  <c r="AS106" i="42" s="1"/>
  <c r="AG106" i="42"/>
  <c r="Z106" i="42"/>
  <c r="Q106" i="42"/>
  <c r="J106" i="42"/>
  <c r="I106" i="42"/>
  <c r="D106" i="42"/>
  <c r="C106" i="42"/>
  <c r="BZ105" i="42"/>
  <c r="BK105" i="42"/>
  <c r="AV105" i="42"/>
  <c r="AG105" i="42"/>
  <c r="Z105" i="42"/>
  <c r="Q105" i="42"/>
  <c r="L105" i="42" a="1"/>
  <c r="L105" i="42" s="1"/>
  <c r="J105" i="42"/>
  <c r="I105" i="42"/>
  <c r="D105" i="42"/>
  <c r="C105" i="42"/>
  <c r="K105" i="42" s="1" a="1"/>
  <c r="K105" i="42" s="1"/>
  <c r="BZ104" i="42"/>
  <c r="BK104" i="42"/>
  <c r="AV104" i="42"/>
  <c r="AO104" i="42"/>
  <c r="AS104" i="42" s="1"/>
  <c r="AG104" i="42"/>
  <c r="Z104" i="42"/>
  <c r="Q104" i="42"/>
  <c r="J104" i="42"/>
  <c r="I104" i="42"/>
  <c r="D104" i="42"/>
  <c r="C104" i="42"/>
  <c r="BZ103" i="42"/>
  <c r="BK103" i="42"/>
  <c r="AV103" i="42"/>
  <c r="AG103" i="42"/>
  <c r="Z103" i="42"/>
  <c r="Q103" i="42"/>
  <c r="K103" i="42" a="1"/>
  <c r="K103" i="42" s="1"/>
  <c r="J103" i="42"/>
  <c r="I103" i="42"/>
  <c r="D103" i="42"/>
  <c r="C103" i="42"/>
  <c r="L103" i="42" s="1" a="1"/>
  <c r="L103" i="42" s="1"/>
  <c r="BZ102" i="42"/>
  <c r="BK102" i="42"/>
  <c r="AV102" i="42"/>
  <c r="AG102" i="42"/>
  <c r="Z102" i="42"/>
  <c r="Q102" i="42"/>
  <c r="J102" i="42"/>
  <c r="I102" i="42"/>
  <c r="D102" i="42"/>
  <c r="C102" i="42"/>
  <c r="BZ101" i="42"/>
  <c r="BK101" i="42"/>
  <c r="AV101" i="42"/>
  <c r="AG101" i="42"/>
  <c r="Z101" i="42"/>
  <c r="Q101" i="42"/>
  <c r="L101" i="42" a="1"/>
  <c r="L101" i="42" s="1"/>
  <c r="J101" i="42"/>
  <c r="I101" i="42"/>
  <c r="D101" i="42"/>
  <c r="C101" i="42"/>
  <c r="K101" i="42" s="1" a="1"/>
  <c r="K101" i="42" s="1"/>
  <c r="BZ100" i="42"/>
  <c r="BK100" i="42"/>
  <c r="AV100" i="42"/>
  <c r="AN100" i="42"/>
  <c r="AR100" i="42" s="1"/>
  <c r="AG100" i="42"/>
  <c r="Z100" i="42"/>
  <c r="Q100" i="42"/>
  <c r="J100" i="42"/>
  <c r="I100" i="42"/>
  <c r="D100" i="42"/>
  <c r="C100" i="42"/>
  <c r="K100" i="42" s="1" a="1"/>
  <c r="K100" i="42" s="1"/>
  <c r="BZ99" i="42"/>
  <c r="BK99" i="42"/>
  <c r="AV99" i="42"/>
  <c r="AG99" i="42"/>
  <c r="Z99" i="42"/>
  <c r="Q99" i="42"/>
  <c r="K99" i="42" a="1"/>
  <c r="K99" i="42" s="1"/>
  <c r="J99" i="42"/>
  <c r="I99" i="42"/>
  <c r="D99" i="42"/>
  <c r="C99" i="42"/>
  <c r="L99" i="42" s="1" a="1"/>
  <c r="L99" i="42" s="1"/>
  <c r="BZ98" i="42"/>
  <c r="BS98" i="42"/>
  <c r="BW98" i="42" s="1"/>
  <c r="BK98" i="42"/>
  <c r="AV98" i="42"/>
  <c r="AN98" i="42"/>
  <c r="AR98" i="42" s="1"/>
  <c r="AG98" i="42"/>
  <c r="Z98" i="42"/>
  <c r="Q98" i="42"/>
  <c r="J98" i="42"/>
  <c r="I98" i="42"/>
  <c r="D98" i="42"/>
  <c r="C98" i="42"/>
  <c r="BZ97" i="42"/>
  <c r="BR97" i="42"/>
  <c r="BV97" i="42" s="1"/>
  <c r="BK97" i="42"/>
  <c r="AV97" i="42"/>
  <c r="AN97" i="42"/>
  <c r="AR97" i="42" s="1"/>
  <c r="AG97" i="42"/>
  <c r="Z97" i="42"/>
  <c r="Q97" i="42"/>
  <c r="J97" i="42"/>
  <c r="I97" i="42"/>
  <c r="D97" i="42"/>
  <c r="C97" i="42"/>
  <c r="BZ96" i="42"/>
  <c r="BK96" i="42"/>
  <c r="BC96" i="42"/>
  <c r="BG96" i="42" s="1"/>
  <c r="AV96" i="42"/>
  <c r="AG96" i="42"/>
  <c r="Z96" i="42"/>
  <c r="Q96" i="42"/>
  <c r="J96" i="42"/>
  <c r="I96" i="42"/>
  <c r="D96" i="42"/>
  <c r="C96" i="42"/>
  <c r="BZ95" i="42"/>
  <c r="BK95" i="42"/>
  <c r="BC95" i="42"/>
  <c r="BG95" i="42" s="1"/>
  <c r="AV95" i="42"/>
  <c r="AG95" i="42"/>
  <c r="Z95" i="42"/>
  <c r="Q95" i="42"/>
  <c r="L95" i="42" a="1"/>
  <c r="L95" i="42" s="1"/>
  <c r="K95" i="42" a="1"/>
  <c r="K95" i="42" s="1"/>
  <c r="J95" i="42"/>
  <c r="I95" i="42"/>
  <c r="D95" i="42"/>
  <c r="C95" i="42"/>
  <c r="BZ94" i="42"/>
  <c r="BK94" i="42"/>
  <c r="AV94" i="42"/>
  <c r="AG94" i="42"/>
  <c r="Z94" i="42"/>
  <c r="Q94" i="42"/>
  <c r="K94" i="42" a="1"/>
  <c r="K94" i="42" s="1"/>
  <c r="J94" i="42"/>
  <c r="I94" i="42"/>
  <c r="D94" i="42"/>
  <c r="C94" i="42"/>
  <c r="BZ93" i="42"/>
  <c r="BK93" i="42"/>
  <c r="AV93" i="42"/>
  <c r="AN93" i="42"/>
  <c r="AR93" i="42" s="1"/>
  <c r="AG93" i="42"/>
  <c r="Z93" i="42"/>
  <c r="Q93" i="42"/>
  <c r="J93" i="42"/>
  <c r="I93" i="42"/>
  <c r="D93" i="42"/>
  <c r="C93" i="42"/>
  <c r="K93" i="42" s="1" a="1"/>
  <c r="K93" i="42" s="1"/>
  <c r="BZ92" i="42"/>
  <c r="BK92" i="42"/>
  <c r="AV92" i="42"/>
  <c r="AG92" i="42"/>
  <c r="Z92" i="42"/>
  <c r="Q92" i="42"/>
  <c r="J92" i="42"/>
  <c r="I92" i="42"/>
  <c r="D92" i="42"/>
  <c r="C92" i="42"/>
  <c r="L92" i="42" s="1" a="1"/>
  <c r="L92" i="42" s="1"/>
  <c r="BZ91" i="42"/>
  <c r="BK91" i="42"/>
  <c r="BC91" i="42"/>
  <c r="BG91" i="42" s="1"/>
  <c r="AV91" i="42"/>
  <c r="AG91" i="42"/>
  <c r="Z91" i="42"/>
  <c r="Q91" i="42"/>
  <c r="J91" i="42"/>
  <c r="I91" i="42"/>
  <c r="D91" i="42"/>
  <c r="C91" i="42"/>
  <c r="L91" i="42" s="1" a="1"/>
  <c r="L91" i="42" s="1"/>
  <c r="BZ90" i="42"/>
  <c r="BK90" i="42"/>
  <c r="AV90" i="42"/>
  <c r="AG90" i="42"/>
  <c r="Z90" i="42"/>
  <c r="Q90" i="42"/>
  <c r="L90" i="42" a="1"/>
  <c r="L90" i="42" s="1"/>
  <c r="K90" i="42" a="1"/>
  <c r="K90" i="42" s="1"/>
  <c r="J90" i="42"/>
  <c r="I90" i="42"/>
  <c r="D90" i="42"/>
  <c r="C90" i="42"/>
  <c r="BZ89" i="42"/>
  <c r="BS89" i="42"/>
  <c r="BW89" i="42" s="1"/>
  <c r="BK89" i="42"/>
  <c r="AV89" i="42"/>
  <c r="AG89" i="42"/>
  <c r="Z89" i="42"/>
  <c r="Q89" i="42"/>
  <c r="J89" i="42"/>
  <c r="I89" i="42"/>
  <c r="D89" i="42"/>
  <c r="C89" i="42"/>
  <c r="BZ88" i="42"/>
  <c r="BK88" i="42"/>
  <c r="AV88" i="42"/>
  <c r="AG88" i="42"/>
  <c r="Z88" i="42"/>
  <c r="Q88" i="42"/>
  <c r="J88" i="42"/>
  <c r="I88" i="42"/>
  <c r="D88" i="42"/>
  <c r="C88" i="42"/>
  <c r="BZ87" i="42"/>
  <c r="BK87" i="42"/>
  <c r="BC87" i="42"/>
  <c r="BG87" i="42" s="1"/>
  <c r="AV87" i="42"/>
  <c r="AG87" i="42"/>
  <c r="Z87" i="42"/>
  <c r="Q87" i="42"/>
  <c r="J87" i="42"/>
  <c r="I87" i="42"/>
  <c r="D87" i="42"/>
  <c r="C87" i="42"/>
  <c r="L87" i="42" s="1" a="1"/>
  <c r="L87" i="42" s="1"/>
  <c r="BZ86" i="42"/>
  <c r="BK86" i="42"/>
  <c r="AV86" i="42"/>
  <c r="AG86" i="42"/>
  <c r="Z86" i="42"/>
  <c r="Q86" i="42"/>
  <c r="L86" i="42" a="1"/>
  <c r="L86" i="42" s="1"/>
  <c r="K86" i="42" a="1"/>
  <c r="K86" i="42" s="1"/>
  <c r="J86" i="42"/>
  <c r="I86" i="42"/>
  <c r="D86" i="42"/>
  <c r="C86" i="42"/>
  <c r="BZ85" i="42"/>
  <c r="BR85" i="42"/>
  <c r="BV85" i="42" s="1"/>
  <c r="BK85" i="42"/>
  <c r="AV85" i="42"/>
  <c r="AG85" i="42"/>
  <c r="Z85" i="42"/>
  <c r="Q85" i="42"/>
  <c r="J85" i="42"/>
  <c r="I85" i="42"/>
  <c r="D85" i="42"/>
  <c r="C85" i="42"/>
  <c r="BZ84" i="42"/>
  <c r="BK84" i="42"/>
  <c r="AV84" i="42"/>
  <c r="AG84" i="42"/>
  <c r="Z84" i="42"/>
  <c r="Q84" i="42"/>
  <c r="J84" i="42"/>
  <c r="I84" i="42"/>
  <c r="D84" i="42"/>
  <c r="C84" i="42"/>
  <c r="BZ83" i="42"/>
  <c r="BK83" i="42"/>
  <c r="AV83" i="42"/>
  <c r="AG83" i="42"/>
  <c r="Z83" i="42"/>
  <c r="Q83" i="42"/>
  <c r="J83" i="42"/>
  <c r="I83" i="42"/>
  <c r="D83" i="42"/>
  <c r="C83" i="42"/>
  <c r="BZ82" i="42"/>
  <c r="BK82" i="42"/>
  <c r="AV82" i="42"/>
  <c r="AG82" i="42"/>
  <c r="Z82" i="42"/>
  <c r="Q82" i="42"/>
  <c r="J82" i="42"/>
  <c r="I82" i="42"/>
  <c r="D82" i="42"/>
  <c r="C82" i="42"/>
  <c r="K82" i="42" s="1" a="1"/>
  <c r="K82" i="42" s="1"/>
  <c r="BZ81" i="42"/>
  <c r="BS81" i="42"/>
  <c r="BW81" i="42" s="1"/>
  <c r="BK81" i="42"/>
  <c r="AV81" i="42"/>
  <c r="AG81" i="42"/>
  <c r="Z81" i="42"/>
  <c r="Q81" i="42"/>
  <c r="J81" i="42"/>
  <c r="I81" i="42"/>
  <c r="D81" i="42"/>
  <c r="C81" i="42"/>
  <c r="BZ80" i="42"/>
  <c r="BK80" i="42"/>
  <c r="AV80" i="42"/>
  <c r="AG80" i="42"/>
  <c r="Z80" i="42"/>
  <c r="Q80" i="42"/>
  <c r="J80" i="42"/>
  <c r="I80" i="42"/>
  <c r="D80" i="42"/>
  <c r="C80" i="42"/>
  <c r="BZ79" i="42"/>
  <c r="BK79" i="42"/>
  <c r="AV79" i="42"/>
  <c r="AG79" i="42"/>
  <c r="Z79" i="42"/>
  <c r="Q79" i="42"/>
  <c r="L79" i="42" a="1"/>
  <c r="L79" i="42" s="1"/>
  <c r="K79" i="42" a="1"/>
  <c r="K79" i="42" s="1"/>
  <c r="J79" i="42"/>
  <c r="I79" i="42"/>
  <c r="D79" i="42"/>
  <c r="C79" i="42"/>
  <c r="BZ78" i="42"/>
  <c r="BS78" i="42"/>
  <c r="BW78" i="42" s="1"/>
  <c r="BK78" i="42"/>
  <c r="AV78" i="42"/>
  <c r="AG78" i="42"/>
  <c r="Z78" i="42"/>
  <c r="Q78" i="42"/>
  <c r="J78" i="42"/>
  <c r="I78" i="42"/>
  <c r="D78" i="42"/>
  <c r="C78" i="42"/>
  <c r="BZ77" i="42"/>
  <c r="BK77" i="42"/>
  <c r="AV77" i="42"/>
  <c r="AG77" i="42"/>
  <c r="Z77" i="42"/>
  <c r="Q77" i="42"/>
  <c r="J77" i="42"/>
  <c r="I77" i="42"/>
  <c r="D77" i="42"/>
  <c r="C77" i="42"/>
  <c r="K77" i="42" s="1" a="1"/>
  <c r="K77" i="42" s="1"/>
  <c r="BZ76" i="42"/>
  <c r="BK76" i="42"/>
  <c r="AV76" i="42"/>
  <c r="AN76" i="42"/>
  <c r="AR76" i="42" s="1"/>
  <c r="AG76" i="42"/>
  <c r="Z76" i="42"/>
  <c r="Q76" i="42"/>
  <c r="J76" i="42"/>
  <c r="I76" i="42"/>
  <c r="D76" i="42"/>
  <c r="C76" i="42"/>
  <c r="BZ75" i="42"/>
  <c r="BK75" i="42"/>
  <c r="AV75" i="42"/>
  <c r="AG75" i="42"/>
  <c r="Z75" i="42"/>
  <c r="Q75" i="42"/>
  <c r="L75" i="42" a="1"/>
  <c r="L75" i="42" s="1"/>
  <c r="K75" i="42" a="1"/>
  <c r="K75" i="42" s="1"/>
  <c r="J75" i="42"/>
  <c r="I75" i="42"/>
  <c r="D75" i="42"/>
  <c r="C75" i="42"/>
  <c r="BZ74" i="42"/>
  <c r="BR74" i="42"/>
  <c r="BV74" i="42" s="1"/>
  <c r="BK74" i="42"/>
  <c r="AV74" i="42"/>
  <c r="AG74" i="42"/>
  <c r="Z74" i="42"/>
  <c r="Q74" i="42"/>
  <c r="K74" i="42" a="1"/>
  <c r="K74" i="42" s="1"/>
  <c r="J74" i="42"/>
  <c r="I74" i="42"/>
  <c r="D74" i="42"/>
  <c r="C74" i="42"/>
  <c r="L74" i="42" s="1" a="1"/>
  <c r="L74" i="42" s="1"/>
  <c r="BZ73" i="42"/>
  <c r="BS73" i="42"/>
  <c r="BW73" i="42" s="1"/>
  <c r="BK73" i="42"/>
  <c r="AV73" i="42"/>
  <c r="AN73" i="42"/>
  <c r="AR73" i="42" s="1"/>
  <c r="AG73" i="42"/>
  <c r="Z73" i="42"/>
  <c r="Q73" i="42"/>
  <c r="J73" i="42"/>
  <c r="I73" i="42"/>
  <c r="D73" i="42"/>
  <c r="C73" i="42"/>
  <c r="K73" i="42" s="1" a="1"/>
  <c r="K73" i="42" s="1"/>
  <c r="BZ72" i="42"/>
  <c r="BK72" i="42"/>
  <c r="AV72" i="42"/>
  <c r="AG72" i="42"/>
  <c r="Z72" i="42"/>
  <c r="Q72" i="42"/>
  <c r="J72" i="42"/>
  <c r="I72" i="42"/>
  <c r="D72" i="42"/>
  <c r="C72" i="42"/>
  <c r="BZ71" i="42"/>
  <c r="BK71" i="42"/>
  <c r="AV71" i="42"/>
  <c r="AG71" i="42"/>
  <c r="Z71" i="42"/>
  <c r="Q71" i="42"/>
  <c r="J71" i="42"/>
  <c r="I71" i="42"/>
  <c r="D71" i="42"/>
  <c r="C71" i="42"/>
  <c r="BZ70" i="42"/>
  <c r="BK70" i="42"/>
  <c r="BC70" i="42"/>
  <c r="BG70" i="42" s="1"/>
  <c r="AV70" i="42"/>
  <c r="AG70" i="42"/>
  <c r="Z70" i="42"/>
  <c r="Q70" i="42"/>
  <c r="K70" i="42" a="1"/>
  <c r="K70" i="42" s="1"/>
  <c r="J70" i="42"/>
  <c r="I70" i="42"/>
  <c r="D70" i="42"/>
  <c r="C70" i="42"/>
  <c r="L70" i="42" s="1" a="1"/>
  <c r="L70" i="42" s="1"/>
  <c r="BZ69" i="42"/>
  <c r="BK69" i="42"/>
  <c r="AV69" i="42"/>
  <c r="AO69" i="42"/>
  <c r="AS69" i="42" s="1"/>
  <c r="AG69" i="42"/>
  <c r="Z69" i="42"/>
  <c r="Q69" i="42"/>
  <c r="J69" i="42"/>
  <c r="I69" i="42"/>
  <c r="D69" i="42"/>
  <c r="C69" i="42"/>
  <c r="BZ68" i="42"/>
  <c r="BK68" i="42"/>
  <c r="AV68" i="42"/>
  <c r="AG68" i="42"/>
  <c r="Z68" i="42"/>
  <c r="Q68" i="42"/>
  <c r="L68" i="42" a="1"/>
  <c r="L68" i="42" s="1"/>
  <c r="K68" i="42" a="1"/>
  <c r="K68" i="42" s="1"/>
  <c r="J68" i="42"/>
  <c r="I68" i="42"/>
  <c r="D68" i="42"/>
  <c r="C68" i="42"/>
  <c r="BZ67" i="42"/>
  <c r="BR67" i="42"/>
  <c r="BV67" i="42" s="1"/>
  <c r="BK67" i="42"/>
  <c r="AV67" i="42"/>
  <c r="AG67" i="42"/>
  <c r="Z67" i="42"/>
  <c r="Q67" i="42"/>
  <c r="J67" i="42"/>
  <c r="I67" i="42"/>
  <c r="D67" i="42"/>
  <c r="C67" i="42"/>
  <c r="BZ66" i="42"/>
  <c r="BS66" i="42"/>
  <c r="BW66" i="42" s="1"/>
  <c r="BK66" i="42"/>
  <c r="AV66" i="42"/>
  <c r="AG66" i="42"/>
  <c r="Z66" i="42"/>
  <c r="Q66" i="42"/>
  <c r="J66" i="42"/>
  <c r="I66" i="42"/>
  <c r="D66" i="42"/>
  <c r="C66" i="42"/>
  <c r="L66" i="42" s="1" a="1"/>
  <c r="L66" i="42" s="1"/>
  <c r="BZ65" i="42"/>
  <c r="BK65" i="42"/>
  <c r="BC65" i="42"/>
  <c r="BG65" i="42" s="1"/>
  <c r="AV65" i="42"/>
  <c r="AG65" i="42"/>
  <c r="Z65" i="42"/>
  <c r="Q65" i="42"/>
  <c r="J65" i="42"/>
  <c r="I65" i="42"/>
  <c r="D65" i="42"/>
  <c r="C65" i="42"/>
  <c r="L65" i="42" s="1" a="1"/>
  <c r="L65" i="42" s="1"/>
  <c r="BZ64" i="42"/>
  <c r="BK64" i="42"/>
  <c r="AV64" i="42"/>
  <c r="AG64" i="42"/>
  <c r="Z64" i="42"/>
  <c r="Q64" i="42"/>
  <c r="L64" i="42" a="1"/>
  <c r="L64" i="42" s="1"/>
  <c r="K64" i="42" a="1"/>
  <c r="K64" i="42" s="1"/>
  <c r="J64" i="42"/>
  <c r="I64" i="42"/>
  <c r="D64" i="42"/>
  <c r="C64" i="42"/>
  <c r="BZ63" i="42"/>
  <c r="BR63" i="42"/>
  <c r="BV63" i="42" s="1"/>
  <c r="BK63" i="42"/>
  <c r="AV63" i="42"/>
  <c r="AG63" i="42"/>
  <c r="Z63" i="42"/>
  <c r="Q63" i="42"/>
  <c r="J63" i="42"/>
  <c r="I63" i="42"/>
  <c r="D63" i="42"/>
  <c r="C63" i="42"/>
  <c r="K63" i="42" s="1" a="1"/>
  <c r="K63" i="42" s="1"/>
  <c r="BZ62" i="42"/>
  <c r="BR62" i="42"/>
  <c r="BV62" i="42" s="1"/>
  <c r="BK62" i="42"/>
  <c r="AV62" i="42"/>
  <c r="AO62" i="42"/>
  <c r="AS62" i="42" s="1"/>
  <c r="AG62" i="42"/>
  <c r="Z62" i="42"/>
  <c r="Q62" i="42"/>
  <c r="J62" i="42"/>
  <c r="I62" i="42"/>
  <c r="D62" i="42"/>
  <c r="C62" i="42"/>
  <c r="BZ61" i="42"/>
  <c r="BK61" i="42"/>
  <c r="BC61" i="42"/>
  <c r="BG61" i="42" s="1"/>
  <c r="AV61" i="42"/>
  <c r="AO61" i="42"/>
  <c r="AS61" i="42" s="1"/>
  <c r="AG61" i="42"/>
  <c r="Z61" i="42"/>
  <c r="Q61" i="42"/>
  <c r="J61" i="42"/>
  <c r="I61" i="42"/>
  <c r="D61" i="42"/>
  <c r="C61" i="42"/>
  <c r="L61" i="42" s="1" a="1"/>
  <c r="L61" i="42" s="1"/>
  <c r="BZ60" i="42"/>
  <c r="BK60" i="42"/>
  <c r="AV60" i="42"/>
  <c r="AG60" i="42"/>
  <c r="Z60" i="42"/>
  <c r="Q60" i="42"/>
  <c r="L60" i="42" a="1"/>
  <c r="L60" i="42" s="1"/>
  <c r="K60" i="42" a="1"/>
  <c r="K60" i="42" s="1"/>
  <c r="J60" i="42"/>
  <c r="I60" i="42"/>
  <c r="D60" i="42"/>
  <c r="C60" i="42"/>
  <c r="BZ59" i="42"/>
  <c r="BK59" i="42"/>
  <c r="AV59" i="42"/>
  <c r="AN59" i="42"/>
  <c r="AR59" i="42" s="1"/>
  <c r="AG59" i="42"/>
  <c r="Z59" i="42"/>
  <c r="Q59" i="42"/>
  <c r="J59" i="42"/>
  <c r="I59" i="42"/>
  <c r="D59" i="42"/>
  <c r="C59" i="42"/>
  <c r="K59" i="42" s="1" a="1"/>
  <c r="K59" i="42" s="1"/>
  <c r="BZ58" i="42"/>
  <c r="BK58" i="42"/>
  <c r="BC58" i="42"/>
  <c r="BG58" i="42" s="1"/>
  <c r="AV58" i="42"/>
  <c r="AG58" i="42"/>
  <c r="Z58" i="42"/>
  <c r="Q58" i="42"/>
  <c r="J58" i="42"/>
  <c r="I58" i="42"/>
  <c r="D58" i="42"/>
  <c r="C58" i="42"/>
  <c r="BZ57" i="42"/>
  <c r="BK57" i="42"/>
  <c r="BC57" i="42"/>
  <c r="BG57" i="42" s="1"/>
  <c r="AV57" i="42"/>
  <c r="AN57" i="42"/>
  <c r="AR57" i="42" s="1"/>
  <c r="AG57" i="42"/>
  <c r="Z57" i="42"/>
  <c r="Q57" i="42"/>
  <c r="J57" i="42"/>
  <c r="I57" i="42"/>
  <c r="D57" i="42"/>
  <c r="C57" i="42"/>
  <c r="L57" i="42" s="1" a="1"/>
  <c r="L57" i="42" s="1"/>
  <c r="BZ56" i="42"/>
  <c r="BK56" i="42"/>
  <c r="AV56" i="42"/>
  <c r="AO56" i="42"/>
  <c r="AS56" i="42" s="1"/>
  <c r="AG56" i="42"/>
  <c r="Z56" i="42"/>
  <c r="Q56" i="42"/>
  <c r="L56" i="42" a="1"/>
  <c r="L56" i="42" s="1"/>
  <c r="K56" i="42" a="1"/>
  <c r="K56" i="42" s="1"/>
  <c r="J56" i="42"/>
  <c r="I56" i="42"/>
  <c r="D56" i="42"/>
  <c r="C56" i="42"/>
  <c r="BZ55" i="42"/>
  <c r="BK55" i="42"/>
  <c r="AV55" i="42"/>
  <c r="AG55" i="42"/>
  <c r="Z55" i="42"/>
  <c r="Q55" i="42"/>
  <c r="K55" i="42" a="1"/>
  <c r="K55" i="42" s="1"/>
  <c r="J55" i="42"/>
  <c r="I55" i="42"/>
  <c r="D55" i="42"/>
  <c r="C55" i="42"/>
  <c r="BZ54" i="42"/>
  <c r="BK54" i="42"/>
  <c r="AV54" i="42"/>
  <c r="AG54" i="42"/>
  <c r="Z54" i="42"/>
  <c r="Q54" i="42"/>
  <c r="J54" i="42"/>
  <c r="I54" i="42"/>
  <c r="D54" i="42"/>
  <c r="C54" i="42"/>
  <c r="BZ53" i="42"/>
  <c r="BS53" i="42"/>
  <c r="BW53" i="42" s="1"/>
  <c r="BK53" i="42"/>
  <c r="AV53" i="42"/>
  <c r="AO53" i="42"/>
  <c r="AS53" i="42" s="1"/>
  <c r="AG53" i="42"/>
  <c r="Z53" i="42"/>
  <c r="Q53" i="42"/>
  <c r="J53" i="42"/>
  <c r="I53" i="42"/>
  <c r="D53" i="42"/>
  <c r="C53" i="42"/>
  <c r="BZ52" i="42"/>
  <c r="BK52" i="42"/>
  <c r="AV52" i="42"/>
  <c r="AG52" i="42"/>
  <c r="Z52" i="42"/>
  <c r="Q52" i="42"/>
  <c r="K52" i="42" a="1"/>
  <c r="K52" i="42" s="1"/>
  <c r="J52" i="42"/>
  <c r="I52" i="42"/>
  <c r="D52" i="42"/>
  <c r="C52" i="42"/>
  <c r="L52" i="42" s="1" a="1"/>
  <c r="L52" i="42" s="1"/>
  <c r="BZ51" i="42"/>
  <c r="BK51" i="42"/>
  <c r="AV51" i="42"/>
  <c r="AG51" i="42"/>
  <c r="Z51" i="42"/>
  <c r="Q51" i="42"/>
  <c r="J51" i="42"/>
  <c r="I51" i="42"/>
  <c r="D51" i="42"/>
  <c r="C51" i="42"/>
  <c r="BZ50" i="42"/>
  <c r="BK50" i="42"/>
  <c r="AV50" i="42"/>
  <c r="AN50" i="42"/>
  <c r="AR50" i="42" s="1"/>
  <c r="AG50" i="42"/>
  <c r="Z50" i="42"/>
  <c r="Q50" i="42"/>
  <c r="J50" i="42"/>
  <c r="I50" i="42"/>
  <c r="D50" i="42"/>
  <c r="C50" i="42"/>
  <c r="BZ49" i="42"/>
  <c r="BK49" i="42"/>
  <c r="BC49" i="42"/>
  <c r="BG49" i="42" s="1"/>
  <c r="AV49" i="42"/>
  <c r="AG49" i="42"/>
  <c r="Z49" i="42"/>
  <c r="Q49" i="42"/>
  <c r="L49" i="42" a="1"/>
  <c r="L49" i="42" s="1"/>
  <c r="K49" i="42" a="1"/>
  <c r="K49" i="42" s="1"/>
  <c r="J49" i="42"/>
  <c r="I49" i="42"/>
  <c r="D49" i="42"/>
  <c r="C49" i="42"/>
  <c r="BZ48" i="42"/>
  <c r="BS48" i="42"/>
  <c r="BW48" i="42" s="1"/>
  <c r="BK48" i="42"/>
  <c r="AV48" i="42"/>
  <c r="AG48" i="42"/>
  <c r="Z48" i="42"/>
  <c r="Q48" i="42"/>
  <c r="J48" i="42"/>
  <c r="I48" i="42"/>
  <c r="D48" i="42"/>
  <c r="C48" i="42"/>
  <c r="BZ47" i="42"/>
  <c r="BK47" i="42"/>
  <c r="AV47" i="42"/>
  <c r="AO47" i="42"/>
  <c r="AS47" i="42" s="1"/>
  <c r="AG47" i="42"/>
  <c r="Z47" i="42"/>
  <c r="Q47" i="42"/>
  <c r="J47" i="42"/>
  <c r="I47" i="42"/>
  <c r="D47" i="42"/>
  <c r="C47" i="42"/>
  <c r="BZ46" i="42"/>
  <c r="BK46" i="42"/>
  <c r="AV46" i="42"/>
  <c r="AG46" i="42"/>
  <c r="Z46" i="42"/>
  <c r="Q46" i="42"/>
  <c r="L46" i="42" a="1"/>
  <c r="L46" i="42" s="1"/>
  <c r="J46" i="42"/>
  <c r="I46" i="42"/>
  <c r="D46" i="42"/>
  <c r="C46" i="42"/>
  <c r="K46" i="42" s="1" a="1"/>
  <c r="K46" i="42" s="1"/>
  <c r="BZ45" i="42"/>
  <c r="BK45" i="42"/>
  <c r="BC45" i="42"/>
  <c r="BG45" i="42" s="1"/>
  <c r="AV45" i="42"/>
  <c r="AN45" i="42"/>
  <c r="AR45" i="42" s="1"/>
  <c r="AG45" i="42"/>
  <c r="Z45" i="42"/>
  <c r="Q45" i="42"/>
  <c r="J45" i="42"/>
  <c r="I45" i="42"/>
  <c r="D45" i="42"/>
  <c r="C45" i="42"/>
  <c r="K45" i="42" s="1" a="1"/>
  <c r="K45" i="42" s="1"/>
  <c r="BZ44" i="42"/>
  <c r="BK44" i="42"/>
  <c r="BC44" i="42"/>
  <c r="BG44" i="42" s="1"/>
  <c r="AV44" i="42"/>
  <c r="AN44" i="42"/>
  <c r="AR44" i="42" s="1"/>
  <c r="AG44" i="42"/>
  <c r="Z44" i="42"/>
  <c r="Q44" i="42"/>
  <c r="J44" i="42"/>
  <c r="I44" i="42"/>
  <c r="D44" i="42"/>
  <c r="C44" i="42"/>
  <c r="BZ43" i="42"/>
  <c r="BK43" i="42"/>
  <c r="AV43" i="42"/>
  <c r="AG43" i="42"/>
  <c r="Z43" i="42"/>
  <c r="Q43" i="42"/>
  <c r="L43" i="42" a="1"/>
  <c r="L43" i="42" s="1"/>
  <c r="J43" i="42"/>
  <c r="I43" i="42"/>
  <c r="D43" i="42"/>
  <c r="C43" i="42"/>
  <c r="K43" i="42" s="1" a="1"/>
  <c r="K43" i="42" s="1"/>
  <c r="BZ42" i="42"/>
  <c r="BK42" i="42"/>
  <c r="BC42" i="42"/>
  <c r="BG42" i="42" s="1"/>
  <c r="AV42" i="42"/>
  <c r="AN42" i="42"/>
  <c r="AR42" i="42" s="1"/>
  <c r="AG42" i="42"/>
  <c r="Z42" i="42"/>
  <c r="Q42" i="42"/>
  <c r="K42" i="42" a="1"/>
  <c r="K42" i="42" s="1"/>
  <c r="J42" i="42"/>
  <c r="I42" i="42"/>
  <c r="D42" i="42"/>
  <c r="C42" i="42"/>
  <c r="L42" i="42" s="1" a="1"/>
  <c r="L42" i="42" s="1"/>
  <c r="BZ41" i="42"/>
  <c r="BR41" i="42"/>
  <c r="BV41" i="42" s="1"/>
  <c r="BK41" i="42"/>
  <c r="BD41" i="42"/>
  <c r="BH41" i="42" s="1"/>
  <c r="AV41" i="42"/>
  <c r="AG41" i="42"/>
  <c r="Z41" i="42"/>
  <c r="Q41" i="42"/>
  <c r="L41" i="42" a="1"/>
  <c r="L41" i="42" s="1"/>
  <c r="J41" i="42"/>
  <c r="I41" i="42"/>
  <c r="D41" i="42"/>
  <c r="C41" i="42"/>
  <c r="K41" i="42" s="1" a="1"/>
  <c r="K41" i="42" s="1"/>
  <c r="BZ40" i="42"/>
  <c r="BR40" i="42"/>
  <c r="BV40" i="42" s="1"/>
  <c r="BK40" i="42"/>
  <c r="AV40" i="42"/>
  <c r="AO40" i="42"/>
  <c r="AS40" i="42" s="1"/>
  <c r="AG40" i="42"/>
  <c r="Z40" i="42"/>
  <c r="Q40" i="42"/>
  <c r="J40" i="42"/>
  <c r="I40" i="42"/>
  <c r="D40" i="42"/>
  <c r="C40" i="42"/>
  <c r="BZ39" i="42"/>
  <c r="BK39" i="42"/>
  <c r="AV39" i="42"/>
  <c r="AO39" i="42"/>
  <c r="AS39" i="42" s="1"/>
  <c r="AG39" i="42"/>
  <c r="Z39" i="42"/>
  <c r="Q39" i="42"/>
  <c r="L39" i="42" a="1"/>
  <c r="L39" i="42" s="1"/>
  <c r="J39" i="42"/>
  <c r="I39" i="42"/>
  <c r="D39" i="42"/>
  <c r="C39" i="42"/>
  <c r="K39" i="42" s="1" a="1"/>
  <c r="K39" i="42" s="1"/>
  <c r="BZ38" i="42"/>
  <c r="BR38" i="42"/>
  <c r="BV38" i="42" s="1"/>
  <c r="BK38" i="42"/>
  <c r="BC38" i="42"/>
  <c r="BG38" i="42" s="1"/>
  <c r="AV38" i="42"/>
  <c r="AG38" i="42"/>
  <c r="Z38" i="42"/>
  <c r="Q38" i="42"/>
  <c r="L38" i="42" a="1"/>
  <c r="L38" i="42" s="1"/>
  <c r="K38" i="42" a="1"/>
  <c r="K38" i="42" s="1"/>
  <c r="J38" i="42"/>
  <c r="I38" i="42"/>
  <c r="D38" i="42"/>
  <c r="C38" i="42"/>
  <c r="BZ37" i="42"/>
  <c r="BS37" i="42"/>
  <c r="BW37" i="42" s="1"/>
  <c r="BK37" i="42"/>
  <c r="AV37" i="42"/>
  <c r="AG37" i="42"/>
  <c r="Z37" i="42"/>
  <c r="Q37" i="42"/>
  <c r="J37" i="42"/>
  <c r="I37" i="42"/>
  <c r="D37" i="42"/>
  <c r="C37" i="42"/>
  <c r="L37" i="42" s="1" a="1"/>
  <c r="L37" i="42" s="1"/>
  <c r="BZ36" i="42"/>
  <c r="BK36" i="42"/>
  <c r="AV36" i="42"/>
  <c r="AG36" i="42"/>
  <c r="Z36" i="42"/>
  <c r="Q36" i="42"/>
  <c r="J36" i="42"/>
  <c r="I36" i="42"/>
  <c r="D36" i="42"/>
  <c r="C36" i="42"/>
  <c r="L36" i="42" s="1" a="1"/>
  <c r="L36" i="42" s="1"/>
  <c r="BZ35" i="42"/>
  <c r="BK35" i="42"/>
  <c r="AV35" i="42"/>
  <c r="AO35" i="42"/>
  <c r="AS35" i="42" s="1"/>
  <c r="AG35" i="42"/>
  <c r="Z35" i="42"/>
  <c r="Q35" i="42"/>
  <c r="J35" i="42"/>
  <c r="I35" i="42"/>
  <c r="D35" i="42"/>
  <c r="C35" i="42"/>
  <c r="K35" i="42" s="1" a="1"/>
  <c r="K35" i="42" s="1"/>
  <c r="BZ34" i="42"/>
  <c r="BS34" i="42"/>
  <c r="BW34" i="42" s="1"/>
  <c r="BK34" i="42"/>
  <c r="AV34" i="42"/>
  <c r="AG34" i="42"/>
  <c r="Z34" i="42"/>
  <c r="Q34" i="42"/>
  <c r="J34" i="42"/>
  <c r="I34" i="42"/>
  <c r="D34" i="42"/>
  <c r="C34" i="42"/>
  <c r="L34" i="42" s="1" a="1"/>
  <c r="L34" i="42" s="1"/>
  <c r="BZ33" i="42"/>
  <c r="BK33" i="42"/>
  <c r="BD33" i="42"/>
  <c r="BH33" i="42" s="1"/>
  <c r="AV33" i="42"/>
  <c r="AO33" i="42"/>
  <c r="AS33" i="42" s="1"/>
  <c r="AG33" i="42"/>
  <c r="Z33" i="42"/>
  <c r="Q33" i="42"/>
  <c r="L33" i="42" a="1"/>
  <c r="L33" i="42" s="1"/>
  <c r="J33" i="42"/>
  <c r="I33" i="42"/>
  <c r="D33" i="42"/>
  <c r="C33" i="42"/>
  <c r="K33" i="42" s="1" a="1"/>
  <c r="K33" i="42" s="1"/>
  <c r="BZ32" i="42"/>
  <c r="BS32" i="42"/>
  <c r="BW32" i="42" s="1"/>
  <c r="BK32" i="42"/>
  <c r="AV32" i="42"/>
  <c r="AN32" i="42"/>
  <c r="AR32" i="42" s="1"/>
  <c r="AG32" i="42"/>
  <c r="Z32" i="42"/>
  <c r="Q32" i="42"/>
  <c r="J32" i="42"/>
  <c r="I32" i="42"/>
  <c r="D32" i="42"/>
  <c r="C32" i="42"/>
  <c r="K32" i="42" s="1" a="1"/>
  <c r="K32" i="42" s="1"/>
  <c r="BZ31" i="42"/>
  <c r="BK31" i="42"/>
  <c r="AV31" i="42"/>
  <c r="AG31" i="42"/>
  <c r="Z31" i="42"/>
  <c r="Q31" i="42"/>
  <c r="J31" i="42"/>
  <c r="I31" i="42"/>
  <c r="D31" i="42"/>
  <c r="C31" i="42"/>
  <c r="K31" i="42" s="1" a="1"/>
  <c r="K31" i="42" s="1"/>
  <c r="BZ30" i="42"/>
  <c r="BK30" i="42"/>
  <c r="BC30" i="42"/>
  <c r="BG30" i="42" s="1"/>
  <c r="AV30" i="42"/>
  <c r="AN30" i="42"/>
  <c r="AR30" i="42" s="1"/>
  <c r="AG30" i="42"/>
  <c r="Z30" i="42"/>
  <c r="Q30" i="42"/>
  <c r="J30" i="42"/>
  <c r="I30" i="42"/>
  <c r="D30" i="42"/>
  <c r="C30" i="42"/>
  <c r="BZ29" i="42"/>
  <c r="BK29" i="42"/>
  <c r="BD29" i="42"/>
  <c r="BH29" i="42" s="1"/>
  <c r="AV29" i="42"/>
  <c r="AO29" i="42"/>
  <c r="AS29" i="42" s="1"/>
  <c r="AG29" i="42"/>
  <c r="Z29" i="42"/>
  <c r="Q29" i="42"/>
  <c r="L29" i="42" a="1"/>
  <c r="L29" i="42" s="1"/>
  <c r="J29" i="42"/>
  <c r="I29" i="42"/>
  <c r="D29" i="42"/>
  <c r="C29" i="42"/>
  <c r="K29" i="42" s="1" a="1"/>
  <c r="K29" i="42" s="1"/>
  <c r="BZ28" i="42"/>
  <c r="BK28" i="42"/>
  <c r="AV28" i="42"/>
  <c r="AN28" i="42"/>
  <c r="AR28" i="42" s="1"/>
  <c r="AG28" i="42"/>
  <c r="Z28" i="42"/>
  <c r="Q28" i="42"/>
  <c r="J28" i="42"/>
  <c r="I28" i="42"/>
  <c r="D28" i="42"/>
  <c r="C28" i="42"/>
  <c r="L28" i="42" s="1" a="1"/>
  <c r="L28" i="42" s="1"/>
  <c r="BZ27" i="42"/>
  <c r="BK27" i="42"/>
  <c r="BC27" i="42"/>
  <c r="BG27" i="42" s="1"/>
  <c r="AV27" i="42"/>
  <c r="AO27" i="42"/>
  <c r="AS27" i="42" s="1"/>
  <c r="AG27" i="42"/>
  <c r="Z27" i="42"/>
  <c r="Q27" i="42"/>
  <c r="L27" i="42" a="1"/>
  <c r="L27" i="42" s="1"/>
  <c r="J27" i="42"/>
  <c r="I27" i="42"/>
  <c r="D27" i="42"/>
  <c r="C27" i="42"/>
  <c r="K27" i="42" s="1" a="1"/>
  <c r="K27" i="42" s="1"/>
  <c r="BZ26" i="42"/>
  <c r="BS26" i="42"/>
  <c r="BW26" i="42" s="1"/>
  <c r="BK26" i="42"/>
  <c r="BD26" i="42"/>
  <c r="BH26" i="42" s="1"/>
  <c r="AV26" i="42"/>
  <c r="AN26" i="42"/>
  <c r="AR26" i="42" s="1"/>
  <c r="AG26" i="42"/>
  <c r="Z26" i="42"/>
  <c r="Q26" i="42"/>
  <c r="J26" i="42"/>
  <c r="I26" i="42"/>
  <c r="D26" i="42"/>
  <c r="C26" i="42"/>
  <c r="BZ25" i="42"/>
  <c r="BR25" i="42"/>
  <c r="BV25" i="42" s="1"/>
  <c r="BK25" i="42"/>
  <c r="AV25" i="42"/>
  <c r="AO25" i="42"/>
  <c r="AS25" i="42" s="1"/>
  <c r="AG25" i="42"/>
  <c r="Z25" i="42"/>
  <c r="Q25" i="42"/>
  <c r="L25" i="42" a="1"/>
  <c r="L25" i="42" s="1"/>
  <c r="J25" i="42"/>
  <c r="I25" i="42"/>
  <c r="D25" i="42"/>
  <c r="C25" i="42"/>
  <c r="K25" i="42" s="1" a="1"/>
  <c r="K25" i="42" s="1"/>
  <c r="BZ24" i="42"/>
  <c r="BK24" i="42"/>
  <c r="BC24" i="42"/>
  <c r="BG24" i="42" s="1"/>
  <c r="AV24" i="42"/>
  <c r="AN24" i="42"/>
  <c r="AR24" i="42" s="1"/>
  <c r="AG24" i="42"/>
  <c r="Z24" i="42"/>
  <c r="Q24" i="42"/>
  <c r="J24" i="42"/>
  <c r="I24" i="42"/>
  <c r="D24" i="42"/>
  <c r="C24" i="42"/>
  <c r="L24" i="42" s="1" a="1"/>
  <c r="L24" i="42" s="1"/>
  <c r="BZ23" i="42"/>
  <c r="BK23" i="42"/>
  <c r="AV23" i="42"/>
  <c r="AG23" i="42"/>
  <c r="Z23" i="42"/>
  <c r="Q23" i="42"/>
  <c r="L23" i="42" a="1"/>
  <c r="L23" i="42" s="1"/>
  <c r="J23" i="42"/>
  <c r="I23" i="42"/>
  <c r="D23" i="42"/>
  <c r="C23" i="42"/>
  <c r="K23" i="42" s="1" a="1"/>
  <c r="K23" i="42" s="1"/>
  <c r="BZ22" i="42"/>
  <c r="BK22" i="42"/>
  <c r="AV22" i="42"/>
  <c r="AG22" i="42"/>
  <c r="Z22" i="42"/>
  <c r="Q22" i="42"/>
  <c r="J22" i="42"/>
  <c r="I22" i="42"/>
  <c r="D22" i="42"/>
  <c r="C22" i="42"/>
  <c r="K22" i="42" s="1" a="1"/>
  <c r="K22" i="42" s="1"/>
  <c r="BZ21" i="42"/>
  <c r="BS21" i="42"/>
  <c r="BW21" i="42" s="1"/>
  <c r="BK21" i="42"/>
  <c r="AV21" i="42"/>
  <c r="AN21" i="42"/>
  <c r="AR21" i="42" s="1"/>
  <c r="AG21" i="42"/>
  <c r="Z21" i="42"/>
  <c r="Q21" i="42"/>
  <c r="L21" i="42" a="1"/>
  <c r="L21" i="42" s="1"/>
  <c r="K21" i="42" a="1"/>
  <c r="K21" i="42" s="1"/>
  <c r="J21" i="42"/>
  <c r="I21" i="42"/>
  <c r="D21" i="42"/>
  <c r="C21" i="42"/>
  <c r="BZ20" i="42"/>
  <c r="BS20" i="42"/>
  <c r="BW20" i="42" s="1"/>
  <c r="BK20" i="42"/>
  <c r="AV20" i="42"/>
  <c r="AG20" i="42"/>
  <c r="Z20" i="42"/>
  <c r="Y20" i="42"/>
  <c r="X20" i="42"/>
  <c r="Q20" i="42"/>
  <c r="K20" i="42" a="1"/>
  <c r="K20" i="42" s="1"/>
  <c r="J20" i="42"/>
  <c r="I20" i="42"/>
  <c r="D20" i="42"/>
  <c r="C20" i="42"/>
  <c r="L20" i="42" s="1" a="1"/>
  <c r="L20" i="42" s="1"/>
  <c r="BZ19" i="42"/>
  <c r="BK19" i="42"/>
  <c r="AV19" i="42"/>
  <c r="AR19" i="42"/>
  <c r="AN19" i="42"/>
  <c r="AG19" i="42"/>
  <c r="Z19" i="42"/>
  <c r="Y19" i="42"/>
  <c r="X19" i="42"/>
  <c r="Q19" i="42"/>
  <c r="L19" i="42" a="1"/>
  <c r="L19" i="42" s="1"/>
  <c r="J19" i="42"/>
  <c r="I19" i="42"/>
  <c r="D19" i="42"/>
  <c r="C19" i="42"/>
  <c r="K19" i="42" s="1" a="1"/>
  <c r="K19" i="42" s="1"/>
  <c r="BZ18" i="42"/>
  <c r="BK18" i="42"/>
  <c r="BH18" i="42"/>
  <c r="BG18" i="42"/>
  <c r="BD18" i="42"/>
  <c r="BC18" i="42"/>
  <c r="AV18" i="42"/>
  <c r="AS18" i="42"/>
  <c r="AR18" i="42"/>
  <c r="AO18" i="42"/>
  <c r="AN18" i="42"/>
  <c r="AG18" i="42"/>
  <c r="Z18" i="42"/>
  <c r="Q18" i="42"/>
  <c r="J18" i="42"/>
  <c r="I18" i="42"/>
  <c r="D18" i="42"/>
  <c r="C18" i="42"/>
  <c r="BZ17" i="42"/>
  <c r="BK17" i="42"/>
  <c r="BH17" i="42"/>
  <c r="BG17" i="42"/>
  <c r="BD17" i="42"/>
  <c r="BC17" i="42"/>
  <c r="AV17" i="42"/>
  <c r="AS17" i="42"/>
  <c r="AR17" i="42"/>
  <c r="AO17" i="42"/>
  <c r="AN17" i="42"/>
  <c r="AG17" i="42"/>
  <c r="Z17" i="42"/>
  <c r="X17" i="42"/>
  <c r="Q17" i="42"/>
  <c r="J17" i="42"/>
  <c r="I17" i="42"/>
  <c r="D17" i="42"/>
  <c r="C17" i="42"/>
  <c r="K17" i="42" s="1" a="1"/>
  <c r="K17" i="42" s="1"/>
  <c r="BZ16" i="42"/>
  <c r="BW16" i="42"/>
  <c r="BV16" i="42"/>
  <c r="BS16" i="42"/>
  <c r="BR16" i="42"/>
  <c r="BK16" i="42"/>
  <c r="BH16" i="42"/>
  <c r="BG16" i="42"/>
  <c r="BD16" i="42"/>
  <c r="BC16" i="42"/>
  <c r="AV16" i="42"/>
  <c r="AS16" i="42"/>
  <c r="AR16" i="42"/>
  <c r="AO16" i="42"/>
  <c r="AN16" i="42"/>
  <c r="AG16" i="42"/>
  <c r="Z16" i="42"/>
  <c r="Y16" i="42"/>
  <c r="Y15" i="42" s="1"/>
  <c r="X16" i="42"/>
  <c r="X15" i="42" s="1"/>
  <c r="Q16" i="42"/>
  <c r="J16" i="42"/>
  <c r="I16" i="42"/>
  <c r="D16" i="42"/>
  <c r="C16" i="42"/>
  <c r="BZ15" i="42"/>
  <c r="BW15" i="42"/>
  <c r="BV15" i="42"/>
  <c r="BS15" i="42"/>
  <c r="BR15" i="42"/>
  <c r="BK15" i="42"/>
  <c r="BH15" i="42"/>
  <c r="BG15" i="42"/>
  <c r="BD15" i="42"/>
  <c r="BC15" i="42"/>
  <c r="AV15" i="42"/>
  <c r="AS15" i="42"/>
  <c r="AR15" i="42"/>
  <c r="AO15" i="42"/>
  <c r="AN15" i="42"/>
  <c r="AG15" i="42"/>
  <c r="Z15" i="42"/>
  <c r="Q15" i="42"/>
  <c r="L15" i="42" a="1"/>
  <c r="L15" i="42" s="1"/>
  <c r="J15" i="42"/>
  <c r="I15" i="42"/>
  <c r="D15" i="42"/>
  <c r="C15" i="42"/>
  <c r="K15" i="42" s="1" a="1"/>
  <c r="K15" i="42" s="1"/>
  <c r="BU14" i="42"/>
  <c r="BT14" i="42"/>
  <c r="BQ14" i="42"/>
  <c r="BP14" i="42"/>
  <c r="BO14" i="42"/>
  <c r="BN14" i="42"/>
  <c r="BL14" i="42"/>
  <c r="BF14" i="42"/>
  <c r="BE14" i="42"/>
  <c r="BB14" i="42"/>
  <c r="BA14" i="42"/>
  <c r="AZ14" i="42"/>
  <c r="AY14" i="42"/>
  <c r="AW14" i="42"/>
  <c r="AQ14" i="42"/>
  <c r="AP14" i="42"/>
  <c r="AM14" i="42"/>
  <c r="AL14" i="42"/>
  <c r="AK14" i="42"/>
  <c r="AJ14" i="42"/>
  <c r="AH14" i="42"/>
  <c r="S14" i="42"/>
  <c r="R14" i="42"/>
  <c r="H14" i="42"/>
  <c r="G14" i="42"/>
  <c r="F14" i="42"/>
  <c r="U14" i="42" s="1"/>
  <c r="E14" i="42"/>
  <c r="T14" i="42" s="1"/>
  <c r="P3" i="42"/>
  <c r="BS114" i="42" s="1"/>
  <c r="BW114" i="42" s="1"/>
  <c r="B2" i="42" a="1"/>
  <c r="B2" i="42" s="1"/>
  <c r="A1" i="41"/>
  <c r="N3" i="41" s="1"/>
  <c r="BZ125" i="41"/>
  <c r="BW125" i="41"/>
  <c r="BV125" i="41"/>
  <c r="BS125" i="41"/>
  <c r="BR125" i="41"/>
  <c r="BK125" i="41"/>
  <c r="BH125" i="41"/>
  <c r="BG125" i="41"/>
  <c r="BD125" i="41"/>
  <c r="BC125" i="41"/>
  <c r="AV125" i="41"/>
  <c r="AS125" i="41"/>
  <c r="AR125" i="41"/>
  <c r="AO125" i="41"/>
  <c r="AN125" i="41"/>
  <c r="AG125" i="41"/>
  <c r="Z125" i="41"/>
  <c r="Q125" i="41"/>
  <c r="J125" i="41"/>
  <c r="I125" i="41"/>
  <c r="D125" i="41"/>
  <c r="C125" i="41"/>
  <c r="BZ124" i="41"/>
  <c r="BW124" i="41"/>
  <c r="BV124" i="41"/>
  <c r="BS124" i="41"/>
  <c r="BR124" i="41"/>
  <c r="BK124" i="41"/>
  <c r="BH124" i="41"/>
  <c r="BG124" i="41"/>
  <c r="BD124" i="41"/>
  <c r="BC124" i="41"/>
  <c r="AV124" i="41"/>
  <c r="AR124" i="41"/>
  <c r="AN124" i="41"/>
  <c r="AG124" i="41"/>
  <c r="Z124" i="41"/>
  <c r="Y124" i="41"/>
  <c r="X124" i="41"/>
  <c r="Q124" i="41"/>
  <c r="J124" i="41"/>
  <c r="I124" i="41"/>
  <c r="D124" i="41"/>
  <c r="C124" i="41"/>
  <c r="L124" i="41" s="1" a="1"/>
  <c r="L124" i="41" s="1"/>
  <c r="BZ123" i="41"/>
  <c r="BV123" i="41"/>
  <c r="BR123" i="41"/>
  <c r="BK123" i="41"/>
  <c r="BH123" i="41"/>
  <c r="AV123" i="41"/>
  <c r="AS123" i="41"/>
  <c r="AO123" i="41"/>
  <c r="AG123" i="41"/>
  <c r="Z123" i="41"/>
  <c r="Y123" i="41"/>
  <c r="X123" i="41"/>
  <c r="Q123" i="41"/>
  <c r="J123" i="41"/>
  <c r="I123" i="41"/>
  <c r="D123" i="41"/>
  <c r="C123" i="41"/>
  <c r="L123" i="41" s="1" a="1"/>
  <c r="L123" i="41" s="1"/>
  <c r="BZ122" i="41"/>
  <c r="BW122" i="41"/>
  <c r="BV122" i="41"/>
  <c r="BS122" i="41"/>
  <c r="BR122" i="41"/>
  <c r="BK122" i="41"/>
  <c r="BH122" i="41"/>
  <c r="BG122" i="41"/>
  <c r="BD122" i="41"/>
  <c r="BC122" i="41"/>
  <c r="AV122" i="41"/>
  <c r="AS122" i="41"/>
  <c r="AR122" i="41"/>
  <c r="AO122" i="41"/>
  <c r="AN122" i="41"/>
  <c r="AG122" i="41"/>
  <c r="Z122" i="41"/>
  <c r="Q122" i="41"/>
  <c r="J122" i="41"/>
  <c r="I122" i="41"/>
  <c r="D122" i="41"/>
  <c r="C122" i="41"/>
  <c r="L122" i="41" s="1" a="1"/>
  <c r="L122" i="41" s="1"/>
  <c r="BZ121" i="41"/>
  <c r="BW121" i="41"/>
  <c r="BV121" i="41"/>
  <c r="BS121" i="41"/>
  <c r="BR121" i="41"/>
  <c r="BK121" i="41"/>
  <c r="BH121" i="41"/>
  <c r="BG121" i="41"/>
  <c r="BD121" i="41"/>
  <c r="BC121" i="41"/>
  <c r="AV121" i="41"/>
  <c r="AS121" i="41"/>
  <c r="AR121" i="41"/>
  <c r="AO121" i="41"/>
  <c r="AN121" i="41"/>
  <c r="AG121" i="41"/>
  <c r="Z121" i="41"/>
  <c r="Q121" i="41"/>
  <c r="J121" i="41"/>
  <c r="I121" i="41"/>
  <c r="D121" i="41"/>
  <c r="C121" i="41"/>
  <c r="K121" i="41" s="1" a="1"/>
  <c r="K121" i="41" s="1"/>
  <c r="BZ120" i="41"/>
  <c r="BW120" i="41"/>
  <c r="BV120" i="41"/>
  <c r="BS120" i="41"/>
  <c r="BR120" i="41"/>
  <c r="BK120" i="41"/>
  <c r="BH120" i="41"/>
  <c r="BG120" i="41"/>
  <c r="BD120" i="41"/>
  <c r="BC120" i="41"/>
  <c r="AV120" i="41"/>
  <c r="AR120" i="41"/>
  <c r="AN120" i="41"/>
  <c r="AG120" i="41"/>
  <c r="Z120" i="41"/>
  <c r="Y120" i="41"/>
  <c r="X120" i="41"/>
  <c r="Q120" i="41"/>
  <c r="J120" i="41"/>
  <c r="I120" i="41"/>
  <c r="D120" i="41"/>
  <c r="C120" i="41"/>
  <c r="BZ119" i="41"/>
  <c r="BV119" i="41"/>
  <c r="BR119" i="41"/>
  <c r="BK119" i="41"/>
  <c r="BH119" i="41"/>
  <c r="AV119" i="41"/>
  <c r="AS119" i="41"/>
  <c r="AR119" i="41"/>
  <c r="AO119" i="41"/>
  <c r="AG119" i="41"/>
  <c r="Z119" i="41"/>
  <c r="Y119" i="41"/>
  <c r="X119" i="41"/>
  <c r="Q119" i="41"/>
  <c r="J119" i="41"/>
  <c r="I119" i="41"/>
  <c r="D119" i="41"/>
  <c r="C119" i="41"/>
  <c r="L119" i="41" s="1" a="1"/>
  <c r="L119" i="41" s="1"/>
  <c r="BZ118" i="41"/>
  <c r="BW118" i="41"/>
  <c r="BV118" i="41"/>
  <c r="BS118" i="41"/>
  <c r="BR118" i="41"/>
  <c r="BK118" i="41"/>
  <c r="BH118" i="41"/>
  <c r="BG118" i="41"/>
  <c r="BD118" i="41"/>
  <c r="BC118" i="41"/>
  <c r="AV118" i="41"/>
  <c r="AS118" i="41"/>
  <c r="AR118" i="41"/>
  <c r="AO118" i="41"/>
  <c r="AN118" i="41"/>
  <c r="AG118" i="41"/>
  <c r="Z118" i="41"/>
  <c r="Q118" i="41"/>
  <c r="K118" i="41" a="1"/>
  <c r="K118" i="41" s="1"/>
  <c r="J118" i="41"/>
  <c r="I118" i="41"/>
  <c r="D118" i="41"/>
  <c r="C118" i="41"/>
  <c r="L118" i="41" s="1" a="1"/>
  <c r="L118" i="41" s="1"/>
  <c r="BZ117" i="41"/>
  <c r="BW117" i="41"/>
  <c r="BV117" i="41"/>
  <c r="BS117" i="41"/>
  <c r="BR117" i="41"/>
  <c r="BK117" i="41"/>
  <c r="BH117" i="41"/>
  <c r="BG117" i="41"/>
  <c r="BD117" i="41"/>
  <c r="BC117" i="41"/>
  <c r="AV117" i="41"/>
  <c r="AS117" i="41"/>
  <c r="AR117" i="41"/>
  <c r="AO117" i="41"/>
  <c r="AN117" i="41"/>
  <c r="AG117" i="41"/>
  <c r="Z117" i="41"/>
  <c r="Q117" i="41"/>
  <c r="L117" i="41" a="1"/>
  <c r="L117" i="41" s="1"/>
  <c r="J117" i="41"/>
  <c r="I117" i="41"/>
  <c r="D117" i="41"/>
  <c r="C117" i="41"/>
  <c r="K117" i="41" s="1" a="1"/>
  <c r="K117" i="41" s="1"/>
  <c r="BZ116" i="41"/>
  <c r="BW116" i="41"/>
  <c r="BV116" i="41"/>
  <c r="BS116" i="41"/>
  <c r="BR116" i="41"/>
  <c r="BK116" i="41"/>
  <c r="BH116" i="41"/>
  <c r="BG116" i="41"/>
  <c r="BD116" i="41"/>
  <c r="BC116" i="41"/>
  <c r="AV116" i="41"/>
  <c r="AS116" i="41"/>
  <c r="AR116" i="41"/>
  <c r="AN116" i="41"/>
  <c r="AG116" i="41"/>
  <c r="Z116" i="41"/>
  <c r="Y116" i="41"/>
  <c r="X116" i="41"/>
  <c r="Q116" i="41"/>
  <c r="L116" i="41" a="1"/>
  <c r="L116" i="41" s="1"/>
  <c r="K116" i="41" a="1"/>
  <c r="K116" i="41" s="1"/>
  <c r="J116" i="41"/>
  <c r="I116" i="41"/>
  <c r="D116" i="41"/>
  <c r="C116" i="41"/>
  <c r="BZ115" i="41"/>
  <c r="BK115" i="41"/>
  <c r="AV115" i="41"/>
  <c r="AG115" i="41"/>
  <c r="Z115" i="41"/>
  <c r="Q115" i="41"/>
  <c r="L115" i="41" a="1"/>
  <c r="L115" i="41" s="1"/>
  <c r="J115" i="41"/>
  <c r="I115" i="41"/>
  <c r="D115" i="41"/>
  <c r="C115" i="41"/>
  <c r="K115" i="41" s="1" a="1"/>
  <c r="K115" i="41" s="1"/>
  <c r="BZ114" i="41"/>
  <c r="BK114" i="41"/>
  <c r="AV114" i="41"/>
  <c r="AG114" i="41"/>
  <c r="Z114" i="41"/>
  <c r="Q114" i="41"/>
  <c r="J114" i="41"/>
  <c r="I114" i="41"/>
  <c r="D114" i="41"/>
  <c r="C114" i="41"/>
  <c r="BZ113" i="41"/>
  <c r="BK113" i="41"/>
  <c r="AV113" i="41"/>
  <c r="AG113" i="41"/>
  <c r="Z113" i="41"/>
  <c r="Q113" i="41"/>
  <c r="J113" i="41"/>
  <c r="I113" i="41"/>
  <c r="D113" i="41"/>
  <c r="C113" i="41"/>
  <c r="BZ112" i="41"/>
  <c r="BK112" i="41"/>
  <c r="AV112" i="41"/>
  <c r="AG112" i="41"/>
  <c r="Z112" i="41"/>
  <c r="Q112" i="41"/>
  <c r="J112" i="41"/>
  <c r="I112" i="41"/>
  <c r="D112" i="41"/>
  <c r="C112" i="41"/>
  <c r="BZ111" i="41"/>
  <c r="BK111" i="41"/>
  <c r="AV111" i="41"/>
  <c r="AG111" i="41"/>
  <c r="Z111" i="41"/>
  <c r="Q111" i="41"/>
  <c r="J111" i="41"/>
  <c r="I111" i="41"/>
  <c r="D111" i="41"/>
  <c r="C111" i="41"/>
  <c r="BZ110" i="41"/>
  <c r="BK110" i="41"/>
  <c r="AV110" i="41"/>
  <c r="AG110" i="41"/>
  <c r="Z110" i="41"/>
  <c r="Q110" i="41"/>
  <c r="J110" i="41"/>
  <c r="I110" i="41"/>
  <c r="D110" i="41"/>
  <c r="C110" i="41"/>
  <c r="L110" i="41" s="1" a="1"/>
  <c r="L110" i="41" s="1"/>
  <c r="BZ109" i="41"/>
  <c r="BK109" i="41"/>
  <c r="AV109" i="41"/>
  <c r="AG109" i="41"/>
  <c r="Z109" i="41"/>
  <c r="Q109" i="41"/>
  <c r="J109" i="41"/>
  <c r="I109" i="41"/>
  <c r="D109" i="41"/>
  <c r="C109" i="41"/>
  <c r="BZ108" i="41"/>
  <c r="BK108" i="41"/>
  <c r="AV108" i="41"/>
  <c r="AG108" i="41"/>
  <c r="Z108" i="41"/>
  <c r="Q108" i="41"/>
  <c r="J108" i="41"/>
  <c r="I108" i="41"/>
  <c r="D108" i="41"/>
  <c r="C108" i="41"/>
  <c r="L108" i="41" s="1" a="1"/>
  <c r="L108" i="41" s="1"/>
  <c r="BZ107" i="41"/>
  <c r="BK107" i="41"/>
  <c r="AV107" i="41"/>
  <c r="AG107" i="41"/>
  <c r="Z107" i="41"/>
  <c r="Q107" i="41"/>
  <c r="K107" i="41" a="1"/>
  <c r="K107" i="41" s="1"/>
  <c r="J107" i="41"/>
  <c r="I107" i="41"/>
  <c r="D107" i="41"/>
  <c r="C107" i="41"/>
  <c r="L107" i="41" s="1" a="1"/>
  <c r="L107" i="41" s="1"/>
  <c r="BZ106" i="41"/>
  <c r="BK106" i="41"/>
  <c r="AV106" i="41"/>
  <c r="AG106" i="41"/>
  <c r="Z106" i="41"/>
  <c r="Q106" i="41"/>
  <c r="L106" i="41" a="1"/>
  <c r="L106" i="41" s="1"/>
  <c r="J106" i="41"/>
  <c r="I106" i="41"/>
  <c r="D106" i="41"/>
  <c r="C106" i="41"/>
  <c r="K106" i="41" s="1" a="1"/>
  <c r="K106" i="41" s="1"/>
  <c r="BZ105" i="41"/>
  <c r="BK105" i="41"/>
  <c r="AV105" i="41"/>
  <c r="AG105" i="41"/>
  <c r="Z105" i="41"/>
  <c r="Q105" i="41"/>
  <c r="J105" i="41"/>
  <c r="I105" i="41"/>
  <c r="D105" i="41"/>
  <c r="C105" i="41"/>
  <c r="K105" i="41" s="1" a="1"/>
  <c r="K105" i="41" s="1"/>
  <c r="BZ104" i="41"/>
  <c r="BK104" i="41"/>
  <c r="AV104" i="41"/>
  <c r="AG104" i="41"/>
  <c r="Z104" i="41"/>
  <c r="Q104" i="41"/>
  <c r="J104" i="41"/>
  <c r="I104" i="41"/>
  <c r="D104" i="41"/>
  <c r="C104" i="41"/>
  <c r="BZ103" i="41"/>
  <c r="BK103" i="41"/>
  <c r="AV103" i="41"/>
  <c r="AG103" i="41"/>
  <c r="Z103" i="41"/>
  <c r="Q103" i="41"/>
  <c r="J103" i="41"/>
  <c r="I103" i="41"/>
  <c r="D103" i="41"/>
  <c r="C103" i="41"/>
  <c r="BZ102" i="41"/>
  <c r="BK102" i="41"/>
  <c r="AV102" i="41"/>
  <c r="AG102" i="41"/>
  <c r="Z102" i="41"/>
  <c r="Q102" i="41"/>
  <c r="J102" i="41"/>
  <c r="I102" i="41"/>
  <c r="D102" i="41"/>
  <c r="C102" i="41"/>
  <c r="BZ101" i="41"/>
  <c r="BK101" i="41"/>
  <c r="AV101" i="41"/>
  <c r="AG101" i="41"/>
  <c r="Z101" i="41"/>
  <c r="Q101" i="41"/>
  <c r="J101" i="41"/>
  <c r="I101" i="41"/>
  <c r="D101" i="41"/>
  <c r="C101" i="41"/>
  <c r="L101" i="41" s="1" a="1"/>
  <c r="L101" i="41" s="1"/>
  <c r="BZ100" i="41"/>
  <c r="BK100" i="41"/>
  <c r="AV100" i="41"/>
  <c r="AG100" i="41"/>
  <c r="Z100" i="41"/>
  <c r="Q100" i="41"/>
  <c r="L100" i="41" a="1"/>
  <c r="L100" i="41" s="1"/>
  <c r="K100" i="41" a="1"/>
  <c r="K100" i="41" s="1"/>
  <c r="J100" i="41"/>
  <c r="I100" i="41"/>
  <c r="D100" i="41"/>
  <c r="C100" i="41"/>
  <c r="BZ99" i="41"/>
  <c r="BK99" i="41"/>
  <c r="AV99" i="41"/>
  <c r="AG99" i="41"/>
  <c r="Z99" i="41"/>
  <c r="Q99" i="41"/>
  <c r="J99" i="41"/>
  <c r="I99" i="41"/>
  <c r="D99" i="41"/>
  <c r="C99" i="41"/>
  <c r="BZ98" i="41"/>
  <c r="BK98" i="41"/>
  <c r="AV98" i="41"/>
  <c r="AG98" i="41"/>
  <c r="Z98" i="41"/>
  <c r="Q98" i="41"/>
  <c r="J98" i="41"/>
  <c r="I98" i="41"/>
  <c r="D98" i="41"/>
  <c r="C98" i="41"/>
  <c r="BZ97" i="41"/>
  <c r="BK97" i="41"/>
  <c r="AV97" i="41"/>
  <c r="AG97" i="41"/>
  <c r="Z97" i="41"/>
  <c r="Q97" i="41"/>
  <c r="J97" i="41"/>
  <c r="I97" i="41"/>
  <c r="D97" i="41"/>
  <c r="C97" i="41"/>
  <c r="BZ96" i="41"/>
  <c r="BK96" i="41"/>
  <c r="AV96" i="41"/>
  <c r="AG96" i="41"/>
  <c r="Z96" i="41"/>
  <c r="Q96" i="41"/>
  <c r="L96" i="41" a="1"/>
  <c r="L96" i="41" s="1"/>
  <c r="J96" i="41"/>
  <c r="I96" i="41"/>
  <c r="D96" i="41"/>
  <c r="C96" i="41"/>
  <c r="K96" i="41" s="1" a="1"/>
  <c r="K96" i="41" s="1"/>
  <c r="BZ95" i="41"/>
  <c r="BK95" i="41"/>
  <c r="AV95" i="41"/>
  <c r="AG95" i="41"/>
  <c r="Z95" i="41"/>
  <c r="Q95" i="41"/>
  <c r="J95" i="41"/>
  <c r="I95" i="41"/>
  <c r="D95" i="41"/>
  <c r="C95" i="41"/>
  <c r="L95" i="41" s="1" a="1"/>
  <c r="L95" i="41" s="1"/>
  <c r="BZ94" i="41"/>
  <c r="BK94" i="41"/>
  <c r="AV94" i="41"/>
  <c r="AG94" i="41"/>
  <c r="Z94" i="41"/>
  <c r="Q94" i="41"/>
  <c r="J94" i="41"/>
  <c r="I94" i="41"/>
  <c r="D94" i="41"/>
  <c r="C94" i="41"/>
  <c r="L94" i="41" s="1" a="1"/>
  <c r="L94" i="41" s="1"/>
  <c r="BZ93" i="41"/>
  <c r="BK93" i="41"/>
  <c r="AV93" i="41"/>
  <c r="AG93" i="41"/>
  <c r="Z93" i="41"/>
  <c r="Q93" i="41"/>
  <c r="J93" i="41"/>
  <c r="I93" i="41"/>
  <c r="D93" i="41"/>
  <c r="C93" i="41"/>
  <c r="L93" i="41" s="1" a="1"/>
  <c r="L93" i="41" s="1"/>
  <c r="BZ92" i="41"/>
  <c r="BS92" i="41"/>
  <c r="BW92" i="41" s="1"/>
  <c r="BK92" i="41"/>
  <c r="AV92" i="41"/>
  <c r="AG92" i="41"/>
  <c r="Z92" i="41"/>
  <c r="Q92" i="41"/>
  <c r="J92" i="41"/>
  <c r="I92" i="41"/>
  <c r="D92" i="41"/>
  <c r="C92" i="41"/>
  <c r="K92" i="41" s="1" a="1"/>
  <c r="K92" i="41" s="1"/>
  <c r="BZ91" i="41"/>
  <c r="BK91" i="41"/>
  <c r="AV91" i="41"/>
  <c r="AG91" i="41"/>
  <c r="Z91" i="41"/>
  <c r="Q91" i="41"/>
  <c r="J91" i="41"/>
  <c r="I91" i="41"/>
  <c r="D91" i="41"/>
  <c r="C91" i="41"/>
  <c r="L91" i="41" s="1" a="1"/>
  <c r="L91" i="41" s="1"/>
  <c r="BZ90" i="41"/>
  <c r="BK90" i="41"/>
  <c r="AV90" i="41"/>
  <c r="AG90" i="41"/>
  <c r="Z90" i="41"/>
  <c r="Q90" i="41"/>
  <c r="K90" i="41" a="1"/>
  <c r="K90" i="41" s="1"/>
  <c r="J90" i="41"/>
  <c r="I90" i="41"/>
  <c r="D90" i="41"/>
  <c r="C90" i="41"/>
  <c r="L90" i="41" s="1" a="1"/>
  <c r="L90" i="41" s="1"/>
  <c r="BZ89" i="41"/>
  <c r="BK89" i="41"/>
  <c r="AV89" i="41"/>
  <c r="AG89" i="41"/>
  <c r="Z89" i="41"/>
  <c r="Q89" i="41"/>
  <c r="J89" i="41"/>
  <c r="I89" i="41"/>
  <c r="D89" i="41"/>
  <c r="C89" i="41"/>
  <c r="L89" i="41" s="1" a="1"/>
  <c r="L89" i="41" s="1"/>
  <c r="BZ88" i="41"/>
  <c r="BS88" i="41"/>
  <c r="BW88" i="41" s="1"/>
  <c r="BK88" i="41"/>
  <c r="AV88" i="41"/>
  <c r="AG88" i="41"/>
  <c r="Z88" i="41"/>
  <c r="Q88" i="41"/>
  <c r="J88" i="41"/>
  <c r="I88" i="41"/>
  <c r="D88" i="41"/>
  <c r="C88" i="41"/>
  <c r="BZ87" i="41"/>
  <c r="BK87" i="41"/>
  <c r="AV87" i="41"/>
  <c r="AG87" i="41"/>
  <c r="Z87" i="41"/>
  <c r="Q87" i="41"/>
  <c r="L87" i="41" a="1"/>
  <c r="L87" i="41" s="1"/>
  <c r="J87" i="41"/>
  <c r="I87" i="41"/>
  <c r="D87" i="41"/>
  <c r="C87" i="41"/>
  <c r="BZ86" i="41"/>
  <c r="BS86" i="41"/>
  <c r="BW86" i="41" s="1"/>
  <c r="BK86" i="41"/>
  <c r="AV86" i="41"/>
  <c r="AG86" i="41"/>
  <c r="Z86" i="41"/>
  <c r="Q86" i="41"/>
  <c r="J86" i="41"/>
  <c r="I86" i="41"/>
  <c r="D86" i="41"/>
  <c r="C86" i="41"/>
  <c r="L86" i="41" s="1" a="1"/>
  <c r="L86" i="41" s="1"/>
  <c r="BZ85" i="41"/>
  <c r="BK85" i="41"/>
  <c r="AV85" i="41"/>
  <c r="AG85" i="41"/>
  <c r="Z85" i="41"/>
  <c r="Q85" i="41"/>
  <c r="J85" i="41"/>
  <c r="I85" i="41"/>
  <c r="D85" i="41"/>
  <c r="C85" i="41"/>
  <c r="K85" i="41" s="1" a="1"/>
  <c r="K85" i="41" s="1"/>
  <c r="BZ84" i="41"/>
  <c r="BR84" i="41"/>
  <c r="BV84" i="41" s="1"/>
  <c r="BK84" i="41"/>
  <c r="AV84" i="41"/>
  <c r="AG84" i="41"/>
  <c r="Z84" i="41"/>
  <c r="Q84" i="41"/>
  <c r="J84" i="41"/>
  <c r="I84" i="41"/>
  <c r="D84" i="41"/>
  <c r="C84" i="41"/>
  <c r="BZ83" i="41"/>
  <c r="BK83" i="41"/>
  <c r="AV83" i="41"/>
  <c r="AG83" i="41"/>
  <c r="Z83" i="41"/>
  <c r="Q83" i="41"/>
  <c r="K83" i="41" a="1"/>
  <c r="K83" i="41" s="1"/>
  <c r="J83" i="41"/>
  <c r="I83" i="41"/>
  <c r="D83" i="41"/>
  <c r="C83" i="41"/>
  <c r="L83" i="41" s="1" a="1"/>
  <c r="L83" i="41" s="1"/>
  <c r="BZ82" i="41"/>
  <c r="BK82" i="41"/>
  <c r="AV82" i="41"/>
  <c r="AG82" i="41"/>
  <c r="Z82" i="41"/>
  <c r="Q82" i="41"/>
  <c r="J82" i="41"/>
  <c r="I82" i="41"/>
  <c r="D82" i="41"/>
  <c r="C82" i="41"/>
  <c r="BZ81" i="41"/>
  <c r="BK81" i="41"/>
  <c r="AV81" i="41"/>
  <c r="AG81" i="41"/>
  <c r="Z81" i="41"/>
  <c r="Q81" i="41"/>
  <c r="J81" i="41"/>
  <c r="I81" i="41"/>
  <c r="D81" i="41"/>
  <c r="C81" i="41"/>
  <c r="BZ80" i="41"/>
  <c r="BK80" i="41"/>
  <c r="BC80" i="41"/>
  <c r="BG80" i="41" s="1"/>
  <c r="AV80" i="41"/>
  <c r="AG80" i="41"/>
  <c r="Z80" i="41"/>
  <c r="Q80" i="41"/>
  <c r="J80" i="41"/>
  <c r="I80" i="41"/>
  <c r="D80" i="41"/>
  <c r="C80" i="41"/>
  <c r="L80" i="41" s="1" a="1"/>
  <c r="L80" i="41" s="1"/>
  <c r="BZ79" i="41"/>
  <c r="BK79" i="41"/>
  <c r="AV79" i="41"/>
  <c r="AG79" i="41"/>
  <c r="Z79" i="41"/>
  <c r="Q79" i="41"/>
  <c r="J79" i="41"/>
  <c r="I79" i="41"/>
  <c r="D79" i="41"/>
  <c r="C79" i="41"/>
  <c r="L79" i="41" s="1" a="1"/>
  <c r="L79" i="41" s="1"/>
  <c r="BZ78" i="41"/>
  <c r="BK78" i="41"/>
  <c r="AV78" i="41"/>
  <c r="AG78" i="41"/>
  <c r="Z78" i="41"/>
  <c r="Q78" i="41"/>
  <c r="J78" i="41"/>
  <c r="I78" i="41"/>
  <c r="D78" i="41"/>
  <c r="C78" i="41"/>
  <c r="BZ77" i="41"/>
  <c r="BK77" i="41"/>
  <c r="AV77" i="41"/>
  <c r="AG77" i="41"/>
  <c r="Z77" i="41"/>
  <c r="Q77" i="41"/>
  <c r="J77" i="41"/>
  <c r="I77" i="41"/>
  <c r="D77" i="41"/>
  <c r="C77" i="41"/>
  <c r="BZ76" i="41"/>
  <c r="BK76" i="41"/>
  <c r="BD76" i="41"/>
  <c r="BH76" i="41" s="1"/>
  <c r="AV76" i="41"/>
  <c r="AG76" i="41"/>
  <c r="Z76" i="41"/>
  <c r="Q76" i="41"/>
  <c r="J76" i="41"/>
  <c r="I76" i="41"/>
  <c r="D76" i="41"/>
  <c r="C76" i="41"/>
  <c r="K76" i="41" s="1" a="1"/>
  <c r="K76" i="41" s="1"/>
  <c r="BZ75" i="41"/>
  <c r="BK75" i="41"/>
  <c r="AV75" i="41"/>
  <c r="AG75" i="41"/>
  <c r="Z75" i="41"/>
  <c r="Q75" i="41"/>
  <c r="J75" i="41"/>
  <c r="I75" i="41"/>
  <c r="D75" i="41"/>
  <c r="C75" i="41"/>
  <c r="L75" i="41" s="1" a="1"/>
  <c r="L75" i="41" s="1"/>
  <c r="BZ74" i="41"/>
  <c r="BK74" i="41"/>
  <c r="BD74" i="41"/>
  <c r="BH74" i="41" s="1"/>
  <c r="AV74" i="41"/>
  <c r="AG74" i="41"/>
  <c r="Z74" i="41"/>
  <c r="Q74" i="41"/>
  <c r="J74" i="41"/>
  <c r="I74" i="41"/>
  <c r="D74" i="41"/>
  <c r="C74" i="41"/>
  <c r="BZ73" i="41"/>
  <c r="BK73" i="41"/>
  <c r="AV73" i="41"/>
  <c r="AG73" i="41"/>
  <c r="Z73" i="41"/>
  <c r="Q73" i="41"/>
  <c r="J73" i="41"/>
  <c r="I73" i="41"/>
  <c r="D73" i="41"/>
  <c r="C73" i="41"/>
  <c r="L73" i="41" s="1" a="1"/>
  <c r="L73" i="41" s="1"/>
  <c r="BZ72" i="41"/>
  <c r="BK72" i="41"/>
  <c r="BD72" i="41"/>
  <c r="BH72" i="41" s="1"/>
  <c r="AV72" i="41"/>
  <c r="AG72" i="41"/>
  <c r="Z72" i="41"/>
  <c r="Q72" i="41"/>
  <c r="J72" i="41"/>
  <c r="I72" i="41"/>
  <c r="D72" i="41"/>
  <c r="C72" i="41"/>
  <c r="L72" i="41" s="1" a="1"/>
  <c r="L72" i="41" s="1"/>
  <c r="BZ71" i="41"/>
  <c r="BK71" i="41"/>
  <c r="AV71" i="41"/>
  <c r="AG71" i="41"/>
  <c r="Z71" i="41"/>
  <c r="Q71" i="41"/>
  <c r="K71" i="41" a="1"/>
  <c r="K71" i="41" s="1"/>
  <c r="J71" i="41"/>
  <c r="I71" i="41"/>
  <c r="D71" i="41"/>
  <c r="C71" i="41"/>
  <c r="L71" i="41" s="1" a="1"/>
  <c r="L71" i="41" s="1"/>
  <c r="BZ70" i="41"/>
  <c r="BK70" i="41"/>
  <c r="AV70" i="41"/>
  <c r="AG70" i="41"/>
  <c r="Z70" i="41"/>
  <c r="Q70" i="41"/>
  <c r="J70" i="41"/>
  <c r="I70" i="41"/>
  <c r="D70" i="41"/>
  <c r="C70" i="41"/>
  <c r="BZ69" i="41"/>
  <c r="BK69" i="41"/>
  <c r="AV69" i="41"/>
  <c r="AG69" i="41"/>
  <c r="Z69" i="41"/>
  <c r="Q69" i="41"/>
  <c r="J69" i="41"/>
  <c r="I69" i="41"/>
  <c r="D69" i="41"/>
  <c r="C69" i="41"/>
  <c r="K69" i="41" s="1" a="1"/>
  <c r="K69" i="41" s="1"/>
  <c r="BZ68" i="41"/>
  <c r="BK68" i="41"/>
  <c r="AV68" i="41"/>
  <c r="AO68" i="41"/>
  <c r="AS68" i="41" s="1"/>
  <c r="AG68" i="41"/>
  <c r="Z68" i="41"/>
  <c r="Q68" i="41"/>
  <c r="J68" i="41"/>
  <c r="I68" i="41"/>
  <c r="D68" i="41"/>
  <c r="C68" i="41"/>
  <c r="BZ67" i="41"/>
  <c r="BK67" i="41"/>
  <c r="AV67" i="41"/>
  <c r="AG67" i="41"/>
  <c r="Z67" i="41"/>
  <c r="Q67" i="41"/>
  <c r="J67" i="41"/>
  <c r="I67" i="41"/>
  <c r="D67" i="41"/>
  <c r="C67" i="41"/>
  <c r="BZ66" i="41"/>
  <c r="BK66" i="41"/>
  <c r="AV66" i="41"/>
  <c r="AG66" i="41"/>
  <c r="Z66" i="41"/>
  <c r="Q66" i="41"/>
  <c r="J66" i="41"/>
  <c r="I66" i="41"/>
  <c r="D66" i="41"/>
  <c r="C66" i="41"/>
  <c r="BZ65" i="41"/>
  <c r="BK65" i="41"/>
  <c r="AV65" i="41"/>
  <c r="AG65" i="41"/>
  <c r="Z65" i="41"/>
  <c r="Q65" i="41"/>
  <c r="J65" i="41"/>
  <c r="I65" i="41"/>
  <c r="D65" i="41"/>
  <c r="C65" i="41"/>
  <c r="L65" i="41" s="1" a="1"/>
  <c r="L65" i="41" s="1"/>
  <c r="BZ64" i="41"/>
  <c r="BK64" i="41"/>
  <c r="AV64" i="41"/>
  <c r="AG64" i="41"/>
  <c r="Z64" i="41"/>
  <c r="Q64" i="41"/>
  <c r="K64" i="41" a="1"/>
  <c r="K64" i="41" s="1"/>
  <c r="J64" i="41"/>
  <c r="I64" i="41"/>
  <c r="D64" i="41"/>
  <c r="C64" i="41"/>
  <c r="BZ63" i="41"/>
  <c r="BK63" i="41"/>
  <c r="AV63" i="41"/>
  <c r="AG63" i="41"/>
  <c r="Z63" i="41"/>
  <c r="Q63" i="41"/>
  <c r="J63" i="41"/>
  <c r="I63" i="41"/>
  <c r="D63" i="41"/>
  <c r="C63" i="41"/>
  <c r="BZ62" i="41"/>
  <c r="BS62" i="41"/>
  <c r="BW62" i="41" s="1"/>
  <c r="BK62" i="41"/>
  <c r="AV62" i="41"/>
  <c r="AG62" i="41"/>
  <c r="Z62" i="41"/>
  <c r="Q62" i="41"/>
  <c r="J62" i="41"/>
  <c r="I62" i="41"/>
  <c r="D62" i="41"/>
  <c r="C62" i="41"/>
  <c r="BZ61" i="41"/>
  <c r="BK61" i="41"/>
  <c r="AV61" i="41"/>
  <c r="AG61" i="41"/>
  <c r="Z61" i="41"/>
  <c r="Q61" i="41"/>
  <c r="K61" i="41" a="1"/>
  <c r="K61" i="41" s="1"/>
  <c r="J61" i="41"/>
  <c r="I61" i="41"/>
  <c r="D61" i="41"/>
  <c r="C61" i="41"/>
  <c r="L61" i="41" s="1" a="1"/>
  <c r="L61" i="41" s="1"/>
  <c r="BZ60" i="41"/>
  <c r="BK60" i="41"/>
  <c r="AV60" i="41"/>
  <c r="AG60" i="41"/>
  <c r="Z60" i="41"/>
  <c r="Q60" i="41"/>
  <c r="J60" i="41"/>
  <c r="I60" i="41"/>
  <c r="D60" i="41"/>
  <c r="C60" i="41"/>
  <c r="K60" i="41" s="1" a="1"/>
  <c r="K60" i="41" s="1"/>
  <c r="BZ59" i="41"/>
  <c r="BK59" i="41"/>
  <c r="AV59" i="41"/>
  <c r="AG59" i="41"/>
  <c r="Z59" i="41"/>
  <c r="Q59" i="41"/>
  <c r="J59" i="41"/>
  <c r="I59" i="41"/>
  <c r="D59" i="41"/>
  <c r="C59" i="41"/>
  <c r="BZ58" i="41"/>
  <c r="BK58" i="41"/>
  <c r="AV58" i="41"/>
  <c r="AG58" i="41"/>
  <c r="Z58" i="41"/>
  <c r="Q58" i="41"/>
  <c r="J58" i="41"/>
  <c r="I58" i="41"/>
  <c r="D58" i="41"/>
  <c r="C58" i="41"/>
  <c r="L58" i="41" s="1" a="1"/>
  <c r="L58" i="41" s="1"/>
  <c r="BZ57" i="41"/>
  <c r="BR57" i="41"/>
  <c r="BV57" i="41" s="1"/>
  <c r="BK57" i="41"/>
  <c r="AV57" i="41"/>
  <c r="AG57" i="41"/>
  <c r="Z57" i="41"/>
  <c r="Q57" i="41"/>
  <c r="L57" i="41" a="1"/>
  <c r="L57" i="41" s="1"/>
  <c r="K57" i="41" a="1"/>
  <c r="K57" i="41" s="1"/>
  <c r="J57" i="41"/>
  <c r="I57" i="41"/>
  <c r="D57" i="41"/>
  <c r="C57" i="41"/>
  <c r="BZ56" i="41"/>
  <c r="BK56" i="41"/>
  <c r="AV56" i="41"/>
  <c r="AG56" i="41"/>
  <c r="Z56" i="41"/>
  <c r="Q56" i="41"/>
  <c r="J56" i="41"/>
  <c r="I56" i="41"/>
  <c r="D56" i="41"/>
  <c r="C56" i="41"/>
  <c r="K56" i="41" s="1" a="1"/>
  <c r="K56" i="41" s="1"/>
  <c r="BZ55" i="41"/>
  <c r="BK55" i="41"/>
  <c r="AV55" i="41"/>
  <c r="AG55" i="41"/>
  <c r="Z55" i="41"/>
  <c r="Q55" i="41"/>
  <c r="J55" i="41"/>
  <c r="I55" i="41"/>
  <c r="D55" i="41"/>
  <c r="C55" i="41"/>
  <c r="BZ54" i="41"/>
  <c r="BK54" i="41"/>
  <c r="AV54" i="41"/>
  <c r="AG54" i="41"/>
  <c r="Z54" i="41"/>
  <c r="Q54" i="41"/>
  <c r="J54" i="41"/>
  <c r="I54" i="41"/>
  <c r="D54" i="41"/>
  <c r="C54" i="41"/>
  <c r="L54" i="41" s="1" a="1"/>
  <c r="L54" i="41" s="1"/>
  <c r="BZ53" i="41"/>
  <c r="BK53" i="41"/>
  <c r="AV53" i="41"/>
  <c r="AG53" i="41"/>
  <c r="Z53" i="41"/>
  <c r="Q53" i="41"/>
  <c r="J53" i="41"/>
  <c r="I53" i="41"/>
  <c r="D53" i="41"/>
  <c r="C53" i="41"/>
  <c r="BZ52" i="41"/>
  <c r="BR52" i="41"/>
  <c r="BV52" i="41" s="1"/>
  <c r="BK52" i="41"/>
  <c r="AV52" i="41"/>
  <c r="AG52" i="41"/>
  <c r="Z52" i="41"/>
  <c r="Q52" i="41"/>
  <c r="J52" i="41"/>
  <c r="I52" i="41"/>
  <c r="D52" i="41"/>
  <c r="C52" i="41"/>
  <c r="BZ51" i="41"/>
  <c r="BK51" i="41"/>
  <c r="AV51" i="41"/>
  <c r="AG51" i="41"/>
  <c r="Z51" i="41"/>
  <c r="Q51" i="41"/>
  <c r="J51" i="41"/>
  <c r="I51" i="41"/>
  <c r="D51" i="41"/>
  <c r="C51" i="41"/>
  <c r="L51" i="41" s="1" a="1"/>
  <c r="L51" i="41" s="1"/>
  <c r="BZ50" i="41"/>
  <c r="BK50" i="41"/>
  <c r="AV50" i="41"/>
  <c r="AG50" i="41"/>
  <c r="Z50" i="41"/>
  <c r="Q50" i="41"/>
  <c r="J50" i="41"/>
  <c r="I50" i="41"/>
  <c r="D50" i="41"/>
  <c r="C50" i="41"/>
  <c r="K50" i="41" s="1" a="1"/>
  <c r="K50" i="41" s="1"/>
  <c r="BZ49" i="41"/>
  <c r="BK49" i="41"/>
  <c r="BC49" i="41"/>
  <c r="BG49" i="41" s="1"/>
  <c r="AV49" i="41"/>
  <c r="AG49" i="41"/>
  <c r="Z49" i="41"/>
  <c r="Q49" i="41"/>
  <c r="J49" i="41"/>
  <c r="I49" i="41"/>
  <c r="D49" i="41"/>
  <c r="C49" i="41"/>
  <c r="BZ48" i="41"/>
  <c r="BK48" i="41"/>
  <c r="AV48" i="41"/>
  <c r="AO48" i="41"/>
  <c r="AS48" i="41" s="1"/>
  <c r="AG48" i="41"/>
  <c r="Z48" i="41"/>
  <c r="Q48" i="41"/>
  <c r="J48" i="41"/>
  <c r="I48" i="41"/>
  <c r="D48" i="41"/>
  <c r="C48" i="41"/>
  <c r="BZ47" i="41"/>
  <c r="BK47" i="41"/>
  <c r="AV47" i="41"/>
  <c r="AG47" i="41"/>
  <c r="Z47" i="41"/>
  <c r="Q47" i="41"/>
  <c r="L47" i="41" a="1"/>
  <c r="L47" i="41" s="1"/>
  <c r="K47" i="41" a="1"/>
  <c r="K47" i="41" s="1"/>
  <c r="J47" i="41"/>
  <c r="I47" i="41"/>
  <c r="D47" i="41"/>
  <c r="C47" i="41"/>
  <c r="BZ46" i="41"/>
  <c r="BS46" i="41"/>
  <c r="BW46" i="41" s="1"/>
  <c r="BK46" i="41"/>
  <c r="AV46" i="41"/>
  <c r="AG46" i="41"/>
  <c r="Z46" i="41"/>
  <c r="Q46" i="41"/>
  <c r="J46" i="41"/>
  <c r="I46" i="41"/>
  <c r="D46" i="41"/>
  <c r="C46" i="41"/>
  <c r="K46" i="41" s="1" a="1"/>
  <c r="K46" i="41" s="1"/>
  <c r="BZ45" i="41"/>
  <c r="BK45" i="41"/>
  <c r="AV45" i="41"/>
  <c r="AG45" i="41"/>
  <c r="Z45" i="41"/>
  <c r="Q45" i="41"/>
  <c r="J45" i="41"/>
  <c r="I45" i="41"/>
  <c r="D45" i="41"/>
  <c r="C45" i="41"/>
  <c r="BZ44" i="41"/>
  <c r="BK44" i="41"/>
  <c r="AV44" i="41"/>
  <c r="AG44" i="41"/>
  <c r="Z44" i="41"/>
  <c r="Q44" i="41"/>
  <c r="J44" i="41"/>
  <c r="I44" i="41"/>
  <c r="D44" i="41"/>
  <c r="C44" i="41"/>
  <c r="BZ43" i="41"/>
  <c r="BK43" i="41"/>
  <c r="AV43" i="41"/>
  <c r="AG43" i="41"/>
  <c r="Z43" i="41"/>
  <c r="Q43" i="41"/>
  <c r="L43" i="41" a="1"/>
  <c r="L43" i="41" s="1"/>
  <c r="J43" i="41"/>
  <c r="I43" i="41"/>
  <c r="D43" i="41"/>
  <c r="C43" i="41"/>
  <c r="K43" i="41" s="1" a="1"/>
  <c r="K43" i="41" s="1"/>
  <c r="BZ42" i="41"/>
  <c r="BK42" i="41"/>
  <c r="AV42" i="41"/>
  <c r="AG42" i="41"/>
  <c r="Z42" i="41"/>
  <c r="Q42" i="41"/>
  <c r="J42" i="41"/>
  <c r="I42" i="41"/>
  <c r="D42" i="41"/>
  <c r="C42" i="41"/>
  <c r="K42" i="41" s="1" a="1"/>
  <c r="K42" i="41" s="1"/>
  <c r="BZ41" i="41"/>
  <c r="BS41" i="41"/>
  <c r="BW41" i="41" s="1"/>
  <c r="BK41" i="41"/>
  <c r="AV41" i="41"/>
  <c r="AG41" i="41"/>
  <c r="Z41" i="41"/>
  <c r="Q41" i="41"/>
  <c r="J41" i="41"/>
  <c r="I41" i="41"/>
  <c r="D41" i="41"/>
  <c r="C41" i="41"/>
  <c r="BZ40" i="41"/>
  <c r="BK40" i="41"/>
  <c r="AV40" i="41"/>
  <c r="AG40" i="41"/>
  <c r="Z40" i="41"/>
  <c r="Q40" i="41"/>
  <c r="J40" i="41"/>
  <c r="I40" i="41"/>
  <c r="D40" i="41"/>
  <c r="C40" i="41"/>
  <c r="BZ39" i="41"/>
  <c r="BK39" i="41"/>
  <c r="AV39" i="41"/>
  <c r="AG39" i="41"/>
  <c r="Z39" i="41"/>
  <c r="Q39" i="41"/>
  <c r="J39" i="41"/>
  <c r="I39" i="41"/>
  <c r="D39" i="41"/>
  <c r="C39" i="41"/>
  <c r="L39" i="41" s="1" a="1"/>
  <c r="L39" i="41" s="1"/>
  <c r="BZ38" i="41"/>
  <c r="BK38" i="41"/>
  <c r="AV38" i="41"/>
  <c r="AG38" i="41"/>
  <c r="Z38" i="41"/>
  <c r="Q38" i="41"/>
  <c r="K38" i="41" a="1"/>
  <c r="K38" i="41" s="1"/>
  <c r="J38" i="41"/>
  <c r="I38" i="41"/>
  <c r="D38" i="41"/>
  <c r="C38" i="41"/>
  <c r="BZ37" i="41"/>
  <c r="BK37" i="41"/>
  <c r="AV37" i="41"/>
  <c r="AG37" i="41"/>
  <c r="Z37" i="41"/>
  <c r="Q37" i="41"/>
  <c r="J37" i="41"/>
  <c r="I37" i="41"/>
  <c r="D37" i="41"/>
  <c r="C37" i="41"/>
  <c r="BZ36" i="41"/>
  <c r="BK36" i="41"/>
  <c r="AV36" i="41"/>
  <c r="AG36" i="41"/>
  <c r="Z36" i="41"/>
  <c r="Q36" i="41"/>
  <c r="J36" i="41"/>
  <c r="I36" i="41"/>
  <c r="D36" i="41"/>
  <c r="C36" i="41"/>
  <c r="BZ35" i="41"/>
  <c r="BK35" i="41"/>
  <c r="AV35" i="41"/>
  <c r="AG35" i="41"/>
  <c r="Z35" i="41"/>
  <c r="Q35" i="41"/>
  <c r="K35" i="41" a="1"/>
  <c r="K35" i="41" s="1"/>
  <c r="J35" i="41"/>
  <c r="I35" i="41"/>
  <c r="D35" i="41"/>
  <c r="C35" i="41"/>
  <c r="L35" i="41" s="1" a="1"/>
  <c r="L35" i="41" s="1"/>
  <c r="BZ34" i="41"/>
  <c r="BK34" i="41"/>
  <c r="AV34" i="41"/>
  <c r="AG34" i="41"/>
  <c r="Z34" i="41"/>
  <c r="Q34" i="41"/>
  <c r="J34" i="41"/>
  <c r="I34" i="41"/>
  <c r="D34" i="41"/>
  <c r="C34" i="41"/>
  <c r="K34" i="41" s="1" a="1"/>
  <c r="K34" i="41" s="1"/>
  <c r="BZ33" i="41"/>
  <c r="BS33" i="41"/>
  <c r="BW33" i="41" s="1"/>
  <c r="BK33" i="41"/>
  <c r="AV33" i="41"/>
  <c r="AG33" i="41"/>
  <c r="Z33" i="41"/>
  <c r="Q33" i="41"/>
  <c r="J33" i="41"/>
  <c r="I33" i="41"/>
  <c r="D33" i="41"/>
  <c r="C33" i="41"/>
  <c r="BZ32" i="41"/>
  <c r="BS32" i="41"/>
  <c r="BW32" i="41" s="1"/>
  <c r="BK32" i="41"/>
  <c r="AV32" i="41"/>
  <c r="AG32" i="41"/>
  <c r="Z32" i="41"/>
  <c r="Q32" i="41"/>
  <c r="J32" i="41"/>
  <c r="I32" i="41"/>
  <c r="D32" i="41"/>
  <c r="C32" i="41"/>
  <c r="BZ31" i="41"/>
  <c r="BK31" i="41"/>
  <c r="AV31" i="41"/>
  <c r="AG31" i="41"/>
  <c r="Z31" i="41"/>
  <c r="Q31" i="41"/>
  <c r="J31" i="41"/>
  <c r="I31" i="41"/>
  <c r="D31" i="41"/>
  <c r="C31" i="41"/>
  <c r="L31" i="41" s="1" a="1"/>
  <c r="L31" i="41" s="1"/>
  <c r="BZ30" i="41"/>
  <c r="BK30" i="41"/>
  <c r="BD30" i="41"/>
  <c r="BH30" i="41" s="1"/>
  <c r="AV30" i="41"/>
  <c r="AG30" i="41"/>
  <c r="Z30" i="41"/>
  <c r="Q30" i="41"/>
  <c r="L30" i="41" a="1"/>
  <c r="L30" i="41" s="1"/>
  <c r="J30" i="41"/>
  <c r="I30" i="41"/>
  <c r="D30" i="41"/>
  <c r="C30" i="41"/>
  <c r="K30" i="41" s="1" a="1"/>
  <c r="K30" i="41" s="1"/>
  <c r="BZ29" i="41"/>
  <c r="BR29" i="41"/>
  <c r="BV29" i="41" s="1"/>
  <c r="BK29" i="41"/>
  <c r="AV29" i="41"/>
  <c r="AG29" i="41"/>
  <c r="Z29" i="41"/>
  <c r="Q29" i="41"/>
  <c r="J29" i="41"/>
  <c r="I29" i="41"/>
  <c r="D29" i="41"/>
  <c r="C29" i="41"/>
  <c r="BZ28" i="41"/>
  <c r="BS28" i="41"/>
  <c r="BW28" i="41" s="1"/>
  <c r="BK28" i="41"/>
  <c r="AV28" i="41"/>
  <c r="AG28" i="41"/>
  <c r="Z28" i="41"/>
  <c r="Q28" i="41"/>
  <c r="J28" i="41"/>
  <c r="I28" i="41"/>
  <c r="D28" i="41"/>
  <c r="C28" i="41"/>
  <c r="BZ27" i="41"/>
  <c r="BK27" i="41"/>
  <c r="AV27" i="41"/>
  <c r="AG27" i="41"/>
  <c r="Z27" i="41"/>
  <c r="Q27" i="41"/>
  <c r="K27" i="41" a="1"/>
  <c r="K27" i="41" s="1"/>
  <c r="J27" i="41"/>
  <c r="I27" i="41"/>
  <c r="D27" i="41"/>
  <c r="C27" i="41"/>
  <c r="L27" i="41" s="1" a="1"/>
  <c r="L27" i="41" s="1"/>
  <c r="BZ26" i="41"/>
  <c r="BK26" i="41"/>
  <c r="BC26" i="41"/>
  <c r="BG26" i="41" s="1"/>
  <c r="AV26" i="41"/>
  <c r="AG26" i="41"/>
  <c r="Z26" i="41"/>
  <c r="Q26" i="41"/>
  <c r="J26" i="41"/>
  <c r="I26" i="41"/>
  <c r="D26" i="41"/>
  <c r="C26" i="41"/>
  <c r="K26" i="41" s="1" a="1"/>
  <c r="K26" i="41" s="1"/>
  <c r="BZ25" i="41"/>
  <c r="BK25" i="41"/>
  <c r="BD25" i="41"/>
  <c r="BH25" i="41" s="1"/>
  <c r="AV25" i="41"/>
  <c r="AG25" i="41"/>
  <c r="Z25" i="41"/>
  <c r="Q25" i="41"/>
  <c r="J25" i="41"/>
  <c r="I25" i="41"/>
  <c r="D25" i="41"/>
  <c r="C25" i="41"/>
  <c r="BZ24" i="41"/>
  <c r="BK24" i="41"/>
  <c r="AV24" i="41"/>
  <c r="AG24" i="41"/>
  <c r="Z24" i="41"/>
  <c r="Q24" i="41"/>
  <c r="J24" i="41"/>
  <c r="I24" i="41"/>
  <c r="D24" i="41"/>
  <c r="C24" i="41"/>
  <c r="BZ23" i="41"/>
  <c r="BR23" i="41"/>
  <c r="BV23" i="41" s="1"/>
  <c r="BK23" i="41"/>
  <c r="AV23" i="41"/>
  <c r="AG23" i="41"/>
  <c r="Z23" i="41"/>
  <c r="Y23" i="41"/>
  <c r="Q23" i="41"/>
  <c r="J23" i="41"/>
  <c r="I23" i="41"/>
  <c r="D23" i="41"/>
  <c r="C23" i="41"/>
  <c r="L23" i="41" s="1" a="1"/>
  <c r="L23" i="41" s="1"/>
  <c r="BZ22" i="41"/>
  <c r="BK22" i="41"/>
  <c r="AV22" i="41"/>
  <c r="AS22" i="41"/>
  <c r="AO22" i="41"/>
  <c r="AG22" i="41"/>
  <c r="Z22" i="41"/>
  <c r="Q22" i="41"/>
  <c r="J22" i="41"/>
  <c r="I22" i="41"/>
  <c r="D22" i="41"/>
  <c r="C22" i="41"/>
  <c r="K22" i="41" s="1" a="1"/>
  <c r="K22" i="41" s="1"/>
  <c r="BZ21" i="41"/>
  <c r="BK21" i="41"/>
  <c r="BH21" i="41"/>
  <c r="BD21" i="41"/>
  <c r="AV21" i="41"/>
  <c r="AG21" i="41"/>
  <c r="Z21" i="41"/>
  <c r="Q21" i="41"/>
  <c r="J21" i="41"/>
  <c r="I21" i="41"/>
  <c r="D21" i="41"/>
  <c r="C21" i="41"/>
  <c r="BZ20" i="41"/>
  <c r="BK20" i="41"/>
  <c r="BD20" i="41"/>
  <c r="BH20" i="41" s="1"/>
  <c r="AV20" i="41"/>
  <c r="AG20" i="41"/>
  <c r="Z20" i="41"/>
  <c r="Y20" i="41"/>
  <c r="X20" i="41"/>
  <c r="Q20" i="41"/>
  <c r="L20" i="41" a="1"/>
  <c r="L20" i="41" s="1"/>
  <c r="J20" i="41"/>
  <c r="I20" i="41"/>
  <c r="D20" i="41"/>
  <c r="C20" i="41"/>
  <c r="K20" i="41" s="1" a="1"/>
  <c r="K20" i="41" s="1"/>
  <c r="BZ19" i="41"/>
  <c r="BK19" i="41"/>
  <c r="AV19" i="41"/>
  <c r="AS19" i="41"/>
  <c r="AO19" i="41"/>
  <c r="AG19" i="41"/>
  <c r="Z19" i="41"/>
  <c r="Y19" i="41"/>
  <c r="X19" i="41"/>
  <c r="Q19" i="41"/>
  <c r="L19" i="41" a="1"/>
  <c r="L19" i="41" s="1"/>
  <c r="K19" i="41" a="1"/>
  <c r="K19" i="41" s="1"/>
  <c r="J19" i="41"/>
  <c r="I19" i="41"/>
  <c r="D19" i="41"/>
  <c r="C19" i="41"/>
  <c r="BZ18" i="41"/>
  <c r="BK18" i="41"/>
  <c r="BH18" i="41"/>
  <c r="BG18" i="41"/>
  <c r="BD18" i="41"/>
  <c r="BC18" i="41"/>
  <c r="AV18" i="41"/>
  <c r="AS18" i="41"/>
  <c r="AR18" i="41"/>
  <c r="AO18" i="41"/>
  <c r="AN18" i="41"/>
  <c r="AG18" i="41"/>
  <c r="Z18" i="41"/>
  <c r="Q18" i="41"/>
  <c r="J18" i="41"/>
  <c r="I18" i="41"/>
  <c r="D18" i="41"/>
  <c r="C18" i="41"/>
  <c r="L18" i="41" s="1" a="1"/>
  <c r="L18" i="41" s="1"/>
  <c r="BZ17" i="41"/>
  <c r="BK17" i="41"/>
  <c r="BH17" i="41"/>
  <c r="BG17" i="41"/>
  <c r="BD17" i="41"/>
  <c r="BC17" i="41"/>
  <c r="AV17" i="41"/>
  <c r="AS17" i="41"/>
  <c r="AR17" i="41"/>
  <c r="AO17" i="41"/>
  <c r="AN17" i="41"/>
  <c r="AG17" i="41"/>
  <c r="Z17" i="41"/>
  <c r="Q17" i="41"/>
  <c r="J17" i="41"/>
  <c r="I17" i="41"/>
  <c r="D17" i="41"/>
  <c r="C17" i="41"/>
  <c r="BZ16" i="41"/>
  <c r="BW16" i="41"/>
  <c r="BV16" i="41"/>
  <c r="BS16" i="41"/>
  <c r="BR16" i="41"/>
  <c r="BK16" i="41"/>
  <c r="BH16" i="41"/>
  <c r="BG16" i="41"/>
  <c r="BD16" i="41"/>
  <c r="BC16" i="41"/>
  <c r="AV16" i="41"/>
  <c r="AS16" i="41"/>
  <c r="AR16" i="41"/>
  <c r="AO16" i="41"/>
  <c r="AN16" i="41"/>
  <c r="AG16" i="41"/>
  <c r="Z16" i="41"/>
  <c r="Y16" i="41"/>
  <c r="Y15" i="41" s="1"/>
  <c r="X16" i="41"/>
  <c r="X15" i="41" s="1"/>
  <c r="Q16" i="41"/>
  <c r="J16" i="41"/>
  <c r="I16" i="41"/>
  <c r="D16" i="41"/>
  <c r="C16" i="41"/>
  <c r="K16" i="41" s="1" a="1"/>
  <c r="K16" i="41" s="1"/>
  <c r="BZ15" i="41"/>
  <c r="BW15" i="41"/>
  <c r="BV15" i="41"/>
  <c r="BS15" i="41"/>
  <c r="BR15" i="41"/>
  <c r="BK15" i="41"/>
  <c r="BH15" i="41"/>
  <c r="BG15" i="41"/>
  <c r="BD15" i="41"/>
  <c r="BC15" i="41"/>
  <c r="AV15" i="41"/>
  <c r="AS15" i="41"/>
  <c r="AR15" i="41"/>
  <c r="AO15" i="41"/>
  <c r="AN15" i="41"/>
  <c r="AG15" i="41"/>
  <c r="Z15" i="41"/>
  <c r="Q15" i="41"/>
  <c r="J15" i="41"/>
  <c r="I15" i="41"/>
  <c r="D15" i="41"/>
  <c r="C15" i="41"/>
  <c r="K15" i="41" s="1" a="1"/>
  <c r="K15" i="41" s="1"/>
  <c r="BU14" i="41"/>
  <c r="BT14" i="41"/>
  <c r="BQ14" i="41"/>
  <c r="BP14" i="41"/>
  <c r="BO14" i="41"/>
  <c r="BN14" i="41"/>
  <c r="BL14" i="41"/>
  <c r="BF14" i="41"/>
  <c r="BE14" i="41"/>
  <c r="BB14" i="41"/>
  <c r="BA14" i="41"/>
  <c r="AZ14" i="41"/>
  <c r="AY14" i="41"/>
  <c r="AX14" i="41"/>
  <c r="AQ14" i="41"/>
  <c r="AP14" i="41"/>
  <c r="AM14" i="41"/>
  <c r="AL14" i="41"/>
  <c r="AK14" i="41"/>
  <c r="AJ14" i="41"/>
  <c r="AI14" i="41"/>
  <c r="S14" i="41"/>
  <c r="R14" i="41"/>
  <c r="H14" i="41"/>
  <c r="G14" i="41"/>
  <c r="F14" i="41"/>
  <c r="E14" i="41"/>
  <c r="T14" i="41" s="1"/>
  <c r="P3" i="41"/>
  <c r="B2" i="41" a="1"/>
  <c r="B2" i="41" s="1"/>
  <c r="A1" i="40"/>
  <c r="BZ125" i="40"/>
  <c r="BW125" i="40"/>
  <c r="BV125" i="40"/>
  <c r="BS125" i="40"/>
  <c r="BR125" i="40"/>
  <c r="BK125" i="40"/>
  <c r="BH125" i="40"/>
  <c r="BG125" i="40"/>
  <c r="BD125" i="40"/>
  <c r="BC125" i="40"/>
  <c r="AV125" i="40"/>
  <c r="AS125" i="40"/>
  <c r="AR125" i="40"/>
  <c r="AO125" i="40"/>
  <c r="AN125" i="40"/>
  <c r="AG125" i="40"/>
  <c r="Z125" i="40"/>
  <c r="Q125" i="40"/>
  <c r="L125" i="40" a="1"/>
  <c r="L125" i="40" s="1"/>
  <c r="J125" i="40"/>
  <c r="I125" i="40"/>
  <c r="D125" i="40"/>
  <c r="C125" i="40"/>
  <c r="K125" i="40" s="1" a="1"/>
  <c r="K125" i="40" s="1"/>
  <c r="BZ124" i="40"/>
  <c r="BW124" i="40"/>
  <c r="BV124" i="40"/>
  <c r="BS124" i="40"/>
  <c r="BR124" i="40"/>
  <c r="BK124" i="40"/>
  <c r="BH124" i="40"/>
  <c r="BG124" i="40"/>
  <c r="BD124" i="40"/>
  <c r="BC124" i="40"/>
  <c r="AV124" i="40"/>
  <c r="AS124" i="40"/>
  <c r="AR124" i="40"/>
  <c r="AO124" i="40"/>
  <c r="AN124" i="40"/>
  <c r="AG124" i="40"/>
  <c r="Z124" i="40"/>
  <c r="Y124" i="40"/>
  <c r="X124" i="40"/>
  <c r="Q124" i="40"/>
  <c r="L124" i="40" a="1"/>
  <c r="L124" i="40" s="1"/>
  <c r="K124" i="40" a="1"/>
  <c r="K124" i="40" s="1"/>
  <c r="J124" i="40"/>
  <c r="I124" i="40"/>
  <c r="D124" i="40"/>
  <c r="C124" i="40"/>
  <c r="BZ123" i="40"/>
  <c r="BV123" i="40"/>
  <c r="BR123" i="40"/>
  <c r="BK123" i="40"/>
  <c r="AV123" i="40"/>
  <c r="AR123" i="40"/>
  <c r="AN123" i="40"/>
  <c r="AG123" i="40"/>
  <c r="Z123" i="40"/>
  <c r="Y123" i="40"/>
  <c r="X123" i="40"/>
  <c r="Q123" i="40"/>
  <c r="J123" i="40"/>
  <c r="I123" i="40"/>
  <c r="D123" i="40"/>
  <c r="C123" i="40"/>
  <c r="K123" i="40" s="1" a="1"/>
  <c r="K123" i="40" s="1"/>
  <c r="BZ122" i="40"/>
  <c r="BW122" i="40"/>
  <c r="BV122" i="40"/>
  <c r="BS122" i="40"/>
  <c r="BR122" i="40"/>
  <c r="BK122" i="40"/>
  <c r="BH122" i="40"/>
  <c r="BG122" i="40"/>
  <c r="BD122" i="40"/>
  <c r="BC122" i="40"/>
  <c r="AV122" i="40"/>
  <c r="AS122" i="40"/>
  <c r="AR122" i="40"/>
  <c r="AO122" i="40"/>
  <c r="AN122" i="40"/>
  <c r="AG122" i="40"/>
  <c r="Z122" i="40"/>
  <c r="Q122" i="40"/>
  <c r="J122" i="40"/>
  <c r="I122" i="40"/>
  <c r="D122" i="40"/>
  <c r="C122" i="40"/>
  <c r="BZ121" i="40"/>
  <c r="BW121" i="40"/>
  <c r="BV121" i="40"/>
  <c r="BS121" i="40"/>
  <c r="BR121" i="40"/>
  <c r="BK121" i="40"/>
  <c r="BH121" i="40"/>
  <c r="BG121" i="40"/>
  <c r="BD121" i="40"/>
  <c r="BC121" i="40"/>
  <c r="AV121" i="40"/>
  <c r="AS121" i="40"/>
  <c r="AR121" i="40"/>
  <c r="AO121" i="40"/>
  <c r="AN121" i="40"/>
  <c r="AG121" i="40"/>
  <c r="Z121" i="40"/>
  <c r="Q121" i="40"/>
  <c r="L121" i="40" a="1"/>
  <c r="L121" i="40" s="1"/>
  <c r="J121" i="40"/>
  <c r="I121" i="40"/>
  <c r="D121" i="40"/>
  <c r="C121" i="40"/>
  <c r="K121" i="40" s="1" a="1"/>
  <c r="K121" i="40" s="1"/>
  <c r="BZ120" i="40"/>
  <c r="BW120" i="40"/>
  <c r="BV120" i="40"/>
  <c r="BS120" i="40"/>
  <c r="BR120" i="40"/>
  <c r="BK120" i="40"/>
  <c r="BH120" i="40"/>
  <c r="BG120" i="40"/>
  <c r="BD120" i="40"/>
  <c r="BC120" i="40"/>
  <c r="AV120" i="40"/>
  <c r="AS120" i="40"/>
  <c r="AR120" i="40"/>
  <c r="AO120" i="40"/>
  <c r="AN120" i="40"/>
  <c r="AG120" i="40"/>
  <c r="Z120" i="40"/>
  <c r="Y120" i="40"/>
  <c r="X120" i="40"/>
  <c r="Q120" i="40"/>
  <c r="J120" i="40"/>
  <c r="I120" i="40"/>
  <c r="D120" i="40"/>
  <c r="C120" i="40"/>
  <c r="BZ119" i="40"/>
  <c r="BV119" i="40"/>
  <c r="BR119" i="40"/>
  <c r="BK119" i="40"/>
  <c r="BC119" i="40"/>
  <c r="AV119" i="40"/>
  <c r="AR119" i="40"/>
  <c r="AO119" i="40"/>
  <c r="AN119" i="40"/>
  <c r="AG119" i="40"/>
  <c r="Z119" i="40"/>
  <c r="Y119" i="40"/>
  <c r="X119" i="40"/>
  <c r="Q119" i="40"/>
  <c r="J119" i="40"/>
  <c r="I119" i="40"/>
  <c r="D119" i="40"/>
  <c r="C119" i="40"/>
  <c r="K119" i="40" s="1" a="1"/>
  <c r="K119" i="40" s="1"/>
  <c r="BZ118" i="40"/>
  <c r="BW118" i="40"/>
  <c r="BV118" i="40"/>
  <c r="BS118" i="40"/>
  <c r="BR118" i="40"/>
  <c r="BK118" i="40"/>
  <c r="BH118" i="40"/>
  <c r="BG118" i="40"/>
  <c r="BD118" i="40"/>
  <c r="BC118" i="40"/>
  <c r="AV118" i="40"/>
  <c r="AS118" i="40"/>
  <c r="AR118" i="40"/>
  <c r="AO118" i="40"/>
  <c r="AN118" i="40"/>
  <c r="AG118" i="40"/>
  <c r="Z118" i="40"/>
  <c r="Q118" i="40"/>
  <c r="J118" i="40"/>
  <c r="I118" i="40"/>
  <c r="D118" i="40"/>
  <c r="C118" i="40"/>
  <c r="BZ117" i="40"/>
  <c r="BW117" i="40"/>
  <c r="BV117" i="40"/>
  <c r="BS117" i="40"/>
  <c r="BR117" i="40"/>
  <c r="BK117" i="40"/>
  <c r="BH117" i="40"/>
  <c r="BG117" i="40"/>
  <c r="BD117" i="40"/>
  <c r="BC117" i="40"/>
  <c r="AV117" i="40"/>
  <c r="AS117" i="40"/>
  <c r="AR117" i="40"/>
  <c r="AO117" i="40"/>
  <c r="AN117" i="40"/>
  <c r="AG117" i="40"/>
  <c r="Z117" i="40"/>
  <c r="Q117" i="40"/>
  <c r="J117" i="40"/>
  <c r="I117" i="40"/>
  <c r="D117" i="40"/>
  <c r="C117" i="40"/>
  <c r="K117" i="40" s="1" a="1"/>
  <c r="K117" i="40" s="1"/>
  <c r="BZ116" i="40"/>
  <c r="BW116" i="40"/>
  <c r="BV116" i="40"/>
  <c r="BS116" i="40"/>
  <c r="BR116" i="40"/>
  <c r="BK116" i="40"/>
  <c r="BH116" i="40"/>
  <c r="BG116" i="40"/>
  <c r="BD116" i="40"/>
  <c r="BC116" i="40"/>
  <c r="AV116" i="40"/>
  <c r="AS116" i="40"/>
  <c r="AR116" i="40"/>
  <c r="AO116" i="40"/>
  <c r="AN116" i="40"/>
  <c r="AG116" i="40"/>
  <c r="Z116" i="40"/>
  <c r="Y116" i="40"/>
  <c r="X116" i="40"/>
  <c r="Q116" i="40"/>
  <c r="L116" i="40" a="1"/>
  <c r="L116" i="40" s="1"/>
  <c r="J116" i="40"/>
  <c r="I116" i="40"/>
  <c r="D116" i="40"/>
  <c r="C116" i="40"/>
  <c r="K116" i="40" s="1" a="1"/>
  <c r="K116" i="40" s="1"/>
  <c r="BZ115" i="40"/>
  <c r="BK115" i="40"/>
  <c r="AV115" i="40"/>
  <c r="AG115" i="40"/>
  <c r="Z115" i="40"/>
  <c r="Q115" i="40"/>
  <c r="K115" i="40" a="1"/>
  <c r="K115" i="40" s="1"/>
  <c r="J115" i="40"/>
  <c r="I115" i="40"/>
  <c r="D115" i="40"/>
  <c r="C115" i="40"/>
  <c r="BZ114" i="40"/>
  <c r="BK114" i="40"/>
  <c r="AV114" i="40"/>
  <c r="AG114" i="40"/>
  <c r="Z114" i="40"/>
  <c r="Q114" i="40"/>
  <c r="J114" i="40"/>
  <c r="I114" i="40"/>
  <c r="D114" i="40"/>
  <c r="C114" i="40"/>
  <c r="BZ113" i="40"/>
  <c r="BK113" i="40"/>
  <c r="AV113" i="40"/>
  <c r="AG113" i="40"/>
  <c r="Z113" i="40"/>
  <c r="Q113" i="40"/>
  <c r="J113" i="40"/>
  <c r="I113" i="40"/>
  <c r="D113" i="40"/>
  <c r="C113" i="40"/>
  <c r="K113" i="40" s="1" a="1"/>
  <c r="K113" i="40" s="1"/>
  <c r="BZ112" i="40"/>
  <c r="BK112" i="40"/>
  <c r="AV112" i="40"/>
  <c r="AG112" i="40"/>
  <c r="Z112" i="40"/>
  <c r="Q112" i="40"/>
  <c r="L112" i="40" a="1"/>
  <c r="L112" i="40" s="1"/>
  <c r="K112" i="40" a="1"/>
  <c r="K112" i="40" s="1"/>
  <c r="J112" i="40"/>
  <c r="I112" i="40"/>
  <c r="D112" i="40"/>
  <c r="C112" i="40"/>
  <c r="BZ111" i="40"/>
  <c r="BK111" i="40"/>
  <c r="AV111" i="40"/>
  <c r="AG111" i="40"/>
  <c r="Z111" i="40"/>
  <c r="Q111" i="40"/>
  <c r="J111" i="40"/>
  <c r="I111" i="40"/>
  <c r="D111" i="40"/>
  <c r="C111" i="40"/>
  <c r="K111" i="40" s="1" a="1"/>
  <c r="K111" i="40" s="1"/>
  <c r="BZ110" i="40"/>
  <c r="BK110" i="40"/>
  <c r="AV110" i="40"/>
  <c r="AG110" i="40"/>
  <c r="Z110" i="40"/>
  <c r="Q110" i="40"/>
  <c r="J110" i="40"/>
  <c r="I110" i="40"/>
  <c r="D110" i="40"/>
  <c r="C110" i="40"/>
  <c r="BZ109" i="40"/>
  <c r="BK109" i="40"/>
  <c r="AV109" i="40"/>
  <c r="AG109" i="40"/>
  <c r="Z109" i="40"/>
  <c r="Q109" i="40"/>
  <c r="L109" i="40" a="1"/>
  <c r="L109" i="40" s="1"/>
  <c r="J109" i="40"/>
  <c r="I109" i="40"/>
  <c r="D109" i="40"/>
  <c r="C109" i="40"/>
  <c r="BZ108" i="40"/>
  <c r="BK108" i="40"/>
  <c r="AV108" i="40"/>
  <c r="AG108" i="40"/>
  <c r="Z108" i="40"/>
  <c r="Q108" i="40"/>
  <c r="L108" i="40" a="1"/>
  <c r="L108" i="40" s="1"/>
  <c r="K108" i="40" a="1"/>
  <c r="K108" i="40" s="1"/>
  <c r="J108" i="40"/>
  <c r="I108" i="40"/>
  <c r="D108" i="40"/>
  <c r="C108" i="40"/>
  <c r="BZ107" i="40"/>
  <c r="BK107" i="40"/>
  <c r="AV107" i="40"/>
  <c r="AG107" i="40"/>
  <c r="Z107" i="40"/>
  <c r="Q107" i="40"/>
  <c r="J107" i="40"/>
  <c r="I107" i="40"/>
  <c r="D107" i="40"/>
  <c r="C107" i="40"/>
  <c r="K107" i="40" s="1" a="1"/>
  <c r="K107" i="40" s="1"/>
  <c r="BZ106" i="40"/>
  <c r="BK106" i="40"/>
  <c r="AV106" i="40"/>
  <c r="AG106" i="40"/>
  <c r="Z106" i="40"/>
  <c r="Q106" i="40"/>
  <c r="J106" i="40"/>
  <c r="I106" i="40"/>
  <c r="D106" i="40"/>
  <c r="C106" i="40"/>
  <c r="BZ105" i="40"/>
  <c r="BK105" i="40"/>
  <c r="AV105" i="40"/>
  <c r="AG105" i="40"/>
  <c r="Z105" i="40"/>
  <c r="Q105" i="40"/>
  <c r="J105" i="40"/>
  <c r="I105" i="40"/>
  <c r="D105" i="40"/>
  <c r="C105" i="40"/>
  <c r="BZ104" i="40"/>
  <c r="BK104" i="40"/>
  <c r="AV104" i="40"/>
  <c r="AG104" i="40"/>
  <c r="Z104" i="40"/>
  <c r="Q104" i="40"/>
  <c r="J104" i="40"/>
  <c r="I104" i="40"/>
  <c r="D104" i="40"/>
  <c r="C104" i="40"/>
  <c r="BZ103" i="40"/>
  <c r="BK103" i="40"/>
  <c r="AV103" i="40"/>
  <c r="AG103" i="40"/>
  <c r="Z103" i="40"/>
  <c r="Q103" i="40"/>
  <c r="K103" i="40" a="1"/>
  <c r="K103" i="40" s="1"/>
  <c r="J103" i="40"/>
  <c r="I103" i="40"/>
  <c r="D103" i="40"/>
  <c r="C103" i="40"/>
  <c r="BZ102" i="40"/>
  <c r="BK102" i="40"/>
  <c r="AV102" i="40"/>
  <c r="AG102" i="40"/>
  <c r="Z102" i="40"/>
  <c r="Q102" i="40"/>
  <c r="L102" i="40" a="1"/>
  <c r="L102" i="40" s="1"/>
  <c r="K102" i="40" a="1"/>
  <c r="K102" i="40" s="1"/>
  <c r="J102" i="40"/>
  <c r="I102" i="40"/>
  <c r="D102" i="40"/>
  <c r="C102" i="40"/>
  <c r="BZ101" i="40"/>
  <c r="BK101" i="40"/>
  <c r="AV101" i="40"/>
  <c r="AG101" i="40"/>
  <c r="Z101" i="40"/>
  <c r="Q101" i="40"/>
  <c r="J101" i="40"/>
  <c r="I101" i="40"/>
  <c r="D101" i="40"/>
  <c r="C101" i="40"/>
  <c r="BZ100" i="40"/>
  <c r="BK100" i="40"/>
  <c r="AV100" i="40"/>
  <c r="AG100" i="40"/>
  <c r="Z100" i="40"/>
  <c r="Q100" i="40"/>
  <c r="L100" i="40" a="1"/>
  <c r="L100" i="40" s="1"/>
  <c r="J100" i="40"/>
  <c r="I100" i="40"/>
  <c r="D100" i="40"/>
  <c r="C100" i="40"/>
  <c r="K100" i="40" s="1" a="1"/>
  <c r="K100" i="40" s="1"/>
  <c r="BZ99" i="40"/>
  <c r="BK99" i="40"/>
  <c r="AV99" i="40"/>
  <c r="AG99" i="40"/>
  <c r="Z99" i="40"/>
  <c r="Q99" i="40"/>
  <c r="J99" i="40"/>
  <c r="I99" i="40"/>
  <c r="D99" i="40"/>
  <c r="C99" i="40"/>
  <c r="K99" i="40" s="1" a="1"/>
  <c r="K99" i="40" s="1"/>
  <c r="BZ98" i="40"/>
  <c r="BK98" i="40"/>
  <c r="AV98" i="40"/>
  <c r="AG98" i="40"/>
  <c r="Z98" i="40"/>
  <c r="Q98" i="40"/>
  <c r="J98" i="40"/>
  <c r="I98" i="40"/>
  <c r="D98" i="40"/>
  <c r="C98" i="40"/>
  <c r="L98" i="40" s="1" a="1"/>
  <c r="L98" i="40" s="1"/>
  <c r="BZ97" i="40"/>
  <c r="BK97" i="40"/>
  <c r="AV97" i="40"/>
  <c r="AG97" i="40"/>
  <c r="Z97" i="40"/>
  <c r="Q97" i="40"/>
  <c r="J97" i="40"/>
  <c r="I97" i="40"/>
  <c r="D97" i="40"/>
  <c r="C97" i="40"/>
  <c r="BZ96" i="40"/>
  <c r="BK96" i="40"/>
  <c r="AV96" i="40"/>
  <c r="AG96" i="40"/>
  <c r="Z96" i="40"/>
  <c r="Q96" i="40"/>
  <c r="L96" i="40" a="1"/>
  <c r="L96" i="40" s="1"/>
  <c r="J96" i="40"/>
  <c r="I96" i="40"/>
  <c r="D96" i="40"/>
  <c r="C96" i="40"/>
  <c r="K96" i="40" s="1" a="1"/>
  <c r="K96" i="40" s="1"/>
  <c r="BZ95" i="40"/>
  <c r="BK95" i="40"/>
  <c r="AV95" i="40"/>
  <c r="AG95" i="40"/>
  <c r="Z95" i="40"/>
  <c r="Q95" i="40"/>
  <c r="K95" i="40" a="1"/>
  <c r="K95" i="40" s="1"/>
  <c r="J95" i="40"/>
  <c r="I95" i="40"/>
  <c r="D95" i="40"/>
  <c r="C95" i="40"/>
  <c r="BZ94" i="40"/>
  <c r="BK94" i="40"/>
  <c r="AV94" i="40"/>
  <c r="AG94" i="40"/>
  <c r="Z94" i="40"/>
  <c r="Q94" i="40"/>
  <c r="J94" i="40"/>
  <c r="I94" i="40"/>
  <c r="D94" i="40"/>
  <c r="C94" i="40"/>
  <c r="BZ93" i="40"/>
  <c r="BK93" i="40"/>
  <c r="AV93" i="40"/>
  <c r="AG93" i="40"/>
  <c r="Z93" i="40"/>
  <c r="Q93" i="40"/>
  <c r="J93" i="40"/>
  <c r="I93" i="40"/>
  <c r="D93" i="40"/>
  <c r="C93" i="40"/>
  <c r="BZ92" i="40"/>
  <c r="BK92" i="40"/>
  <c r="AV92" i="40"/>
  <c r="AG92" i="40"/>
  <c r="Z92" i="40"/>
  <c r="Q92" i="40"/>
  <c r="J92" i="40"/>
  <c r="I92" i="40"/>
  <c r="D92" i="40"/>
  <c r="C92" i="40"/>
  <c r="K92" i="40" s="1" a="1"/>
  <c r="K92" i="40" s="1"/>
  <c r="BZ91" i="40"/>
  <c r="BK91" i="40"/>
  <c r="AV91" i="40"/>
  <c r="AG91" i="40"/>
  <c r="Z91" i="40"/>
  <c r="Q91" i="40"/>
  <c r="L91" i="40" a="1"/>
  <c r="L91" i="40" s="1"/>
  <c r="K91" i="40" a="1"/>
  <c r="K91" i="40" s="1"/>
  <c r="J91" i="40"/>
  <c r="I91" i="40"/>
  <c r="D91" i="40"/>
  <c r="C91" i="40"/>
  <c r="BZ90" i="40"/>
  <c r="BK90" i="40"/>
  <c r="AV90" i="40"/>
  <c r="AG90" i="40"/>
  <c r="Z90" i="40"/>
  <c r="Q90" i="40"/>
  <c r="L90" i="40" a="1"/>
  <c r="L90" i="40" s="1"/>
  <c r="J90" i="40"/>
  <c r="I90" i="40"/>
  <c r="D90" i="40"/>
  <c r="C90" i="40"/>
  <c r="K90" i="40" s="1" a="1"/>
  <c r="K90" i="40" s="1"/>
  <c r="BZ89" i="40"/>
  <c r="BK89" i="40"/>
  <c r="AV89" i="40"/>
  <c r="AG89" i="40"/>
  <c r="Z89" i="40"/>
  <c r="Q89" i="40"/>
  <c r="J89" i="40"/>
  <c r="I89" i="40"/>
  <c r="D89" i="40"/>
  <c r="C89" i="40"/>
  <c r="BZ88" i="40"/>
  <c r="BK88" i="40"/>
  <c r="AV88" i="40"/>
  <c r="AG88" i="40"/>
  <c r="Z88" i="40"/>
  <c r="Q88" i="40"/>
  <c r="L88" i="40" a="1"/>
  <c r="L88" i="40" s="1"/>
  <c r="J88" i="40"/>
  <c r="I88" i="40"/>
  <c r="D88" i="40"/>
  <c r="C88" i="40"/>
  <c r="K88" i="40" s="1" a="1"/>
  <c r="K88" i="40" s="1"/>
  <c r="BZ87" i="40"/>
  <c r="BK87" i="40"/>
  <c r="AV87" i="40"/>
  <c r="AG87" i="40"/>
  <c r="Z87" i="40"/>
  <c r="Q87" i="40"/>
  <c r="L87" i="40" a="1"/>
  <c r="L87" i="40" s="1"/>
  <c r="K87" i="40" a="1"/>
  <c r="K87" i="40" s="1"/>
  <c r="J87" i="40"/>
  <c r="I87" i="40"/>
  <c r="D87" i="40"/>
  <c r="C87" i="40"/>
  <c r="BZ86" i="40"/>
  <c r="BK86" i="40"/>
  <c r="AV86" i="40"/>
  <c r="AG86" i="40"/>
  <c r="Z86" i="40"/>
  <c r="Q86" i="40"/>
  <c r="L86" i="40" a="1"/>
  <c r="L86" i="40" s="1"/>
  <c r="K86" i="40" a="1"/>
  <c r="K86" i="40" s="1"/>
  <c r="J86" i="40"/>
  <c r="I86" i="40"/>
  <c r="D86" i="40"/>
  <c r="C86" i="40"/>
  <c r="BZ85" i="40"/>
  <c r="BK85" i="40"/>
  <c r="AV85" i="40"/>
  <c r="AG85" i="40"/>
  <c r="Z85" i="40"/>
  <c r="Q85" i="40"/>
  <c r="J85" i="40"/>
  <c r="I85" i="40"/>
  <c r="D85" i="40"/>
  <c r="C85" i="40"/>
  <c r="BZ84" i="40"/>
  <c r="BK84" i="40"/>
  <c r="AV84" i="40"/>
  <c r="AG84" i="40"/>
  <c r="Z84" i="40"/>
  <c r="Q84" i="40"/>
  <c r="J84" i="40"/>
  <c r="I84" i="40"/>
  <c r="D84" i="40"/>
  <c r="C84" i="40"/>
  <c r="K84" i="40" s="1" a="1"/>
  <c r="K84" i="40" s="1"/>
  <c r="BZ83" i="40"/>
  <c r="BK83" i="40"/>
  <c r="AV83" i="40"/>
  <c r="AG83" i="40"/>
  <c r="Z83" i="40"/>
  <c r="Q83" i="40"/>
  <c r="J83" i="40"/>
  <c r="I83" i="40"/>
  <c r="D83" i="40"/>
  <c r="C83" i="40"/>
  <c r="L83" i="40" s="1" a="1"/>
  <c r="L83" i="40" s="1"/>
  <c r="BZ82" i="40"/>
  <c r="BK82" i="40"/>
  <c r="AV82" i="40"/>
  <c r="AG82" i="40"/>
  <c r="Z82" i="40"/>
  <c r="Q82" i="40"/>
  <c r="L82" i="40" a="1"/>
  <c r="L82" i="40" s="1"/>
  <c r="K82" i="40" a="1"/>
  <c r="K82" i="40" s="1"/>
  <c r="J82" i="40"/>
  <c r="I82" i="40"/>
  <c r="D82" i="40"/>
  <c r="C82" i="40"/>
  <c r="BZ81" i="40"/>
  <c r="BK81" i="40"/>
  <c r="AV81" i="40"/>
  <c r="AG81" i="40"/>
  <c r="Z81" i="40"/>
  <c r="Q81" i="40"/>
  <c r="J81" i="40"/>
  <c r="I81" i="40"/>
  <c r="D81" i="40"/>
  <c r="C81" i="40"/>
  <c r="BZ80" i="40"/>
  <c r="BK80" i="40"/>
  <c r="AV80" i="40"/>
  <c r="AG80" i="40"/>
  <c r="Z80" i="40"/>
  <c r="Q80" i="40"/>
  <c r="J80" i="40"/>
  <c r="I80" i="40"/>
  <c r="D80" i="40"/>
  <c r="C80" i="40"/>
  <c r="BZ79" i="40"/>
  <c r="BK79" i="40"/>
  <c r="AV79" i="40"/>
  <c r="AG79" i="40"/>
  <c r="Z79" i="40"/>
  <c r="Q79" i="40"/>
  <c r="K79" i="40" a="1"/>
  <c r="K79" i="40" s="1"/>
  <c r="J79" i="40"/>
  <c r="I79" i="40"/>
  <c r="D79" i="40"/>
  <c r="C79" i="40"/>
  <c r="L79" i="40" s="1" a="1"/>
  <c r="L79" i="40" s="1"/>
  <c r="BZ78" i="40"/>
  <c r="BK78" i="40"/>
  <c r="AV78" i="40"/>
  <c r="AG78" i="40"/>
  <c r="Z78" i="40"/>
  <c r="Q78" i="40"/>
  <c r="L78" i="40" a="1"/>
  <c r="L78" i="40" s="1"/>
  <c r="K78" i="40" a="1"/>
  <c r="K78" i="40" s="1"/>
  <c r="J78" i="40"/>
  <c r="I78" i="40"/>
  <c r="D78" i="40"/>
  <c r="C78" i="40"/>
  <c r="BZ77" i="40"/>
  <c r="BK77" i="40"/>
  <c r="AV77" i="40"/>
  <c r="AG77" i="40"/>
  <c r="Z77" i="40"/>
  <c r="Q77" i="40"/>
  <c r="J77" i="40"/>
  <c r="I77" i="40"/>
  <c r="D77" i="40"/>
  <c r="C77" i="40"/>
  <c r="BZ76" i="40"/>
  <c r="BK76" i="40"/>
  <c r="AV76" i="40"/>
  <c r="AG76" i="40"/>
  <c r="Z76" i="40"/>
  <c r="Q76" i="40"/>
  <c r="J76" i="40"/>
  <c r="I76" i="40"/>
  <c r="D76" i="40"/>
  <c r="C76" i="40"/>
  <c r="BZ75" i="40"/>
  <c r="BK75" i="40"/>
  <c r="AV75" i="40"/>
  <c r="AG75" i="40"/>
  <c r="Z75" i="40"/>
  <c r="Q75" i="40"/>
  <c r="J75" i="40"/>
  <c r="I75" i="40"/>
  <c r="D75" i="40"/>
  <c r="C75" i="40"/>
  <c r="K75" i="40" s="1" a="1"/>
  <c r="K75" i="40" s="1"/>
  <c r="BZ74" i="40"/>
  <c r="BK74" i="40"/>
  <c r="AV74" i="40"/>
  <c r="AG74" i="40"/>
  <c r="Z74" i="40"/>
  <c r="Q74" i="40"/>
  <c r="L74" i="40" a="1"/>
  <c r="L74" i="40" s="1"/>
  <c r="K74" i="40" a="1"/>
  <c r="K74" i="40" s="1"/>
  <c r="J74" i="40"/>
  <c r="I74" i="40"/>
  <c r="D74" i="40"/>
  <c r="C74" i="40"/>
  <c r="BZ73" i="40"/>
  <c r="BK73" i="40"/>
  <c r="AV73" i="40"/>
  <c r="AG73" i="40"/>
  <c r="Z73" i="40"/>
  <c r="Q73" i="40"/>
  <c r="J73" i="40"/>
  <c r="I73" i="40"/>
  <c r="D73" i="40"/>
  <c r="C73" i="40"/>
  <c r="K73" i="40" s="1" a="1"/>
  <c r="K73" i="40" s="1"/>
  <c r="BZ72" i="40"/>
  <c r="BK72" i="40"/>
  <c r="AV72" i="40"/>
  <c r="AG72" i="40"/>
  <c r="Z72" i="40"/>
  <c r="Q72" i="40"/>
  <c r="J72" i="40"/>
  <c r="I72" i="40"/>
  <c r="D72" i="40"/>
  <c r="C72" i="40"/>
  <c r="L72" i="40" s="1" a="1"/>
  <c r="L72" i="40" s="1"/>
  <c r="BZ71" i="40"/>
  <c r="BK71" i="40"/>
  <c r="AV71" i="40"/>
  <c r="AG71" i="40"/>
  <c r="Z71" i="40"/>
  <c r="Q71" i="40"/>
  <c r="L71" i="40" a="1"/>
  <c r="L71" i="40" s="1"/>
  <c r="J71" i="40"/>
  <c r="I71" i="40"/>
  <c r="D71" i="40"/>
  <c r="C71" i="40"/>
  <c r="K71" i="40" s="1" a="1"/>
  <c r="K71" i="40" s="1"/>
  <c r="BZ70" i="40"/>
  <c r="BK70" i="40"/>
  <c r="AV70" i="40"/>
  <c r="AG70" i="40"/>
  <c r="Z70" i="40"/>
  <c r="Q70" i="40"/>
  <c r="J70" i="40"/>
  <c r="I70" i="40"/>
  <c r="D70" i="40"/>
  <c r="C70" i="40"/>
  <c r="L70" i="40" s="1" a="1"/>
  <c r="L70" i="40" s="1"/>
  <c r="BZ69" i="40"/>
  <c r="BK69" i="40"/>
  <c r="AV69" i="40"/>
  <c r="AG69" i="40"/>
  <c r="Z69" i="40"/>
  <c r="Q69" i="40"/>
  <c r="J69" i="40"/>
  <c r="I69" i="40"/>
  <c r="D69" i="40"/>
  <c r="C69" i="40"/>
  <c r="K69" i="40" s="1" a="1"/>
  <c r="K69" i="40" s="1"/>
  <c r="BZ68" i="40"/>
  <c r="BK68" i="40"/>
  <c r="AV68" i="40"/>
  <c r="AG68" i="40"/>
  <c r="Z68" i="40"/>
  <c r="Q68" i="40"/>
  <c r="J68" i="40"/>
  <c r="I68" i="40"/>
  <c r="D68" i="40"/>
  <c r="C68" i="40"/>
  <c r="L68" i="40" s="1" a="1"/>
  <c r="L68" i="40" s="1"/>
  <c r="BZ67" i="40"/>
  <c r="BK67" i="40"/>
  <c r="AV67" i="40"/>
  <c r="AG67" i="40"/>
  <c r="Z67" i="40"/>
  <c r="Q67" i="40"/>
  <c r="L67" i="40" a="1"/>
  <c r="L67" i="40" s="1"/>
  <c r="J67" i="40"/>
  <c r="I67" i="40"/>
  <c r="D67" i="40"/>
  <c r="C67" i="40"/>
  <c r="K67" i="40" s="1" a="1"/>
  <c r="K67" i="40" s="1"/>
  <c r="BZ66" i="40"/>
  <c r="BK66" i="40"/>
  <c r="AV66" i="40"/>
  <c r="AG66" i="40"/>
  <c r="Z66" i="40"/>
  <c r="Q66" i="40"/>
  <c r="J66" i="40"/>
  <c r="I66" i="40"/>
  <c r="D66" i="40"/>
  <c r="C66" i="40"/>
  <c r="L66" i="40" s="1" a="1"/>
  <c r="L66" i="40" s="1"/>
  <c r="BZ65" i="40"/>
  <c r="BK65" i="40"/>
  <c r="AV65" i="40"/>
  <c r="AG65" i="40"/>
  <c r="Z65" i="40"/>
  <c r="Q65" i="40"/>
  <c r="J65" i="40"/>
  <c r="I65" i="40"/>
  <c r="D65" i="40"/>
  <c r="C65" i="40"/>
  <c r="K65" i="40" s="1" a="1"/>
  <c r="K65" i="40" s="1"/>
  <c r="BZ64" i="40"/>
  <c r="BK64" i="40"/>
  <c r="AV64" i="40"/>
  <c r="AG64" i="40"/>
  <c r="Z64" i="40"/>
  <c r="Q64" i="40"/>
  <c r="J64" i="40"/>
  <c r="I64" i="40"/>
  <c r="D64" i="40"/>
  <c r="C64" i="40"/>
  <c r="BZ63" i="40"/>
  <c r="BK63" i="40"/>
  <c r="AV63" i="40"/>
  <c r="AG63" i="40"/>
  <c r="Z63" i="40"/>
  <c r="Q63" i="40"/>
  <c r="J63" i="40"/>
  <c r="I63" i="40"/>
  <c r="D63" i="40"/>
  <c r="C63" i="40"/>
  <c r="BZ62" i="40"/>
  <c r="BK62" i="40"/>
  <c r="AV62" i="40"/>
  <c r="AG62" i="40"/>
  <c r="Z62" i="40"/>
  <c r="Q62" i="40"/>
  <c r="L62" i="40" a="1"/>
  <c r="L62" i="40" s="1"/>
  <c r="K62" i="40" a="1"/>
  <c r="K62" i="40" s="1"/>
  <c r="J62" i="40"/>
  <c r="I62" i="40"/>
  <c r="D62" i="40"/>
  <c r="C62" i="40"/>
  <c r="BZ61" i="40"/>
  <c r="BK61" i="40"/>
  <c r="AV61" i="40"/>
  <c r="AG61" i="40"/>
  <c r="Z61" i="40"/>
  <c r="Q61" i="40"/>
  <c r="J61" i="40"/>
  <c r="I61" i="40"/>
  <c r="D61" i="40"/>
  <c r="C61" i="40"/>
  <c r="BZ60" i="40"/>
  <c r="BK60" i="40"/>
  <c r="AV60" i="40"/>
  <c r="AG60" i="40"/>
  <c r="Z60" i="40"/>
  <c r="Q60" i="40"/>
  <c r="J60" i="40"/>
  <c r="I60" i="40"/>
  <c r="D60" i="40"/>
  <c r="C60" i="40"/>
  <c r="BZ59" i="40"/>
  <c r="BK59" i="40"/>
  <c r="AV59" i="40"/>
  <c r="AG59" i="40"/>
  <c r="Z59" i="40"/>
  <c r="Q59" i="40"/>
  <c r="J59" i="40"/>
  <c r="I59" i="40"/>
  <c r="D59" i="40"/>
  <c r="C59" i="40"/>
  <c r="L59" i="40" s="1" a="1"/>
  <c r="L59" i="40" s="1"/>
  <c r="BZ58" i="40"/>
  <c r="BK58" i="40"/>
  <c r="AV58" i="40"/>
  <c r="AG58" i="40"/>
  <c r="Z58" i="40"/>
  <c r="Q58" i="40"/>
  <c r="J58" i="40"/>
  <c r="I58" i="40"/>
  <c r="D58" i="40"/>
  <c r="C58" i="40"/>
  <c r="L58" i="40" s="1" a="1"/>
  <c r="L58" i="40" s="1"/>
  <c r="BZ57" i="40"/>
  <c r="BK57" i="40"/>
  <c r="AV57" i="40"/>
  <c r="AG57" i="40"/>
  <c r="Z57" i="40"/>
  <c r="Q57" i="40"/>
  <c r="J57" i="40"/>
  <c r="I57" i="40"/>
  <c r="D57" i="40"/>
  <c r="C57" i="40"/>
  <c r="K57" i="40" s="1" a="1"/>
  <c r="K57" i="40" s="1"/>
  <c r="BZ56" i="40"/>
  <c r="BK56" i="40"/>
  <c r="AV56" i="40"/>
  <c r="AG56" i="40"/>
  <c r="Z56" i="40"/>
  <c r="Q56" i="40"/>
  <c r="K56" i="40" a="1"/>
  <c r="K56" i="40" s="1"/>
  <c r="J56" i="40"/>
  <c r="I56" i="40"/>
  <c r="D56" i="40"/>
  <c r="C56" i="40"/>
  <c r="L56" i="40" s="1" a="1"/>
  <c r="L56" i="40" s="1"/>
  <c r="BZ55" i="40"/>
  <c r="BK55" i="40"/>
  <c r="AV55" i="40"/>
  <c r="AG55" i="40"/>
  <c r="Z55" i="40"/>
  <c r="Q55" i="40"/>
  <c r="J55" i="40"/>
  <c r="I55" i="40"/>
  <c r="D55" i="40"/>
  <c r="C55" i="40"/>
  <c r="BZ54" i="40"/>
  <c r="BK54" i="40"/>
  <c r="AV54" i="40"/>
  <c r="AG54" i="40"/>
  <c r="Z54" i="40"/>
  <c r="Q54" i="40"/>
  <c r="J54" i="40"/>
  <c r="I54" i="40"/>
  <c r="D54" i="40"/>
  <c r="C54" i="40"/>
  <c r="L54" i="40" s="1" a="1"/>
  <c r="L54" i="40" s="1"/>
  <c r="BZ53" i="40"/>
  <c r="BK53" i="40"/>
  <c r="AV53" i="40"/>
  <c r="AG53" i="40"/>
  <c r="Z53" i="40"/>
  <c r="Q53" i="40"/>
  <c r="J53" i="40"/>
  <c r="I53" i="40"/>
  <c r="D53" i="40"/>
  <c r="C53" i="40"/>
  <c r="K53" i="40" s="1" a="1"/>
  <c r="K53" i="40" s="1"/>
  <c r="BZ52" i="40"/>
  <c r="BK52" i="40"/>
  <c r="AV52" i="40"/>
  <c r="AG52" i="40"/>
  <c r="Z52" i="40"/>
  <c r="Q52" i="40"/>
  <c r="J52" i="40"/>
  <c r="I52" i="40"/>
  <c r="D52" i="40"/>
  <c r="C52" i="40"/>
  <c r="BZ51" i="40"/>
  <c r="BK51" i="40"/>
  <c r="AV51" i="40"/>
  <c r="AG51" i="40"/>
  <c r="Z51" i="40"/>
  <c r="Q51" i="40"/>
  <c r="L51" i="40" a="1"/>
  <c r="L51" i="40" s="1"/>
  <c r="K51" i="40" a="1"/>
  <c r="K51" i="40" s="1"/>
  <c r="J51" i="40"/>
  <c r="I51" i="40"/>
  <c r="D51" i="40"/>
  <c r="C51" i="40"/>
  <c r="BZ50" i="40"/>
  <c r="BK50" i="40"/>
  <c r="AV50" i="40"/>
  <c r="AG50" i="40"/>
  <c r="Z50" i="40"/>
  <c r="Q50" i="40"/>
  <c r="J50" i="40"/>
  <c r="I50" i="40"/>
  <c r="D50" i="40"/>
  <c r="C50" i="40"/>
  <c r="BZ49" i="40"/>
  <c r="BK49" i="40"/>
  <c r="AV49" i="40"/>
  <c r="AG49" i="40"/>
  <c r="Z49" i="40"/>
  <c r="Q49" i="40"/>
  <c r="J49" i="40"/>
  <c r="I49" i="40"/>
  <c r="D49" i="40"/>
  <c r="C49" i="40"/>
  <c r="K49" i="40" s="1" a="1"/>
  <c r="K49" i="40" s="1"/>
  <c r="BZ48" i="40"/>
  <c r="BK48" i="40"/>
  <c r="AV48" i="40"/>
  <c r="AG48" i="40"/>
  <c r="Z48" i="40"/>
  <c r="Q48" i="40"/>
  <c r="L48" i="40" a="1"/>
  <c r="L48" i="40" s="1"/>
  <c r="K48" i="40" a="1"/>
  <c r="K48" i="40" s="1"/>
  <c r="J48" i="40"/>
  <c r="I48" i="40"/>
  <c r="D48" i="40"/>
  <c r="C48" i="40"/>
  <c r="BZ47" i="40"/>
  <c r="BK47" i="40"/>
  <c r="AV47" i="40"/>
  <c r="AG47" i="40"/>
  <c r="Z47" i="40"/>
  <c r="Q47" i="40"/>
  <c r="L47" i="40" a="1"/>
  <c r="L47" i="40" s="1"/>
  <c r="J47" i="40"/>
  <c r="I47" i="40"/>
  <c r="D47" i="40"/>
  <c r="C47" i="40"/>
  <c r="BZ46" i="40"/>
  <c r="BK46" i="40"/>
  <c r="AV46" i="40"/>
  <c r="AG46" i="40"/>
  <c r="Z46" i="40"/>
  <c r="Q46" i="40"/>
  <c r="L46" i="40" a="1"/>
  <c r="L46" i="40" s="1"/>
  <c r="J46" i="40"/>
  <c r="I46" i="40"/>
  <c r="D46" i="40"/>
  <c r="C46" i="40"/>
  <c r="BZ45" i="40"/>
  <c r="BK45" i="40"/>
  <c r="AV45" i="40"/>
  <c r="AG45" i="40"/>
  <c r="Z45" i="40"/>
  <c r="Q45" i="40"/>
  <c r="J45" i="40"/>
  <c r="I45" i="40"/>
  <c r="D45" i="40"/>
  <c r="C45" i="40"/>
  <c r="K45" i="40" s="1" a="1"/>
  <c r="K45" i="40" s="1"/>
  <c r="BZ44" i="40"/>
  <c r="BK44" i="40"/>
  <c r="AV44" i="40"/>
  <c r="AG44" i="40"/>
  <c r="Z44" i="40"/>
  <c r="Q44" i="40"/>
  <c r="J44" i="40"/>
  <c r="I44" i="40"/>
  <c r="D44" i="40"/>
  <c r="C44" i="40"/>
  <c r="BZ43" i="40"/>
  <c r="BK43" i="40"/>
  <c r="AV43" i="40"/>
  <c r="AG43" i="40"/>
  <c r="Z43" i="40"/>
  <c r="Q43" i="40"/>
  <c r="J43" i="40"/>
  <c r="I43" i="40"/>
  <c r="D43" i="40"/>
  <c r="C43" i="40"/>
  <c r="L43" i="40" s="1" a="1"/>
  <c r="L43" i="40" s="1"/>
  <c r="BZ42" i="40"/>
  <c r="BK42" i="40"/>
  <c r="AV42" i="40"/>
  <c r="AG42" i="40"/>
  <c r="Z42" i="40"/>
  <c r="Q42" i="40"/>
  <c r="L42" i="40" a="1"/>
  <c r="L42" i="40" s="1"/>
  <c r="J42" i="40"/>
  <c r="I42" i="40"/>
  <c r="D42" i="40"/>
  <c r="C42" i="40"/>
  <c r="K42" i="40" s="1" a="1"/>
  <c r="K42" i="40" s="1"/>
  <c r="BZ41" i="40"/>
  <c r="BK41" i="40"/>
  <c r="AV41" i="40"/>
  <c r="AG41" i="40"/>
  <c r="Z41" i="40"/>
  <c r="Q41" i="40"/>
  <c r="L41" i="40" a="1"/>
  <c r="L41" i="40" s="1"/>
  <c r="K41" i="40" a="1"/>
  <c r="K41" i="40" s="1"/>
  <c r="J41" i="40"/>
  <c r="I41" i="40"/>
  <c r="D41" i="40"/>
  <c r="C41" i="40"/>
  <c r="BZ40" i="40"/>
  <c r="BK40" i="40"/>
  <c r="AV40" i="40"/>
  <c r="AG40" i="40"/>
  <c r="Z40" i="40"/>
  <c r="Q40" i="40"/>
  <c r="J40" i="40"/>
  <c r="I40" i="40"/>
  <c r="D40" i="40"/>
  <c r="C40" i="40"/>
  <c r="BZ39" i="40"/>
  <c r="BK39" i="40"/>
  <c r="AV39" i="40"/>
  <c r="AG39" i="40"/>
  <c r="Z39" i="40"/>
  <c r="Q39" i="40"/>
  <c r="J39" i="40"/>
  <c r="I39" i="40"/>
  <c r="D39" i="40"/>
  <c r="C39" i="40"/>
  <c r="L39" i="40" s="1" a="1"/>
  <c r="L39" i="40" s="1"/>
  <c r="BZ38" i="40"/>
  <c r="BK38" i="40"/>
  <c r="AV38" i="40"/>
  <c r="AG38" i="40"/>
  <c r="Z38" i="40"/>
  <c r="Q38" i="40"/>
  <c r="J38" i="40"/>
  <c r="I38" i="40"/>
  <c r="D38" i="40"/>
  <c r="C38" i="40"/>
  <c r="BZ37" i="40"/>
  <c r="BK37" i="40"/>
  <c r="AV37" i="40"/>
  <c r="AG37" i="40"/>
  <c r="Z37" i="40"/>
  <c r="Q37" i="40"/>
  <c r="K37" i="40" a="1"/>
  <c r="K37" i="40" s="1"/>
  <c r="J37" i="40"/>
  <c r="I37" i="40"/>
  <c r="D37" i="40"/>
  <c r="C37" i="40"/>
  <c r="L37" i="40" s="1" a="1"/>
  <c r="L37" i="40" s="1"/>
  <c r="BZ36" i="40"/>
  <c r="BK36" i="40"/>
  <c r="AV36" i="40"/>
  <c r="AG36" i="40"/>
  <c r="Z36" i="40"/>
  <c r="Q36" i="40"/>
  <c r="L36" i="40" a="1"/>
  <c r="L36" i="40" s="1"/>
  <c r="K36" i="40" a="1"/>
  <c r="K36" i="40" s="1"/>
  <c r="J36" i="40"/>
  <c r="I36" i="40"/>
  <c r="D36" i="40"/>
  <c r="C36" i="40"/>
  <c r="BZ35" i="40"/>
  <c r="BK35" i="40"/>
  <c r="AV35" i="40"/>
  <c r="AG35" i="40"/>
  <c r="Z35" i="40"/>
  <c r="Q35" i="40"/>
  <c r="J35" i="40"/>
  <c r="I35" i="40"/>
  <c r="D35" i="40"/>
  <c r="C35" i="40"/>
  <c r="L35" i="40" s="1" a="1"/>
  <c r="L35" i="40" s="1"/>
  <c r="BZ34" i="40"/>
  <c r="BK34" i="40"/>
  <c r="AV34" i="40"/>
  <c r="AG34" i="40"/>
  <c r="Z34" i="40"/>
  <c r="Q34" i="40"/>
  <c r="L34" i="40" a="1"/>
  <c r="L34" i="40" s="1"/>
  <c r="J34" i="40"/>
  <c r="I34" i="40"/>
  <c r="D34" i="40"/>
  <c r="C34" i="40"/>
  <c r="K34" i="40" s="1" a="1"/>
  <c r="K34" i="40" s="1"/>
  <c r="BZ33" i="40"/>
  <c r="BK33" i="40"/>
  <c r="AV33" i="40"/>
  <c r="AG33" i="40"/>
  <c r="Z33" i="40"/>
  <c r="Q33" i="40"/>
  <c r="L33" i="40" a="1"/>
  <c r="L33" i="40" s="1"/>
  <c r="K33" i="40" a="1"/>
  <c r="K33" i="40" s="1"/>
  <c r="J33" i="40"/>
  <c r="I33" i="40"/>
  <c r="D33" i="40"/>
  <c r="C33" i="40"/>
  <c r="BZ32" i="40"/>
  <c r="BK32" i="40"/>
  <c r="AV32" i="40"/>
  <c r="AG32" i="40"/>
  <c r="Z32" i="40"/>
  <c r="Q32" i="40"/>
  <c r="L32" i="40" a="1"/>
  <c r="L32" i="40" s="1"/>
  <c r="J32" i="40"/>
  <c r="I32" i="40"/>
  <c r="D32" i="40"/>
  <c r="C32" i="40"/>
  <c r="K32" i="40" s="1" a="1"/>
  <c r="K32" i="40" s="1"/>
  <c r="BZ31" i="40"/>
  <c r="BK31" i="40"/>
  <c r="AV31" i="40"/>
  <c r="AG31" i="40"/>
  <c r="Z31" i="40"/>
  <c r="Q31" i="40"/>
  <c r="J31" i="40"/>
  <c r="I31" i="40"/>
  <c r="D31" i="40"/>
  <c r="C31" i="40"/>
  <c r="L31" i="40" s="1" a="1"/>
  <c r="L31" i="40" s="1"/>
  <c r="BZ30" i="40"/>
  <c r="BK30" i="40"/>
  <c r="AV30" i="40"/>
  <c r="AG30" i="40"/>
  <c r="Z30" i="40"/>
  <c r="Q30" i="40"/>
  <c r="J30" i="40"/>
  <c r="I30" i="40"/>
  <c r="D30" i="40"/>
  <c r="C30" i="40"/>
  <c r="K30" i="40" s="1" a="1"/>
  <c r="K30" i="40" s="1"/>
  <c r="BZ29" i="40"/>
  <c r="BK29" i="40"/>
  <c r="AV29" i="40"/>
  <c r="AG29" i="40"/>
  <c r="Z29" i="40"/>
  <c r="Q29" i="40"/>
  <c r="L29" i="40" a="1"/>
  <c r="L29" i="40" s="1"/>
  <c r="K29" i="40" a="1"/>
  <c r="K29" i="40" s="1"/>
  <c r="J29" i="40"/>
  <c r="I29" i="40"/>
  <c r="D29" i="40"/>
  <c r="C29" i="40"/>
  <c r="BZ28" i="40"/>
  <c r="BK28" i="40"/>
  <c r="AV28" i="40"/>
  <c r="AG28" i="40"/>
  <c r="Z28" i="40"/>
  <c r="Q28" i="40"/>
  <c r="J28" i="40"/>
  <c r="I28" i="40"/>
  <c r="D28" i="40"/>
  <c r="C28" i="40"/>
  <c r="L28" i="40" s="1" a="1"/>
  <c r="L28" i="40" s="1"/>
  <c r="BZ27" i="40"/>
  <c r="BK27" i="40"/>
  <c r="AV27" i="40"/>
  <c r="AG27" i="40"/>
  <c r="Z27" i="40"/>
  <c r="Q27" i="40"/>
  <c r="J27" i="40"/>
  <c r="I27" i="40"/>
  <c r="D27" i="40"/>
  <c r="C27" i="40"/>
  <c r="K27" i="40" s="1" a="1"/>
  <c r="K27" i="40" s="1"/>
  <c r="BZ26" i="40"/>
  <c r="BK26" i="40"/>
  <c r="AV26" i="40"/>
  <c r="AG26" i="40"/>
  <c r="Z26" i="40"/>
  <c r="Q26" i="40"/>
  <c r="J26" i="40"/>
  <c r="I26" i="40"/>
  <c r="D26" i="40"/>
  <c r="C26" i="40"/>
  <c r="K26" i="40" s="1" a="1"/>
  <c r="K26" i="40" s="1"/>
  <c r="BZ25" i="40"/>
  <c r="BK25" i="40"/>
  <c r="AV25" i="40"/>
  <c r="AG25" i="40"/>
  <c r="Z25" i="40"/>
  <c r="Q25" i="40"/>
  <c r="L25" i="40" a="1"/>
  <c r="L25" i="40" s="1"/>
  <c r="K25" i="40" a="1"/>
  <c r="K25" i="40" s="1"/>
  <c r="J25" i="40"/>
  <c r="I25" i="40"/>
  <c r="D25" i="40"/>
  <c r="C25" i="40"/>
  <c r="BZ24" i="40"/>
  <c r="BK24" i="40"/>
  <c r="AV24" i="40"/>
  <c r="AG24" i="40"/>
  <c r="Z24" i="40"/>
  <c r="Q24" i="40"/>
  <c r="J24" i="40"/>
  <c r="I24" i="40"/>
  <c r="D24" i="40"/>
  <c r="C24" i="40"/>
  <c r="L24" i="40" s="1" a="1"/>
  <c r="L24" i="40" s="1"/>
  <c r="BZ23" i="40"/>
  <c r="BK23" i="40"/>
  <c r="AV23" i="40"/>
  <c r="AG23" i="40"/>
  <c r="Z23" i="40"/>
  <c r="Q23" i="40"/>
  <c r="L23" i="40" a="1"/>
  <c r="L23" i="40" s="1"/>
  <c r="J23" i="40"/>
  <c r="I23" i="40"/>
  <c r="D23" i="40"/>
  <c r="C23" i="40"/>
  <c r="K23" i="40" s="1" a="1"/>
  <c r="K23" i="40" s="1"/>
  <c r="BZ22" i="40"/>
  <c r="BK22" i="40"/>
  <c r="AV22" i="40"/>
  <c r="AG22" i="40"/>
  <c r="Z22" i="40"/>
  <c r="Q22" i="40"/>
  <c r="J22" i="40"/>
  <c r="I22" i="40"/>
  <c r="D22" i="40"/>
  <c r="C22" i="40"/>
  <c r="K22" i="40" s="1" a="1"/>
  <c r="K22" i="40" s="1"/>
  <c r="BZ21" i="40"/>
  <c r="BK21" i="40"/>
  <c r="AV21" i="40"/>
  <c r="AG21" i="40"/>
  <c r="Z21" i="40"/>
  <c r="Q21" i="40"/>
  <c r="L21" i="40" a="1"/>
  <c r="L21" i="40" s="1"/>
  <c r="K21" i="40" a="1"/>
  <c r="K21" i="40" s="1"/>
  <c r="J21" i="40"/>
  <c r="I21" i="40"/>
  <c r="D21" i="40"/>
  <c r="C21" i="40"/>
  <c r="BZ20" i="40"/>
  <c r="BK20" i="40"/>
  <c r="AV20" i="40"/>
  <c r="AG20" i="40"/>
  <c r="Z20" i="40"/>
  <c r="Y20" i="40"/>
  <c r="X20" i="40"/>
  <c r="Q20" i="40"/>
  <c r="J20" i="40"/>
  <c r="I20" i="40"/>
  <c r="D20" i="40"/>
  <c r="C20" i="40"/>
  <c r="L20" i="40" s="1" a="1"/>
  <c r="L20" i="40" s="1"/>
  <c r="BZ19" i="40"/>
  <c r="BK19" i="40"/>
  <c r="AV19" i="40"/>
  <c r="AR19" i="40"/>
  <c r="AN19" i="40"/>
  <c r="AG19" i="40"/>
  <c r="Z19" i="40"/>
  <c r="Y19" i="40"/>
  <c r="X19" i="40"/>
  <c r="Q19" i="40"/>
  <c r="L19" i="40" a="1"/>
  <c r="L19" i="40" s="1"/>
  <c r="J19" i="40"/>
  <c r="I19" i="40"/>
  <c r="D19" i="40"/>
  <c r="C19" i="40"/>
  <c r="K19" i="40" s="1" a="1"/>
  <c r="K19" i="40" s="1"/>
  <c r="BZ18" i="40"/>
  <c r="BK18" i="40"/>
  <c r="BH18" i="40"/>
  <c r="BG18" i="40"/>
  <c r="BD18" i="40"/>
  <c r="BC18" i="40"/>
  <c r="AV18" i="40"/>
  <c r="AS18" i="40"/>
  <c r="AR18" i="40"/>
  <c r="AO18" i="40"/>
  <c r="AN18" i="40"/>
  <c r="AG18" i="40"/>
  <c r="Z18" i="40"/>
  <c r="Y18" i="40"/>
  <c r="Q18" i="40"/>
  <c r="J18" i="40"/>
  <c r="I18" i="40"/>
  <c r="D18" i="40"/>
  <c r="C18" i="40"/>
  <c r="K18" i="40" s="1" a="1"/>
  <c r="K18" i="40" s="1"/>
  <c r="BZ17" i="40"/>
  <c r="BK17" i="40"/>
  <c r="BH17" i="40"/>
  <c r="BG17" i="40"/>
  <c r="BD17" i="40"/>
  <c r="BC17" i="40"/>
  <c r="AV17" i="40"/>
  <c r="AS17" i="40"/>
  <c r="AR17" i="40"/>
  <c r="AO17" i="40"/>
  <c r="AN17" i="40"/>
  <c r="AG17" i="40"/>
  <c r="Z17" i="40"/>
  <c r="Q17" i="40"/>
  <c r="K17" i="40" a="1"/>
  <c r="K17" i="40" s="1"/>
  <c r="J17" i="40"/>
  <c r="I17" i="40"/>
  <c r="D17" i="40"/>
  <c r="C17" i="40"/>
  <c r="L17" i="40" s="1" a="1"/>
  <c r="L17" i="40" s="1"/>
  <c r="BZ16" i="40"/>
  <c r="BW16" i="40"/>
  <c r="BV16" i="40"/>
  <c r="BS16" i="40"/>
  <c r="BR16" i="40"/>
  <c r="BK16" i="40"/>
  <c r="BH16" i="40"/>
  <c r="BG16" i="40"/>
  <c r="BD16" i="40"/>
  <c r="BC16" i="40"/>
  <c r="AV16" i="40"/>
  <c r="AS16" i="40"/>
  <c r="AR16" i="40"/>
  <c r="AO16" i="40"/>
  <c r="AN16" i="40"/>
  <c r="AG16" i="40"/>
  <c r="Z16" i="40"/>
  <c r="Y16" i="40"/>
  <c r="Y15" i="40" s="1"/>
  <c r="X16" i="40"/>
  <c r="X15" i="40" s="1"/>
  <c r="Q16" i="40"/>
  <c r="J16" i="40"/>
  <c r="I16" i="40"/>
  <c r="D16" i="40"/>
  <c r="C16" i="40"/>
  <c r="L16" i="40" s="1" a="1"/>
  <c r="L16" i="40" s="1"/>
  <c r="BZ15" i="40"/>
  <c r="BW15" i="40"/>
  <c r="BV15" i="40"/>
  <c r="BS15" i="40"/>
  <c r="BR15" i="40"/>
  <c r="BK15" i="40"/>
  <c r="BH15" i="40"/>
  <c r="BG15" i="40"/>
  <c r="BD15" i="40"/>
  <c r="BC15" i="40"/>
  <c r="AV15" i="40"/>
  <c r="AS15" i="40"/>
  <c r="AR15" i="40"/>
  <c r="AO15" i="40"/>
  <c r="AN15" i="40"/>
  <c r="AG15" i="40"/>
  <c r="Z15" i="40"/>
  <c r="Q15" i="40"/>
  <c r="L15" i="40" a="1"/>
  <c r="L15" i="40" s="1"/>
  <c r="J15" i="40"/>
  <c r="I15" i="40"/>
  <c r="D15" i="40"/>
  <c r="C15" i="40"/>
  <c r="K15" i="40" s="1" a="1"/>
  <c r="K15" i="40" s="1"/>
  <c r="BU14" i="40"/>
  <c r="BT14" i="40"/>
  <c r="BQ14" i="40"/>
  <c r="BP14" i="40"/>
  <c r="BO14" i="40"/>
  <c r="BN14" i="40"/>
  <c r="BL14" i="40"/>
  <c r="BF14" i="40"/>
  <c r="BE14" i="40"/>
  <c r="BB14" i="40"/>
  <c r="BA14" i="40"/>
  <c r="AZ14" i="40"/>
  <c r="AY14" i="40"/>
  <c r="AW14" i="40"/>
  <c r="BC14" i="40" s="1"/>
  <c r="AQ14" i="40"/>
  <c r="AP14" i="40"/>
  <c r="AM14" i="40"/>
  <c r="AL14" i="40"/>
  <c r="AK14" i="40"/>
  <c r="AJ14" i="40"/>
  <c r="AI14" i="40"/>
  <c r="AH14" i="40"/>
  <c r="AN14" i="40" s="1"/>
  <c r="S14" i="40"/>
  <c r="R14" i="40"/>
  <c r="H14" i="40"/>
  <c r="G14" i="40"/>
  <c r="F14" i="40"/>
  <c r="U14" i="40" s="1"/>
  <c r="E14" i="40"/>
  <c r="P3" i="40"/>
  <c r="BC109" i="40" s="1"/>
  <c r="BG109" i="40" s="1"/>
  <c r="B2" i="40" a="1"/>
  <c r="B2" i="40" s="1"/>
  <c r="N3" i="40"/>
  <c r="A1" i="39"/>
  <c r="N3" i="39" s="1"/>
  <c r="BZ125" i="39"/>
  <c r="BW125" i="39"/>
  <c r="BV125" i="39"/>
  <c r="BR125" i="39"/>
  <c r="BK125" i="39"/>
  <c r="BH125" i="39"/>
  <c r="BG125" i="39"/>
  <c r="BD125" i="39"/>
  <c r="BC125" i="39"/>
  <c r="AV125" i="39"/>
  <c r="AS125" i="39"/>
  <c r="AR125" i="39"/>
  <c r="AO125" i="39"/>
  <c r="AN125" i="39"/>
  <c r="AG125" i="39"/>
  <c r="Z125" i="39"/>
  <c r="Y125" i="39"/>
  <c r="X125" i="39"/>
  <c r="Q125" i="39"/>
  <c r="J125" i="39"/>
  <c r="I125" i="39"/>
  <c r="D125" i="39"/>
  <c r="C125" i="39"/>
  <c r="L125" i="39" s="1" a="1"/>
  <c r="L125" i="39" s="1"/>
  <c r="BZ124" i="39"/>
  <c r="BW124" i="39"/>
  <c r="BV124" i="39"/>
  <c r="BS124" i="39"/>
  <c r="BR124" i="39"/>
  <c r="BK124" i="39"/>
  <c r="BH124" i="39"/>
  <c r="BG124" i="39"/>
  <c r="BD124" i="39"/>
  <c r="BC124" i="39"/>
  <c r="AV124" i="39"/>
  <c r="AS124" i="39"/>
  <c r="AR124" i="39"/>
  <c r="AO124" i="39"/>
  <c r="AN124" i="39"/>
  <c r="AG124" i="39"/>
  <c r="Z124" i="39"/>
  <c r="Y124" i="39"/>
  <c r="X124" i="39"/>
  <c r="Q124" i="39"/>
  <c r="K124" i="39" a="1"/>
  <c r="K124" i="39" s="1"/>
  <c r="J124" i="39"/>
  <c r="I124" i="39"/>
  <c r="D124" i="39"/>
  <c r="C124" i="39"/>
  <c r="L124" i="39" s="1" a="1"/>
  <c r="L124" i="39" s="1"/>
  <c r="BZ123" i="39"/>
  <c r="BV123" i="39"/>
  <c r="BR123" i="39"/>
  <c r="BK123" i="39"/>
  <c r="BG123" i="39"/>
  <c r="BC123" i="39"/>
  <c r="AV123" i="39"/>
  <c r="AS123" i="39"/>
  <c r="AR123" i="39"/>
  <c r="AO123" i="39"/>
  <c r="AG123" i="39"/>
  <c r="Z123" i="39"/>
  <c r="Y123" i="39"/>
  <c r="X123" i="39"/>
  <c r="Q123" i="39"/>
  <c r="J123" i="39"/>
  <c r="I123" i="39"/>
  <c r="D123" i="39"/>
  <c r="C123" i="39"/>
  <c r="L123" i="39" s="1" a="1"/>
  <c r="L123" i="39" s="1"/>
  <c r="BZ122" i="39"/>
  <c r="BW122" i="39"/>
  <c r="BV122" i="39"/>
  <c r="BS122" i="39"/>
  <c r="BR122" i="39"/>
  <c r="BK122" i="39"/>
  <c r="BH122" i="39"/>
  <c r="BG122" i="39"/>
  <c r="BD122" i="39"/>
  <c r="BC122" i="39"/>
  <c r="AV122" i="39"/>
  <c r="AS122" i="39"/>
  <c r="AR122" i="39"/>
  <c r="AO122" i="39"/>
  <c r="AN122" i="39"/>
  <c r="AG122" i="39"/>
  <c r="Z122" i="39"/>
  <c r="Q122" i="39"/>
  <c r="J122" i="39"/>
  <c r="I122" i="39"/>
  <c r="D122" i="39"/>
  <c r="C122" i="39"/>
  <c r="BZ121" i="39"/>
  <c r="BW121" i="39"/>
  <c r="BV121" i="39"/>
  <c r="BR121" i="39"/>
  <c r="BK121" i="39"/>
  <c r="BH121" i="39"/>
  <c r="BG121" i="39"/>
  <c r="BD121" i="39"/>
  <c r="BC121" i="39"/>
  <c r="AV121" i="39"/>
  <c r="AS121" i="39"/>
  <c r="AR121" i="39"/>
  <c r="AO121" i="39"/>
  <c r="AN121" i="39"/>
  <c r="AG121" i="39"/>
  <c r="Z121" i="39"/>
  <c r="Y121" i="39"/>
  <c r="X121" i="39"/>
  <c r="Q121" i="39"/>
  <c r="K121" i="39" a="1"/>
  <c r="K121" i="39" s="1"/>
  <c r="J121" i="39"/>
  <c r="I121" i="39"/>
  <c r="D121" i="39"/>
  <c r="C121" i="39"/>
  <c r="L121" i="39" s="1" a="1"/>
  <c r="L121" i="39" s="1"/>
  <c r="BZ120" i="39"/>
  <c r="BW120" i="39"/>
  <c r="BV120" i="39"/>
  <c r="BS120" i="39"/>
  <c r="BR120" i="39"/>
  <c r="BK120" i="39"/>
  <c r="BH120" i="39"/>
  <c r="BG120" i="39"/>
  <c r="BD120" i="39"/>
  <c r="BC120" i="39"/>
  <c r="AV120" i="39"/>
  <c r="AS120" i="39"/>
  <c r="AR120" i="39"/>
  <c r="AO120" i="39"/>
  <c r="AN120" i="39"/>
  <c r="AG120" i="39"/>
  <c r="Z120" i="39"/>
  <c r="Y120" i="39"/>
  <c r="X120" i="39"/>
  <c r="Q120" i="39"/>
  <c r="J120" i="39"/>
  <c r="I120" i="39"/>
  <c r="D120" i="39"/>
  <c r="C120" i="39"/>
  <c r="L120" i="39" s="1" a="1"/>
  <c r="L120" i="39" s="1"/>
  <c r="BZ119" i="39"/>
  <c r="BV119" i="39"/>
  <c r="BR119" i="39"/>
  <c r="BK119" i="39"/>
  <c r="BG119" i="39"/>
  <c r="BC119" i="39"/>
  <c r="AV119" i="39"/>
  <c r="AS119" i="39"/>
  <c r="AO119" i="39"/>
  <c r="AG119" i="39"/>
  <c r="Z119" i="39"/>
  <c r="Y119" i="39"/>
  <c r="X119" i="39"/>
  <c r="Q119" i="39"/>
  <c r="J119" i="39"/>
  <c r="I119" i="39"/>
  <c r="D119" i="39"/>
  <c r="C119" i="39"/>
  <c r="L119" i="39" s="1" a="1"/>
  <c r="L119" i="39" s="1"/>
  <c r="BZ118" i="39"/>
  <c r="BW118" i="39"/>
  <c r="BV118" i="39"/>
  <c r="BS118" i="39"/>
  <c r="BR118" i="39"/>
  <c r="BK118" i="39"/>
  <c r="BH118" i="39"/>
  <c r="BG118" i="39"/>
  <c r="BD118" i="39"/>
  <c r="BC118" i="39"/>
  <c r="AV118" i="39"/>
  <c r="AS118" i="39"/>
  <c r="AR118" i="39"/>
  <c r="AO118" i="39"/>
  <c r="AN118" i="39"/>
  <c r="AG118" i="39"/>
  <c r="Z118" i="39"/>
  <c r="Q118" i="39"/>
  <c r="J118" i="39"/>
  <c r="I118" i="39"/>
  <c r="D118" i="39"/>
  <c r="C118" i="39"/>
  <c r="K118" i="39" s="1" a="1"/>
  <c r="K118" i="39" s="1"/>
  <c r="BZ117" i="39"/>
  <c r="BV117" i="39"/>
  <c r="BR117" i="39"/>
  <c r="BK117" i="39"/>
  <c r="BH117" i="39"/>
  <c r="BG117" i="39"/>
  <c r="BD117" i="39"/>
  <c r="BC117" i="39"/>
  <c r="AV117" i="39"/>
  <c r="AS117" i="39"/>
  <c r="AR117" i="39"/>
  <c r="AO117" i="39"/>
  <c r="AN117" i="39"/>
  <c r="AG117" i="39"/>
  <c r="Z117" i="39"/>
  <c r="Y117" i="39"/>
  <c r="X117" i="39"/>
  <c r="Q117" i="39"/>
  <c r="K117" i="39" a="1"/>
  <c r="K117" i="39" s="1"/>
  <c r="J117" i="39"/>
  <c r="I117" i="39"/>
  <c r="D117" i="39"/>
  <c r="C117" i="39"/>
  <c r="L117" i="39" s="1" a="1"/>
  <c r="L117" i="39" s="1"/>
  <c r="BZ116" i="39"/>
  <c r="BW116" i="39"/>
  <c r="BV116" i="39"/>
  <c r="BS116" i="39"/>
  <c r="BR116" i="39"/>
  <c r="BK116" i="39"/>
  <c r="BH116" i="39"/>
  <c r="BG116" i="39"/>
  <c r="BD116" i="39"/>
  <c r="BC116" i="39"/>
  <c r="AV116" i="39"/>
  <c r="AS116" i="39"/>
  <c r="AR116" i="39"/>
  <c r="AO116" i="39"/>
  <c r="AN116" i="39"/>
  <c r="AG116" i="39"/>
  <c r="Z116" i="39"/>
  <c r="Y116" i="39"/>
  <c r="X116" i="39"/>
  <c r="Q116" i="39"/>
  <c r="J116" i="39"/>
  <c r="I116" i="39"/>
  <c r="D116" i="39"/>
  <c r="C116" i="39"/>
  <c r="L116" i="39" s="1" a="1"/>
  <c r="L116" i="39" s="1"/>
  <c r="BZ115" i="39"/>
  <c r="BW115" i="39"/>
  <c r="BV115" i="39"/>
  <c r="BR115" i="39"/>
  <c r="BK115" i="39"/>
  <c r="BG115" i="39"/>
  <c r="BC115" i="39"/>
  <c r="AV115" i="39"/>
  <c r="AS115" i="39"/>
  <c r="AO115" i="39"/>
  <c r="AN115" i="39"/>
  <c r="AG115" i="39"/>
  <c r="Z115" i="39"/>
  <c r="Y115" i="39"/>
  <c r="X115" i="39"/>
  <c r="Q115" i="39"/>
  <c r="J115" i="39"/>
  <c r="I115" i="39"/>
  <c r="D115" i="39"/>
  <c r="C115" i="39"/>
  <c r="L115" i="39" s="1" a="1"/>
  <c r="L115" i="39" s="1"/>
  <c r="BZ114" i="39"/>
  <c r="BW114" i="39"/>
  <c r="BV114" i="39"/>
  <c r="BS114" i="39"/>
  <c r="BR114" i="39"/>
  <c r="BK114" i="39"/>
  <c r="BH114" i="39"/>
  <c r="BG114" i="39"/>
  <c r="BD114" i="39"/>
  <c r="BC114" i="39"/>
  <c r="AV114" i="39"/>
  <c r="AS114" i="39"/>
  <c r="AR114" i="39"/>
  <c r="AO114" i="39"/>
  <c r="AN114" i="39"/>
  <c r="AG114" i="39"/>
  <c r="Z114" i="39"/>
  <c r="Q114" i="39"/>
  <c r="J114" i="39"/>
  <c r="I114" i="39"/>
  <c r="D114" i="39"/>
  <c r="C114" i="39"/>
  <c r="BZ113" i="39"/>
  <c r="BV113" i="39"/>
  <c r="BR113" i="39"/>
  <c r="BK113" i="39"/>
  <c r="BH113" i="39"/>
  <c r="BG113" i="39"/>
  <c r="BD113" i="39"/>
  <c r="BC113" i="39"/>
  <c r="AV113" i="39"/>
  <c r="AS113" i="39"/>
  <c r="AR113" i="39"/>
  <c r="AO113" i="39"/>
  <c r="AN113" i="39"/>
  <c r="AG113" i="39"/>
  <c r="Z113" i="39"/>
  <c r="Y113" i="39"/>
  <c r="X113" i="39"/>
  <c r="Q113" i="39"/>
  <c r="K113" i="39" a="1"/>
  <c r="K113" i="39" s="1"/>
  <c r="J113" i="39"/>
  <c r="I113" i="39"/>
  <c r="D113" i="39"/>
  <c r="C113" i="39"/>
  <c r="L113" i="39" s="1" a="1"/>
  <c r="L113" i="39" s="1"/>
  <c r="BZ112" i="39"/>
  <c r="BW112" i="39"/>
  <c r="BV112" i="39"/>
  <c r="BS112" i="39"/>
  <c r="BR112" i="39"/>
  <c r="BK112" i="39"/>
  <c r="BH112" i="39"/>
  <c r="BG112" i="39"/>
  <c r="BD112" i="39"/>
  <c r="BC112" i="39"/>
  <c r="AV112" i="39"/>
  <c r="AS112" i="39"/>
  <c r="AR112" i="39"/>
  <c r="AO112" i="39"/>
  <c r="AN112" i="39"/>
  <c r="AG112" i="39"/>
  <c r="Z112" i="39"/>
  <c r="Y112" i="39"/>
  <c r="X112" i="39"/>
  <c r="Q112" i="39"/>
  <c r="L112" i="39" a="1"/>
  <c r="L112" i="39" s="1"/>
  <c r="K112" i="39" a="1"/>
  <c r="K112" i="39" s="1"/>
  <c r="J112" i="39"/>
  <c r="I112" i="39"/>
  <c r="D112" i="39"/>
  <c r="C112" i="39"/>
  <c r="BZ111" i="39"/>
  <c r="BV111" i="39"/>
  <c r="BS111" i="39"/>
  <c r="BR111" i="39"/>
  <c r="BK111" i="39"/>
  <c r="BG111" i="39"/>
  <c r="BC111" i="39"/>
  <c r="AV111" i="39"/>
  <c r="AS111" i="39"/>
  <c r="AO111" i="39"/>
  <c r="AG111" i="39"/>
  <c r="Z111" i="39"/>
  <c r="Y111" i="39"/>
  <c r="X111" i="39"/>
  <c r="Q111" i="39"/>
  <c r="J111" i="39"/>
  <c r="I111" i="39"/>
  <c r="D111" i="39"/>
  <c r="C111" i="39"/>
  <c r="BZ110" i="39"/>
  <c r="BW110" i="39"/>
  <c r="BV110" i="39"/>
  <c r="BS110" i="39"/>
  <c r="BR110" i="39"/>
  <c r="BK110" i="39"/>
  <c r="BH110" i="39"/>
  <c r="BG110" i="39"/>
  <c r="BD110" i="39"/>
  <c r="BC110" i="39"/>
  <c r="AV110" i="39"/>
  <c r="AS110" i="39"/>
  <c r="AR110" i="39"/>
  <c r="AO110" i="39"/>
  <c r="AN110" i="39"/>
  <c r="AG110" i="39"/>
  <c r="Z110" i="39"/>
  <c r="Q110" i="39"/>
  <c r="L110" i="39" a="1"/>
  <c r="L110" i="39" s="1"/>
  <c r="J110" i="39"/>
  <c r="I110" i="39"/>
  <c r="D110" i="39"/>
  <c r="C110" i="39"/>
  <c r="K110" i="39" s="1" a="1"/>
  <c r="K110" i="39" s="1"/>
  <c r="BZ109" i="39"/>
  <c r="BV109" i="39"/>
  <c r="BR109" i="39"/>
  <c r="BK109" i="39"/>
  <c r="BH109" i="39"/>
  <c r="BG109" i="39"/>
  <c r="BD109" i="39"/>
  <c r="BC109" i="39"/>
  <c r="AV109" i="39"/>
  <c r="AS109" i="39"/>
  <c r="AR109" i="39"/>
  <c r="AO109" i="39"/>
  <c r="AN109" i="39"/>
  <c r="AG109" i="39"/>
  <c r="Z109" i="39"/>
  <c r="Y109" i="39"/>
  <c r="X109" i="39"/>
  <c r="Q109" i="39"/>
  <c r="J109" i="39"/>
  <c r="I109" i="39"/>
  <c r="D109" i="39"/>
  <c r="C109" i="39"/>
  <c r="BZ108" i="39"/>
  <c r="BW108" i="39"/>
  <c r="BV108" i="39"/>
  <c r="BS108" i="39"/>
  <c r="BR108" i="39"/>
  <c r="BK108" i="39"/>
  <c r="BH108" i="39"/>
  <c r="BG108" i="39"/>
  <c r="BD108" i="39"/>
  <c r="BC108" i="39"/>
  <c r="AV108" i="39"/>
  <c r="AS108" i="39"/>
  <c r="AR108" i="39"/>
  <c r="AO108" i="39"/>
  <c r="AN108" i="39"/>
  <c r="AG108" i="39"/>
  <c r="Z108" i="39"/>
  <c r="Y108" i="39"/>
  <c r="X108" i="39"/>
  <c r="Q108" i="39"/>
  <c r="J108" i="39"/>
  <c r="I108" i="39"/>
  <c r="D108" i="39"/>
  <c r="C108" i="39"/>
  <c r="BZ107" i="39"/>
  <c r="BV107" i="39"/>
  <c r="BR107" i="39"/>
  <c r="BK107" i="39"/>
  <c r="BG107" i="39"/>
  <c r="BC107" i="39"/>
  <c r="AV107" i="39"/>
  <c r="AS107" i="39"/>
  <c r="AO107" i="39"/>
  <c r="AN107" i="39"/>
  <c r="AG107" i="39"/>
  <c r="Z107" i="39"/>
  <c r="Y107" i="39"/>
  <c r="X107" i="39"/>
  <c r="Q107" i="39"/>
  <c r="J107" i="39"/>
  <c r="I107" i="39"/>
  <c r="D107" i="39"/>
  <c r="C107" i="39"/>
  <c r="L107" i="39" s="1" a="1"/>
  <c r="L107" i="39" s="1"/>
  <c r="BZ106" i="39"/>
  <c r="BW106" i="39"/>
  <c r="BV106" i="39"/>
  <c r="BS106" i="39"/>
  <c r="BR106" i="39"/>
  <c r="BK106" i="39"/>
  <c r="BH106" i="39"/>
  <c r="BG106" i="39"/>
  <c r="BD106" i="39"/>
  <c r="BC106" i="39"/>
  <c r="AV106" i="39"/>
  <c r="AS106" i="39"/>
  <c r="AR106" i="39"/>
  <c r="AO106" i="39"/>
  <c r="AN106" i="39"/>
  <c r="AG106" i="39"/>
  <c r="Z106" i="39"/>
  <c r="Q106" i="39"/>
  <c r="L106" i="39" a="1"/>
  <c r="L106" i="39" s="1"/>
  <c r="K106" i="39" a="1"/>
  <c r="K106" i="39" s="1"/>
  <c r="J106" i="39"/>
  <c r="I106" i="39"/>
  <c r="D106" i="39"/>
  <c r="C106" i="39"/>
  <c r="BZ105" i="39"/>
  <c r="BV105" i="39"/>
  <c r="BS105" i="39"/>
  <c r="BR105" i="39"/>
  <c r="BK105" i="39"/>
  <c r="BH105" i="39"/>
  <c r="BG105" i="39"/>
  <c r="BD105" i="39"/>
  <c r="BC105" i="39"/>
  <c r="AV105" i="39"/>
  <c r="AS105" i="39"/>
  <c r="AR105" i="39"/>
  <c r="AO105" i="39"/>
  <c r="AN105" i="39"/>
  <c r="AG105" i="39"/>
  <c r="Z105" i="39"/>
  <c r="Y105" i="39"/>
  <c r="X105" i="39"/>
  <c r="Q105" i="39"/>
  <c r="J105" i="39"/>
  <c r="I105" i="39"/>
  <c r="D105" i="39"/>
  <c r="C105" i="39"/>
  <c r="L105" i="39" s="1" a="1"/>
  <c r="L105" i="39" s="1"/>
  <c r="BZ104" i="39"/>
  <c r="BW104" i="39"/>
  <c r="BV104" i="39"/>
  <c r="BS104" i="39"/>
  <c r="BR104" i="39"/>
  <c r="BK104" i="39"/>
  <c r="BH104" i="39"/>
  <c r="BG104" i="39"/>
  <c r="BD104" i="39"/>
  <c r="BC104" i="39"/>
  <c r="AV104" i="39"/>
  <c r="AS104" i="39"/>
  <c r="AR104" i="39"/>
  <c r="AO104" i="39"/>
  <c r="AN104" i="39"/>
  <c r="AG104" i="39"/>
  <c r="Z104" i="39"/>
  <c r="Y104" i="39"/>
  <c r="X104" i="39"/>
  <c r="Q104" i="39"/>
  <c r="J104" i="39"/>
  <c r="I104" i="39"/>
  <c r="D104" i="39"/>
  <c r="C104" i="39"/>
  <c r="BZ103" i="39"/>
  <c r="BV103" i="39"/>
  <c r="BS103" i="39"/>
  <c r="BR103" i="39"/>
  <c r="BK103" i="39"/>
  <c r="BG103" i="39"/>
  <c r="BC103" i="39"/>
  <c r="AV103" i="39"/>
  <c r="AS103" i="39"/>
  <c r="AO103" i="39"/>
  <c r="AN103" i="39"/>
  <c r="AG103" i="39"/>
  <c r="Z103" i="39"/>
  <c r="Y103" i="39"/>
  <c r="X103" i="39"/>
  <c r="Q103" i="39"/>
  <c r="J103" i="39"/>
  <c r="I103" i="39"/>
  <c r="D103" i="39"/>
  <c r="C103" i="39"/>
  <c r="K103" i="39" s="1" a="1"/>
  <c r="K103" i="39" s="1"/>
  <c r="BZ102" i="39"/>
  <c r="BW102" i="39"/>
  <c r="BV102" i="39"/>
  <c r="BS102" i="39"/>
  <c r="BR102" i="39"/>
  <c r="BK102" i="39"/>
  <c r="BH102" i="39"/>
  <c r="BG102" i="39"/>
  <c r="BD102" i="39"/>
  <c r="BC102" i="39"/>
  <c r="AV102" i="39"/>
  <c r="AS102" i="39"/>
  <c r="AR102" i="39"/>
  <c r="AO102" i="39"/>
  <c r="AN102" i="39"/>
  <c r="AG102" i="39"/>
  <c r="Z102" i="39"/>
  <c r="Q102" i="39"/>
  <c r="J102" i="39"/>
  <c r="I102" i="39"/>
  <c r="D102" i="39"/>
  <c r="C102" i="39"/>
  <c r="BZ101" i="39"/>
  <c r="BV101" i="39"/>
  <c r="BR101" i="39"/>
  <c r="BK101" i="39"/>
  <c r="BH101" i="39"/>
  <c r="BG101" i="39"/>
  <c r="BD101" i="39"/>
  <c r="BC101" i="39"/>
  <c r="AV101" i="39"/>
  <c r="AS101" i="39"/>
  <c r="AR101" i="39"/>
  <c r="AO101" i="39"/>
  <c r="AN101" i="39"/>
  <c r="AG101" i="39"/>
  <c r="Z101" i="39"/>
  <c r="Y101" i="39"/>
  <c r="X101" i="39"/>
  <c r="Q101" i="39"/>
  <c r="J101" i="39"/>
  <c r="I101" i="39"/>
  <c r="D101" i="39"/>
  <c r="C101" i="39"/>
  <c r="BZ100" i="39"/>
  <c r="BW100" i="39"/>
  <c r="BV100" i="39"/>
  <c r="BS100" i="39"/>
  <c r="BR100" i="39"/>
  <c r="BK100" i="39"/>
  <c r="BH100" i="39"/>
  <c r="BG100" i="39"/>
  <c r="BD100" i="39"/>
  <c r="BC100" i="39"/>
  <c r="AV100" i="39"/>
  <c r="AS100" i="39"/>
  <c r="AR100" i="39"/>
  <c r="AO100" i="39"/>
  <c r="AN100" i="39"/>
  <c r="AG100" i="39"/>
  <c r="Z100" i="39"/>
  <c r="Y100" i="39"/>
  <c r="X100" i="39"/>
  <c r="Q100" i="39"/>
  <c r="J100" i="39"/>
  <c r="I100" i="39"/>
  <c r="D100" i="39"/>
  <c r="C100" i="39"/>
  <c r="L100" i="39" s="1" a="1"/>
  <c r="L100" i="39" s="1"/>
  <c r="BZ99" i="39"/>
  <c r="BV99" i="39"/>
  <c r="BR99" i="39"/>
  <c r="BK99" i="39"/>
  <c r="BH99" i="39"/>
  <c r="BG99" i="39"/>
  <c r="BC99" i="39"/>
  <c r="AV99" i="39"/>
  <c r="AS99" i="39"/>
  <c r="AO99" i="39"/>
  <c r="AG99" i="39"/>
  <c r="Z99" i="39"/>
  <c r="Y99" i="39"/>
  <c r="X99" i="39"/>
  <c r="Q99" i="39"/>
  <c r="K99" i="39" a="1"/>
  <c r="K99" i="39" s="1"/>
  <c r="J99" i="39"/>
  <c r="I99" i="39"/>
  <c r="D99" i="39"/>
  <c r="C99" i="39"/>
  <c r="BZ98" i="39"/>
  <c r="BW98" i="39"/>
  <c r="BV98" i="39"/>
  <c r="BS98" i="39"/>
  <c r="BR98" i="39"/>
  <c r="BK98" i="39"/>
  <c r="BH98" i="39"/>
  <c r="BG98" i="39"/>
  <c r="BD98" i="39"/>
  <c r="BC98" i="39"/>
  <c r="AV98" i="39"/>
  <c r="AS98" i="39"/>
  <c r="AR98" i="39"/>
  <c r="AO98" i="39"/>
  <c r="AN98" i="39"/>
  <c r="AG98" i="39"/>
  <c r="Z98" i="39"/>
  <c r="Q98" i="39"/>
  <c r="J98" i="39"/>
  <c r="I98" i="39"/>
  <c r="D98" i="39"/>
  <c r="C98" i="39"/>
  <c r="BZ97" i="39"/>
  <c r="BV97" i="39"/>
  <c r="BR97" i="39"/>
  <c r="BK97" i="39"/>
  <c r="BH97" i="39"/>
  <c r="BG97" i="39"/>
  <c r="BD97" i="39"/>
  <c r="BC97" i="39"/>
  <c r="AV97" i="39"/>
  <c r="AS97" i="39"/>
  <c r="AR97" i="39"/>
  <c r="AO97" i="39"/>
  <c r="AN97" i="39"/>
  <c r="AG97" i="39"/>
  <c r="Z97" i="39"/>
  <c r="Y97" i="39"/>
  <c r="X97" i="39"/>
  <c r="Q97" i="39"/>
  <c r="J97" i="39"/>
  <c r="I97" i="39"/>
  <c r="D97" i="39"/>
  <c r="C97" i="39"/>
  <c r="BZ96" i="39"/>
  <c r="BW96" i="39"/>
  <c r="BV96" i="39"/>
  <c r="BS96" i="39"/>
  <c r="BR96" i="39"/>
  <c r="BK96" i="39"/>
  <c r="BH96" i="39"/>
  <c r="BG96" i="39"/>
  <c r="BD96" i="39"/>
  <c r="BC96" i="39"/>
  <c r="AV96" i="39"/>
  <c r="AS96" i="39"/>
  <c r="AR96" i="39"/>
  <c r="AO96" i="39"/>
  <c r="AN96" i="39"/>
  <c r="AG96" i="39"/>
  <c r="Z96" i="39"/>
  <c r="Y96" i="39"/>
  <c r="X96" i="39"/>
  <c r="Q96" i="39"/>
  <c r="L96" i="39" a="1"/>
  <c r="L96" i="39" s="1"/>
  <c r="J96" i="39"/>
  <c r="I96" i="39"/>
  <c r="D96" i="39"/>
  <c r="C96" i="39"/>
  <c r="K96" i="39" s="1" a="1"/>
  <c r="K96" i="39" s="1"/>
  <c r="BZ95" i="39"/>
  <c r="BV95" i="39"/>
  <c r="BS95" i="39"/>
  <c r="BR95" i="39"/>
  <c r="BK95" i="39"/>
  <c r="BG95" i="39"/>
  <c r="BD95" i="39"/>
  <c r="BC95" i="39"/>
  <c r="AV95" i="39"/>
  <c r="AS95" i="39"/>
  <c r="AO95" i="39"/>
  <c r="AG95" i="39"/>
  <c r="Z95" i="39"/>
  <c r="Y95" i="39"/>
  <c r="X95" i="39"/>
  <c r="Q95" i="39"/>
  <c r="J95" i="39"/>
  <c r="I95" i="39"/>
  <c r="D95" i="39"/>
  <c r="C95" i="39"/>
  <c r="BZ94" i="39"/>
  <c r="BW94" i="39"/>
  <c r="BV94" i="39"/>
  <c r="BS94" i="39"/>
  <c r="BR94" i="39"/>
  <c r="BK94" i="39"/>
  <c r="BH94" i="39"/>
  <c r="BG94" i="39"/>
  <c r="BD94" i="39"/>
  <c r="BC94" i="39"/>
  <c r="AV94" i="39"/>
  <c r="AS94" i="39"/>
  <c r="AR94" i="39"/>
  <c r="AO94" i="39"/>
  <c r="AN94" i="39"/>
  <c r="AG94" i="39"/>
  <c r="Z94" i="39"/>
  <c r="Q94" i="39"/>
  <c r="J94" i="39"/>
  <c r="I94" i="39"/>
  <c r="D94" i="39"/>
  <c r="C94" i="39"/>
  <c r="K94" i="39" s="1" a="1"/>
  <c r="K94" i="39" s="1"/>
  <c r="BZ93" i="39"/>
  <c r="BV93" i="39"/>
  <c r="BR93" i="39"/>
  <c r="BK93" i="39"/>
  <c r="BH93" i="39"/>
  <c r="BG93" i="39"/>
  <c r="BD93" i="39"/>
  <c r="BC93" i="39"/>
  <c r="AV93" i="39"/>
  <c r="AS93" i="39"/>
  <c r="AR93" i="39"/>
  <c r="AO93" i="39"/>
  <c r="AN93" i="39"/>
  <c r="AG93" i="39"/>
  <c r="Z93" i="39"/>
  <c r="Y93" i="39"/>
  <c r="X93" i="39"/>
  <c r="Q93" i="39"/>
  <c r="J93" i="39"/>
  <c r="I93" i="39"/>
  <c r="D93" i="39"/>
  <c r="C93" i="39"/>
  <c r="BZ92" i="39"/>
  <c r="BW92" i="39"/>
  <c r="BV92" i="39"/>
  <c r="BS92" i="39"/>
  <c r="BR92" i="39"/>
  <c r="BK92" i="39"/>
  <c r="BH92" i="39"/>
  <c r="BG92" i="39"/>
  <c r="BD92" i="39"/>
  <c r="BC92" i="39"/>
  <c r="AV92" i="39"/>
  <c r="AS92" i="39"/>
  <c r="AR92" i="39"/>
  <c r="AO92" i="39"/>
  <c r="AN92" i="39"/>
  <c r="AG92" i="39"/>
  <c r="Z92" i="39"/>
  <c r="Y92" i="39"/>
  <c r="X92" i="39"/>
  <c r="Q92" i="39"/>
  <c r="J92" i="39"/>
  <c r="I92" i="39"/>
  <c r="D92" i="39"/>
  <c r="C92" i="39"/>
  <c r="BZ91" i="39"/>
  <c r="BV91" i="39"/>
  <c r="BR91" i="39"/>
  <c r="BK91" i="39"/>
  <c r="BG91" i="39"/>
  <c r="BC91" i="39"/>
  <c r="AV91" i="39"/>
  <c r="AS91" i="39"/>
  <c r="AO91" i="39"/>
  <c r="AG91" i="39"/>
  <c r="Z91" i="39"/>
  <c r="Y91" i="39"/>
  <c r="X91" i="39"/>
  <c r="Q91" i="39"/>
  <c r="L91" i="39" a="1"/>
  <c r="L91" i="39" s="1"/>
  <c r="K91" i="39" a="1"/>
  <c r="K91" i="39" s="1"/>
  <c r="J91" i="39"/>
  <c r="I91" i="39"/>
  <c r="D91" i="39"/>
  <c r="C91" i="39"/>
  <c r="BZ90" i="39"/>
  <c r="BW90" i="39"/>
  <c r="BV90" i="39"/>
  <c r="BS90" i="39"/>
  <c r="BR90" i="39"/>
  <c r="BK90" i="39"/>
  <c r="BH90" i="39"/>
  <c r="BG90" i="39"/>
  <c r="BD90" i="39"/>
  <c r="BC90" i="39"/>
  <c r="AV90" i="39"/>
  <c r="AS90" i="39"/>
  <c r="AR90" i="39"/>
  <c r="AO90" i="39"/>
  <c r="AN90" i="39"/>
  <c r="AG90" i="39"/>
  <c r="Z90" i="39"/>
  <c r="Q90" i="39"/>
  <c r="K90" i="39" a="1"/>
  <c r="K90" i="39" s="1"/>
  <c r="J90" i="39"/>
  <c r="I90" i="39"/>
  <c r="D90" i="39"/>
  <c r="C90" i="39"/>
  <c r="BZ89" i="39"/>
  <c r="BV89" i="39"/>
  <c r="BS89" i="39"/>
  <c r="BR89" i="39"/>
  <c r="BK89" i="39"/>
  <c r="BH89" i="39"/>
  <c r="BG89" i="39"/>
  <c r="BD89" i="39"/>
  <c r="BC89" i="39"/>
  <c r="AV89" i="39"/>
  <c r="AS89" i="39"/>
  <c r="AR89" i="39"/>
  <c r="AO89" i="39"/>
  <c r="AN89" i="39"/>
  <c r="AG89" i="39"/>
  <c r="Z89" i="39"/>
  <c r="Y89" i="39"/>
  <c r="X89" i="39"/>
  <c r="Q89" i="39"/>
  <c r="J89" i="39"/>
  <c r="I89" i="39"/>
  <c r="D89" i="39"/>
  <c r="C89" i="39"/>
  <c r="BZ88" i="39"/>
  <c r="BW88" i="39"/>
  <c r="BV88" i="39"/>
  <c r="BS88" i="39"/>
  <c r="BR88" i="39"/>
  <c r="BK88" i="39"/>
  <c r="BH88" i="39"/>
  <c r="BG88" i="39"/>
  <c r="BD88" i="39"/>
  <c r="BC88" i="39"/>
  <c r="AV88" i="39"/>
  <c r="AS88" i="39"/>
  <c r="AR88" i="39"/>
  <c r="AO88" i="39"/>
  <c r="AN88" i="39"/>
  <c r="AG88" i="39"/>
  <c r="Z88" i="39"/>
  <c r="Y88" i="39"/>
  <c r="X88" i="39"/>
  <c r="Q88" i="39"/>
  <c r="J88" i="39"/>
  <c r="I88" i="39"/>
  <c r="D88" i="39"/>
  <c r="C88" i="39"/>
  <c r="L88" i="39" s="1" a="1"/>
  <c r="L88" i="39" s="1"/>
  <c r="BZ87" i="39"/>
  <c r="BV87" i="39"/>
  <c r="BS87" i="39"/>
  <c r="BR87" i="39"/>
  <c r="BK87" i="39"/>
  <c r="BG87" i="39"/>
  <c r="BC87" i="39"/>
  <c r="AV87" i="39"/>
  <c r="AS87" i="39"/>
  <c r="AR87" i="39"/>
  <c r="AO87" i="39"/>
  <c r="AG87" i="39"/>
  <c r="Z87" i="39"/>
  <c r="Y87" i="39"/>
  <c r="X87" i="39"/>
  <c r="Q87" i="39"/>
  <c r="J87" i="39"/>
  <c r="I87" i="39"/>
  <c r="D87" i="39"/>
  <c r="C87" i="39"/>
  <c r="L87" i="39" s="1" a="1"/>
  <c r="L87" i="39" s="1"/>
  <c r="BZ86" i="39"/>
  <c r="BW86" i="39"/>
  <c r="BV86" i="39"/>
  <c r="BS86" i="39"/>
  <c r="BR86" i="39"/>
  <c r="BK86" i="39"/>
  <c r="BH86" i="39"/>
  <c r="BG86" i="39"/>
  <c r="BD86" i="39"/>
  <c r="BC86" i="39"/>
  <c r="AV86" i="39"/>
  <c r="AS86" i="39"/>
  <c r="AR86" i="39"/>
  <c r="AO86" i="39"/>
  <c r="AN86" i="39"/>
  <c r="AG86" i="39"/>
  <c r="Z86" i="39"/>
  <c r="Q86" i="39"/>
  <c r="J86" i="39"/>
  <c r="I86" i="39"/>
  <c r="D86" i="39"/>
  <c r="C86" i="39"/>
  <c r="BZ85" i="39"/>
  <c r="BV85" i="39"/>
  <c r="BR85" i="39"/>
  <c r="BK85" i="39"/>
  <c r="BH85" i="39"/>
  <c r="BG85" i="39"/>
  <c r="BD85" i="39"/>
  <c r="BC85" i="39"/>
  <c r="AV85" i="39"/>
  <c r="AS85" i="39"/>
  <c r="AR85" i="39"/>
  <c r="AO85" i="39"/>
  <c r="AN85" i="39"/>
  <c r="AG85" i="39"/>
  <c r="Z85" i="39"/>
  <c r="Y85" i="39"/>
  <c r="X85" i="39"/>
  <c r="Q85" i="39"/>
  <c r="J85" i="39"/>
  <c r="I85" i="39"/>
  <c r="D85" i="39"/>
  <c r="C85" i="39"/>
  <c r="K85" i="39" s="1" a="1"/>
  <c r="K85" i="39" s="1"/>
  <c r="BZ84" i="39"/>
  <c r="BW84" i="39"/>
  <c r="BV84" i="39"/>
  <c r="BS84" i="39"/>
  <c r="BR84" i="39"/>
  <c r="BK84" i="39"/>
  <c r="BH84" i="39"/>
  <c r="BG84" i="39"/>
  <c r="BD84" i="39"/>
  <c r="BC84" i="39"/>
  <c r="AV84" i="39"/>
  <c r="AS84" i="39"/>
  <c r="AR84" i="39"/>
  <c r="AO84" i="39"/>
  <c r="AN84" i="39"/>
  <c r="AG84" i="39"/>
  <c r="Z84" i="39"/>
  <c r="Y84" i="39"/>
  <c r="X84" i="39"/>
  <c r="Q84" i="39"/>
  <c r="J84" i="39"/>
  <c r="I84" i="39"/>
  <c r="D84" i="39"/>
  <c r="C84" i="39"/>
  <c r="BZ83" i="39"/>
  <c r="BV83" i="39"/>
  <c r="BR83" i="39"/>
  <c r="BK83" i="39"/>
  <c r="BG83" i="39"/>
  <c r="BD83" i="39"/>
  <c r="BC83" i="39"/>
  <c r="AV83" i="39"/>
  <c r="AS83" i="39"/>
  <c r="AO83" i="39"/>
  <c r="AN83" i="39"/>
  <c r="AG83" i="39"/>
  <c r="Z83" i="39"/>
  <c r="Y83" i="39"/>
  <c r="X83" i="39"/>
  <c r="Q83" i="39"/>
  <c r="J83" i="39"/>
  <c r="I83" i="39"/>
  <c r="D83" i="39"/>
  <c r="C83" i="39"/>
  <c r="BZ82" i="39"/>
  <c r="BW82" i="39"/>
  <c r="BV82" i="39"/>
  <c r="BS82" i="39"/>
  <c r="BR82" i="39"/>
  <c r="BK82" i="39"/>
  <c r="BH82" i="39"/>
  <c r="BG82" i="39"/>
  <c r="BD82" i="39"/>
  <c r="BC82" i="39"/>
  <c r="AV82" i="39"/>
  <c r="AS82" i="39"/>
  <c r="AR82" i="39"/>
  <c r="AO82" i="39"/>
  <c r="AN82" i="39"/>
  <c r="AG82" i="39"/>
  <c r="Z82" i="39"/>
  <c r="Q82" i="39"/>
  <c r="J82" i="39"/>
  <c r="I82" i="39"/>
  <c r="D82" i="39"/>
  <c r="C82" i="39"/>
  <c r="L82" i="39" s="1" a="1"/>
  <c r="L82" i="39" s="1"/>
  <c r="BZ81" i="39"/>
  <c r="BV81" i="39"/>
  <c r="BR81" i="39"/>
  <c r="BK81" i="39"/>
  <c r="BH81" i="39"/>
  <c r="BG81" i="39"/>
  <c r="BD81" i="39"/>
  <c r="BC81" i="39"/>
  <c r="AV81" i="39"/>
  <c r="AS81" i="39"/>
  <c r="AR81" i="39"/>
  <c r="AO81" i="39"/>
  <c r="AN81" i="39"/>
  <c r="AG81" i="39"/>
  <c r="Z81" i="39"/>
  <c r="Y81" i="39"/>
  <c r="X81" i="39"/>
  <c r="Q81" i="39"/>
  <c r="K81" i="39" a="1"/>
  <c r="K81" i="39" s="1"/>
  <c r="J81" i="39"/>
  <c r="I81" i="39"/>
  <c r="D81" i="39"/>
  <c r="C81" i="39"/>
  <c r="BZ80" i="39"/>
  <c r="BW80" i="39"/>
  <c r="BS80" i="39"/>
  <c r="BK80" i="39"/>
  <c r="BH80" i="39"/>
  <c r="BD80" i="39"/>
  <c r="AV80" i="39"/>
  <c r="AS80" i="39"/>
  <c r="AR80" i="39"/>
  <c r="AO80" i="39"/>
  <c r="AN80" i="39"/>
  <c r="AG80" i="39"/>
  <c r="Z80" i="39"/>
  <c r="Y80" i="39"/>
  <c r="Q80" i="39"/>
  <c r="J80" i="39"/>
  <c r="I80" i="39"/>
  <c r="D80" i="39"/>
  <c r="C80" i="39"/>
  <c r="BZ79" i="39"/>
  <c r="BV79" i="39"/>
  <c r="BR79" i="39"/>
  <c r="BK79" i="39"/>
  <c r="AV79" i="39"/>
  <c r="AG79" i="39"/>
  <c r="Z79" i="39"/>
  <c r="Q79" i="39"/>
  <c r="J79" i="39"/>
  <c r="I79" i="39"/>
  <c r="D79" i="39"/>
  <c r="C79" i="39"/>
  <c r="L79" i="39" s="1" a="1"/>
  <c r="L79" i="39" s="1"/>
  <c r="BZ78" i="39"/>
  <c r="BK78" i="39"/>
  <c r="AV78" i="39"/>
  <c r="AG78" i="39"/>
  <c r="Z78" i="39"/>
  <c r="Q78" i="39"/>
  <c r="L78" i="39" a="1"/>
  <c r="L78" i="39" s="1"/>
  <c r="K78" i="39" a="1"/>
  <c r="K78" i="39" s="1"/>
  <c r="J78" i="39"/>
  <c r="I78" i="39"/>
  <c r="D78" i="39"/>
  <c r="C78" i="39"/>
  <c r="BZ77" i="39"/>
  <c r="BK77" i="39"/>
  <c r="AV77" i="39"/>
  <c r="AG77" i="39"/>
  <c r="Z77" i="39"/>
  <c r="Q77" i="39"/>
  <c r="J77" i="39"/>
  <c r="I77" i="39"/>
  <c r="D77" i="39"/>
  <c r="C77" i="39"/>
  <c r="K77" i="39" s="1" a="1"/>
  <c r="K77" i="39" s="1"/>
  <c r="BZ76" i="39"/>
  <c r="BK76" i="39"/>
  <c r="AV76" i="39"/>
  <c r="AG76" i="39"/>
  <c r="Z76" i="39"/>
  <c r="Q76" i="39"/>
  <c r="K76" i="39" a="1"/>
  <c r="K76" i="39" s="1"/>
  <c r="J76" i="39"/>
  <c r="I76" i="39"/>
  <c r="D76" i="39"/>
  <c r="C76" i="39"/>
  <c r="L76" i="39" s="1" a="1"/>
  <c r="L76" i="39" s="1"/>
  <c r="BZ75" i="39"/>
  <c r="BK75" i="39"/>
  <c r="AV75" i="39"/>
  <c r="AG75" i="39"/>
  <c r="Z75" i="39"/>
  <c r="Q75" i="39"/>
  <c r="K75" i="39" a="1"/>
  <c r="K75" i="39" s="1"/>
  <c r="J75" i="39"/>
  <c r="I75" i="39"/>
  <c r="D75" i="39"/>
  <c r="C75" i="39"/>
  <c r="BZ74" i="39"/>
  <c r="BK74" i="39"/>
  <c r="AV74" i="39"/>
  <c r="AG74" i="39"/>
  <c r="Z74" i="39"/>
  <c r="Q74" i="39"/>
  <c r="J74" i="39"/>
  <c r="I74" i="39"/>
  <c r="D74" i="39"/>
  <c r="C74" i="39"/>
  <c r="K74" i="39" s="1" a="1"/>
  <c r="K74" i="39" s="1"/>
  <c r="BZ73" i="39"/>
  <c r="BK73" i="39"/>
  <c r="AV73" i="39"/>
  <c r="AG73" i="39"/>
  <c r="Z73" i="39"/>
  <c r="Q73" i="39"/>
  <c r="J73" i="39"/>
  <c r="I73" i="39"/>
  <c r="D73" i="39"/>
  <c r="C73" i="39"/>
  <c r="BZ72" i="39"/>
  <c r="BK72" i="39"/>
  <c r="AV72" i="39"/>
  <c r="AG72" i="39"/>
  <c r="Z72" i="39"/>
  <c r="Q72" i="39"/>
  <c r="L72" i="39" a="1"/>
  <c r="L72" i="39" s="1"/>
  <c r="J72" i="39"/>
  <c r="I72" i="39"/>
  <c r="D72" i="39"/>
  <c r="C72" i="39"/>
  <c r="BZ71" i="39"/>
  <c r="BK71" i="39"/>
  <c r="AV71" i="39"/>
  <c r="AG71" i="39"/>
  <c r="Z71" i="39"/>
  <c r="Q71" i="39"/>
  <c r="L71" i="39" a="1"/>
  <c r="L71" i="39" s="1"/>
  <c r="K71" i="39" a="1"/>
  <c r="K71" i="39" s="1"/>
  <c r="J71" i="39"/>
  <c r="I71" i="39"/>
  <c r="D71" i="39"/>
  <c r="C71" i="39"/>
  <c r="BZ70" i="39"/>
  <c r="BK70" i="39"/>
  <c r="AV70" i="39"/>
  <c r="AG70" i="39"/>
  <c r="Z70" i="39"/>
  <c r="Q70" i="39"/>
  <c r="J70" i="39"/>
  <c r="I70" i="39"/>
  <c r="D70" i="39"/>
  <c r="C70" i="39"/>
  <c r="K70" i="39" s="1" a="1"/>
  <c r="K70" i="39" s="1"/>
  <c r="BZ69" i="39"/>
  <c r="BK69" i="39"/>
  <c r="AV69" i="39"/>
  <c r="AG69" i="39"/>
  <c r="Z69" i="39"/>
  <c r="Q69" i="39"/>
  <c r="J69" i="39"/>
  <c r="I69" i="39"/>
  <c r="D69" i="39"/>
  <c r="C69" i="39"/>
  <c r="BZ68" i="39"/>
  <c r="BK68" i="39"/>
  <c r="AV68" i="39"/>
  <c r="AG68" i="39"/>
  <c r="Z68" i="39"/>
  <c r="Q68" i="39"/>
  <c r="L68" i="39" a="1"/>
  <c r="L68" i="39" s="1"/>
  <c r="J68" i="39"/>
  <c r="I68" i="39"/>
  <c r="D68" i="39"/>
  <c r="C68" i="39"/>
  <c r="BZ67" i="39"/>
  <c r="BK67" i="39"/>
  <c r="AV67" i="39"/>
  <c r="AG67" i="39"/>
  <c r="Z67" i="39"/>
  <c r="Q67" i="39"/>
  <c r="L67" i="39" a="1"/>
  <c r="L67" i="39" s="1"/>
  <c r="K67" i="39" a="1"/>
  <c r="K67" i="39" s="1"/>
  <c r="J67" i="39"/>
  <c r="I67" i="39"/>
  <c r="D67" i="39"/>
  <c r="C67" i="39"/>
  <c r="BZ66" i="39"/>
  <c r="BK66" i="39"/>
  <c r="AV66" i="39"/>
  <c r="AG66" i="39"/>
  <c r="Z66" i="39"/>
  <c r="Q66" i="39"/>
  <c r="J66" i="39"/>
  <c r="I66" i="39"/>
  <c r="D66" i="39"/>
  <c r="C66" i="39"/>
  <c r="L66" i="39" s="1" a="1"/>
  <c r="L66" i="39" s="1"/>
  <c r="BZ65" i="39"/>
  <c r="BK65" i="39"/>
  <c r="AV65" i="39"/>
  <c r="AG65" i="39"/>
  <c r="Z65" i="39"/>
  <c r="Q65" i="39"/>
  <c r="J65" i="39"/>
  <c r="I65" i="39"/>
  <c r="D65" i="39"/>
  <c r="C65" i="39"/>
  <c r="K65" i="39" s="1" a="1"/>
  <c r="K65" i="39" s="1"/>
  <c r="BZ64" i="39"/>
  <c r="BK64" i="39"/>
  <c r="AV64" i="39"/>
  <c r="AG64" i="39"/>
  <c r="Z64" i="39"/>
  <c r="Q64" i="39"/>
  <c r="L64" i="39" a="1"/>
  <c r="L64" i="39" s="1"/>
  <c r="J64" i="39"/>
  <c r="I64" i="39"/>
  <c r="D64" i="39"/>
  <c r="C64" i="39"/>
  <c r="K64" i="39" s="1" a="1"/>
  <c r="K64" i="39" s="1"/>
  <c r="BZ63" i="39"/>
  <c r="BK63" i="39"/>
  <c r="AV63" i="39"/>
  <c r="AG63" i="39"/>
  <c r="Z63" i="39"/>
  <c r="Q63" i="39"/>
  <c r="J63" i="39"/>
  <c r="I63" i="39"/>
  <c r="D63" i="39"/>
  <c r="C63" i="39"/>
  <c r="L63" i="39" s="1" a="1"/>
  <c r="L63" i="39" s="1"/>
  <c r="BZ62" i="39"/>
  <c r="BK62" i="39"/>
  <c r="AV62" i="39"/>
  <c r="AG62" i="39"/>
  <c r="Z62" i="39"/>
  <c r="Q62" i="39"/>
  <c r="J62" i="39"/>
  <c r="I62" i="39"/>
  <c r="D62" i="39"/>
  <c r="C62" i="39"/>
  <c r="BZ61" i="39"/>
  <c r="BK61" i="39"/>
  <c r="AV61" i="39"/>
  <c r="AG61" i="39"/>
  <c r="Z61" i="39"/>
  <c r="Q61" i="39"/>
  <c r="J61" i="39"/>
  <c r="I61" i="39"/>
  <c r="D61" i="39"/>
  <c r="C61" i="39"/>
  <c r="K61" i="39" s="1" a="1"/>
  <c r="K61" i="39" s="1"/>
  <c r="BZ60" i="39"/>
  <c r="BK60" i="39"/>
  <c r="AV60" i="39"/>
  <c r="AG60" i="39"/>
  <c r="Z60" i="39"/>
  <c r="Q60" i="39"/>
  <c r="L60" i="39" a="1"/>
  <c r="L60" i="39" s="1"/>
  <c r="J60" i="39"/>
  <c r="I60" i="39"/>
  <c r="D60" i="39"/>
  <c r="C60" i="39"/>
  <c r="K60" i="39" s="1" a="1"/>
  <c r="K60" i="39" s="1"/>
  <c r="BZ59" i="39"/>
  <c r="BK59" i="39"/>
  <c r="AV59" i="39"/>
  <c r="AG59" i="39"/>
  <c r="Z59" i="39"/>
  <c r="Y59" i="39"/>
  <c r="Q59" i="39"/>
  <c r="L59" i="39" a="1"/>
  <c r="L59" i="39" s="1"/>
  <c r="K59" i="39" a="1"/>
  <c r="K59" i="39" s="1"/>
  <c r="J59" i="39"/>
  <c r="I59" i="39"/>
  <c r="D59" i="39"/>
  <c r="C59" i="39"/>
  <c r="BZ58" i="39"/>
  <c r="BK58" i="39"/>
  <c r="AV58" i="39"/>
  <c r="AS58" i="39"/>
  <c r="AO58" i="39"/>
  <c r="AG58" i="39"/>
  <c r="Z58" i="39"/>
  <c r="Q58" i="39"/>
  <c r="J58" i="39"/>
  <c r="I58" i="39"/>
  <c r="D58" i="39"/>
  <c r="C58" i="39"/>
  <c r="BZ57" i="39"/>
  <c r="BK57" i="39"/>
  <c r="BH57" i="39"/>
  <c r="BD57" i="39"/>
  <c r="AV57" i="39"/>
  <c r="AG57" i="39"/>
  <c r="Z57" i="39"/>
  <c r="Q57" i="39"/>
  <c r="L57" i="39" a="1"/>
  <c r="L57" i="39" s="1"/>
  <c r="J57" i="39"/>
  <c r="I57" i="39"/>
  <c r="D57" i="39"/>
  <c r="C57" i="39"/>
  <c r="K57" i="39" s="1" a="1"/>
  <c r="K57" i="39" s="1"/>
  <c r="BZ56" i="39"/>
  <c r="BK56" i="39"/>
  <c r="AV56" i="39"/>
  <c r="AG56" i="39"/>
  <c r="Z56" i="39"/>
  <c r="Q56" i="39"/>
  <c r="J56" i="39"/>
  <c r="I56" i="39"/>
  <c r="D56" i="39"/>
  <c r="C56" i="39"/>
  <c r="L56" i="39" s="1" a="1"/>
  <c r="L56" i="39" s="1"/>
  <c r="BZ55" i="39"/>
  <c r="BK55" i="39"/>
  <c r="AV55" i="39"/>
  <c r="AG55" i="39"/>
  <c r="Z55" i="39"/>
  <c r="Q55" i="39"/>
  <c r="J55" i="39"/>
  <c r="I55" i="39"/>
  <c r="D55" i="39"/>
  <c r="C55" i="39"/>
  <c r="L55" i="39" s="1" a="1"/>
  <c r="L55" i="39" s="1"/>
  <c r="BZ54" i="39"/>
  <c r="BK54" i="39"/>
  <c r="AV54" i="39"/>
  <c r="AG54" i="39"/>
  <c r="Z54" i="39"/>
  <c r="Q54" i="39"/>
  <c r="J54" i="39"/>
  <c r="I54" i="39"/>
  <c r="D54" i="39"/>
  <c r="C54" i="39"/>
  <c r="BZ53" i="39"/>
  <c r="BK53" i="39"/>
  <c r="AV53" i="39"/>
  <c r="AS53" i="39"/>
  <c r="AO53" i="39"/>
  <c r="AG53" i="39"/>
  <c r="Z53" i="39"/>
  <c r="Q53" i="39"/>
  <c r="L53" i="39" a="1"/>
  <c r="L53" i="39" s="1"/>
  <c r="J53" i="39"/>
  <c r="I53" i="39"/>
  <c r="D53" i="39"/>
  <c r="C53" i="39"/>
  <c r="K53" i="39" s="1" a="1"/>
  <c r="K53" i="39" s="1"/>
  <c r="BZ52" i="39"/>
  <c r="BK52" i="39"/>
  <c r="BH52" i="39"/>
  <c r="BD52" i="39"/>
  <c r="AV52" i="39"/>
  <c r="AG52" i="39"/>
  <c r="Z52" i="39"/>
  <c r="Q52" i="39"/>
  <c r="J52" i="39"/>
  <c r="I52" i="39"/>
  <c r="D52" i="39"/>
  <c r="C52" i="39"/>
  <c r="L52" i="39" s="1" a="1"/>
  <c r="L52" i="39" s="1"/>
  <c r="BZ51" i="39"/>
  <c r="BK51" i="39"/>
  <c r="AV51" i="39"/>
  <c r="AG51" i="39"/>
  <c r="Z51" i="39"/>
  <c r="Q51" i="39"/>
  <c r="L51" i="39" a="1"/>
  <c r="L51" i="39" s="1"/>
  <c r="J51" i="39"/>
  <c r="I51" i="39"/>
  <c r="D51" i="39"/>
  <c r="C51" i="39"/>
  <c r="K51" i="39" s="1" a="1"/>
  <c r="K51" i="39" s="1"/>
  <c r="BZ50" i="39"/>
  <c r="BW50" i="39"/>
  <c r="BS50" i="39"/>
  <c r="BK50" i="39"/>
  <c r="AV50" i="39"/>
  <c r="AG50" i="39"/>
  <c r="Z50" i="39"/>
  <c r="Q50" i="39"/>
  <c r="J50" i="39"/>
  <c r="I50" i="39"/>
  <c r="D50" i="39"/>
  <c r="C50" i="39"/>
  <c r="L50" i="39" s="1" a="1"/>
  <c r="L50" i="39" s="1"/>
  <c r="BZ49" i="39"/>
  <c r="BK49" i="39"/>
  <c r="AV49" i="39"/>
  <c r="AG49" i="39"/>
  <c r="Z49" i="39"/>
  <c r="Y49" i="39"/>
  <c r="Q49" i="39"/>
  <c r="J49" i="39"/>
  <c r="I49" i="39"/>
  <c r="D49" i="39"/>
  <c r="C49" i="39"/>
  <c r="K49" i="39" s="1" a="1"/>
  <c r="K49" i="39" s="1"/>
  <c r="BZ48" i="39"/>
  <c r="BK48" i="39"/>
  <c r="AV48" i="39"/>
  <c r="AS48" i="39"/>
  <c r="AO48" i="39"/>
  <c r="AG48" i="39"/>
  <c r="Z48" i="39"/>
  <c r="X48" i="39"/>
  <c r="Q48" i="39"/>
  <c r="J48" i="39"/>
  <c r="I48" i="39"/>
  <c r="D48" i="39"/>
  <c r="C48" i="39"/>
  <c r="K48" i="39" s="1" a="1"/>
  <c r="K48" i="39" s="1"/>
  <c r="BZ47" i="39"/>
  <c r="BK47" i="39"/>
  <c r="AV47" i="39"/>
  <c r="AG47" i="39"/>
  <c r="Z47" i="39"/>
  <c r="Y47" i="39"/>
  <c r="Q47" i="39"/>
  <c r="J47" i="39"/>
  <c r="I47" i="39"/>
  <c r="D47" i="39"/>
  <c r="C47" i="39"/>
  <c r="BZ46" i="39"/>
  <c r="BK46" i="39"/>
  <c r="BG46" i="39"/>
  <c r="BC46" i="39"/>
  <c r="AV46" i="39"/>
  <c r="AS46" i="39"/>
  <c r="AO46" i="39"/>
  <c r="AG46" i="39"/>
  <c r="Z46" i="39"/>
  <c r="Q46" i="39"/>
  <c r="J46" i="39"/>
  <c r="I46" i="39"/>
  <c r="D46" i="39"/>
  <c r="C46" i="39"/>
  <c r="L46" i="39" s="1" a="1"/>
  <c r="L46" i="39" s="1"/>
  <c r="BZ45" i="39"/>
  <c r="BW45" i="39"/>
  <c r="BK45" i="39"/>
  <c r="BH45" i="39"/>
  <c r="BD45" i="39"/>
  <c r="AV45" i="39"/>
  <c r="AS45" i="39"/>
  <c r="AO45" i="39"/>
  <c r="AG45" i="39"/>
  <c r="Z45" i="39"/>
  <c r="Y45" i="39"/>
  <c r="X45" i="39"/>
  <c r="Q45" i="39"/>
  <c r="J45" i="39"/>
  <c r="I45" i="39"/>
  <c r="D45" i="39"/>
  <c r="C45" i="39"/>
  <c r="L45" i="39" s="1" a="1"/>
  <c r="L45" i="39" s="1"/>
  <c r="BZ44" i="39"/>
  <c r="BV44" i="39"/>
  <c r="BR44" i="39"/>
  <c r="BK44" i="39"/>
  <c r="BH44" i="39"/>
  <c r="BD44" i="39"/>
  <c r="AV44" i="39"/>
  <c r="AS44" i="39"/>
  <c r="AR44" i="39"/>
  <c r="AO44" i="39"/>
  <c r="AN44" i="39"/>
  <c r="AG44" i="39"/>
  <c r="Z44" i="39"/>
  <c r="Y44" i="39"/>
  <c r="Q44" i="39"/>
  <c r="J44" i="39"/>
  <c r="I44" i="39"/>
  <c r="D44" i="39"/>
  <c r="C44" i="39"/>
  <c r="K44" i="39" s="1" a="1"/>
  <c r="K44" i="39" s="1"/>
  <c r="BZ43" i="39"/>
  <c r="BK43" i="39"/>
  <c r="BG43" i="39"/>
  <c r="BC43" i="39"/>
  <c r="AV43" i="39"/>
  <c r="AS43" i="39"/>
  <c r="AO43" i="39"/>
  <c r="AG43" i="39"/>
  <c r="Z43" i="39"/>
  <c r="Y43" i="39"/>
  <c r="X43" i="39"/>
  <c r="Q43" i="39"/>
  <c r="J43" i="39"/>
  <c r="I43" i="39"/>
  <c r="D43" i="39"/>
  <c r="C43" i="39"/>
  <c r="BZ42" i="39"/>
  <c r="BW42" i="39"/>
  <c r="BS42" i="39"/>
  <c r="BK42" i="39"/>
  <c r="BH42" i="39"/>
  <c r="BD42" i="39"/>
  <c r="AV42" i="39"/>
  <c r="AR42" i="39"/>
  <c r="AN42" i="39"/>
  <c r="AG42" i="39"/>
  <c r="Z42" i="39"/>
  <c r="Q42" i="39"/>
  <c r="J42" i="39"/>
  <c r="I42" i="39"/>
  <c r="D42" i="39"/>
  <c r="C42" i="39"/>
  <c r="BZ41" i="39"/>
  <c r="BV41" i="39"/>
  <c r="BR41" i="39"/>
  <c r="BK41" i="39"/>
  <c r="BG41" i="39"/>
  <c r="BC41" i="39"/>
  <c r="AV41" i="39"/>
  <c r="AR41" i="39"/>
  <c r="AN41" i="39"/>
  <c r="AG41" i="39"/>
  <c r="Z41" i="39"/>
  <c r="Y41" i="39"/>
  <c r="X41" i="39"/>
  <c r="Q41" i="39"/>
  <c r="K41" i="39" a="1"/>
  <c r="K41" i="39" s="1"/>
  <c r="J41" i="39"/>
  <c r="I41" i="39"/>
  <c r="D41" i="39"/>
  <c r="C41" i="39"/>
  <c r="L41" i="39" s="1" a="1"/>
  <c r="L41" i="39" s="1"/>
  <c r="BZ40" i="39"/>
  <c r="BW40" i="39"/>
  <c r="BS40" i="39"/>
  <c r="BK40" i="39"/>
  <c r="AV40" i="39"/>
  <c r="AS40" i="39"/>
  <c r="AR40" i="39"/>
  <c r="AO40" i="39"/>
  <c r="AN40" i="39"/>
  <c r="AG40" i="39"/>
  <c r="Z40" i="39"/>
  <c r="Y40" i="39"/>
  <c r="X40" i="39"/>
  <c r="Q40" i="39"/>
  <c r="J40" i="39"/>
  <c r="I40" i="39"/>
  <c r="D40" i="39"/>
  <c r="C40" i="39"/>
  <c r="BZ39" i="39"/>
  <c r="BV39" i="39"/>
  <c r="BR39" i="39"/>
  <c r="BK39" i="39"/>
  <c r="BG39" i="39"/>
  <c r="BC39" i="39"/>
  <c r="AV39" i="39"/>
  <c r="AS39" i="39"/>
  <c r="AO39" i="39"/>
  <c r="AN39" i="39"/>
  <c r="AG39" i="39"/>
  <c r="Z39" i="39"/>
  <c r="Y39" i="39"/>
  <c r="X39" i="39"/>
  <c r="Q39" i="39"/>
  <c r="J39" i="39"/>
  <c r="I39" i="39"/>
  <c r="D39" i="39"/>
  <c r="C39" i="39"/>
  <c r="BZ38" i="39"/>
  <c r="BK38" i="39"/>
  <c r="BH38" i="39"/>
  <c r="BG38" i="39"/>
  <c r="BD38" i="39"/>
  <c r="BC38" i="39"/>
  <c r="AV38" i="39"/>
  <c r="AS38" i="39"/>
  <c r="AR38" i="39"/>
  <c r="AO38" i="39"/>
  <c r="AN38" i="39"/>
  <c r="AG38" i="39"/>
  <c r="Z38" i="39"/>
  <c r="Q38" i="39"/>
  <c r="J38" i="39"/>
  <c r="I38" i="39"/>
  <c r="D38" i="39"/>
  <c r="C38" i="39"/>
  <c r="L38" i="39" s="1" a="1"/>
  <c r="L38" i="39" s="1"/>
  <c r="BZ37" i="39"/>
  <c r="BV37" i="39"/>
  <c r="BR37" i="39"/>
  <c r="BK37" i="39"/>
  <c r="BH37" i="39"/>
  <c r="BG37" i="39"/>
  <c r="BD37" i="39"/>
  <c r="BC37" i="39"/>
  <c r="AV37" i="39"/>
  <c r="AS37" i="39"/>
  <c r="AR37" i="39"/>
  <c r="AO37" i="39"/>
  <c r="AN37" i="39"/>
  <c r="AG37" i="39"/>
  <c r="Z37" i="39"/>
  <c r="Y37" i="39"/>
  <c r="X37" i="39"/>
  <c r="Q37" i="39"/>
  <c r="K37" i="39" a="1"/>
  <c r="K37" i="39" s="1"/>
  <c r="J37" i="39"/>
  <c r="I37" i="39"/>
  <c r="D37" i="39"/>
  <c r="C37" i="39"/>
  <c r="L37" i="39" s="1" a="1"/>
  <c r="L37" i="39" s="1"/>
  <c r="BZ36" i="39"/>
  <c r="BW36" i="39"/>
  <c r="BS36" i="39"/>
  <c r="BK36" i="39"/>
  <c r="BH36" i="39"/>
  <c r="BG36" i="39"/>
  <c r="BD36" i="39"/>
  <c r="BC36" i="39"/>
  <c r="AV36" i="39"/>
  <c r="AS36" i="39"/>
  <c r="AR36" i="39"/>
  <c r="AO36" i="39"/>
  <c r="AN36" i="39"/>
  <c r="AG36" i="39"/>
  <c r="Z36" i="39"/>
  <c r="Y36" i="39"/>
  <c r="X36" i="39"/>
  <c r="Q36" i="39"/>
  <c r="J36" i="39"/>
  <c r="I36" i="39"/>
  <c r="D36" i="39"/>
  <c r="C36" i="39"/>
  <c r="BZ35" i="39"/>
  <c r="BW35" i="39"/>
  <c r="BV35" i="39"/>
  <c r="BR35" i="39"/>
  <c r="BK35" i="39"/>
  <c r="BG35" i="39"/>
  <c r="BD35" i="39"/>
  <c r="BC35" i="39"/>
  <c r="AV35" i="39"/>
  <c r="AS35" i="39"/>
  <c r="AO35" i="39"/>
  <c r="AG35" i="39"/>
  <c r="Z35" i="39"/>
  <c r="Y35" i="39"/>
  <c r="X35" i="39"/>
  <c r="Q35" i="39"/>
  <c r="J35" i="39"/>
  <c r="I35" i="39"/>
  <c r="D35" i="39"/>
  <c r="C35" i="39"/>
  <c r="BZ34" i="39"/>
  <c r="BW34" i="39"/>
  <c r="BV34" i="39"/>
  <c r="BS34" i="39"/>
  <c r="BR34" i="39"/>
  <c r="BK34" i="39"/>
  <c r="BH34" i="39"/>
  <c r="BG34" i="39"/>
  <c r="BD34" i="39"/>
  <c r="BC34" i="39"/>
  <c r="AV34" i="39"/>
  <c r="AS34" i="39"/>
  <c r="AR34" i="39"/>
  <c r="AO34" i="39"/>
  <c r="AN34" i="39"/>
  <c r="AG34" i="39"/>
  <c r="Z34" i="39"/>
  <c r="Q34" i="39"/>
  <c r="K34" i="39" a="1"/>
  <c r="K34" i="39" s="1"/>
  <c r="J34" i="39"/>
  <c r="I34" i="39"/>
  <c r="D34" i="39"/>
  <c r="C34" i="39"/>
  <c r="L34" i="39" s="1" a="1"/>
  <c r="L34" i="39" s="1"/>
  <c r="BZ33" i="39"/>
  <c r="BW33" i="39"/>
  <c r="BV33" i="39"/>
  <c r="BR33" i="39"/>
  <c r="BK33" i="39"/>
  <c r="BH33" i="39"/>
  <c r="BG33" i="39"/>
  <c r="BD33" i="39"/>
  <c r="BC33" i="39"/>
  <c r="AV33" i="39"/>
  <c r="AS33" i="39"/>
  <c r="AR33" i="39"/>
  <c r="AO33" i="39"/>
  <c r="AN33" i="39"/>
  <c r="AG33" i="39"/>
  <c r="Z33" i="39"/>
  <c r="Y33" i="39"/>
  <c r="X33" i="39"/>
  <c r="Q33" i="39"/>
  <c r="K33" i="39" a="1"/>
  <c r="K33" i="39" s="1"/>
  <c r="J33" i="39"/>
  <c r="I33" i="39"/>
  <c r="D33" i="39"/>
  <c r="C33" i="39"/>
  <c r="L33" i="39" s="1" a="1"/>
  <c r="L33" i="39" s="1"/>
  <c r="BZ32" i="39"/>
  <c r="BW32" i="39"/>
  <c r="BV32" i="39"/>
  <c r="BS32" i="39"/>
  <c r="BR32" i="39"/>
  <c r="BK32" i="39"/>
  <c r="BH32" i="39"/>
  <c r="BG32" i="39"/>
  <c r="BD32" i="39"/>
  <c r="BC32" i="39"/>
  <c r="AV32" i="39"/>
  <c r="AS32" i="39"/>
  <c r="AR32" i="39"/>
  <c r="AO32" i="39"/>
  <c r="AN32" i="39"/>
  <c r="AG32" i="39"/>
  <c r="Z32" i="39"/>
  <c r="Y32" i="39"/>
  <c r="X32" i="39"/>
  <c r="Q32" i="39"/>
  <c r="J32" i="39"/>
  <c r="I32" i="39"/>
  <c r="D32" i="39"/>
  <c r="C32" i="39"/>
  <c r="BZ31" i="39"/>
  <c r="BV31" i="39"/>
  <c r="BR31" i="39"/>
  <c r="BK31" i="39"/>
  <c r="BG31" i="39"/>
  <c r="BC31" i="39"/>
  <c r="AV31" i="39"/>
  <c r="AS31" i="39"/>
  <c r="AO31" i="39"/>
  <c r="AG31" i="39"/>
  <c r="Z31" i="39"/>
  <c r="Y31" i="39"/>
  <c r="X31" i="39"/>
  <c r="Q31" i="39"/>
  <c r="J31" i="39"/>
  <c r="I31" i="39"/>
  <c r="D31" i="39"/>
  <c r="C31" i="39"/>
  <c r="BZ30" i="39"/>
  <c r="BW30" i="39"/>
  <c r="BV30" i="39"/>
  <c r="BS30" i="39"/>
  <c r="BR30" i="39"/>
  <c r="BK30" i="39"/>
  <c r="BH30" i="39"/>
  <c r="BG30" i="39"/>
  <c r="BD30" i="39"/>
  <c r="BC30" i="39"/>
  <c r="AV30" i="39"/>
  <c r="AS30" i="39"/>
  <c r="AR30" i="39"/>
  <c r="AO30" i="39"/>
  <c r="AN30" i="39"/>
  <c r="AG30" i="39"/>
  <c r="Z30" i="39"/>
  <c r="Q30" i="39"/>
  <c r="L30" i="39" a="1"/>
  <c r="L30" i="39" s="1"/>
  <c r="J30" i="39"/>
  <c r="I30" i="39"/>
  <c r="D30" i="39"/>
  <c r="C30" i="39"/>
  <c r="K30" i="39" s="1" a="1"/>
  <c r="K30" i="39" s="1"/>
  <c r="BZ29" i="39"/>
  <c r="BW29" i="39"/>
  <c r="BV29" i="39"/>
  <c r="BR29" i="39"/>
  <c r="BK29" i="39"/>
  <c r="BH29" i="39"/>
  <c r="BG29" i="39"/>
  <c r="BD29" i="39"/>
  <c r="BC29" i="39"/>
  <c r="AV29" i="39"/>
  <c r="AS29" i="39"/>
  <c r="AR29" i="39"/>
  <c r="AO29" i="39"/>
  <c r="AN29" i="39"/>
  <c r="AG29" i="39"/>
  <c r="Z29" i="39"/>
  <c r="Y29" i="39"/>
  <c r="X29" i="39"/>
  <c r="Q29" i="39"/>
  <c r="L29" i="39" a="1"/>
  <c r="L29" i="39" s="1"/>
  <c r="K29" i="39" a="1"/>
  <c r="K29" i="39" s="1"/>
  <c r="J29" i="39"/>
  <c r="I29" i="39"/>
  <c r="D29" i="39"/>
  <c r="C29" i="39"/>
  <c r="BZ28" i="39"/>
  <c r="BW28" i="39"/>
  <c r="BV28" i="39"/>
  <c r="BS28" i="39"/>
  <c r="BR28" i="39"/>
  <c r="BK28" i="39"/>
  <c r="BH28" i="39"/>
  <c r="BG28" i="39"/>
  <c r="BD28" i="39"/>
  <c r="BC28" i="39"/>
  <c r="AV28" i="39"/>
  <c r="AS28" i="39"/>
  <c r="AR28" i="39"/>
  <c r="AO28" i="39"/>
  <c r="AN28" i="39"/>
  <c r="AG28" i="39"/>
  <c r="Z28" i="39"/>
  <c r="Y28" i="39"/>
  <c r="X28" i="39"/>
  <c r="Q28" i="39"/>
  <c r="J28" i="39"/>
  <c r="I28" i="39"/>
  <c r="D28" i="39"/>
  <c r="C28" i="39"/>
  <c r="BZ27" i="39"/>
  <c r="BV27" i="39"/>
  <c r="BS27" i="39"/>
  <c r="BR27" i="39"/>
  <c r="BK27" i="39"/>
  <c r="BG27" i="39"/>
  <c r="BC27" i="39"/>
  <c r="AV27" i="39"/>
  <c r="AS27" i="39"/>
  <c r="AO27" i="39"/>
  <c r="AN27" i="39"/>
  <c r="AG27" i="39"/>
  <c r="Z27" i="39"/>
  <c r="Y27" i="39"/>
  <c r="X27" i="39"/>
  <c r="Q27" i="39"/>
  <c r="J27" i="39"/>
  <c r="I27" i="39"/>
  <c r="D27" i="39"/>
  <c r="C27" i="39"/>
  <c r="BZ26" i="39"/>
  <c r="BW26" i="39"/>
  <c r="BV26" i="39"/>
  <c r="BS26" i="39"/>
  <c r="BR26" i="39"/>
  <c r="BK26" i="39"/>
  <c r="BH26" i="39"/>
  <c r="BG26" i="39"/>
  <c r="BD26" i="39"/>
  <c r="BC26" i="39"/>
  <c r="AV26" i="39"/>
  <c r="AS26" i="39"/>
  <c r="AR26" i="39"/>
  <c r="AO26" i="39"/>
  <c r="AN26" i="39"/>
  <c r="AG26" i="39"/>
  <c r="Z26" i="39"/>
  <c r="Q26" i="39"/>
  <c r="J26" i="39"/>
  <c r="I26" i="39"/>
  <c r="D26" i="39"/>
  <c r="C26" i="39"/>
  <c r="L26" i="39" s="1" a="1"/>
  <c r="L26" i="39" s="1"/>
  <c r="BZ25" i="39"/>
  <c r="BV25" i="39"/>
  <c r="BR25" i="39"/>
  <c r="BK25" i="39"/>
  <c r="BH25" i="39"/>
  <c r="BG25" i="39"/>
  <c r="BD25" i="39"/>
  <c r="BC25" i="39"/>
  <c r="AV25" i="39"/>
  <c r="AS25" i="39"/>
  <c r="AR25" i="39"/>
  <c r="AO25" i="39"/>
  <c r="AN25" i="39"/>
  <c r="AG25" i="39"/>
  <c r="Z25" i="39"/>
  <c r="Y25" i="39"/>
  <c r="X25" i="39"/>
  <c r="Q25" i="39"/>
  <c r="K25" i="39" a="1"/>
  <c r="K25" i="39" s="1"/>
  <c r="J25" i="39"/>
  <c r="I25" i="39"/>
  <c r="D25" i="39"/>
  <c r="C25" i="39"/>
  <c r="L25" i="39" s="1" a="1"/>
  <c r="L25" i="39" s="1"/>
  <c r="BZ24" i="39"/>
  <c r="BW24" i="39"/>
  <c r="BV24" i="39"/>
  <c r="BS24" i="39"/>
  <c r="BR24" i="39"/>
  <c r="BK24" i="39"/>
  <c r="BH24" i="39"/>
  <c r="BG24" i="39"/>
  <c r="BD24" i="39"/>
  <c r="BC24" i="39"/>
  <c r="AV24" i="39"/>
  <c r="AS24" i="39"/>
  <c r="AR24" i="39"/>
  <c r="AO24" i="39"/>
  <c r="AN24" i="39"/>
  <c r="AG24" i="39"/>
  <c r="Z24" i="39"/>
  <c r="Y24" i="39"/>
  <c r="X24" i="39"/>
  <c r="Q24" i="39"/>
  <c r="J24" i="39"/>
  <c r="I24" i="39"/>
  <c r="D24" i="39"/>
  <c r="C24" i="39"/>
  <c r="BZ23" i="39"/>
  <c r="BV23" i="39"/>
  <c r="BS23" i="39"/>
  <c r="BR23" i="39"/>
  <c r="BK23" i="39"/>
  <c r="BG23" i="39"/>
  <c r="BC23" i="39"/>
  <c r="AV23" i="39"/>
  <c r="AS23" i="39"/>
  <c r="AO23" i="39"/>
  <c r="AG23" i="39"/>
  <c r="Z23" i="39"/>
  <c r="Y23" i="39"/>
  <c r="X23" i="39"/>
  <c r="Q23" i="39"/>
  <c r="J23" i="39"/>
  <c r="I23" i="39"/>
  <c r="D23" i="39"/>
  <c r="C23" i="39"/>
  <c r="BZ22" i="39"/>
  <c r="BW22" i="39"/>
  <c r="BV22" i="39"/>
  <c r="BS22" i="39"/>
  <c r="BR22" i="39"/>
  <c r="BK22" i="39"/>
  <c r="BH22" i="39"/>
  <c r="BG22" i="39"/>
  <c r="BD22" i="39"/>
  <c r="BC22" i="39"/>
  <c r="AV22" i="39"/>
  <c r="AS22" i="39"/>
  <c r="AR22" i="39"/>
  <c r="AO22" i="39"/>
  <c r="AN22" i="39"/>
  <c r="AG22" i="39"/>
  <c r="Z22" i="39"/>
  <c r="Q22" i="39"/>
  <c r="L22" i="39" a="1"/>
  <c r="L22" i="39" s="1"/>
  <c r="J22" i="39"/>
  <c r="I22" i="39"/>
  <c r="D22" i="39"/>
  <c r="C22" i="39"/>
  <c r="K22" i="39" s="1" a="1"/>
  <c r="K22" i="39" s="1"/>
  <c r="BZ21" i="39"/>
  <c r="BV21" i="39"/>
  <c r="BR21" i="39"/>
  <c r="BK21" i="39"/>
  <c r="BH21" i="39"/>
  <c r="BG21" i="39"/>
  <c r="BD21" i="39"/>
  <c r="BC21" i="39"/>
  <c r="AV21" i="39"/>
  <c r="AS21" i="39"/>
  <c r="AR21" i="39"/>
  <c r="AO21" i="39"/>
  <c r="AN21" i="39"/>
  <c r="AG21" i="39"/>
  <c r="Z21" i="39"/>
  <c r="Y21" i="39"/>
  <c r="X21" i="39"/>
  <c r="Q21" i="39"/>
  <c r="L21" i="39" a="1"/>
  <c r="L21" i="39" s="1"/>
  <c r="J21" i="39"/>
  <c r="I21" i="39"/>
  <c r="D21" i="39"/>
  <c r="C21" i="39"/>
  <c r="K21" i="39" s="1" a="1"/>
  <c r="K21" i="39" s="1"/>
  <c r="BZ20" i="39"/>
  <c r="BW20" i="39"/>
  <c r="BV20" i="39"/>
  <c r="BS20" i="39"/>
  <c r="BR20" i="39"/>
  <c r="BK20" i="39"/>
  <c r="BH20" i="39"/>
  <c r="BG20" i="39"/>
  <c r="BD20" i="39"/>
  <c r="BC20" i="39"/>
  <c r="AV20" i="39"/>
  <c r="AS20" i="39"/>
  <c r="AR20" i="39"/>
  <c r="AO20" i="39"/>
  <c r="AN20" i="39"/>
  <c r="AG20" i="39"/>
  <c r="Z20" i="39"/>
  <c r="Y20" i="39"/>
  <c r="X20" i="39"/>
  <c r="Q20" i="39"/>
  <c r="J20" i="39"/>
  <c r="I20" i="39"/>
  <c r="D20" i="39"/>
  <c r="C20" i="39"/>
  <c r="BZ19" i="39"/>
  <c r="BV19" i="39"/>
  <c r="BS19" i="39"/>
  <c r="BR19" i="39"/>
  <c r="BK19" i="39"/>
  <c r="BG19" i="39"/>
  <c r="BC19" i="39"/>
  <c r="AV19" i="39"/>
  <c r="AS19" i="39"/>
  <c r="AO19" i="39"/>
  <c r="AG19" i="39"/>
  <c r="Z19" i="39"/>
  <c r="Y19" i="39"/>
  <c r="X19" i="39"/>
  <c r="Q19" i="39"/>
  <c r="J19" i="39"/>
  <c r="I19" i="39"/>
  <c r="D19" i="39"/>
  <c r="C19" i="39"/>
  <c r="BZ18" i="39"/>
  <c r="BW18" i="39"/>
  <c r="BV18" i="39"/>
  <c r="BS18" i="39"/>
  <c r="BR18" i="39"/>
  <c r="BK18" i="39"/>
  <c r="BH18" i="39"/>
  <c r="BG18" i="39"/>
  <c r="BD18" i="39"/>
  <c r="BC18" i="39"/>
  <c r="AV18" i="39"/>
  <c r="AS18" i="39"/>
  <c r="AR18" i="39"/>
  <c r="AO18" i="39"/>
  <c r="AN18" i="39"/>
  <c r="AG18" i="39"/>
  <c r="Z18" i="39"/>
  <c r="Q18" i="39"/>
  <c r="J18" i="39"/>
  <c r="I18" i="39"/>
  <c r="D18" i="39"/>
  <c r="C18" i="39"/>
  <c r="L18" i="39" s="1" a="1"/>
  <c r="L18" i="39" s="1"/>
  <c r="BZ17" i="39"/>
  <c r="BW17" i="39"/>
  <c r="BV17" i="39"/>
  <c r="BR17" i="39"/>
  <c r="BK17" i="39"/>
  <c r="BH17" i="39"/>
  <c r="BG17" i="39"/>
  <c r="BD17" i="39"/>
  <c r="BC17" i="39"/>
  <c r="AV17" i="39"/>
  <c r="AS17" i="39"/>
  <c r="AR17" i="39"/>
  <c r="AO17" i="39"/>
  <c r="AN17" i="39"/>
  <c r="AG17" i="39"/>
  <c r="Z17" i="39"/>
  <c r="Y17" i="39"/>
  <c r="X17" i="39"/>
  <c r="Q17" i="39"/>
  <c r="J17" i="39"/>
  <c r="I17" i="39"/>
  <c r="D17" i="39"/>
  <c r="C17" i="39"/>
  <c r="L17" i="39" s="1" a="1"/>
  <c r="L17" i="39" s="1"/>
  <c r="BZ16" i="39"/>
  <c r="BW16" i="39"/>
  <c r="BV16" i="39"/>
  <c r="BS16" i="39"/>
  <c r="BR16" i="39"/>
  <c r="BK16" i="39"/>
  <c r="BH16" i="39"/>
  <c r="BG16" i="39"/>
  <c r="BD16" i="39"/>
  <c r="BC16" i="39"/>
  <c r="AV16" i="39"/>
  <c r="AS16" i="39"/>
  <c r="AR16" i="39"/>
  <c r="AO16" i="39"/>
  <c r="AN16" i="39"/>
  <c r="AG16" i="39"/>
  <c r="Z16" i="39"/>
  <c r="Y16" i="39"/>
  <c r="Y15" i="39" s="1"/>
  <c r="X16" i="39"/>
  <c r="X15" i="39" s="1"/>
  <c r="Q16" i="39"/>
  <c r="J16" i="39"/>
  <c r="I16" i="39"/>
  <c r="D16" i="39"/>
  <c r="C16" i="39"/>
  <c r="L16" i="39" s="1" a="1"/>
  <c r="L16" i="39" s="1"/>
  <c r="BZ15" i="39"/>
  <c r="BW15" i="39"/>
  <c r="BV15" i="39"/>
  <c r="BS15" i="39"/>
  <c r="BR15" i="39"/>
  <c r="BK15" i="39"/>
  <c r="BH15" i="39"/>
  <c r="BG15" i="39"/>
  <c r="BD15" i="39"/>
  <c r="BC15" i="39"/>
  <c r="AV15" i="39"/>
  <c r="AS15" i="39"/>
  <c r="AR15" i="39"/>
  <c r="AO15" i="39"/>
  <c r="AN15" i="39"/>
  <c r="AG15" i="39"/>
  <c r="Z15" i="39"/>
  <c r="Q15" i="39"/>
  <c r="J15" i="39"/>
  <c r="I15" i="39"/>
  <c r="D15" i="39"/>
  <c r="C15" i="39"/>
  <c r="K15" i="39" s="1" a="1"/>
  <c r="K15" i="39" s="1"/>
  <c r="BU14" i="39"/>
  <c r="BT14" i="39"/>
  <c r="BQ14" i="39"/>
  <c r="BP14" i="39"/>
  <c r="BO14" i="39"/>
  <c r="BN14" i="39"/>
  <c r="BL14" i="39"/>
  <c r="BF14" i="39"/>
  <c r="BE14" i="39"/>
  <c r="BB14" i="39"/>
  <c r="BA14" i="39"/>
  <c r="AZ14" i="39"/>
  <c r="AY14" i="39"/>
  <c r="AW14" i="39"/>
  <c r="AQ14" i="39"/>
  <c r="AP14" i="39"/>
  <c r="AM14" i="39"/>
  <c r="AL14" i="39"/>
  <c r="AK14" i="39"/>
  <c r="AJ14" i="39"/>
  <c r="AI14" i="39"/>
  <c r="AO14" i="39" s="1"/>
  <c r="S14" i="39"/>
  <c r="R14" i="39"/>
  <c r="H14" i="39"/>
  <c r="G14" i="39"/>
  <c r="F14" i="39"/>
  <c r="U14" i="39" s="1"/>
  <c r="E14" i="39"/>
  <c r="T14" i="39" s="1"/>
  <c r="P3" i="39"/>
  <c r="BD78" i="39" s="1"/>
  <c r="BH78" i="39" s="1"/>
  <c r="B2" i="39" a="1"/>
  <c r="B2" i="39" s="1"/>
  <c r="A1" i="38"/>
  <c r="N3" i="38" s="1"/>
  <c r="N6" i="38" s="1" a="1"/>
  <c r="N6" i="38" s="1"/>
  <c r="BZ125" i="38"/>
  <c r="BW125" i="38"/>
  <c r="BV125" i="38"/>
  <c r="BK125" i="38"/>
  <c r="BH125" i="38"/>
  <c r="BG125" i="38"/>
  <c r="BD125" i="38"/>
  <c r="BC125" i="38"/>
  <c r="AV125" i="38"/>
  <c r="AS125" i="38"/>
  <c r="AR125" i="38"/>
  <c r="AO125" i="38"/>
  <c r="AN125" i="38"/>
  <c r="AG125" i="38"/>
  <c r="Z125" i="38"/>
  <c r="Y125" i="38"/>
  <c r="X125" i="38"/>
  <c r="Q125" i="38"/>
  <c r="J125" i="38"/>
  <c r="I125" i="38"/>
  <c r="D125" i="38"/>
  <c r="C125" i="38"/>
  <c r="L125" i="38" s="1" a="1"/>
  <c r="L125" i="38" s="1"/>
  <c r="BZ124" i="38"/>
  <c r="BW124" i="38"/>
  <c r="BV124" i="38"/>
  <c r="BK124" i="38"/>
  <c r="BH124" i="38"/>
  <c r="BG124" i="38"/>
  <c r="BD124" i="38"/>
  <c r="BC124" i="38"/>
  <c r="AV124" i="38"/>
  <c r="AS124" i="38"/>
  <c r="AR124" i="38"/>
  <c r="AO124" i="38"/>
  <c r="AN124" i="38"/>
  <c r="AG124" i="38"/>
  <c r="Z124" i="38"/>
  <c r="Y124" i="38"/>
  <c r="X124" i="38"/>
  <c r="Q124" i="38"/>
  <c r="K124" i="38" a="1"/>
  <c r="K124" i="38" s="1"/>
  <c r="J124" i="38"/>
  <c r="I124" i="38"/>
  <c r="D124" i="38"/>
  <c r="C124" i="38"/>
  <c r="BZ123" i="38"/>
  <c r="BW123" i="38"/>
  <c r="BK123" i="38"/>
  <c r="BG123" i="38"/>
  <c r="BC123" i="38"/>
  <c r="AV123" i="38"/>
  <c r="AS123" i="38"/>
  <c r="AR123" i="38"/>
  <c r="AN123" i="38"/>
  <c r="AG123" i="38"/>
  <c r="Z123" i="38"/>
  <c r="Y123" i="38"/>
  <c r="X123" i="38"/>
  <c r="Q123" i="38"/>
  <c r="J123" i="38"/>
  <c r="I123" i="38"/>
  <c r="D123" i="38"/>
  <c r="C123" i="38"/>
  <c r="BZ122" i="38"/>
  <c r="BW122" i="38"/>
  <c r="BV122" i="38"/>
  <c r="BK122" i="38"/>
  <c r="BH122" i="38"/>
  <c r="BG122" i="38"/>
  <c r="BD122" i="38"/>
  <c r="BC122" i="38"/>
  <c r="AV122" i="38"/>
  <c r="AS122" i="38"/>
  <c r="AR122" i="38"/>
  <c r="AO122" i="38"/>
  <c r="AN122" i="38"/>
  <c r="AG122" i="38"/>
  <c r="Z122" i="38"/>
  <c r="Q122" i="38"/>
  <c r="J122" i="38"/>
  <c r="I122" i="38"/>
  <c r="D122" i="38"/>
  <c r="C122" i="38"/>
  <c r="BZ121" i="38"/>
  <c r="BW121" i="38"/>
  <c r="BV121" i="38"/>
  <c r="BK121" i="38"/>
  <c r="BH121" i="38"/>
  <c r="BG121" i="38"/>
  <c r="BD121" i="38"/>
  <c r="BC121" i="38"/>
  <c r="AV121" i="38"/>
  <c r="AS121" i="38"/>
  <c r="AR121" i="38"/>
  <c r="AO121" i="38"/>
  <c r="AN121" i="38"/>
  <c r="AG121" i="38"/>
  <c r="Z121" i="38"/>
  <c r="X121" i="38"/>
  <c r="Q121" i="38"/>
  <c r="J121" i="38"/>
  <c r="I121" i="38"/>
  <c r="D121" i="38"/>
  <c r="C121" i="38"/>
  <c r="L121" i="38" s="1" a="1"/>
  <c r="L121" i="38" s="1"/>
  <c r="BZ120" i="38"/>
  <c r="BW120" i="38"/>
  <c r="BV120" i="38"/>
  <c r="BK120" i="38"/>
  <c r="BH120" i="38"/>
  <c r="BG120" i="38"/>
  <c r="BD120" i="38"/>
  <c r="BC120" i="38"/>
  <c r="AV120" i="38"/>
  <c r="AS120" i="38"/>
  <c r="AR120" i="38"/>
  <c r="AO120" i="38"/>
  <c r="AN120" i="38"/>
  <c r="AG120" i="38"/>
  <c r="Z120" i="38"/>
  <c r="Y120" i="38"/>
  <c r="X120" i="38"/>
  <c r="Q120" i="38"/>
  <c r="K120" i="38" a="1"/>
  <c r="K120" i="38" s="1"/>
  <c r="J120" i="38"/>
  <c r="I120" i="38"/>
  <c r="D120" i="38"/>
  <c r="C120" i="38"/>
  <c r="BZ119" i="38"/>
  <c r="BW119" i="38"/>
  <c r="BK119" i="38"/>
  <c r="BG119" i="38"/>
  <c r="BD119" i="38"/>
  <c r="BC119" i="38"/>
  <c r="AV119" i="38"/>
  <c r="AR119" i="38"/>
  <c r="AO119" i="38"/>
  <c r="AN119" i="38"/>
  <c r="AG119" i="38"/>
  <c r="Z119" i="38"/>
  <c r="Y119" i="38"/>
  <c r="X119" i="38"/>
  <c r="Q119" i="38"/>
  <c r="J119" i="38"/>
  <c r="I119" i="38"/>
  <c r="D119" i="38"/>
  <c r="C119" i="38"/>
  <c r="BZ118" i="38"/>
  <c r="BW118" i="38"/>
  <c r="BV118" i="38"/>
  <c r="BK118" i="38"/>
  <c r="BH118" i="38"/>
  <c r="BG118" i="38"/>
  <c r="BD118" i="38"/>
  <c r="BC118" i="38"/>
  <c r="AV118" i="38"/>
  <c r="AS118" i="38"/>
  <c r="AR118" i="38"/>
  <c r="AO118" i="38"/>
  <c r="AN118" i="38"/>
  <c r="AG118" i="38"/>
  <c r="Z118" i="38"/>
  <c r="Q118" i="38"/>
  <c r="J118" i="38"/>
  <c r="I118" i="38"/>
  <c r="D118" i="38"/>
  <c r="C118" i="38"/>
  <c r="BZ117" i="38"/>
  <c r="BW117" i="38"/>
  <c r="BV117" i="38"/>
  <c r="BK117" i="38"/>
  <c r="BH117" i="38"/>
  <c r="BG117" i="38"/>
  <c r="BD117" i="38"/>
  <c r="BC117" i="38"/>
  <c r="AV117" i="38"/>
  <c r="AS117" i="38"/>
  <c r="AR117" i="38"/>
  <c r="AO117" i="38"/>
  <c r="AN117" i="38"/>
  <c r="AG117" i="38"/>
  <c r="Z117" i="38"/>
  <c r="X117" i="38"/>
  <c r="Q117" i="38"/>
  <c r="J117" i="38"/>
  <c r="I117" i="38"/>
  <c r="D117" i="38"/>
  <c r="C117" i="38"/>
  <c r="L117" i="38" s="1" a="1"/>
  <c r="L117" i="38" s="1"/>
  <c r="BZ116" i="38"/>
  <c r="BW116" i="38"/>
  <c r="BV116" i="38"/>
  <c r="BK116" i="38"/>
  <c r="BH116" i="38"/>
  <c r="BG116" i="38"/>
  <c r="BD116" i="38"/>
  <c r="BC116" i="38"/>
  <c r="AV116" i="38"/>
  <c r="AS116" i="38"/>
  <c r="AR116" i="38"/>
  <c r="AO116" i="38"/>
  <c r="AN116" i="38"/>
  <c r="AG116" i="38"/>
  <c r="Z116" i="38"/>
  <c r="Y116" i="38"/>
  <c r="X116" i="38"/>
  <c r="Q116" i="38"/>
  <c r="K116" i="38" a="1"/>
  <c r="K116" i="38" s="1"/>
  <c r="J116" i="38"/>
  <c r="I116" i="38"/>
  <c r="D116" i="38"/>
  <c r="C116" i="38"/>
  <c r="BZ115" i="38"/>
  <c r="BK115" i="38"/>
  <c r="AV115" i="38"/>
  <c r="AG115" i="38"/>
  <c r="Z115" i="38"/>
  <c r="Q115" i="38"/>
  <c r="J115" i="38"/>
  <c r="I115" i="38"/>
  <c r="D115" i="38"/>
  <c r="C115" i="38"/>
  <c r="BZ114" i="38"/>
  <c r="BK114" i="38"/>
  <c r="AV114" i="38"/>
  <c r="AG114" i="38"/>
  <c r="Z114" i="38"/>
  <c r="Q114" i="38"/>
  <c r="J114" i="38"/>
  <c r="I114" i="38"/>
  <c r="D114" i="38"/>
  <c r="C114" i="38"/>
  <c r="BZ113" i="38"/>
  <c r="BK113" i="38"/>
  <c r="AV113" i="38"/>
  <c r="AG113" i="38"/>
  <c r="Z113" i="38"/>
  <c r="Q113" i="38"/>
  <c r="L113" i="38" a="1"/>
  <c r="L113" i="38" s="1"/>
  <c r="J113" i="38"/>
  <c r="I113" i="38"/>
  <c r="D113" i="38"/>
  <c r="C113" i="38"/>
  <c r="K113" i="38" s="1" a="1"/>
  <c r="K113" i="38" s="1"/>
  <c r="BZ112" i="38"/>
  <c r="BK112" i="38"/>
  <c r="AV112" i="38"/>
  <c r="AG112" i="38"/>
  <c r="Z112" i="38"/>
  <c r="Q112" i="38"/>
  <c r="J112" i="38"/>
  <c r="I112" i="38"/>
  <c r="D112" i="38"/>
  <c r="C112" i="38"/>
  <c r="K112" i="38" s="1" a="1"/>
  <c r="K112" i="38" s="1"/>
  <c r="BZ111" i="38"/>
  <c r="BK111" i="38"/>
  <c r="AV111" i="38"/>
  <c r="AG111" i="38"/>
  <c r="Z111" i="38"/>
  <c r="Q111" i="38"/>
  <c r="J111" i="38"/>
  <c r="I111" i="38"/>
  <c r="D111" i="38"/>
  <c r="C111" i="38"/>
  <c r="BZ110" i="38"/>
  <c r="BK110" i="38"/>
  <c r="AV110" i="38"/>
  <c r="AG110" i="38"/>
  <c r="Z110" i="38"/>
  <c r="Q110" i="38"/>
  <c r="K110" i="38" a="1"/>
  <c r="K110" i="38" s="1"/>
  <c r="J110" i="38"/>
  <c r="I110" i="38"/>
  <c r="D110" i="38"/>
  <c r="C110" i="38"/>
  <c r="BZ109" i="38"/>
  <c r="BK109" i="38"/>
  <c r="AV109" i="38"/>
  <c r="AG109" i="38"/>
  <c r="Z109" i="38"/>
  <c r="Q109" i="38"/>
  <c r="J109" i="38"/>
  <c r="I109" i="38"/>
  <c r="D109" i="38"/>
  <c r="C109" i="38"/>
  <c r="BZ108" i="38"/>
  <c r="BK108" i="38"/>
  <c r="AV108" i="38"/>
  <c r="AG108" i="38"/>
  <c r="Z108" i="38"/>
  <c r="Q108" i="38"/>
  <c r="J108" i="38"/>
  <c r="I108" i="38"/>
  <c r="D108" i="38"/>
  <c r="C108" i="38"/>
  <c r="BZ107" i="38"/>
  <c r="BK107" i="38"/>
  <c r="AV107" i="38"/>
  <c r="AG107" i="38"/>
  <c r="Z107" i="38"/>
  <c r="Q107" i="38"/>
  <c r="J107" i="38"/>
  <c r="I107" i="38"/>
  <c r="D107" i="38"/>
  <c r="C107" i="38"/>
  <c r="BZ106" i="38"/>
  <c r="BK106" i="38"/>
  <c r="BD106" i="38"/>
  <c r="BH106" i="38" s="1"/>
  <c r="AV106" i="38"/>
  <c r="AG106" i="38"/>
  <c r="Z106" i="38"/>
  <c r="Q106" i="38"/>
  <c r="J106" i="38"/>
  <c r="I106" i="38"/>
  <c r="D106" i="38"/>
  <c r="C106" i="38"/>
  <c r="BZ105" i="38"/>
  <c r="BK105" i="38"/>
  <c r="AV105" i="38"/>
  <c r="AG105" i="38"/>
  <c r="Z105" i="38"/>
  <c r="Q105" i="38"/>
  <c r="J105" i="38"/>
  <c r="I105" i="38"/>
  <c r="D105" i="38"/>
  <c r="C105" i="38"/>
  <c r="BZ104" i="38"/>
  <c r="BK104" i="38"/>
  <c r="BD104" i="38"/>
  <c r="BH104" i="38" s="1"/>
  <c r="AV104" i="38"/>
  <c r="AG104" i="38"/>
  <c r="Z104" i="38"/>
  <c r="Q104" i="38"/>
  <c r="L104" i="38" a="1"/>
  <c r="L104" i="38" s="1"/>
  <c r="J104" i="38"/>
  <c r="I104" i="38"/>
  <c r="D104" i="38"/>
  <c r="C104" i="38"/>
  <c r="K104" i="38" s="1" a="1"/>
  <c r="K104" i="38" s="1"/>
  <c r="BZ103" i="38"/>
  <c r="BK103" i="38"/>
  <c r="AV103" i="38"/>
  <c r="AN103" i="38"/>
  <c r="AR103" i="38" s="1"/>
  <c r="AG103" i="38"/>
  <c r="Z103" i="38"/>
  <c r="Q103" i="38"/>
  <c r="L103" i="38" a="1"/>
  <c r="L103" i="38" s="1"/>
  <c r="K103" i="38" a="1"/>
  <c r="K103" i="38" s="1"/>
  <c r="J103" i="38"/>
  <c r="I103" i="38"/>
  <c r="D103" i="38"/>
  <c r="C103" i="38"/>
  <c r="BZ102" i="38"/>
  <c r="BK102" i="38"/>
  <c r="AV102" i="38"/>
  <c r="AG102" i="38"/>
  <c r="Z102" i="38"/>
  <c r="Q102" i="38"/>
  <c r="K102" i="38" a="1"/>
  <c r="K102" i="38" s="1"/>
  <c r="J102" i="38"/>
  <c r="I102" i="38"/>
  <c r="D102" i="38"/>
  <c r="C102" i="38"/>
  <c r="BZ101" i="38"/>
  <c r="BK101" i="38"/>
  <c r="AV101" i="38"/>
  <c r="AG101" i="38"/>
  <c r="Z101" i="38"/>
  <c r="Q101" i="38"/>
  <c r="J101" i="38"/>
  <c r="I101" i="38"/>
  <c r="D101" i="38"/>
  <c r="C101" i="38"/>
  <c r="BZ100" i="38"/>
  <c r="BK100" i="38"/>
  <c r="AV100" i="38"/>
  <c r="AG100" i="38"/>
  <c r="Z100" i="38"/>
  <c r="Q100" i="38"/>
  <c r="J100" i="38"/>
  <c r="I100" i="38"/>
  <c r="D100" i="38"/>
  <c r="C100" i="38"/>
  <c r="L100" i="38" s="1" a="1"/>
  <c r="L100" i="38" s="1"/>
  <c r="BZ99" i="38"/>
  <c r="BK99" i="38"/>
  <c r="AV99" i="38"/>
  <c r="AG99" i="38"/>
  <c r="Z99" i="38"/>
  <c r="Q99" i="38"/>
  <c r="L99" i="38" a="1"/>
  <c r="L99" i="38" s="1"/>
  <c r="K99" i="38" a="1"/>
  <c r="K99" i="38" s="1"/>
  <c r="J99" i="38"/>
  <c r="I99" i="38"/>
  <c r="D99" i="38"/>
  <c r="C99" i="38"/>
  <c r="BZ98" i="38"/>
  <c r="BK98" i="38"/>
  <c r="AV98" i="38"/>
  <c r="AG98" i="38"/>
  <c r="Z98" i="38"/>
  <c r="Q98" i="38"/>
  <c r="J98" i="38"/>
  <c r="I98" i="38"/>
  <c r="D98" i="38"/>
  <c r="C98" i="38"/>
  <c r="L98" i="38" s="1" a="1"/>
  <c r="L98" i="38" s="1"/>
  <c r="BZ97" i="38"/>
  <c r="BK97" i="38"/>
  <c r="AV97" i="38"/>
  <c r="AG97" i="38"/>
  <c r="Z97" i="38"/>
  <c r="Q97" i="38"/>
  <c r="L97" i="38" a="1"/>
  <c r="L97" i="38" s="1"/>
  <c r="J97" i="38"/>
  <c r="I97" i="38"/>
  <c r="D97" i="38"/>
  <c r="C97" i="38"/>
  <c r="BZ96" i="38"/>
  <c r="BK96" i="38"/>
  <c r="AV96" i="38"/>
  <c r="AG96" i="38"/>
  <c r="Z96" i="38"/>
  <c r="Q96" i="38"/>
  <c r="J96" i="38"/>
  <c r="I96" i="38"/>
  <c r="D96" i="38"/>
  <c r="C96" i="38"/>
  <c r="BZ95" i="38"/>
  <c r="BK95" i="38"/>
  <c r="AV95" i="38"/>
  <c r="AG95" i="38"/>
  <c r="Z95" i="38"/>
  <c r="Q95" i="38"/>
  <c r="J95" i="38"/>
  <c r="I95" i="38"/>
  <c r="D95" i="38"/>
  <c r="C95" i="38"/>
  <c r="L95" i="38" s="1" a="1"/>
  <c r="L95" i="38" s="1"/>
  <c r="BZ94" i="38"/>
  <c r="BK94" i="38"/>
  <c r="AV94" i="38"/>
  <c r="AG94" i="38"/>
  <c r="Z94" i="38"/>
  <c r="Q94" i="38"/>
  <c r="J94" i="38"/>
  <c r="I94" i="38"/>
  <c r="D94" i="38"/>
  <c r="C94" i="38"/>
  <c r="L94" i="38" s="1" a="1"/>
  <c r="L94" i="38" s="1"/>
  <c r="BZ93" i="38"/>
  <c r="BK93" i="38"/>
  <c r="AV93" i="38"/>
  <c r="AG93" i="38"/>
  <c r="Z93" i="38"/>
  <c r="Q93" i="38"/>
  <c r="L93" i="38" a="1"/>
  <c r="L93" i="38" s="1"/>
  <c r="J93" i="38"/>
  <c r="I93" i="38"/>
  <c r="D93" i="38"/>
  <c r="C93" i="38"/>
  <c r="K93" i="38" s="1" a="1"/>
  <c r="K93" i="38" s="1"/>
  <c r="BZ92" i="38"/>
  <c r="BK92" i="38"/>
  <c r="AV92" i="38"/>
  <c r="AG92" i="38"/>
  <c r="Z92" i="38"/>
  <c r="Q92" i="38"/>
  <c r="J92" i="38"/>
  <c r="I92" i="38"/>
  <c r="D92" i="38"/>
  <c r="C92" i="38"/>
  <c r="K92" i="38" s="1" a="1"/>
  <c r="K92" i="38" s="1"/>
  <c r="BZ91" i="38"/>
  <c r="BK91" i="38"/>
  <c r="AV91" i="38"/>
  <c r="AG91" i="38"/>
  <c r="Z91" i="38"/>
  <c r="Q91" i="38"/>
  <c r="J91" i="38"/>
  <c r="I91" i="38"/>
  <c r="D91" i="38"/>
  <c r="C91" i="38"/>
  <c r="BZ90" i="38"/>
  <c r="BK90" i="38"/>
  <c r="BC90" i="38"/>
  <c r="BG90" i="38" s="1"/>
  <c r="AV90" i="38"/>
  <c r="AG90" i="38"/>
  <c r="Z90" i="38"/>
  <c r="Q90" i="38"/>
  <c r="J90" i="38"/>
  <c r="I90" i="38"/>
  <c r="D90" i="38"/>
  <c r="C90" i="38"/>
  <c r="L90" i="38" s="1" a="1"/>
  <c r="L90" i="38" s="1"/>
  <c r="BZ89" i="38"/>
  <c r="BK89" i="38"/>
  <c r="AV89" i="38"/>
  <c r="AG89" i="38"/>
  <c r="Z89" i="38"/>
  <c r="Q89" i="38"/>
  <c r="K89" i="38" a="1"/>
  <c r="K89" i="38" s="1"/>
  <c r="J89" i="38"/>
  <c r="I89" i="38"/>
  <c r="D89" i="38"/>
  <c r="C89" i="38"/>
  <c r="L89" i="38" s="1" a="1"/>
  <c r="L89" i="38" s="1"/>
  <c r="BZ88" i="38"/>
  <c r="BK88" i="38"/>
  <c r="AV88" i="38"/>
  <c r="AG88" i="38"/>
  <c r="Z88" i="38"/>
  <c r="Q88" i="38"/>
  <c r="J88" i="38"/>
  <c r="I88" i="38"/>
  <c r="D88" i="38"/>
  <c r="C88" i="38"/>
  <c r="K88" i="38" s="1" a="1"/>
  <c r="K88" i="38" s="1"/>
  <c r="BZ87" i="38"/>
  <c r="BK87" i="38"/>
  <c r="AV87" i="38"/>
  <c r="AG87" i="38"/>
  <c r="Z87" i="38"/>
  <c r="Q87" i="38"/>
  <c r="J87" i="38"/>
  <c r="I87" i="38"/>
  <c r="D87" i="38"/>
  <c r="C87" i="38"/>
  <c r="BZ86" i="38"/>
  <c r="BK86" i="38"/>
  <c r="AV86" i="38"/>
  <c r="AG86" i="38"/>
  <c r="Z86" i="38"/>
  <c r="Q86" i="38"/>
  <c r="J86" i="38"/>
  <c r="I86" i="38"/>
  <c r="D86" i="38"/>
  <c r="C86" i="38"/>
  <c r="BZ85" i="38"/>
  <c r="BK85" i="38"/>
  <c r="AV85" i="38"/>
  <c r="AG85" i="38"/>
  <c r="Z85" i="38"/>
  <c r="Q85" i="38"/>
  <c r="J85" i="38"/>
  <c r="I85" i="38"/>
  <c r="D85" i="38"/>
  <c r="C85" i="38"/>
  <c r="BZ84" i="38"/>
  <c r="BK84" i="38"/>
  <c r="AV84" i="38"/>
  <c r="AO84" i="38"/>
  <c r="AS84" i="38" s="1"/>
  <c r="AG84" i="38"/>
  <c r="Z84" i="38"/>
  <c r="Q84" i="38"/>
  <c r="K84" i="38" a="1"/>
  <c r="K84" i="38" s="1"/>
  <c r="J84" i="38"/>
  <c r="I84" i="38"/>
  <c r="D84" i="38"/>
  <c r="C84" i="38"/>
  <c r="BZ83" i="38"/>
  <c r="BK83" i="38"/>
  <c r="AV83" i="38"/>
  <c r="AG83" i="38"/>
  <c r="Z83" i="38"/>
  <c r="Q83" i="38"/>
  <c r="J83" i="38"/>
  <c r="I83" i="38"/>
  <c r="D83" i="38"/>
  <c r="C83" i="38"/>
  <c r="BZ82" i="38"/>
  <c r="BK82" i="38"/>
  <c r="AV82" i="38"/>
  <c r="AG82" i="38"/>
  <c r="Z82" i="38"/>
  <c r="Q82" i="38"/>
  <c r="L82" i="38" a="1"/>
  <c r="L82" i="38" s="1"/>
  <c r="J82" i="38"/>
  <c r="I82" i="38"/>
  <c r="D82" i="38"/>
  <c r="C82" i="38"/>
  <c r="BZ81" i="38"/>
  <c r="BK81" i="38"/>
  <c r="AV81" i="38"/>
  <c r="AG81" i="38"/>
  <c r="Z81" i="38"/>
  <c r="Q81" i="38"/>
  <c r="J81" i="38"/>
  <c r="I81" i="38"/>
  <c r="D81" i="38"/>
  <c r="C81" i="38"/>
  <c r="BZ80" i="38"/>
  <c r="BK80" i="38"/>
  <c r="AV80" i="38"/>
  <c r="AG80" i="38"/>
  <c r="Z80" i="38"/>
  <c r="Q80" i="38"/>
  <c r="J80" i="38"/>
  <c r="I80" i="38"/>
  <c r="D80" i="38"/>
  <c r="C80" i="38"/>
  <c r="BZ79" i="38"/>
  <c r="BK79" i="38"/>
  <c r="AV79" i="38"/>
  <c r="AG79" i="38"/>
  <c r="Z79" i="38"/>
  <c r="Q79" i="38"/>
  <c r="J79" i="38"/>
  <c r="I79" i="38"/>
  <c r="D79" i="38"/>
  <c r="C79" i="38"/>
  <c r="K79" i="38" s="1" a="1"/>
  <c r="K79" i="38" s="1"/>
  <c r="BZ78" i="38"/>
  <c r="BK78" i="38"/>
  <c r="AV78" i="38"/>
  <c r="AG78" i="38"/>
  <c r="Z78" i="38"/>
  <c r="Q78" i="38"/>
  <c r="J78" i="38"/>
  <c r="I78" i="38"/>
  <c r="D78" i="38"/>
  <c r="C78" i="38"/>
  <c r="L78" i="38" s="1" a="1"/>
  <c r="L78" i="38" s="1"/>
  <c r="BZ77" i="38"/>
  <c r="BK77" i="38"/>
  <c r="BD77" i="38"/>
  <c r="BH77" i="38" s="1"/>
  <c r="AV77" i="38"/>
  <c r="AG77" i="38"/>
  <c r="Z77" i="38"/>
  <c r="Q77" i="38"/>
  <c r="J77" i="38"/>
  <c r="I77" i="38"/>
  <c r="D77" i="38"/>
  <c r="C77" i="38"/>
  <c r="BZ76" i="38"/>
  <c r="BK76" i="38"/>
  <c r="AV76" i="38"/>
  <c r="AG76" i="38"/>
  <c r="Z76" i="38"/>
  <c r="Q76" i="38"/>
  <c r="J76" i="38"/>
  <c r="I76" i="38"/>
  <c r="D76" i="38"/>
  <c r="C76" i="38"/>
  <c r="BZ75" i="38"/>
  <c r="BK75" i="38"/>
  <c r="AV75" i="38"/>
  <c r="AG75" i="38"/>
  <c r="Z75" i="38"/>
  <c r="Q75" i="38"/>
  <c r="J75" i="38"/>
  <c r="I75" i="38"/>
  <c r="D75" i="38"/>
  <c r="C75" i="38"/>
  <c r="BZ74" i="38"/>
  <c r="BK74" i="38"/>
  <c r="AV74" i="38"/>
  <c r="AG74" i="38"/>
  <c r="Z74" i="38"/>
  <c r="Q74" i="38"/>
  <c r="L74" i="38" a="1"/>
  <c r="L74" i="38" s="1"/>
  <c r="J74" i="38"/>
  <c r="I74" i="38"/>
  <c r="D74" i="38"/>
  <c r="C74" i="38"/>
  <c r="K74" i="38" s="1" a="1"/>
  <c r="K74" i="38" s="1"/>
  <c r="BZ73" i="38"/>
  <c r="BK73" i="38"/>
  <c r="AV73" i="38"/>
  <c r="AG73" i="38"/>
  <c r="Z73" i="38"/>
  <c r="Q73" i="38"/>
  <c r="J73" i="38"/>
  <c r="I73" i="38"/>
  <c r="D73" i="38"/>
  <c r="C73" i="38"/>
  <c r="L73" i="38" s="1" a="1"/>
  <c r="L73" i="38" s="1"/>
  <c r="BZ72" i="38"/>
  <c r="BK72" i="38"/>
  <c r="AV72" i="38"/>
  <c r="AG72" i="38"/>
  <c r="Z72" i="38"/>
  <c r="Q72" i="38"/>
  <c r="J72" i="38"/>
  <c r="I72" i="38"/>
  <c r="D72" i="38"/>
  <c r="C72" i="38"/>
  <c r="BZ71" i="38"/>
  <c r="BK71" i="38"/>
  <c r="AV71" i="38"/>
  <c r="AG71" i="38"/>
  <c r="Z71" i="38"/>
  <c r="Q71" i="38"/>
  <c r="J71" i="38"/>
  <c r="I71" i="38"/>
  <c r="D71" i="38"/>
  <c r="C71" i="38"/>
  <c r="BZ70" i="38"/>
  <c r="BK70" i="38"/>
  <c r="AV70" i="38"/>
  <c r="AG70" i="38"/>
  <c r="Z70" i="38"/>
  <c r="Q70" i="38"/>
  <c r="J70" i="38"/>
  <c r="I70" i="38"/>
  <c r="D70" i="38"/>
  <c r="C70" i="38"/>
  <c r="BZ69" i="38"/>
  <c r="BK69" i="38"/>
  <c r="AV69" i="38"/>
  <c r="AG69" i="38"/>
  <c r="Z69" i="38"/>
  <c r="Q69" i="38"/>
  <c r="L69" i="38" a="1"/>
  <c r="L69" i="38" s="1"/>
  <c r="J69" i="38"/>
  <c r="I69" i="38"/>
  <c r="D69" i="38"/>
  <c r="C69" i="38"/>
  <c r="K69" i="38" s="1" a="1"/>
  <c r="K69" i="38" s="1"/>
  <c r="BZ68" i="38"/>
  <c r="BK68" i="38"/>
  <c r="AV68" i="38"/>
  <c r="AG68" i="38"/>
  <c r="Z68" i="38"/>
  <c r="Q68" i="38"/>
  <c r="J68" i="38"/>
  <c r="I68" i="38"/>
  <c r="D68" i="38"/>
  <c r="C68" i="38"/>
  <c r="K68" i="38" s="1" a="1"/>
  <c r="K68" i="38" s="1"/>
  <c r="BZ67" i="38"/>
  <c r="BK67" i="38"/>
  <c r="AV67" i="38"/>
  <c r="AG67" i="38"/>
  <c r="Z67" i="38"/>
  <c r="Q67" i="38"/>
  <c r="L67" i="38" a="1"/>
  <c r="L67" i="38" s="1"/>
  <c r="K67" i="38" a="1"/>
  <c r="K67" i="38" s="1"/>
  <c r="J67" i="38"/>
  <c r="I67" i="38"/>
  <c r="D67" i="38"/>
  <c r="C67" i="38"/>
  <c r="BZ66" i="38"/>
  <c r="BK66" i="38"/>
  <c r="BD66" i="38"/>
  <c r="BH66" i="38" s="1"/>
  <c r="AV66" i="38"/>
  <c r="AG66" i="38"/>
  <c r="Z66" i="38"/>
  <c r="Q66" i="38"/>
  <c r="J66" i="38"/>
  <c r="I66" i="38"/>
  <c r="D66" i="38"/>
  <c r="C66" i="38"/>
  <c r="BZ65" i="38"/>
  <c r="BK65" i="38"/>
  <c r="AV65" i="38"/>
  <c r="AG65" i="38"/>
  <c r="Z65" i="38"/>
  <c r="Q65" i="38"/>
  <c r="J65" i="38"/>
  <c r="I65" i="38"/>
  <c r="D65" i="38"/>
  <c r="C65" i="38"/>
  <c r="L65" i="38" s="1" a="1"/>
  <c r="L65" i="38" s="1"/>
  <c r="BZ64" i="38"/>
  <c r="BK64" i="38"/>
  <c r="AV64" i="38"/>
  <c r="AG64" i="38"/>
  <c r="Z64" i="38"/>
  <c r="Q64" i="38"/>
  <c r="J64" i="38"/>
  <c r="I64" i="38"/>
  <c r="D64" i="38"/>
  <c r="C64" i="38"/>
  <c r="BZ63" i="38"/>
  <c r="BK63" i="38"/>
  <c r="AV63" i="38"/>
  <c r="AG63" i="38"/>
  <c r="Z63" i="38"/>
  <c r="Q63" i="38"/>
  <c r="L63" i="38" a="1"/>
  <c r="L63" i="38" s="1"/>
  <c r="J63" i="38"/>
  <c r="I63" i="38"/>
  <c r="D63" i="38"/>
  <c r="C63" i="38"/>
  <c r="BZ62" i="38"/>
  <c r="BK62" i="38"/>
  <c r="BC62" i="38"/>
  <c r="BG62" i="38" s="1"/>
  <c r="AV62" i="38"/>
  <c r="AG62" i="38"/>
  <c r="Z62" i="38"/>
  <c r="Q62" i="38"/>
  <c r="J62" i="38"/>
  <c r="I62" i="38"/>
  <c r="D62" i="38"/>
  <c r="C62" i="38"/>
  <c r="BZ61" i="38"/>
  <c r="BK61" i="38"/>
  <c r="BC61" i="38"/>
  <c r="BG61" i="38" s="1"/>
  <c r="AV61" i="38"/>
  <c r="AG61" i="38"/>
  <c r="Z61" i="38"/>
  <c r="Q61" i="38"/>
  <c r="J61" i="38"/>
  <c r="I61" i="38"/>
  <c r="D61" i="38"/>
  <c r="C61" i="38"/>
  <c r="K61" i="38" s="1" a="1"/>
  <c r="K61" i="38" s="1"/>
  <c r="BZ60" i="38"/>
  <c r="BK60" i="38"/>
  <c r="AV60" i="38"/>
  <c r="AG60" i="38"/>
  <c r="Z60" i="38"/>
  <c r="Q60" i="38"/>
  <c r="J60" i="38"/>
  <c r="I60" i="38"/>
  <c r="D60" i="38"/>
  <c r="C60" i="38"/>
  <c r="BZ59" i="38"/>
  <c r="BK59" i="38"/>
  <c r="AV59" i="38"/>
  <c r="AN59" i="38"/>
  <c r="AR59" i="38" s="1"/>
  <c r="AG59" i="38"/>
  <c r="Z59" i="38"/>
  <c r="Q59" i="38"/>
  <c r="J59" i="38"/>
  <c r="I59" i="38"/>
  <c r="D59" i="38"/>
  <c r="C59" i="38"/>
  <c r="L59" i="38" s="1" a="1"/>
  <c r="L59" i="38" s="1"/>
  <c r="BZ58" i="38"/>
  <c r="BK58" i="38"/>
  <c r="AV58" i="38"/>
  <c r="AG58" i="38"/>
  <c r="Z58" i="38"/>
  <c r="Q58" i="38"/>
  <c r="L58" i="38" a="1"/>
  <c r="L58" i="38" s="1"/>
  <c r="J58" i="38"/>
  <c r="I58" i="38"/>
  <c r="D58" i="38"/>
  <c r="C58" i="38"/>
  <c r="K58" i="38" s="1" a="1"/>
  <c r="K58" i="38" s="1"/>
  <c r="BZ57" i="38"/>
  <c r="BK57" i="38"/>
  <c r="BD57" i="38"/>
  <c r="BH57" i="38" s="1"/>
  <c r="AV57" i="38"/>
  <c r="AG57" i="38"/>
  <c r="Z57" i="38"/>
  <c r="Q57" i="38"/>
  <c r="J57" i="38"/>
  <c r="I57" i="38"/>
  <c r="D57" i="38"/>
  <c r="C57" i="38"/>
  <c r="K57" i="38" s="1" a="1"/>
  <c r="K57" i="38" s="1"/>
  <c r="BZ56" i="38"/>
  <c r="BK56" i="38"/>
  <c r="AV56" i="38"/>
  <c r="AG56" i="38"/>
  <c r="Z56" i="38"/>
  <c r="Q56" i="38"/>
  <c r="J56" i="38"/>
  <c r="I56" i="38"/>
  <c r="D56" i="38"/>
  <c r="C56" i="38"/>
  <c r="BZ55" i="38"/>
  <c r="BK55" i="38"/>
  <c r="AV55" i="38"/>
  <c r="AG55" i="38"/>
  <c r="Z55" i="38"/>
  <c r="Q55" i="38"/>
  <c r="J55" i="38"/>
  <c r="I55" i="38"/>
  <c r="D55" i="38"/>
  <c r="C55" i="38"/>
  <c r="BZ54" i="38"/>
  <c r="BK54" i="38"/>
  <c r="AV54" i="38"/>
  <c r="AO54" i="38"/>
  <c r="AS54" i="38" s="1"/>
  <c r="AG54" i="38"/>
  <c r="Z54" i="38"/>
  <c r="Q54" i="38"/>
  <c r="K54" i="38" a="1"/>
  <c r="K54" i="38" s="1"/>
  <c r="J54" i="38"/>
  <c r="I54" i="38"/>
  <c r="D54" i="38"/>
  <c r="C54" i="38"/>
  <c r="L54" i="38" s="1" a="1"/>
  <c r="L54" i="38" s="1"/>
  <c r="BZ53" i="38"/>
  <c r="BK53" i="38"/>
  <c r="BD53" i="38"/>
  <c r="BH53" i="38" s="1"/>
  <c r="AV53" i="38"/>
  <c r="AG53" i="38"/>
  <c r="Z53" i="38"/>
  <c r="Q53" i="38"/>
  <c r="J53" i="38"/>
  <c r="I53" i="38"/>
  <c r="D53" i="38"/>
  <c r="C53" i="38"/>
  <c r="K53" i="38" s="1" a="1"/>
  <c r="K53" i="38" s="1"/>
  <c r="BZ52" i="38"/>
  <c r="BK52" i="38"/>
  <c r="AV52" i="38"/>
  <c r="AG52" i="38"/>
  <c r="Z52" i="38"/>
  <c r="Q52" i="38"/>
  <c r="J52" i="38"/>
  <c r="I52" i="38"/>
  <c r="D52" i="38"/>
  <c r="C52" i="38"/>
  <c r="BZ51" i="38"/>
  <c r="BK51" i="38"/>
  <c r="AV51" i="38"/>
  <c r="AG51" i="38"/>
  <c r="Z51" i="38"/>
  <c r="Q51" i="38"/>
  <c r="K51" i="38" a="1"/>
  <c r="K51" i="38" s="1"/>
  <c r="J51" i="38"/>
  <c r="I51" i="38"/>
  <c r="D51" i="38"/>
  <c r="C51" i="38"/>
  <c r="L51" i="38" s="1" a="1"/>
  <c r="L51" i="38" s="1"/>
  <c r="BZ50" i="38"/>
  <c r="BK50" i="38"/>
  <c r="AV50" i="38"/>
  <c r="AO50" i="38"/>
  <c r="AS50" i="38" s="1"/>
  <c r="AG50" i="38"/>
  <c r="Z50" i="38"/>
  <c r="Q50" i="38"/>
  <c r="K50" i="38" a="1"/>
  <c r="K50" i="38" s="1"/>
  <c r="J50" i="38"/>
  <c r="I50" i="38"/>
  <c r="D50" i="38"/>
  <c r="C50" i="38"/>
  <c r="L50" i="38" s="1" a="1"/>
  <c r="L50" i="38" s="1"/>
  <c r="BZ49" i="38"/>
  <c r="BK49" i="38"/>
  <c r="BC49" i="38"/>
  <c r="BG49" i="38" s="1"/>
  <c r="AV49" i="38"/>
  <c r="AG49" i="38"/>
  <c r="Z49" i="38"/>
  <c r="Q49" i="38"/>
  <c r="J49" i="38"/>
  <c r="I49" i="38"/>
  <c r="D49" i="38"/>
  <c r="C49" i="38"/>
  <c r="L49" i="38" s="1" a="1"/>
  <c r="L49" i="38" s="1"/>
  <c r="BZ48" i="38"/>
  <c r="BK48" i="38"/>
  <c r="BD48" i="38"/>
  <c r="BH48" i="38" s="1"/>
  <c r="AV48" i="38"/>
  <c r="AG48" i="38"/>
  <c r="Z48" i="38"/>
  <c r="Q48" i="38"/>
  <c r="J48" i="38"/>
  <c r="I48" i="38"/>
  <c r="D48" i="38"/>
  <c r="C48" i="38"/>
  <c r="K48" i="38" s="1" a="1"/>
  <c r="K48" i="38" s="1"/>
  <c r="BZ47" i="38"/>
  <c r="BK47" i="38"/>
  <c r="AV47" i="38"/>
  <c r="AG47" i="38"/>
  <c r="Z47" i="38"/>
  <c r="Q47" i="38"/>
  <c r="J47" i="38"/>
  <c r="I47" i="38"/>
  <c r="D47" i="38"/>
  <c r="C47" i="38"/>
  <c r="BZ46" i="38"/>
  <c r="BK46" i="38"/>
  <c r="AV46" i="38"/>
  <c r="AO46" i="38"/>
  <c r="AS46" i="38" s="1"/>
  <c r="AG46" i="38"/>
  <c r="Z46" i="38"/>
  <c r="Q46" i="38"/>
  <c r="L46" i="38" a="1"/>
  <c r="L46" i="38" s="1"/>
  <c r="K46" i="38" a="1"/>
  <c r="K46" i="38" s="1"/>
  <c r="J46" i="38"/>
  <c r="I46" i="38"/>
  <c r="D46" i="38"/>
  <c r="C46" i="38"/>
  <c r="BZ45" i="38"/>
  <c r="BK45" i="38"/>
  <c r="BD45" i="38"/>
  <c r="BH45" i="38" s="1"/>
  <c r="AV45" i="38"/>
  <c r="AG45" i="38"/>
  <c r="Z45" i="38"/>
  <c r="Q45" i="38"/>
  <c r="K45" i="38" a="1"/>
  <c r="K45" i="38" s="1"/>
  <c r="J45" i="38"/>
  <c r="I45" i="38"/>
  <c r="D45" i="38"/>
  <c r="C45" i="38"/>
  <c r="L45" i="38" s="1" a="1"/>
  <c r="L45" i="38" s="1"/>
  <c r="BZ44" i="38"/>
  <c r="BK44" i="38"/>
  <c r="AV44" i="38"/>
  <c r="AG44" i="38"/>
  <c r="Z44" i="38"/>
  <c r="Q44" i="38"/>
  <c r="L44" i="38" a="1"/>
  <c r="L44" i="38" s="1"/>
  <c r="J44" i="38"/>
  <c r="I44" i="38"/>
  <c r="D44" i="38"/>
  <c r="C44" i="38"/>
  <c r="K44" i="38" s="1" a="1"/>
  <c r="K44" i="38" s="1"/>
  <c r="BZ43" i="38"/>
  <c r="BK43" i="38"/>
  <c r="AV43" i="38"/>
  <c r="AN43" i="38"/>
  <c r="AR43" i="38" s="1"/>
  <c r="AG43" i="38"/>
  <c r="Z43" i="38"/>
  <c r="Q43" i="38"/>
  <c r="J43" i="38"/>
  <c r="I43" i="38"/>
  <c r="D43" i="38"/>
  <c r="C43" i="38"/>
  <c r="K43" i="38" s="1" a="1"/>
  <c r="K43" i="38" s="1"/>
  <c r="BZ42" i="38"/>
  <c r="BK42" i="38"/>
  <c r="AV42" i="38"/>
  <c r="AN42" i="38"/>
  <c r="AR42" i="38" s="1"/>
  <c r="AG42" i="38"/>
  <c r="Z42" i="38"/>
  <c r="Q42" i="38"/>
  <c r="L42" i="38" a="1"/>
  <c r="L42" i="38" s="1"/>
  <c r="K42" i="38" a="1"/>
  <c r="K42" i="38" s="1"/>
  <c r="J42" i="38"/>
  <c r="I42" i="38"/>
  <c r="D42" i="38"/>
  <c r="C42" i="38"/>
  <c r="BZ41" i="38"/>
  <c r="BK41" i="38"/>
  <c r="BD41" i="38"/>
  <c r="BH41" i="38" s="1"/>
  <c r="AV41" i="38"/>
  <c r="AG41" i="38"/>
  <c r="Z41" i="38"/>
  <c r="Q41" i="38"/>
  <c r="K41" i="38" a="1"/>
  <c r="K41" i="38" s="1"/>
  <c r="J41" i="38"/>
  <c r="I41" i="38"/>
  <c r="D41" i="38"/>
  <c r="C41" i="38"/>
  <c r="L41" i="38" s="1" a="1"/>
  <c r="L41" i="38" s="1"/>
  <c r="BZ40" i="38"/>
  <c r="BK40" i="38"/>
  <c r="AV40" i="38"/>
  <c r="AG40" i="38"/>
  <c r="Z40" i="38"/>
  <c r="Q40" i="38"/>
  <c r="J40" i="38"/>
  <c r="I40" i="38"/>
  <c r="D40" i="38"/>
  <c r="C40" i="38"/>
  <c r="K40" i="38" s="1" a="1"/>
  <c r="K40" i="38" s="1"/>
  <c r="BZ39" i="38"/>
  <c r="BK39" i="38"/>
  <c r="AV39" i="38"/>
  <c r="AN39" i="38"/>
  <c r="AR39" i="38" s="1"/>
  <c r="AG39" i="38"/>
  <c r="Z39" i="38"/>
  <c r="Q39" i="38"/>
  <c r="L39" i="38" a="1"/>
  <c r="L39" i="38" s="1"/>
  <c r="K39" i="38" a="1"/>
  <c r="K39" i="38" s="1"/>
  <c r="J39" i="38"/>
  <c r="I39" i="38"/>
  <c r="D39" i="38"/>
  <c r="C39" i="38"/>
  <c r="BZ38" i="38"/>
  <c r="BK38" i="38"/>
  <c r="AV38" i="38"/>
  <c r="AG38" i="38"/>
  <c r="Z38" i="38"/>
  <c r="Q38" i="38"/>
  <c r="L38" i="38" a="1"/>
  <c r="L38" i="38" s="1"/>
  <c r="J38" i="38"/>
  <c r="I38" i="38"/>
  <c r="D38" i="38"/>
  <c r="C38" i="38"/>
  <c r="K38" i="38" s="1" a="1"/>
  <c r="K38" i="38" s="1"/>
  <c r="BZ37" i="38"/>
  <c r="BK37" i="38"/>
  <c r="AV37" i="38"/>
  <c r="AO37" i="38"/>
  <c r="AS37" i="38" s="1"/>
  <c r="AG37" i="38"/>
  <c r="Z37" i="38"/>
  <c r="Q37" i="38"/>
  <c r="K37" i="38" a="1"/>
  <c r="K37" i="38" s="1"/>
  <c r="J37" i="38"/>
  <c r="I37" i="38"/>
  <c r="D37" i="38"/>
  <c r="C37" i="38"/>
  <c r="BZ36" i="38"/>
  <c r="BK36" i="38"/>
  <c r="BD36" i="38"/>
  <c r="BH36" i="38" s="1"/>
  <c r="AV36" i="38"/>
  <c r="AG36" i="38"/>
  <c r="Z36" i="38"/>
  <c r="Q36" i="38"/>
  <c r="J36" i="38"/>
  <c r="I36" i="38"/>
  <c r="D36" i="38"/>
  <c r="C36" i="38"/>
  <c r="K36" i="38" s="1" a="1"/>
  <c r="K36" i="38" s="1"/>
  <c r="BZ35" i="38"/>
  <c r="BK35" i="38"/>
  <c r="AV35" i="38"/>
  <c r="AG35" i="38"/>
  <c r="Z35" i="38"/>
  <c r="Q35" i="38"/>
  <c r="J35" i="38"/>
  <c r="I35" i="38"/>
  <c r="D35" i="38"/>
  <c r="C35" i="38"/>
  <c r="BZ34" i="38"/>
  <c r="BK34" i="38"/>
  <c r="AV34" i="38"/>
  <c r="AG34" i="38"/>
  <c r="Z34" i="38"/>
  <c r="Q34" i="38"/>
  <c r="J34" i="38"/>
  <c r="I34" i="38"/>
  <c r="D34" i="38"/>
  <c r="C34" i="38"/>
  <c r="BZ33" i="38"/>
  <c r="BK33" i="38"/>
  <c r="AV33" i="38"/>
  <c r="AN33" i="38"/>
  <c r="AR33" i="38" s="1"/>
  <c r="AG33" i="38"/>
  <c r="Z33" i="38"/>
  <c r="Q33" i="38"/>
  <c r="L33" i="38" a="1"/>
  <c r="L33" i="38" s="1"/>
  <c r="K33" i="38" a="1"/>
  <c r="K33" i="38" s="1"/>
  <c r="J33" i="38"/>
  <c r="I33" i="38"/>
  <c r="D33" i="38"/>
  <c r="C33" i="38"/>
  <c r="BZ32" i="38"/>
  <c r="BK32" i="38"/>
  <c r="AV32" i="38"/>
  <c r="AG32" i="38"/>
  <c r="Z32" i="38"/>
  <c r="Q32" i="38"/>
  <c r="J32" i="38"/>
  <c r="I32" i="38"/>
  <c r="D32" i="38"/>
  <c r="C32" i="38"/>
  <c r="K32" i="38" s="1" a="1"/>
  <c r="K32" i="38" s="1"/>
  <c r="BZ31" i="38"/>
  <c r="BK31" i="38"/>
  <c r="AV31" i="38"/>
  <c r="AG31" i="38"/>
  <c r="Z31" i="38"/>
  <c r="Q31" i="38"/>
  <c r="J31" i="38"/>
  <c r="I31" i="38"/>
  <c r="D31" i="38"/>
  <c r="C31" i="38"/>
  <c r="BZ30" i="38"/>
  <c r="BK30" i="38"/>
  <c r="AV30" i="38"/>
  <c r="AN30" i="38"/>
  <c r="AR30" i="38" s="1"/>
  <c r="AG30" i="38"/>
  <c r="Z30" i="38"/>
  <c r="Q30" i="38"/>
  <c r="L30" i="38" a="1"/>
  <c r="L30" i="38" s="1"/>
  <c r="K30" i="38" a="1"/>
  <c r="K30" i="38" s="1"/>
  <c r="J30" i="38"/>
  <c r="I30" i="38"/>
  <c r="D30" i="38"/>
  <c r="C30" i="38"/>
  <c r="BZ29" i="38"/>
  <c r="BK29" i="38"/>
  <c r="BD29" i="38"/>
  <c r="BH29" i="38" s="1"/>
  <c r="AV29" i="38"/>
  <c r="AG29" i="38"/>
  <c r="Z29" i="38"/>
  <c r="Q29" i="38"/>
  <c r="J29" i="38"/>
  <c r="I29" i="38"/>
  <c r="D29" i="38"/>
  <c r="C29" i="38"/>
  <c r="K29" i="38" s="1" a="1"/>
  <c r="K29" i="38" s="1"/>
  <c r="BZ28" i="38"/>
  <c r="BK28" i="38"/>
  <c r="AV28" i="38"/>
  <c r="AG28" i="38"/>
  <c r="Z28" i="38"/>
  <c r="Q28" i="38"/>
  <c r="J28" i="38"/>
  <c r="I28" i="38"/>
  <c r="D28" i="38"/>
  <c r="C28" i="38"/>
  <c r="L28" i="38" s="1" a="1"/>
  <c r="L28" i="38" s="1"/>
  <c r="BZ27" i="38"/>
  <c r="BK27" i="38"/>
  <c r="AV27" i="38"/>
  <c r="AG27" i="38"/>
  <c r="Z27" i="38"/>
  <c r="Q27" i="38"/>
  <c r="J27" i="38"/>
  <c r="I27" i="38"/>
  <c r="D27" i="38"/>
  <c r="C27" i="38"/>
  <c r="BZ26" i="38"/>
  <c r="BK26" i="38"/>
  <c r="AV26" i="38"/>
  <c r="AG26" i="38"/>
  <c r="Z26" i="38"/>
  <c r="Q26" i="38"/>
  <c r="J26" i="38"/>
  <c r="I26" i="38"/>
  <c r="D26" i="38"/>
  <c r="C26" i="38"/>
  <c r="L26" i="38" s="1" a="1"/>
  <c r="L26" i="38" s="1"/>
  <c r="BZ25" i="38"/>
  <c r="BK25" i="38"/>
  <c r="AV25" i="38"/>
  <c r="AG25" i="38"/>
  <c r="Z25" i="38"/>
  <c r="Q25" i="38"/>
  <c r="K25" i="38" a="1"/>
  <c r="K25" i="38" s="1"/>
  <c r="J25" i="38"/>
  <c r="I25" i="38"/>
  <c r="D25" i="38"/>
  <c r="C25" i="38"/>
  <c r="BZ24" i="38"/>
  <c r="BK24" i="38"/>
  <c r="BD24" i="38"/>
  <c r="BH24" i="38" s="1"/>
  <c r="AV24" i="38"/>
  <c r="AG24" i="38"/>
  <c r="Z24" i="38"/>
  <c r="Q24" i="38"/>
  <c r="L24" i="38" a="1"/>
  <c r="L24" i="38" s="1"/>
  <c r="J24" i="38"/>
  <c r="I24" i="38"/>
  <c r="D24" i="38"/>
  <c r="C24" i="38"/>
  <c r="BZ23" i="38"/>
  <c r="BK23" i="38"/>
  <c r="AV23" i="38"/>
  <c r="AG23" i="38"/>
  <c r="Z23" i="38"/>
  <c r="Q23" i="38"/>
  <c r="J23" i="38"/>
  <c r="I23" i="38"/>
  <c r="D23" i="38"/>
  <c r="C23" i="38"/>
  <c r="BZ22" i="38"/>
  <c r="BK22" i="38"/>
  <c r="AV22" i="38"/>
  <c r="AN22" i="38"/>
  <c r="AR22" i="38" s="1"/>
  <c r="AG22" i="38"/>
  <c r="Z22" i="38"/>
  <c r="Q22" i="38"/>
  <c r="L22" i="38" a="1"/>
  <c r="L22" i="38" s="1"/>
  <c r="K22" i="38" a="1"/>
  <c r="K22" i="38" s="1"/>
  <c r="J22" i="38"/>
  <c r="I22" i="38"/>
  <c r="D22" i="38"/>
  <c r="C22" i="38"/>
  <c r="BZ21" i="38"/>
  <c r="BK21" i="38"/>
  <c r="AV21" i="38"/>
  <c r="AG21" i="38"/>
  <c r="Z21" i="38"/>
  <c r="Q21" i="38"/>
  <c r="J21" i="38"/>
  <c r="I21" i="38"/>
  <c r="D21" i="38"/>
  <c r="C21" i="38"/>
  <c r="BZ20" i="38"/>
  <c r="BK20" i="38"/>
  <c r="AV20" i="38"/>
  <c r="AG20" i="38"/>
  <c r="Z20" i="38"/>
  <c r="Q20" i="38"/>
  <c r="J20" i="38"/>
  <c r="I20" i="38"/>
  <c r="D20" i="38"/>
  <c r="C20" i="38"/>
  <c r="L20" i="38" s="1" a="1"/>
  <c r="L20" i="38" s="1"/>
  <c r="BZ19" i="38"/>
  <c r="BK19" i="38"/>
  <c r="AV19" i="38"/>
  <c r="AG19" i="38"/>
  <c r="Z19" i="38"/>
  <c r="Q19" i="38"/>
  <c r="J19" i="38"/>
  <c r="I19" i="38"/>
  <c r="D19" i="38"/>
  <c r="C19" i="38"/>
  <c r="K19" i="38" s="1" a="1"/>
  <c r="K19" i="38" s="1"/>
  <c r="BZ18" i="38"/>
  <c r="BS18" i="38"/>
  <c r="BW18" i="38" s="1"/>
  <c r="BK18" i="38"/>
  <c r="AV18" i="38"/>
  <c r="AN18" i="38"/>
  <c r="AR18" i="38" s="1"/>
  <c r="AG18" i="38"/>
  <c r="Z18" i="38"/>
  <c r="Q18" i="38"/>
  <c r="J18" i="38"/>
  <c r="I18" i="38"/>
  <c r="D18" i="38"/>
  <c r="C18" i="38"/>
  <c r="K18" i="38" s="1" a="1"/>
  <c r="K18" i="38" s="1"/>
  <c r="BZ17" i="38"/>
  <c r="BK17" i="38"/>
  <c r="AV17" i="38"/>
  <c r="AG17" i="38"/>
  <c r="Z17" i="38"/>
  <c r="Q17" i="38"/>
  <c r="J17" i="38"/>
  <c r="I17" i="38"/>
  <c r="D17" i="38"/>
  <c r="C17" i="38"/>
  <c r="BZ16" i="38"/>
  <c r="BK16" i="38"/>
  <c r="AV16" i="38"/>
  <c r="AG16" i="38"/>
  <c r="Z16" i="38"/>
  <c r="Q16" i="38"/>
  <c r="L16" i="38" a="1"/>
  <c r="L16" i="38" s="1"/>
  <c r="J16" i="38"/>
  <c r="I16" i="38"/>
  <c r="D16" i="38"/>
  <c r="C16" i="38"/>
  <c r="K16" i="38" s="1" a="1"/>
  <c r="K16" i="38" s="1"/>
  <c r="BZ15" i="38"/>
  <c r="BW15" i="38"/>
  <c r="BV15" i="38"/>
  <c r="BK15" i="38"/>
  <c r="BH15" i="38"/>
  <c r="BG15" i="38"/>
  <c r="AV15" i="38"/>
  <c r="AS15" i="38"/>
  <c r="AR15" i="38"/>
  <c r="AG15" i="38"/>
  <c r="Z15" i="38"/>
  <c r="Q15" i="38"/>
  <c r="J15" i="38"/>
  <c r="I15" i="38"/>
  <c r="D15" i="38"/>
  <c r="C15" i="38"/>
  <c r="BU14" i="38"/>
  <c r="BT14" i="38"/>
  <c r="BQ14" i="38"/>
  <c r="BP14" i="38"/>
  <c r="BO14" i="38"/>
  <c r="BN14" i="38"/>
  <c r="BM14" i="38"/>
  <c r="BF14" i="38"/>
  <c r="BE14" i="38"/>
  <c r="BB14" i="38"/>
  <c r="BA14" i="38"/>
  <c r="AZ14" i="38"/>
  <c r="AY14" i="38"/>
  <c r="AW14" i="38"/>
  <c r="AQ14" i="38"/>
  <c r="AP14" i="38"/>
  <c r="AM14" i="38"/>
  <c r="AL14" i="38"/>
  <c r="AK14" i="38"/>
  <c r="AJ14" i="38"/>
  <c r="AH14" i="38"/>
  <c r="S14" i="38"/>
  <c r="R14" i="38"/>
  <c r="H14" i="38"/>
  <c r="G14" i="38"/>
  <c r="F14" i="38"/>
  <c r="U14" i="38" s="1"/>
  <c r="E14" i="38"/>
  <c r="P3" i="38"/>
  <c r="BR34" i="38" s="1"/>
  <c r="BV34" i="38" s="1"/>
  <c r="B2" i="38" a="1"/>
  <c r="B2" i="38" s="1"/>
  <c r="A1" i="37"/>
  <c r="N3" i="37" s="1"/>
  <c r="BZ125" i="37"/>
  <c r="BW125" i="37"/>
  <c r="BV125" i="37"/>
  <c r="BS125" i="37"/>
  <c r="BR125" i="37"/>
  <c r="BK125" i="37"/>
  <c r="BH125" i="37"/>
  <c r="BG125" i="37"/>
  <c r="BD125" i="37"/>
  <c r="BC125" i="37"/>
  <c r="AV125" i="37"/>
  <c r="AS125" i="37"/>
  <c r="AR125" i="37"/>
  <c r="AO125" i="37"/>
  <c r="AN125" i="37"/>
  <c r="AG125" i="37"/>
  <c r="Z125" i="37"/>
  <c r="Y125" i="37"/>
  <c r="X125" i="37"/>
  <c r="Q125" i="37"/>
  <c r="L125" i="37" a="1"/>
  <c r="L125" i="37" s="1"/>
  <c r="J125" i="37"/>
  <c r="I125" i="37"/>
  <c r="D125" i="37"/>
  <c r="C125" i="37"/>
  <c r="K125" i="37" s="1" a="1"/>
  <c r="K125" i="37" s="1"/>
  <c r="BZ124" i="37"/>
  <c r="BW124" i="37"/>
  <c r="BV124" i="37"/>
  <c r="BS124" i="37"/>
  <c r="BR124" i="37"/>
  <c r="BK124" i="37"/>
  <c r="BH124" i="37"/>
  <c r="BG124" i="37"/>
  <c r="BD124" i="37"/>
  <c r="BC124" i="37"/>
  <c r="AV124" i="37"/>
  <c r="AS124" i="37"/>
  <c r="AR124" i="37"/>
  <c r="AO124" i="37"/>
  <c r="AN124" i="37"/>
  <c r="AG124" i="37"/>
  <c r="Z124" i="37"/>
  <c r="Y124" i="37"/>
  <c r="X124" i="37"/>
  <c r="Q124" i="37"/>
  <c r="J124" i="37"/>
  <c r="I124" i="37"/>
  <c r="D124" i="37"/>
  <c r="C124" i="37"/>
  <c r="L124" i="37" s="1" a="1"/>
  <c r="L124" i="37" s="1"/>
  <c r="BZ123" i="37"/>
  <c r="BW123" i="37"/>
  <c r="BS123" i="37"/>
  <c r="BK123" i="37"/>
  <c r="BG123" i="37"/>
  <c r="BC123" i="37"/>
  <c r="AV123" i="37"/>
  <c r="AS123" i="37"/>
  <c r="AR123" i="37"/>
  <c r="AN123" i="37"/>
  <c r="AG123" i="37"/>
  <c r="Z123" i="37"/>
  <c r="Y123" i="37"/>
  <c r="X123" i="37"/>
  <c r="Q123" i="37"/>
  <c r="J123" i="37"/>
  <c r="I123" i="37"/>
  <c r="D123" i="37"/>
  <c r="C123" i="37"/>
  <c r="L123" i="37" s="1" a="1"/>
  <c r="L123" i="37" s="1"/>
  <c r="BZ122" i="37"/>
  <c r="BW122" i="37"/>
  <c r="BV122" i="37"/>
  <c r="BS122" i="37"/>
  <c r="BR122" i="37"/>
  <c r="BK122" i="37"/>
  <c r="BH122" i="37"/>
  <c r="BG122" i="37"/>
  <c r="BD122" i="37"/>
  <c r="BC122" i="37"/>
  <c r="AV122" i="37"/>
  <c r="AS122" i="37"/>
  <c r="AR122" i="37"/>
  <c r="AO122" i="37"/>
  <c r="AN122" i="37"/>
  <c r="AG122" i="37"/>
  <c r="Z122" i="37"/>
  <c r="Q122" i="37"/>
  <c r="J122" i="37"/>
  <c r="I122" i="37"/>
  <c r="D122" i="37"/>
  <c r="C122" i="37"/>
  <c r="BZ121" i="37"/>
  <c r="BW121" i="37"/>
  <c r="BV121" i="37"/>
  <c r="BS121" i="37"/>
  <c r="BR121" i="37"/>
  <c r="BK121" i="37"/>
  <c r="BH121" i="37"/>
  <c r="BG121" i="37"/>
  <c r="BD121" i="37"/>
  <c r="BC121" i="37"/>
  <c r="AV121" i="37"/>
  <c r="AS121" i="37"/>
  <c r="AR121" i="37"/>
  <c r="AO121" i="37"/>
  <c r="AN121" i="37"/>
  <c r="AG121" i="37"/>
  <c r="Z121" i="37"/>
  <c r="Y121" i="37"/>
  <c r="X121" i="37"/>
  <c r="Q121" i="37"/>
  <c r="L121" i="37" a="1"/>
  <c r="L121" i="37" s="1"/>
  <c r="J121" i="37"/>
  <c r="I121" i="37"/>
  <c r="D121" i="37"/>
  <c r="C121" i="37"/>
  <c r="K121" i="37" s="1" a="1"/>
  <c r="K121" i="37" s="1"/>
  <c r="BZ120" i="37"/>
  <c r="BW120" i="37"/>
  <c r="BV120" i="37"/>
  <c r="BS120" i="37"/>
  <c r="BR120" i="37"/>
  <c r="BK120" i="37"/>
  <c r="BH120" i="37"/>
  <c r="BG120" i="37"/>
  <c r="BD120" i="37"/>
  <c r="BC120" i="37"/>
  <c r="AV120" i="37"/>
  <c r="AS120" i="37"/>
  <c r="AR120" i="37"/>
  <c r="AO120" i="37"/>
  <c r="AN120" i="37"/>
  <c r="AG120" i="37"/>
  <c r="Z120" i="37"/>
  <c r="Y120" i="37"/>
  <c r="X120" i="37"/>
  <c r="Q120" i="37"/>
  <c r="L120" i="37" a="1"/>
  <c r="L120" i="37" s="1"/>
  <c r="J120" i="37"/>
  <c r="I120" i="37"/>
  <c r="D120" i="37"/>
  <c r="C120" i="37"/>
  <c r="K120" i="37" s="1" a="1"/>
  <c r="K120" i="37" s="1"/>
  <c r="BZ119" i="37"/>
  <c r="BW119" i="37"/>
  <c r="BS119" i="37"/>
  <c r="BK119" i="37"/>
  <c r="BH119" i="37"/>
  <c r="BG119" i="37"/>
  <c r="BC119" i="37"/>
  <c r="AV119" i="37"/>
  <c r="AS119" i="37"/>
  <c r="AR119" i="37"/>
  <c r="AN119" i="37"/>
  <c r="AG119" i="37"/>
  <c r="Z119" i="37"/>
  <c r="Y119" i="37"/>
  <c r="X119" i="37"/>
  <c r="Q119" i="37"/>
  <c r="J119" i="37"/>
  <c r="I119" i="37"/>
  <c r="D119" i="37"/>
  <c r="C119" i="37"/>
  <c r="BZ118" i="37"/>
  <c r="BW118" i="37"/>
  <c r="BV118" i="37"/>
  <c r="BS118" i="37"/>
  <c r="BR118" i="37"/>
  <c r="BK118" i="37"/>
  <c r="BH118" i="37"/>
  <c r="BG118" i="37"/>
  <c r="BD118" i="37"/>
  <c r="BC118" i="37"/>
  <c r="AV118" i="37"/>
  <c r="AS118" i="37"/>
  <c r="AR118" i="37"/>
  <c r="AO118" i="37"/>
  <c r="AN118" i="37"/>
  <c r="AG118" i="37"/>
  <c r="Z118" i="37"/>
  <c r="Q118" i="37"/>
  <c r="J118" i="37"/>
  <c r="I118" i="37"/>
  <c r="D118" i="37"/>
  <c r="C118" i="37"/>
  <c r="BZ117" i="37"/>
  <c r="BW117" i="37"/>
  <c r="BV117" i="37"/>
  <c r="BS117" i="37"/>
  <c r="BR117" i="37"/>
  <c r="BK117" i="37"/>
  <c r="BH117" i="37"/>
  <c r="BG117" i="37"/>
  <c r="BD117" i="37"/>
  <c r="BC117" i="37"/>
  <c r="AV117" i="37"/>
  <c r="AS117" i="37"/>
  <c r="AR117" i="37"/>
  <c r="AO117" i="37"/>
  <c r="AN117" i="37"/>
  <c r="AG117" i="37"/>
  <c r="Z117" i="37"/>
  <c r="Y117" i="37"/>
  <c r="X117" i="37"/>
  <c r="Q117" i="37"/>
  <c r="J117" i="37"/>
  <c r="I117" i="37"/>
  <c r="D117" i="37"/>
  <c r="C117" i="37"/>
  <c r="K117" i="37" s="1" a="1"/>
  <c r="K117" i="37" s="1"/>
  <c r="BZ116" i="37"/>
  <c r="BW116" i="37"/>
  <c r="BV116" i="37"/>
  <c r="BS116" i="37"/>
  <c r="BR116" i="37"/>
  <c r="BK116" i="37"/>
  <c r="BH116" i="37"/>
  <c r="BG116" i="37"/>
  <c r="BD116" i="37"/>
  <c r="BC116" i="37"/>
  <c r="AV116" i="37"/>
  <c r="AS116" i="37"/>
  <c r="AR116" i="37"/>
  <c r="AO116" i="37"/>
  <c r="AN116" i="37"/>
  <c r="AG116" i="37"/>
  <c r="Z116" i="37"/>
  <c r="Q116" i="37"/>
  <c r="K116" i="37" a="1"/>
  <c r="K116" i="37" s="1"/>
  <c r="J116" i="37"/>
  <c r="I116" i="37"/>
  <c r="D116" i="37"/>
  <c r="C116" i="37"/>
  <c r="BZ115" i="37"/>
  <c r="BK115" i="37"/>
  <c r="AV115" i="37"/>
  <c r="AG115" i="37"/>
  <c r="Z115" i="37"/>
  <c r="Q115" i="37"/>
  <c r="K115" i="37" a="1"/>
  <c r="K115" i="37" s="1"/>
  <c r="J115" i="37"/>
  <c r="I115" i="37"/>
  <c r="D115" i="37"/>
  <c r="C115" i="37"/>
  <c r="BZ114" i="37"/>
  <c r="BK114" i="37"/>
  <c r="AV114" i="37"/>
  <c r="AG114" i="37"/>
  <c r="Z114" i="37"/>
  <c r="Q114" i="37"/>
  <c r="J114" i="37"/>
  <c r="I114" i="37"/>
  <c r="D114" i="37"/>
  <c r="C114" i="37"/>
  <c r="L114" i="37" s="1" a="1"/>
  <c r="L114" i="37" s="1"/>
  <c r="BZ113" i="37"/>
  <c r="BK113" i="37"/>
  <c r="AV113" i="37"/>
  <c r="AG113" i="37"/>
  <c r="Z113" i="37"/>
  <c r="Q113" i="37"/>
  <c r="J113" i="37"/>
  <c r="I113" i="37"/>
  <c r="D113" i="37"/>
  <c r="C113" i="37"/>
  <c r="BZ112" i="37"/>
  <c r="BK112" i="37"/>
  <c r="AV112" i="37"/>
  <c r="AG112" i="37"/>
  <c r="Z112" i="37"/>
  <c r="Q112" i="37"/>
  <c r="K112" i="37" a="1"/>
  <c r="K112" i="37" s="1"/>
  <c r="J112" i="37"/>
  <c r="I112" i="37"/>
  <c r="D112" i="37"/>
  <c r="C112" i="37"/>
  <c r="L112" i="37" s="1" a="1"/>
  <c r="L112" i="37" s="1"/>
  <c r="BZ111" i="37"/>
  <c r="BK111" i="37"/>
  <c r="AV111" i="37"/>
  <c r="AG111" i="37"/>
  <c r="Z111" i="37"/>
  <c r="Q111" i="37"/>
  <c r="J111" i="37"/>
  <c r="I111" i="37"/>
  <c r="D111" i="37"/>
  <c r="C111" i="37"/>
  <c r="L111" i="37" s="1" a="1"/>
  <c r="L111" i="37" s="1"/>
  <c r="BZ110" i="37"/>
  <c r="BK110" i="37"/>
  <c r="AV110" i="37"/>
  <c r="AG110" i="37"/>
  <c r="Z110" i="37"/>
  <c r="Q110" i="37"/>
  <c r="J110" i="37"/>
  <c r="I110" i="37"/>
  <c r="D110" i="37"/>
  <c r="C110" i="37"/>
  <c r="BZ109" i="37"/>
  <c r="BK109" i="37"/>
  <c r="AV109" i="37"/>
  <c r="AG109" i="37"/>
  <c r="Z109" i="37"/>
  <c r="Q109" i="37"/>
  <c r="J109" i="37"/>
  <c r="I109" i="37"/>
  <c r="D109" i="37"/>
  <c r="C109" i="37"/>
  <c r="BZ108" i="37"/>
  <c r="BK108" i="37"/>
  <c r="AV108" i="37"/>
  <c r="AG108" i="37"/>
  <c r="Z108" i="37"/>
  <c r="Q108" i="37"/>
  <c r="L108" i="37" a="1"/>
  <c r="L108" i="37" s="1"/>
  <c r="J108" i="37"/>
  <c r="I108" i="37"/>
  <c r="D108" i="37"/>
  <c r="C108" i="37"/>
  <c r="BZ107" i="37"/>
  <c r="BK107" i="37"/>
  <c r="AV107" i="37"/>
  <c r="AG107" i="37"/>
  <c r="Z107" i="37"/>
  <c r="Q107" i="37"/>
  <c r="J107" i="37"/>
  <c r="I107" i="37"/>
  <c r="D107" i="37"/>
  <c r="C107" i="37"/>
  <c r="L107" i="37" s="1" a="1"/>
  <c r="L107" i="37" s="1"/>
  <c r="BZ106" i="37"/>
  <c r="BK106" i="37"/>
  <c r="AV106" i="37"/>
  <c r="AG106" i="37"/>
  <c r="Z106" i="37"/>
  <c r="Q106" i="37"/>
  <c r="J106" i="37"/>
  <c r="I106" i="37"/>
  <c r="D106" i="37"/>
  <c r="C106" i="37"/>
  <c r="BZ105" i="37"/>
  <c r="BK105" i="37"/>
  <c r="AV105" i="37"/>
  <c r="AG105" i="37"/>
  <c r="Z105" i="37"/>
  <c r="Q105" i="37"/>
  <c r="J105" i="37"/>
  <c r="I105" i="37"/>
  <c r="D105" i="37"/>
  <c r="C105" i="37"/>
  <c r="K105" i="37" s="1" a="1"/>
  <c r="K105" i="37" s="1"/>
  <c r="BZ104" i="37"/>
  <c r="BK104" i="37"/>
  <c r="AV104" i="37"/>
  <c r="AG104" i="37"/>
  <c r="Z104" i="37"/>
  <c r="Q104" i="37"/>
  <c r="J104" i="37"/>
  <c r="I104" i="37"/>
  <c r="D104" i="37"/>
  <c r="C104" i="37"/>
  <c r="BZ103" i="37"/>
  <c r="BK103" i="37"/>
  <c r="AV103" i="37"/>
  <c r="AG103" i="37"/>
  <c r="Z103" i="37"/>
  <c r="Q103" i="37"/>
  <c r="J103" i="37"/>
  <c r="I103" i="37"/>
  <c r="D103" i="37"/>
  <c r="C103" i="37"/>
  <c r="L103" i="37" s="1" a="1"/>
  <c r="L103" i="37" s="1"/>
  <c r="BZ102" i="37"/>
  <c r="BK102" i="37"/>
  <c r="AV102" i="37"/>
  <c r="AG102" i="37"/>
  <c r="Z102" i="37"/>
  <c r="Q102" i="37"/>
  <c r="J102" i="37"/>
  <c r="I102" i="37"/>
  <c r="D102" i="37"/>
  <c r="C102" i="37"/>
  <c r="BZ101" i="37"/>
  <c r="BK101" i="37"/>
  <c r="AV101" i="37"/>
  <c r="AG101" i="37"/>
  <c r="Z101" i="37"/>
  <c r="Q101" i="37"/>
  <c r="J101" i="37"/>
  <c r="I101" i="37"/>
  <c r="D101" i="37"/>
  <c r="C101" i="37"/>
  <c r="L101" i="37" s="1" a="1"/>
  <c r="L101" i="37" s="1"/>
  <c r="BZ100" i="37"/>
  <c r="BK100" i="37"/>
  <c r="AV100" i="37"/>
  <c r="AG100" i="37"/>
  <c r="Z100" i="37"/>
  <c r="Q100" i="37"/>
  <c r="J100" i="37"/>
  <c r="I100" i="37"/>
  <c r="D100" i="37"/>
  <c r="C100" i="37"/>
  <c r="BZ99" i="37"/>
  <c r="BK99" i="37"/>
  <c r="AV99" i="37"/>
  <c r="AG99" i="37"/>
  <c r="Z99" i="37"/>
  <c r="Q99" i="37"/>
  <c r="J99" i="37"/>
  <c r="I99" i="37"/>
  <c r="D99" i="37"/>
  <c r="C99" i="37"/>
  <c r="BZ98" i="37"/>
  <c r="BK98" i="37"/>
  <c r="AV98" i="37"/>
  <c r="AG98" i="37"/>
  <c r="Z98" i="37"/>
  <c r="Q98" i="37"/>
  <c r="J98" i="37"/>
  <c r="I98" i="37"/>
  <c r="D98" i="37"/>
  <c r="C98" i="37"/>
  <c r="L98" i="37" s="1" a="1"/>
  <c r="L98" i="37" s="1"/>
  <c r="BZ97" i="37"/>
  <c r="BK97" i="37"/>
  <c r="AV97" i="37"/>
  <c r="AG97" i="37"/>
  <c r="Z97" i="37"/>
  <c r="Q97" i="37"/>
  <c r="J97" i="37"/>
  <c r="I97" i="37"/>
  <c r="D97" i="37"/>
  <c r="C97" i="37"/>
  <c r="L97" i="37" s="1" a="1"/>
  <c r="L97" i="37" s="1"/>
  <c r="BZ96" i="37"/>
  <c r="BK96" i="37"/>
  <c r="AV96" i="37"/>
  <c r="AG96" i="37"/>
  <c r="Z96" i="37"/>
  <c r="Q96" i="37"/>
  <c r="J96" i="37"/>
  <c r="I96" i="37"/>
  <c r="D96" i="37"/>
  <c r="C96" i="37"/>
  <c r="BZ95" i="37"/>
  <c r="BK95" i="37"/>
  <c r="AV95" i="37"/>
  <c r="AG95" i="37"/>
  <c r="Z95" i="37"/>
  <c r="Q95" i="37"/>
  <c r="J95" i="37"/>
  <c r="I95" i="37"/>
  <c r="D95" i="37"/>
  <c r="C95" i="37"/>
  <c r="BZ94" i="37"/>
  <c r="BK94" i="37"/>
  <c r="AV94" i="37"/>
  <c r="AG94" i="37"/>
  <c r="Z94" i="37"/>
  <c r="Q94" i="37"/>
  <c r="K94" i="37" a="1"/>
  <c r="K94" i="37" s="1"/>
  <c r="J94" i="37"/>
  <c r="I94" i="37"/>
  <c r="D94" i="37"/>
  <c r="C94" i="37"/>
  <c r="L94" i="37" s="1" a="1"/>
  <c r="L94" i="37" s="1"/>
  <c r="BZ93" i="37"/>
  <c r="BK93" i="37"/>
  <c r="AV93" i="37"/>
  <c r="AG93" i="37"/>
  <c r="Z93" i="37"/>
  <c r="Q93" i="37"/>
  <c r="J93" i="37"/>
  <c r="I93" i="37"/>
  <c r="D93" i="37"/>
  <c r="C93" i="37"/>
  <c r="L93" i="37" s="1" a="1"/>
  <c r="L93" i="37" s="1"/>
  <c r="BZ92" i="37"/>
  <c r="BK92" i="37"/>
  <c r="AV92" i="37"/>
  <c r="AG92" i="37"/>
  <c r="Z92" i="37"/>
  <c r="Q92" i="37"/>
  <c r="J92" i="37"/>
  <c r="I92" i="37"/>
  <c r="D92" i="37"/>
  <c r="C92" i="37"/>
  <c r="BZ91" i="37"/>
  <c r="BK91" i="37"/>
  <c r="AV91" i="37"/>
  <c r="AG91" i="37"/>
  <c r="Z91" i="37"/>
  <c r="Q91" i="37"/>
  <c r="K91" i="37" a="1"/>
  <c r="K91" i="37" s="1"/>
  <c r="J91" i="37"/>
  <c r="I91" i="37"/>
  <c r="D91" i="37"/>
  <c r="C91" i="37"/>
  <c r="L91" i="37" s="1" a="1"/>
  <c r="L91" i="37" s="1"/>
  <c r="BZ90" i="37"/>
  <c r="BK90" i="37"/>
  <c r="AV90" i="37"/>
  <c r="AG90" i="37"/>
  <c r="Z90" i="37"/>
  <c r="Q90" i="37"/>
  <c r="J90" i="37"/>
  <c r="I90" i="37"/>
  <c r="D90" i="37"/>
  <c r="C90" i="37"/>
  <c r="K90" i="37" s="1" a="1"/>
  <c r="K90" i="37" s="1"/>
  <c r="BZ89" i="37"/>
  <c r="BK89" i="37"/>
  <c r="AV89" i="37"/>
  <c r="AG89" i="37"/>
  <c r="Z89" i="37"/>
  <c r="Q89" i="37"/>
  <c r="L89" i="37" a="1"/>
  <c r="L89" i="37" s="1"/>
  <c r="J89" i="37"/>
  <c r="I89" i="37"/>
  <c r="D89" i="37"/>
  <c r="C89" i="37"/>
  <c r="BZ88" i="37"/>
  <c r="BK88" i="37"/>
  <c r="AV88" i="37"/>
  <c r="AG88" i="37"/>
  <c r="Z88" i="37"/>
  <c r="Q88" i="37"/>
  <c r="J88" i="37"/>
  <c r="I88" i="37"/>
  <c r="D88" i="37"/>
  <c r="C88" i="37"/>
  <c r="BZ87" i="37"/>
  <c r="BK87" i="37"/>
  <c r="AV87" i="37"/>
  <c r="AG87" i="37"/>
  <c r="Z87" i="37"/>
  <c r="Q87" i="37"/>
  <c r="J87" i="37"/>
  <c r="I87" i="37"/>
  <c r="D87" i="37"/>
  <c r="C87" i="37"/>
  <c r="L87" i="37" s="1" a="1"/>
  <c r="L87" i="37" s="1"/>
  <c r="BZ86" i="37"/>
  <c r="BK86" i="37"/>
  <c r="AV86" i="37"/>
  <c r="AG86" i="37"/>
  <c r="Z86" i="37"/>
  <c r="Q86" i="37"/>
  <c r="J86" i="37"/>
  <c r="I86" i="37"/>
  <c r="D86" i="37"/>
  <c r="C86" i="37"/>
  <c r="BZ85" i="37"/>
  <c r="BK85" i="37"/>
  <c r="AV85" i="37"/>
  <c r="AG85" i="37"/>
  <c r="Z85" i="37"/>
  <c r="Q85" i="37"/>
  <c r="J85" i="37"/>
  <c r="I85" i="37"/>
  <c r="D85" i="37"/>
  <c r="C85" i="37"/>
  <c r="BZ84" i="37"/>
  <c r="BK84" i="37"/>
  <c r="AV84" i="37"/>
  <c r="AG84" i="37"/>
  <c r="Z84" i="37"/>
  <c r="Q84" i="37"/>
  <c r="J84" i="37"/>
  <c r="I84" i="37"/>
  <c r="D84" i="37"/>
  <c r="C84" i="37"/>
  <c r="BZ83" i="37"/>
  <c r="BK83" i="37"/>
  <c r="AV83" i="37"/>
  <c r="AG83" i="37"/>
  <c r="Z83" i="37"/>
  <c r="Q83" i="37"/>
  <c r="J83" i="37"/>
  <c r="I83" i="37"/>
  <c r="D83" i="37"/>
  <c r="C83" i="37"/>
  <c r="L83" i="37" s="1" a="1"/>
  <c r="L83" i="37" s="1"/>
  <c r="BZ82" i="37"/>
  <c r="BK82" i="37"/>
  <c r="AV82" i="37"/>
  <c r="AG82" i="37"/>
  <c r="Z82" i="37"/>
  <c r="Q82" i="37"/>
  <c r="J82" i="37"/>
  <c r="I82" i="37"/>
  <c r="D82" i="37"/>
  <c r="C82" i="37"/>
  <c r="BZ81" i="37"/>
  <c r="BK81" i="37"/>
  <c r="AV81" i="37"/>
  <c r="AG81" i="37"/>
  <c r="Z81" i="37"/>
  <c r="Q81" i="37"/>
  <c r="L81" i="37" a="1"/>
  <c r="L81" i="37" s="1"/>
  <c r="K81" i="37" a="1"/>
  <c r="K81" i="37" s="1"/>
  <c r="J81" i="37"/>
  <c r="I81" i="37"/>
  <c r="D81" i="37"/>
  <c r="C81" i="37"/>
  <c r="BZ80" i="37"/>
  <c r="BK80" i="37"/>
  <c r="AV80" i="37"/>
  <c r="AG80" i="37"/>
  <c r="Z80" i="37"/>
  <c r="Q80" i="37"/>
  <c r="K80" i="37" a="1"/>
  <c r="K80" i="37" s="1"/>
  <c r="J80" i="37"/>
  <c r="I80" i="37"/>
  <c r="D80" i="37"/>
  <c r="C80" i="37"/>
  <c r="BZ79" i="37"/>
  <c r="BK79" i="37"/>
  <c r="AV79" i="37"/>
  <c r="AG79" i="37"/>
  <c r="Z79" i="37"/>
  <c r="Q79" i="37"/>
  <c r="J79" i="37"/>
  <c r="I79" i="37"/>
  <c r="D79" i="37"/>
  <c r="C79" i="37"/>
  <c r="L79" i="37" s="1" a="1"/>
  <c r="L79" i="37" s="1"/>
  <c r="BZ78" i="37"/>
  <c r="BK78" i="37"/>
  <c r="AV78" i="37"/>
  <c r="AG78" i="37"/>
  <c r="Z78" i="37"/>
  <c r="Q78" i="37"/>
  <c r="K78" i="37" a="1"/>
  <c r="K78" i="37" s="1"/>
  <c r="J78" i="37"/>
  <c r="I78" i="37"/>
  <c r="D78" i="37"/>
  <c r="C78" i="37"/>
  <c r="L78" i="37" s="1" a="1"/>
  <c r="L78" i="37" s="1"/>
  <c r="BZ77" i="37"/>
  <c r="BK77" i="37"/>
  <c r="AV77" i="37"/>
  <c r="AG77" i="37"/>
  <c r="Z77" i="37"/>
  <c r="Q77" i="37"/>
  <c r="J77" i="37"/>
  <c r="I77" i="37"/>
  <c r="D77" i="37"/>
  <c r="C77" i="37"/>
  <c r="L77" i="37" s="1" a="1"/>
  <c r="L77" i="37" s="1"/>
  <c r="BZ76" i="37"/>
  <c r="BK76" i="37"/>
  <c r="AV76" i="37"/>
  <c r="AG76" i="37"/>
  <c r="Z76" i="37"/>
  <c r="Q76" i="37"/>
  <c r="J76" i="37"/>
  <c r="I76" i="37"/>
  <c r="D76" i="37"/>
  <c r="C76" i="37"/>
  <c r="K76" i="37" s="1" a="1"/>
  <c r="K76" i="37" s="1"/>
  <c r="BZ75" i="37"/>
  <c r="BK75" i="37"/>
  <c r="AV75" i="37"/>
  <c r="AG75" i="37"/>
  <c r="Z75" i="37"/>
  <c r="Q75" i="37"/>
  <c r="J75" i="37"/>
  <c r="I75" i="37"/>
  <c r="D75" i="37"/>
  <c r="C75" i="37"/>
  <c r="BZ74" i="37"/>
  <c r="BK74" i="37"/>
  <c r="AV74" i="37"/>
  <c r="AG74" i="37"/>
  <c r="Z74" i="37"/>
  <c r="Q74" i="37"/>
  <c r="J74" i="37"/>
  <c r="I74" i="37"/>
  <c r="D74" i="37"/>
  <c r="C74" i="37"/>
  <c r="L74" i="37" s="1" a="1"/>
  <c r="L74" i="37" s="1"/>
  <c r="BZ73" i="37"/>
  <c r="BK73" i="37"/>
  <c r="AV73" i="37"/>
  <c r="AG73" i="37"/>
  <c r="Z73" i="37"/>
  <c r="Q73" i="37"/>
  <c r="K73" i="37" a="1"/>
  <c r="K73" i="37" s="1"/>
  <c r="J73" i="37"/>
  <c r="I73" i="37"/>
  <c r="D73" i="37"/>
  <c r="C73" i="37"/>
  <c r="L73" i="37" s="1" a="1"/>
  <c r="L73" i="37" s="1"/>
  <c r="BZ72" i="37"/>
  <c r="BK72" i="37"/>
  <c r="AV72" i="37"/>
  <c r="AG72" i="37"/>
  <c r="Z72" i="37"/>
  <c r="Q72" i="37"/>
  <c r="J72" i="37"/>
  <c r="I72" i="37"/>
  <c r="D72" i="37"/>
  <c r="C72" i="37"/>
  <c r="K72" i="37" s="1" a="1"/>
  <c r="K72" i="37" s="1"/>
  <c r="BZ71" i="37"/>
  <c r="BK71" i="37"/>
  <c r="AV71" i="37"/>
  <c r="AG71" i="37"/>
  <c r="Z71" i="37"/>
  <c r="Q71" i="37"/>
  <c r="J71" i="37"/>
  <c r="I71" i="37"/>
  <c r="D71" i="37"/>
  <c r="C71" i="37"/>
  <c r="BZ70" i="37"/>
  <c r="BK70" i="37"/>
  <c r="AV70" i="37"/>
  <c r="AG70" i="37"/>
  <c r="Z70" i="37"/>
  <c r="Q70" i="37"/>
  <c r="J70" i="37"/>
  <c r="I70" i="37"/>
  <c r="D70" i="37"/>
  <c r="C70" i="37"/>
  <c r="L70" i="37" s="1" a="1"/>
  <c r="L70" i="37" s="1"/>
  <c r="BZ69" i="37"/>
  <c r="BK69" i="37"/>
  <c r="AV69" i="37"/>
  <c r="AG69" i="37"/>
  <c r="Z69" i="37"/>
  <c r="Q69" i="37"/>
  <c r="K69" i="37" a="1"/>
  <c r="K69" i="37" s="1"/>
  <c r="J69" i="37"/>
  <c r="I69" i="37"/>
  <c r="D69" i="37"/>
  <c r="C69" i="37"/>
  <c r="L69" i="37" s="1" a="1"/>
  <c r="L69" i="37" s="1"/>
  <c r="BZ68" i="37"/>
  <c r="BK68" i="37"/>
  <c r="AV68" i="37"/>
  <c r="AG68" i="37"/>
  <c r="Z68" i="37"/>
  <c r="Q68" i="37"/>
  <c r="K68" i="37" a="1"/>
  <c r="K68" i="37" s="1"/>
  <c r="J68" i="37"/>
  <c r="I68" i="37"/>
  <c r="D68" i="37"/>
  <c r="C68" i="37"/>
  <c r="L68" i="37" s="1" a="1"/>
  <c r="L68" i="37" s="1"/>
  <c r="BZ67" i="37"/>
  <c r="BK67" i="37"/>
  <c r="AV67" i="37"/>
  <c r="AG67" i="37"/>
  <c r="Z67" i="37"/>
  <c r="Q67" i="37"/>
  <c r="L67" i="37" a="1"/>
  <c r="L67" i="37" s="1"/>
  <c r="J67" i="37"/>
  <c r="I67" i="37"/>
  <c r="D67" i="37"/>
  <c r="C67" i="37"/>
  <c r="K67" i="37" s="1" a="1"/>
  <c r="K67" i="37" s="1"/>
  <c r="BZ66" i="37"/>
  <c r="BK66" i="37"/>
  <c r="AV66" i="37"/>
  <c r="AG66" i="37"/>
  <c r="Z66" i="37"/>
  <c r="Q66" i="37"/>
  <c r="J66" i="37"/>
  <c r="I66" i="37"/>
  <c r="D66" i="37"/>
  <c r="C66" i="37"/>
  <c r="L66" i="37" s="1" a="1"/>
  <c r="L66" i="37" s="1"/>
  <c r="BZ65" i="37"/>
  <c r="BK65" i="37"/>
  <c r="AV65" i="37"/>
  <c r="AG65" i="37"/>
  <c r="Z65" i="37"/>
  <c r="Q65" i="37"/>
  <c r="K65" i="37" a="1"/>
  <c r="K65" i="37" s="1"/>
  <c r="J65" i="37"/>
  <c r="I65" i="37"/>
  <c r="D65" i="37"/>
  <c r="C65" i="37"/>
  <c r="L65" i="37" s="1" a="1"/>
  <c r="L65" i="37" s="1"/>
  <c r="BZ64" i="37"/>
  <c r="BK64" i="37"/>
  <c r="AV64" i="37"/>
  <c r="AG64" i="37"/>
  <c r="Z64" i="37"/>
  <c r="Q64" i="37"/>
  <c r="J64" i="37"/>
  <c r="I64" i="37"/>
  <c r="D64" i="37"/>
  <c r="C64" i="37"/>
  <c r="BZ63" i="37"/>
  <c r="BK63" i="37"/>
  <c r="AV63" i="37"/>
  <c r="AG63" i="37"/>
  <c r="Z63" i="37"/>
  <c r="Q63" i="37"/>
  <c r="J63" i="37"/>
  <c r="I63" i="37"/>
  <c r="D63" i="37"/>
  <c r="C63" i="37"/>
  <c r="K63" i="37" s="1" a="1"/>
  <c r="K63" i="37" s="1"/>
  <c r="BZ62" i="37"/>
  <c r="BK62" i="37"/>
  <c r="AV62" i="37"/>
  <c r="AG62" i="37"/>
  <c r="Z62" i="37"/>
  <c r="Q62" i="37"/>
  <c r="J62" i="37"/>
  <c r="I62" i="37"/>
  <c r="D62" i="37"/>
  <c r="C62" i="37"/>
  <c r="BZ61" i="37"/>
  <c r="BK61" i="37"/>
  <c r="AV61" i="37"/>
  <c r="AG61" i="37"/>
  <c r="Z61" i="37"/>
  <c r="Q61" i="37"/>
  <c r="L61" i="37" a="1"/>
  <c r="L61" i="37" s="1"/>
  <c r="J61" i="37"/>
  <c r="I61" i="37"/>
  <c r="D61" i="37"/>
  <c r="C61" i="37"/>
  <c r="BZ60" i="37"/>
  <c r="BK60" i="37"/>
  <c r="AV60" i="37"/>
  <c r="AG60" i="37"/>
  <c r="Z60" i="37"/>
  <c r="Q60" i="37"/>
  <c r="J60" i="37"/>
  <c r="I60" i="37"/>
  <c r="D60" i="37"/>
  <c r="C60" i="37"/>
  <c r="L60" i="37" s="1" a="1"/>
  <c r="L60" i="37" s="1"/>
  <c r="BZ59" i="37"/>
  <c r="BK59" i="37"/>
  <c r="AV59" i="37"/>
  <c r="AG59" i="37"/>
  <c r="Z59" i="37"/>
  <c r="Q59" i="37"/>
  <c r="J59" i="37"/>
  <c r="I59" i="37"/>
  <c r="D59" i="37"/>
  <c r="C59" i="37"/>
  <c r="BZ58" i="37"/>
  <c r="BK58" i="37"/>
  <c r="AV58" i="37"/>
  <c r="AG58" i="37"/>
  <c r="Z58" i="37"/>
  <c r="Q58" i="37"/>
  <c r="J58" i="37"/>
  <c r="I58" i="37"/>
  <c r="D58" i="37"/>
  <c r="C58" i="37"/>
  <c r="L58" i="37" s="1" a="1"/>
  <c r="L58" i="37" s="1"/>
  <c r="BZ57" i="37"/>
  <c r="BK57" i="37"/>
  <c r="AV57" i="37"/>
  <c r="AG57" i="37"/>
  <c r="Z57" i="37"/>
  <c r="Q57" i="37"/>
  <c r="K57" i="37" a="1"/>
  <c r="K57" i="37" s="1"/>
  <c r="J57" i="37"/>
  <c r="I57" i="37"/>
  <c r="D57" i="37"/>
  <c r="C57" i="37"/>
  <c r="L57" i="37" s="1" a="1"/>
  <c r="L57" i="37" s="1"/>
  <c r="BZ56" i="37"/>
  <c r="BK56" i="37"/>
  <c r="AV56" i="37"/>
  <c r="AG56" i="37"/>
  <c r="Z56" i="37"/>
  <c r="Q56" i="37"/>
  <c r="J56" i="37"/>
  <c r="I56" i="37"/>
  <c r="D56" i="37"/>
  <c r="C56" i="37"/>
  <c r="BZ55" i="37"/>
  <c r="BK55" i="37"/>
  <c r="AV55" i="37"/>
  <c r="AG55" i="37"/>
  <c r="Z55" i="37"/>
  <c r="Q55" i="37"/>
  <c r="L55" i="37" a="1"/>
  <c r="L55" i="37" s="1"/>
  <c r="K55" i="37" a="1"/>
  <c r="K55" i="37" s="1"/>
  <c r="J55" i="37"/>
  <c r="I55" i="37"/>
  <c r="D55" i="37"/>
  <c r="C55" i="37"/>
  <c r="BZ54" i="37"/>
  <c r="BK54" i="37"/>
  <c r="AV54" i="37"/>
  <c r="AG54" i="37"/>
  <c r="Z54" i="37"/>
  <c r="Q54" i="37"/>
  <c r="J54" i="37"/>
  <c r="I54" i="37"/>
  <c r="D54" i="37"/>
  <c r="C54" i="37"/>
  <c r="L54" i="37" s="1" a="1"/>
  <c r="L54" i="37" s="1"/>
  <c r="BZ53" i="37"/>
  <c r="BK53" i="37"/>
  <c r="AV53" i="37"/>
  <c r="AG53" i="37"/>
  <c r="Z53" i="37"/>
  <c r="Q53" i="37"/>
  <c r="J53" i="37"/>
  <c r="I53" i="37"/>
  <c r="D53" i="37"/>
  <c r="C53" i="37"/>
  <c r="BZ52" i="37"/>
  <c r="BK52" i="37"/>
  <c r="AV52" i="37"/>
  <c r="AG52" i="37"/>
  <c r="Z52" i="37"/>
  <c r="Q52" i="37"/>
  <c r="J52" i="37"/>
  <c r="I52" i="37"/>
  <c r="D52" i="37"/>
  <c r="C52" i="37"/>
  <c r="BZ51" i="37"/>
  <c r="BK51" i="37"/>
  <c r="AV51" i="37"/>
  <c r="AG51" i="37"/>
  <c r="Z51" i="37"/>
  <c r="Q51" i="37"/>
  <c r="J51" i="37"/>
  <c r="I51" i="37"/>
  <c r="D51" i="37"/>
  <c r="C51" i="37"/>
  <c r="L51" i="37" s="1" a="1"/>
  <c r="L51" i="37" s="1"/>
  <c r="BZ50" i="37"/>
  <c r="BK50" i="37"/>
  <c r="AV50" i="37"/>
  <c r="AG50" i="37"/>
  <c r="Z50" i="37"/>
  <c r="Q50" i="37"/>
  <c r="L50" i="37" a="1"/>
  <c r="L50" i="37" s="1"/>
  <c r="J50" i="37"/>
  <c r="I50" i="37"/>
  <c r="D50" i="37"/>
  <c r="C50" i="37"/>
  <c r="K50" i="37" s="1" a="1"/>
  <c r="K50" i="37" s="1"/>
  <c r="BZ49" i="37"/>
  <c r="BK49" i="37"/>
  <c r="AV49" i="37"/>
  <c r="AG49" i="37"/>
  <c r="Z49" i="37"/>
  <c r="Q49" i="37"/>
  <c r="J49" i="37"/>
  <c r="I49" i="37"/>
  <c r="D49" i="37"/>
  <c r="C49" i="37"/>
  <c r="BZ48" i="37"/>
  <c r="BK48" i="37"/>
  <c r="AV48" i="37"/>
  <c r="AG48" i="37"/>
  <c r="Z48" i="37"/>
  <c r="Q48" i="37"/>
  <c r="J48" i="37"/>
  <c r="I48" i="37"/>
  <c r="D48" i="37"/>
  <c r="C48" i="37"/>
  <c r="L48" i="37" s="1" a="1"/>
  <c r="L48" i="37" s="1"/>
  <c r="BZ47" i="37"/>
  <c r="BK47" i="37"/>
  <c r="AV47" i="37"/>
  <c r="AG47" i="37"/>
  <c r="Z47" i="37"/>
  <c r="Q47" i="37"/>
  <c r="L47" i="37" a="1"/>
  <c r="L47" i="37" s="1"/>
  <c r="K47" i="37" a="1"/>
  <c r="K47" i="37" s="1"/>
  <c r="J47" i="37"/>
  <c r="I47" i="37"/>
  <c r="D47" i="37"/>
  <c r="C47" i="37"/>
  <c r="BZ46" i="37"/>
  <c r="BK46" i="37"/>
  <c r="AV46" i="37"/>
  <c r="AG46" i="37"/>
  <c r="Z46" i="37"/>
  <c r="Q46" i="37"/>
  <c r="J46" i="37"/>
  <c r="I46" i="37"/>
  <c r="D46" i="37"/>
  <c r="C46" i="37"/>
  <c r="L46" i="37" s="1" a="1"/>
  <c r="L46" i="37" s="1"/>
  <c r="BZ45" i="37"/>
  <c r="BK45" i="37"/>
  <c r="AV45" i="37"/>
  <c r="AG45" i="37"/>
  <c r="Z45" i="37"/>
  <c r="Q45" i="37"/>
  <c r="J45" i="37"/>
  <c r="I45" i="37"/>
  <c r="D45" i="37"/>
  <c r="C45" i="37"/>
  <c r="BZ44" i="37"/>
  <c r="BK44" i="37"/>
  <c r="AV44" i="37"/>
  <c r="AG44" i="37"/>
  <c r="Z44" i="37"/>
  <c r="Q44" i="37"/>
  <c r="J44" i="37"/>
  <c r="I44" i="37"/>
  <c r="D44" i="37"/>
  <c r="C44" i="37"/>
  <c r="BZ43" i="37"/>
  <c r="BK43" i="37"/>
  <c r="AV43" i="37"/>
  <c r="AG43" i="37"/>
  <c r="Z43" i="37"/>
  <c r="Q43" i="37"/>
  <c r="J43" i="37"/>
  <c r="I43" i="37"/>
  <c r="D43" i="37"/>
  <c r="C43" i="37"/>
  <c r="L43" i="37" s="1" a="1"/>
  <c r="L43" i="37" s="1"/>
  <c r="BZ42" i="37"/>
  <c r="BK42" i="37"/>
  <c r="AV42" i="37"/>
  <c r="AG42" i="37"/>
  <c r="Z42" i="37"/>
  <c r="Q42" i="37"/>
  <c r="L42" i="37" a="1"/>
  <c r="L42" i="37" s="1"/>
  <c r="J42" i="37"/>
  <c r="I42" i="37"/>
  <c r="D42" i="37"/>
  <c r="C42" i="37"/>
  <c r="K42" i="37" s="1" a="1"/>
  <c r="K42" i="37" s="1"/>
  <c r="BZ41" i="37"/>
  <c r="BK41" i="37"/>
  <c r="AV41" i="37"/>
  <c r="AG41" i="37"/>
  <c r="Z41" i="37"/>
  <c r="Q41" i="37"/>
  <c r="L41" i="37" a="1"/>
  <c r="L41" i="37" s="1"/>
  <c r="K41" i="37" a="1"/>
  <c r="K41" i="37" s="1"/>
  <c r="J41" i="37"/>
  <c r="I41" i="37"/>
  <c r="D41" i="37"/>
  <c r="C41" i="37"/>
  <c r="BZ40" i="37"/>
  <c r="BK40" i="37"/>
  <c r="AV40" i="37"/>
  <c r="AG40" i="37"/>
  <c r="Z40" i="37"/>
  <c r="Q40" i="37"/>
  <c r="J40" i="37"/>
  <c r="I40" i="37"/>
  <c r="D40" i="37"/>
  <c r="C40" i="37"/>
  <c r="BZ39" i="37"/>
  <c r="BK39" i="37"/>
  <c r="BC39" i="37"/>
  <c r="BG39" i="37" s="1"/>
  <c r="AV39" i="37"/>
  <c r="AG39" i="37"/>
  <c r="Z39" i="37"/>
  <c r="Q39" i="37"/>
  <c r="L39" i="37" a="1"/>
  <c r="L39" i="37" s="1"/>
  <c r="K39" i="37" a="1"/>
  <c r="K39" i="37" s="1"/>
  <c r="J39" i="37"/>
  <c r="I39" i="37"/>
  <c r="D39" i="37"/>
  <c r="C39" i="37"/>
  <c r="BZ38" i="37"/>
  <c r="BS38" i="37"/>
  <c r="BW38" i="37" s="1"/>
  <c r="BK38" i="37"/>
  <c r="AV38" i="37"/>
  <c r="AG38" i="37"/>
  <c r="Z38" i="37"/>
  <c r="Q38" i="37"/>
  <c r="K38" i="37" a="1"/>
  <c r="K38" i="37" s="1"/>
  <c r="J38" i="37"/>
  <c r="I38" i="37"/>
  <c r="D38" i="37"/>
  <c r="C38" i="37"/>
  <c r="BZ37" i="37"/>
  <c r="BK37" i="37"/>
  <c r="AV37" i="37"/>
  <c r="AG37" i="37"/>
  <c r="Z37" i="37"/>
  <c r="Q37" i="37"/>
  <c r="J37" i="37"/>
  <c r="I37" i="37"/>
  <c r="D37" i="37"/>
  <c r="C37" i="37"/>
  <c r="BZ36" i="37"/>
  <c r="BK36" i="37"/>
  <c r="AV36" i="37"/>
  <c r="AG36" i="37"/>
  <c r="Z36" i="37"/>
  <c r="Q36" i="37"/>
  <c r="K36" i="37" a="1"/>
  <c r="K36" i="37" s="1"/>
  <c r="J36" i="37"/>
  <c r="I36" i="37"/>
  <c r="D36" i="37"/>
  <c r="C36" i="37"/>
  <c r="BZ35" i="37"/>
  <c r="BK35" i="37"/>
  <c r="AV35" i="37"/>
  <c r="AG35" i="37"/>
  <c r="Z35" i="37"/>
  <c r="Q35" i="37"/>
  <c r="L35" i="37" a="1"/>
  <c r="L35" i="37" s="1"/>
  <c r="K35" i="37" a="1"/>
  <c r="K35" i="37" s="1"/>
  <c r="J35" i="37"/>
  <c r="I35" i="37"/>
  <c r="D35" i="37"/>
  <c r="C35" i="37"/>
  <c r="BZ34" i="37"/>
  <c r="BK34" i="37"/>
  <c r="BD34" i="37"/>
  <c r="BH34" i="37" s="1"/>
  <c r="AV34" i="37"/>
  <c r="AG34" i="37"/>
  <c r="Z34" i="37"/>
  <c r="Q34" i="37"/>
  <c r="J34" i="37"/>
  <c r="I34" i="37"/>
  <c r="D34" i="37"/>
  <c r="C34" i="37"/>
  <c r="L34" i="37" s="1" a="1"/>
  <c r="L34" i="37" s="1"/>
  <c r="BZ33" i="37"/>
  <c r="BK33" i="37"/>
  <c r="BC33" i="37"/>
  <c r="BG33" i="37" s="1"/>
  <c r="AV33" i="37"/>
  <c r="AG33" i="37"/>
  <c r="Z33" i="37"/>
  <c r="Q33" i="37"/>
  <c r="L33" i="37" a="1"/>
  <c r="L33" i="37" s="1"/>
  <c r="J33" i="37"/>
  <c r="I33" i="37"/>
  <c r="D33" i="37"/>
  <c r="C33" i="37"/>
  <c r="K33" i="37" s="1" a="1"/>
  <c r="K33" i="37" s="1"/>
  <c r="BZ32" i="37"/>
  <c r="BK32" i="37"/>
  <c r="AV32" i="37"/>
  <c r="AG32" i="37"/>
  <c r="Z32" i="37"/>
  <c r="Q32" i="37"/>
  <c r="K32" i="37" a="1"/>
  <c r="K32" i="37" s="1"/>
  <c r="J32" i="37"/>
  <c r="I32" i="37"/>
  <c r="D32" i="37"/>
  <c r="C32" i="37"/>
  <c r="BZ31" i="37"/>
  <c r="BK31" i="37"/>
  <c r="AV31" i="37"/>
  <c r="AG31" i="37"/>
  <c r="Z31" i="37"/>
  <c r="Q31" i="37"/>
  <c r="L31" i="37" a="1"/>
  <c r="L31" i="37" s="1"/>
  <c r="K31" i="37" a="1"/>
  <c r="K31" i="37" s="1"/>
  <c r="J31" i="37"/>
  <c r="I31" i="37"/>
  <c r="D31" i="37"/>
  <c r="C31" i="37"/>
  <c r="BZ30" i="37"/>
  <c r="BK30" i="37"/>
  <c r="BD30" i="37"/>
  <c r="BH30" i="37" s="1"/>
  <c r="AV30" i="37"/>
  <c r="AG30" i="37"/>
  <c r="Z30" i="37"/>
  <c r="Q30" i="37"/>
  <c r="J30" i="37"/>
  <c r="I30" i="37"/>
  <c r="D30" i="37"/>
  <c r="C30" i="37"/>
  <c r="L30" i="37" s="1" a="1"/>
  <c r="L30" i="37" s="1"/>
  <c r="BZ29" i="37"/>
  <c r="BK29" i="37"/>
  <c r="BC29" i="37"/>
  <c r="BG29" i="37" s="1"/>
  <c r="AV29" i="37"/>
  <c r="AG29" i="37"/>
  <c r="Z29" i="37"/>
  <c r="Q29" i="37"/>
  <c r="L29" i="37" a="1"/>
  <c r="L29" i="37" s="1"/>
  <c r="J29" i="37"/>
  <c r="I29" i="37"/>
  <c r="D29" i="37"/>
  <c r="C29" i="37"/>
  <c r="K29" i="37" s="1" a="1"/>
  <c r="K29" i="37" s="1"/>
  <c r="BZ28" i="37"/>
  <c r="BK28" i="37"/>
  <c r="AV28" i="37"/>
  <c r="AG28" i="37"/>
  <c r="Z28" i="37"/>
  <c r="Q28" i="37"/>
  <c r="K28" i="37" a="1"/>
  <c r="K28" i="37" s="1"/>
  <c r="J28" i="37"/>
  <c r="I28" i="37"/>
  <c r="D28" i="37"/>
  <c r="C28" i="37"/>
  <c r="BZ27" i="37"/>
  <c r="BK27" i="37"/>
  <c r="AV27" i="37"/>
  <c r="AG27" i="37"/>
  <c r="Z27" i="37"/>
  <c r="Q27" i="37"/>
  <c r="L27" i="37" a="1"/>
  <c r="L27" i="37" s="1"/>
  <c r="K27" i="37" a="1"/>
  <c r="K27" i="37" s="1"/>
  <c r="J27" i="37"/>
  <c r="I27" i="37"/>
  <c r="D27" i="37"/>
  <c r="C27" i="37"/>
  <c r="BZ26" i="37"/>
  <c r="BK26" i="37"/>
  <c r="BD26" i="37"/>
  <c r="BH26" i="37" s="1"/>
  <c r="AV26" i="37"/>
  <c r="AG26" i="37"/>
  <c r="Z26" i="37"/>
  <c r="Q26" i="37"/>
  <c r="J26" i="37"/>
  <c r="I26" i="37"/>
  <c r="D26" i="37"/>
  <c r="C26" i="37"/>
  <c r="L26" i="37" s="1" a="1"/>
  <c r="L26" i="37" s="1"/>
  <c r="BZ25" i="37"/>
  <c r="BK25" i="37"/>
  <c r="BC25" i="37"/>
  <c r="BG25" i="37" s="1"/>
  <c r="AV25" i="37"/>
  <c r="AG25" i="37"/>
  <c r="Z25" i="37"/>
  <c r="Q25" i="37"/>
  <c r="L25" i="37" a="1"/>
  <c r="L25" i="37" s="1"/>
  <c r="J25" i="37"/>
  <c r="I25" i="37"/>
  <c r="D25" i="37"/>
  <c r="C25" i="37"/>
  <c r="K25" i="37" s="1" a="1"/>
  <c r="K25" i="37" s="1"/>
  <c r="BZ24" i="37"/>
  <c r="BK24" i="37"/>
  <c r="AV24" i="37"/>
  <c r="AG24" i="37"/>
  <c r="Z24" i="37"/>
  <c r="Q24" i="37"/>
  <c r="K24" i="37" a="1"/>
  <c r="K24" i="37" s="1"/>
  <c r="J24" i="37"/>
  <c r="I24" i="37"/>
  <c r="D24" i="37"/>
  <c r="C24" i="37"/>
  <c r="BZ23" i="37"/>
  <c r="BK23" i="37"/>
  <c r="AV23" i="37"/>
  <c r="AG23" i="37"/>
  <c r="Z23" i="37"/>
  <c r="Q23" i="37"/>
  <c r="L23" i="37" a="1"/>
  <c r="L23" i="37" s="1"/>
  <c r="K23" i="37" a="1"/>
  <c r="K23" i="37" s="1"/>
  <c r="J23" i="37"/>
  <c r="I23" i="37"/>
  <c r="D23" i="37"/>
  <c r="C23" i="37"/>
  <c r="BZ22" i="37"/>
  <c r="BK22" i="37"/>
  <c r="BD22" i="37"/>
  <c r="BH22" i="37" s="1"/>
  <c r="AV22" i="37"/>
  <c r="AG22" i="37"/>
  <c r="Z22" i="37"/>
  <c r="Q22" i="37"/>
  <c r="J22" i="37"/>
  <c r="I22" i="37"/>
  <c r="D22" i="37"/>
  <c r="C22" i="37"/>
  <c r="L22" i="37" s="1" a="1"/>
  <c r="L22" i="37" s="1"/>
  <c r="BZ21" i="37"/>
  <c r="BK21" i="37"/>
  <c r="BC21" i="37"/>
  <c r="BG21" i="37" s="1"/>
  <c r="AV21" i="37"/>
  <c r="AG21" i="37"/>
  <c r="Z21" i="37"/>
  <c r="Q21" i="37"/>
  <c r="L21" i="37" a="1"/>
  <c r="L21" i="37" s="1"/>
  <c r="J21" i="37"/>
  <c r="I21" i="37"/>
  <c r="D21" i="37"/>
  <c r="C21" i="37"/>
  <c r="K21" i="37" s="1" a="1"/>
  <c r="K21" i="37" s="1"/>
  <c r="BZ20" i="37"/>
  <c r="BK20" i="37"/>
  <c r="AV20" i="37"/>
  <c r="AG20" i="37"/>
  <c r="Z20" i="37"/>
  <c r="Q20" i="37"/>
  <c r="K20" i="37" a="1"/>
  <c r="K20" i="37" s="1"/>
  <c r="J20" i="37"/>
  <c r="I20" i="37"/>
  <c r="D20" i="37"/>
  <c r="C20" i="37"/>
  <c r="BZ19" i="37"/>
  <c r="BK19" i="37"/>
  <c r="AV19" i="37"/>
  <c r="AG19" i="37"/>
  <c r="Z19" i="37"/>
  <c r="Q19" i="37"/>
  <c r="L19" i="37" a="1"/>
  <c r="L19" i="37" s="1"/>
  <c r="K19" i="37" a="1"/>
  <c r="K19" i="37" s="1"/>
  <c r="J19" i="37"/>
  <c r="I19" i="37"/>
  <c r="D19" i="37"/>
  <c r="C19" i="37"/>
  <c r="BZ18" i="37"/>
  <c r="BK18" i="37"/>
  <c r="BD18" i="37"/>
  <c r="BH18" i="37" s="1"/>
  <c r="AV18" i="37"/>
  <c r="AG18" i="37"/>
  <c r="Z18" i="37"/>
  <c r="Q18" i="37"/>
  <c r="J18" i="37"/>
  <c r="I18" i="37"/>
  <c r="D18" i="37"/>
  <c r="C18" i="37"/>
  <c r="L18" i="37" s="1" a="1"/>
  <c r="L18" i="37" s="1"/>
  <c r="BZ17" i="37"/>
  <c r="BK17" i="37"/>
  <c r="BC17" i="37"/>
  <c r="BG17" i="37" s="1"/>
  <c r="AV17" i="37"/>
  <c r="AG17" i="37"/>
  <c r="Z17" i="37"/>
  <c r="Q17" i="37"/>
  <c r="J17" i="37"/>
  <c r="I17" i="37"/>
  <c r="D17" i="37"/>
  <c r="C17" i="37"/>
  <c r="K17" i="37" s="1" a="1"/>
  <c r="K17" i="37" s="1"/>
  <c r="BZ16" i="37"/>
  <c r="BK16" i="37"/>
  <c r="AV16" i="37"/>
  <c r="AG16" i="37"/>
  <c r="Z16" i="37"/>
  <c r="Q16" i="37"/>
  <c r="J16" i="37"/>
  <c r="I16" i="37"/>
  <c r="D16" i="37"/>
  <c r="C16" i="37"/>
  <c r="L16" i="37" s="1" a="1"/>
  <c r="L16" i="37" s="1"/>
  <c r="BZ15" i="37"/>
  <c r="BW15" i="37"/>
  <c r="BV15" i="37"/>
  <c r="BS15" i="37"/>
  <c r="BK15" i="37"/>
  <c r="BH15" i="37"/>
  <c r="BG15" i="37"/>
  <c r="AV15" i="37"/>
  <c r="AS15" i="37"/>
  <c r="AR15" i="37"/>
  <c r="AG15" i="37"/>
  <c r="Z15" i="37"/>
  <c r="Q15" i="37"/>
  <c r="J15" i="37"/>
  <c r="I15" i="37"/>
  <c r="D15" i="37"/>
  <c r="C15" i="37"/>
  <c r="L15" i="37" s="1" a="1"/>
  <c r="L15" i="37" s="1"/>
  <c r="BU14" i="37"/>
  <c r="BT14" i="37"/>
  <c r="BQ14" i="37"/>
  <c r="BP14" i="37"/>
  <c r="BO14" i="37"/>
  <c r="BN14" i="37"/>
  <c r="BM14" i="37"/>
  <c r="BF14" i="37"/>
  <c r="BE14" i="37"/>
  <c r="BB14" i="37"/>
  <c r="BA14" i="37"/>
  <c r="AZ14" i="37"/>
  <c r="AY14" i="37"/>
  <c r="AX14" i="37"/>
  <c r="AW14" i="37"/>
  <c r="AM14" i="37"/>
  <c r="AL14" i="37"/>
  <c r="AK14" i="37"/>
  <c r="AJ14" i="37"/>
  <c r="AH14" i="37"/>
  <c r="S14" i="37"/>
  <c r="R14" i="37"/>
  <c r="H14" i="37"/>
  <c r="G14" i="37"/>
  <c r="F14" i="37"/>
  <c r="U14" i="37" s="1"/>
  <c r="E14" i="37"/>
  <c r="T14" i="37" s="1"/>
  <c r="P3" i="37"/>
  <c r="BS72" i="37" s="1"/>
  <c r="BW72" i="37" s="1"/>
  <c r="B2" i="37" a="1"/>
  <c r="B2" i="37" s="1"/>
  <c r="N3" i="36"/>
  <c r="BZ125" i="36"/>
  <c r="BW125" i="36"/>
  <c r="BV125" i="36"/>
  <c r="BS125" i="36"/>
  <c r="BR125" i="36"/>
  <c r="BK125" i="36"/>
  <c r="BH125" i="36"/>
  <c r="BG125" i="36"/>
  <c r="BD125" i="36"/>
  <c r="BC125" i="36"/>
  <c r="AV125" i="36"/>
  <c r="AS125" i="36"/>
  <c r="AR125" i="36"/>
  <c r="AO125" i="36"/>
  <c r="AN125" i="36"/>
  <c r="AG125" i="36"/>
  <c r="Z125" i="36"/>
  <c r="Y125" i="36"/>
  <c r="X125" i="36"/>
  <c r="Q125" i="36"/>
  <c r="J125" i="36"/>
  <c r="I125" i="36"/>
  <c r="D125" i="36"/>
  <c r="C125" i="36"/>
  <c r="BZ124" i="36"/>
  <c r="BW124" i="36"/>
  <c r="BV124" i="36"/>
  <c r="BS124" i="36"/>
  <c r="BR124" i="36"/>
  <c r="BK124" i="36"/>
  <c r="BG124" i="36"/>
  <c r="BC124" i="36"/>
  <c r="AV124" i="36"/>
  <c r="AS124" i="36"/>
  <c r="AR124" i="36"/>
  <c r="AO124" i="36"/>
  <c r="AN124" i="36"/>
  <c r="AG124" i="36"/>
  <c r="Z124" i="36"/>
  <c r="Y124" i="36"/>
  <c r="X124" i="36"/>
  <c r="Q124" i="36"/>
  <c r="J124" i="36"/>
  <c r="I124" i="36"/>
  <c r="D124" i="36"/>
  <c r="C124" i="36"/>
  <c r="BZ123" i="36"/>
  <c r="BV123" i="36"/>
  <c r="BS123" i="36"/>
  <c r="BR123" i="36"/>
  <c r="BK123" i="36"/>
  <c r="BG123" i="36"/>
  <c r="BD123" i="36"/>
  <c r="BC123" i="36"/>
  <c r="AV123" i="36"/>
  <c r="AR123" i="36"/>
  <c r="AN123" i="36"/>
  <c r="AG123" i="36"/>
  <c r="Z123" i="36"/>
  <c r="Y123" i="36"/>
  <c r="X123" i="36"/>
  <c r="Q123" i="36"/>
  <c r="J123" i="36"/>
  <c r="I123" i="36"/>
  <c r="D123" i="36"/>
  <c r="C123" i="36"/>
  <c r="BZ122" i="36"/>
  <c r="BW122" i="36"/>
  <c r="BV122" i="36"/>
  <c r="BS122" i="36"/>
  <c r="BR122" i="36"/>
  <c r="BK122" i="36"/>
  <c r="BH122" i="36"/>
  <c r="BG122" i="36"/>
  <c r="BD122" i="36"/>
  <c r="BC122" i="36"/>
  <c r="AV122" i="36"/>
  <c r="AS122" i="36"/>
  <c r="AR122" i="36"/>
  <c r="AO122" i="36"/>
  <c r="AN122" i="36"/>
  <c r="AG122" i="36"/>
  <c r="Z122" i="36"/>
  <c r="Q122" i="36"/>
  <c r="J122" i="36"/>
  <c r="I122" i="36"/>
  <c r="D122" i="36"/>
  <c r="C122" i="36"/>
  <c r="BZ121" i="36"/>
  <c r="BW121" i="36"/>
  <c r="BV121" i="36"/>
  <c r="BS121" i="36"/>
  <c r="BR121" i="36"/>
  <c r="BK121" i="36"/>
  <c r="BH121" i="36"/>
  <c r="BG121" i="36"/>
  <c r="BD121" i="36"/>
  <c r="BC121" i="36"/>
  <c r="AV121" i="36"/>
  <c r="AS121" i="36"/>
  <c r="AR121" i="36"/>
  <c r="AO121" i="36"/>
  <c r="AN121" i="36"/>
  <c r="AG121" i="36"/>
  <c r="Z121" i="36"/>
  <c r="Y121" i="36"/>
  <c r="X121" i="36"/>
  <c r="Q121" i="36"/>
  <c r="J121" i="36"/>
  <c r="I121" i="36"/>
  <c r="D121" i="36"/>
  <c r="C121" i="36"/>
  <c r="BZ120" i="36"/>
  <c r="BW120" i="36"/>
  <c r="BV120" i="36"/>
  <c r="BS120" i="36"/>
  <c r="BR120" i="36"/>
  <c r="BK120" i="36"/>
  <c r="BH120" i="36"/>
  <c r="BG120" i="36"/>
  <c r="BD120" i="36"/>
  <c r="BC120" i="36"/>
  <c r="AV120" i="36"/>
  <c r="AS120" i="36"/>
  <c r="AR120" i="36"/>
  <c r="AO120" i="36"/>
  <c r="AN120" i="36"/>
  <c r="AG120" i="36"/>
  <c r="Z120" i="36"/>
  <c r="Y120" i="36"/>
  <c r="X120" i="36"/>
  <c r="Q120" i="36"/>
  <c r="J120" i="36"/>
  <c r="I120" i="36"/>
  <c r="D120" i="36"/>
  <c r="C120" i="36"/>
  <c r="BZ119" i="36"/>
  <c r="BV119" i="36"/>
  <c r="BR119" i="36"/>
  <c r="BK119" i="36"/>
  <c r="BG119" i="36"/>
  <c r="BC119" i="36"/>
  <c r="AV119" i="36"/>
  <c r="AR119" i="36"/>
  <c r="AO119" i="36"/>
  <c r="AN119" i="36"/>
  <c r="AG119" i="36"/>
  <c r="Z119" i="36"/>
  <c r="Y119" i="36"/>
  <c r="X119" i="36"/>
  <c r="Q119" i="36"/>
  <c r="J119" i="36"/>
  <c r="I119" i="36"/>
  <c r="D119" i="36"/>
  <c r="C119" i="36"/>
  <c r="BZ118" i="36"/>
  <c r="BW118" i="36"/>
  <c r="BV118" i="36"/>
  <c r="BS118" i="36"/>
  <c r="BR118" i="36"/>
  <c r="BK118" i="36"/>
  <c r="BH118" i="36"/>
  <c r="BG118" i="36"/>
  <c r="BD118" i="36"/>
  <c r="BC118" i="36"/>
  <c r="AV118" i="36"/>
  <c r="AS118" i="36"/>
  <c r="AR118" i="36"/>
  <c r="AO118" i="36"/>
  <c r="AN118" i="36"/>
  <c r="AG118" i="36"/>
  <c r="Z118" i="36"/>
  <c r="Q118" i="36"/>
  <c r="J118" i="36"/>
  <c r="I118" i="36"/>
  <c r="D118" i="36"/>
  <c r="C118" i="36"/>
  <c r="BZ117" i="36"/>
  <c r="BW117" i="36"/>
  <c r="BV117" i="36"/>
  <c r="BS117" i="36"/>
  <c r="BR117" i="36"/>
  <c r="BK117" i="36"/>
  <c r="BH117" i="36"/>
  <c r="BG117" i="36"/>
  <c r="BD117" i="36"/>
  <c r="BC117" i="36"/>
  <c r="AV117" i="36"/>
  <c r="AS117" i="36"/>
  <c r="AR117" i="36"/>
  <c r="AO117" i="36"/>
  <c r="AN117" i="36"/>
  <c r="AG117" i="36"/>
  <c r="Z117" i="36"/>
  <c r="Y117" i="36"/>
  <c r="X117" i="36"/>
  <c r="Q117" i="36"/>
  <c r="J117" i="36"/>
  <c r="I117" i="36"/>
  <c r="D117" i="36"/>
  <c r="C117" i="36"/>
  <c r="BZ116" i="36"/>
  <c r="BW116" i="36"/>
  <c r="BV116" i="36"/>
  <c r="BS116" i="36"/>
  <c r="BR116" i="36"/>
  <c r="BK116" i="36"/>
  <c r="BH116" i="36"/>
  <c r="BG116" i="36"/>
  <c r="BD116" i="36"/>
  <c r="BC116" i="36"/>
  <c r="AV116" i="36"/>
  <c r="AS116" i="36"/>
  <c r="AR116" i="36"/>
  <c r="AO116" i="36"/>
  <c r="AN116" i="36"/>
  <c r="AG116" i="36"/>
  <c r="Z116" i="36"/>
  <c r="Q116" i="36"/>
  <c r="J116" i="36"/>
  <c r="I116" i="36"/>
  <c r="D116" i="36"/>
  <c r="C116" i="36"/>
  <c r="BZ115" i="36"/>
  <c r="BK115" i="36"/>
  <c r="AV115" i="36"/>
  <c r="AG115" i="36"/>
  <c r="Z115" i="36"/>
  <c r="Q115" i="36"/>
  <c r="L115" i="36" a="1"/>
  <c r="L115" i="36" s="1"/>
  <c r="J115" i="36"/>
  <c r="I115" i="36"/>
  <c r="D115" i="36"/>
  <c r="C115" i="36"/>
  <c r="K115" i="36" s="1" a="1"/>
  <c r="K115" i="36" s="1"/>
  <c r="BZ114" i="36"/>
  <c r="BK114" i="36"/>
  <c r="AV114" i="36"/>
  <c r="AG114" i="36"/>
  <c r="Z114" i="36"/>
  <c r="Q114" i="36"/>
  <c r="J114" i="36"/>
  <c r="I114" i="36"/>
  <c r="D114" i="36"/>
  <c r="C114" i="36"/>
  <c r="K114" i="36" s="1" a="1"/>
  <c r="K114" i="36" s="1"/>
  <c r="BZ113" i="36"/>
  <c r="BK113" i="36"/>
  <c r="AV113" i="36"/>
  <c r="AG113" i="36"/>
  <c r="Z113" i="36"/>
  <c r="Q113" i="36"/>
  <c r="K113" i="36" a="1"/>
  <c r="K113" i="36" s="1"/>
  <c r="J113" i="36"/>
  <c r="I113" i="36"/>
  <c r="D113" i="36"/>
  <c r="C113" i="36"/>
  <c r="L113" i="36" s="1" a="1"/>
  <c r="L113" i="36" s="1"/>
  <c r="BZ112" i="36"/>
  <c r="BK112" i="36"/>
  <c r="AV112" i="36"/>
  <c r="AG112" i="36"/>
  <c r="Z112" i="36"/>
  <c r="Q112" i="36"/>
  <c r="K112" i="36" a="1"/>
  <c r="K112" i="36" s="1"/>
  <c r="J112" i="36"/>
  <c r="I112" i="36"/>
  <c r="D112" i="36"/>
  <c r="C112" i="36"/>
  <c r="L112" i="36" s="1" a="1"/>
  <c r="L112" i="36" s="1"/>
  <c r="BZ111" i="36"/>
  <c r="BK111" i="36"/>
  <c r="AV111" i="36"/>
  <c r="AG111" i="36"/>
  <c r="Z111" i="36"/>
  <c r="Q111" i="36"/>
  <c r="J111" i="36"/>
  <c r="I111" i="36"/>
  <c r="D111" i="36"/>
  <c r="C111" i="36"/>
  <c r="BZ110" i="36"/>
  <c r="BK110" i="36"/>
  <c r="AV110" i="36"/>
  <c r="AG110" i="36"/>
  <c r="Z110" i="36"/>
  <c r="Q110" i="36"/>
  <c r="J110" i="36"/>
  <c r="I110" i="36"/>
  <c r="D110" i="36"/>
  <c r="C110" i="36"/>
  <c r="BZ109" i="36"/>
  <c r="BK109" i="36"/>
  <c r="AV109" i="36"/>
  <c r="AG109" i="36"/>
  <c r="Z109" i="36"/>
  <c r="Q109" i="36"/>
  <c r="J109" i="36"/>
  <c r="I109" i="36"/>
  <c r="D109" i="36"/>
  <c r="C109" i="36"/>
  <c r="BZ108" i="36"/>
  <c r="BK108" i="36"/>
  <c r="AV108" i="36"/>
  <c r="AG108" i="36"/>
  <c r="Z108" i="36"/>
  <c r="Q108" i="36"/>
  <c r="J108" i="36"/>
  <c r="I108" i="36"/>
  <c r="D108" i="36"/>
  <c r="C108" i="36"/>
  <c r="K108" i="36" s="1" a="1"/>
  <c r="K108" i="36" s="1"/>
  <c r="BZ107" i="36"/>
  <c r="BK107" i="36"/>
  <c r="AV107" i="36"/>
  <c r="AG107" i="36"/>
  <c r="Z107" i="36"/>
  <c r="Q107" i="36"/>
  <c r="K107" i="36" a="1"/>
  <c r="K107" i="36" s="1"/>
  <c r="J107" i="36"/>
  <c r="I107" i="36"/>
  <c r="D107" i="36"/>
  <c r="C107" i="36"/>
  <c r="BZ106" i="36"/>
  <c r="BK106" i="36"/>
  <c r="AV106" i="36"/>
  <c r="AG106" i="36"/>
  <c r="Z106" i="36"/>
  <c r="Q106" i="36"/>
  <c r="J106" i="36"/>
  <c r="I106" i="36"/>
  <c r="D106" i="36"/>
  <c r="C106" i="36"/>
  <c r="BZ105" i="36"/>
  <c r="BK105" i="36"/>
  <c r="AV105" i="36"/>
  <c r="AG105" i="36"/>
  <c r="Z105" i="36"/>
  <c r="Q105" i="36"/>
  <c r="J105" i="36"/>
  <c r="I105" i="36"/>
  <c r="D105" i="36"/>
  <c r="C105" i="36"/>
  <c r="BZ104" i="36"/>
  <c r="BK104" i="36"/>
  <c r="AV104" i="36"/>
  <c r="AG104" i="36"/>
  <c r="Z104" i="36"/>
  <c r="Q104" i="36"/>
  <c r="L104" i="36" a="1"/>
  <c r="L104" i="36" s="1"/>
  <c r="K104" i="36" a="1"/>
  <c r="K104" i="36" s="1"/>
  <c r="J104" i="36"/>
  <c r="I104" i="36"/>
  <c r="D104" i="36"/>
  <c r="C104" i="36"/>
  <c r="BZ103" i="36"/>
  <c r="BK103" i="36"/>
  <c r="AV103" i="36"/>
  <c r="AG103" i="36"/>
  <c r="Z103" i="36"/>
  <c r="Q103" i="36"/>
  <c r="K103" i="36" a="1"/>
  <c r="K103" i="36" s="1"/>
  <c r="J103" i="36"/>
  <c r="I103" i="36"/>
  <c r="D103" i="36"/>
  <c r="C103" i="36"/>
  <c r="BZ102" i="36"/>
  <c r="BK102" i="36"/>
  <c r="AV102" i="36"/>
  <c r="AG102" i="36"/>
  <c r="Z102" i="36"/>
  <c r="Q102" i="36"/>
  <c r="L102" i="36" a="1"/>
  <c r="L102" i="36" s="1"/>
  <c r="J102" i="36"/>
  <c r="I102" i="36"/>
  <c r="D102" i="36"/>
  <c r="C102" i="36"/>
  <c r="BZ101" i="36"/>
  <c r="BK101" i="36"/>
  <c r="AV101" i="36"/>
  <c r="AG101" i="36"/>
  <c r="Z101" i="36"/>
  <c r="Q101" i="36"/>
  <c r="J101" i="36"/>
  <c r="I101" i="36"/>
  <c r="D101" i="36"/>
  <c r="C101" i="36"/>
  <c r="BZ100" i="36"/>
  <c r="BK100" i="36"/>
  <c r="AV100" i="36"/>
  <c r="AG100" i="36"/>
  <c r="Z100" i="36"/>
  <c r="Q100" i="36"/>
  <c r="L100" i="36" a="1"/>
  <c r="L100" i="36" s="1"/>
  <c r="J100" i="36"/>
  <c r="I100" i="36"/>
  <c r="D100" i="36"/>
  <c r="C100" i="36"/>
  <c r="K100" i="36" s="1" a="1"/>
  <c r="K100" i="36" s="1"/>
  <c r="BZ99" i="36"/>
  <c r="BK99" i="36"/>
  <c r="AV99" i="36"/>
  <c r="AG99" i="36"/>
  <c r="Z99" i="36"/>
  <c r="Q99" i="36"/>
  <c r="J99" i="36"/>
  <c r="I99" i="36"/>
  <c r="D99" i="36"/>
  <c r="C99" i="36"/>
  <c r="BZ98" i="36"/>
  <c r="BK98" i="36"/>
  <c r="AV98" i="36"/>
  <c r="AG98" i="36"/>
  <c r="Z98" i="36"/>
  <c r="Q98" i="36"/>
  <c r="J98" i="36"/>
  <c r="I98" i="36"/>
  <c r="D98" i="36"/>
  <c r="C98" i="36"/>
  <c r="L98" i="36" s="1" a="1"/>
  <c r="L98" i="36" s="1"/>
  <c r="BZ97" i="36"/>
  <c r="BK97" i="36"/>
  <c r="AV97" i="36"/>
  <c r="AG97" i="36"/>
  <c r="Z97" i="36"/>
  <c r="Q97" i="36"/>
  <c r="J97" i="36"/>
  <c r="I97" i="36"/>
  <c r="D97" i="36"/>
  <c r="C97" i="36"/>
  <c r="K97" i="36" s="1" a="1"/>
  <c r="K97" i="36" s="1"/>
  <c r="BZ96" i="36"/>
  <c r="BK96" i="36"/>
  <c r="AV96" i="36"/>
  <c r="AG96" i="36"/>
  <c r="Z96" i="36"/>
  <c r="Q96" i="36"/>
  <c r="L96" i="36" a="1"/>
  <c r="L96" i="36" s="1"/>
  <c r="K96" i="36" a="1"/>
  <c r="K96" i="36" s="1"/>
  <c r="J96" i="36"/>
  <c r="I96" i="36"/>
  <c r="D96" i="36"/>
  <c r="C96" i="36"/>
  <c r="BZ95" i="36"/>
  <c r="BK95" i="36"/>
  <c r="AV95" i="36"/>
  <c r="AG95" i="36"/>
  <c r="Z95" i="36"/>
  <c r="Q95" i="36"/>
  <c r="J95" i="36"/>
  <c r="I95" i="36"/>
  <c r="D95" i="36"/>
  <c r="C95" i="36"/>
  <c r="BZ94" i="36"/>
  <c r="BK94" i="36"/>
  <c r="AV94" i="36"/>
  <c r="AG94" i="36"/>
  <c r="Z94" i="36"/>
  <c r="Q94" i="36"/>
  <c r="L94" i="36" a="1"/>
  <c r="L94" i="36" s="1"/>
  <c r="J94" i="36"/>
  <c r="I94" i="36"/>
  <c r="D94" i="36"/>
  <c r="C94" i="36"/>
  <c r="K94" i="36" s="1" a="1"/>
  <c r="K94" i="36" s="1"/>
  <c r="BZ93" i="36"/>
  <c r="BK93" i="36"/>
  <c r="AV93" i="36"/>
  <c r="AG93" i="36"/>
  <c r="Z93" i="36"/>
  <c r="Q93" i="36"/>
  <c r="L93" i="36" a="1"/>
  <c r="L93" i="36" s="1"/>
  <c r="J93" i="36"/>
  <c r="I93" i="36"/>
  <c r="D93" i="36"/>
  <c r="C93" i="36"/>
  <c r="K93" i="36" s="1" a="1"/>
  <c r="K93" i="36" s="1"/>
  <c r="BZ92" i="36"/>
  <c r="BK92" i="36"/>
  <c r="AV92" i="36"/>
  <c r="AG92" i="36"/>
  <c r="Z92" i="36"/>
  <c r="Q92" i="36"/>
  <c r="L92" i="36" a="1"/>
  <c r="L92" i="36" s="1"/>
  <c r="K92" i="36" a="1"/>
  <c r="K92" i="36" s="1"/>
  <c r="J92" i="36"/>
  <c r="I92" i="36"/>
  <c r="D92" i="36"/>
  <c r="C92" i="36"/>
  <c r="BZ91" i="36"/>
  <c r="BK91" i="36"/>
  <c r="AV91" i="36"/>
  <c r="AG91" i="36"/>
  <c r="Z91" i="36"/>
  <c r="Q91" i="36"/>
  <c r="J91" i="36"/>
  <c r="I91" i="36"/>
  <c r="D91" i="36"/>
  <c r="C91" i="36"/>
  <c r="BZ90" i="36"/>
  <c r="BK90" i="36"/>
  <c r="AV90" i="36"/>
  <c r="AG90" i="36"/>
  <c r="Z90" i="36"/>
  <c r="Q90" i="36"/>
  <c r="J90" i="36"/>
  <c r="I90" i="36"/>
  <c r="D90" i="36"/>
  <c r="C90" i="36"/>
  <c r="BZ89" i="36"/>
  <c r="BK89" i="36"/>
  <c r="AV89" i="36"/>
  <c r="AG89" i="36"/>
  <c r="Z89" i="36"/>
  <c r="Q89" i="36"/>
  <c r="L89" i="36" a="1"/>
  <c r="L89" i="36" s="1"/>
  <c r="K89" i="36" a="1"/>
  <c r="K89" i="36" s="1"/>
  <c r="J89" i="36"/>
  <c r="I89" i="36"/>
  <c r="D89" i="36"/>
  <c r="C89" i="36"/>
  <c r="BZ88" i="36"/>
  <c r="BK88" i="36"/>
  <c r="AV88" i="36"/>
  <c r="AG88" i="36"/>
  <c r="Z88" i="36"/>
  <c r="Q88" i="36"/>
  <c r="L88" i="36" a="1"/>
  <c r="L88" i="36" s="1"/>
  <c r="J88" i="36"/>
  <c r="I88" i="36"/>
  <c r="D88" i="36"/>
  <c r="C88" i="36"/>
  <c r="K88" i="36" s="1" a="1"/>
  <c r="K88" i="36" s="1"/>
  <c r="BZ87" i="36"/>
  <c r="BK87" i="36"/>
  <c r="AV87" i="36"/>
  <c r="AG87" i="36"/>
  <c r="Z87" i="36"/>
  <c r="Q87" i="36"/>
  <c r="J87" i="36"/>
  <c r="I87" i="36"/>
  <c r="D87" i="36"/>
  <c r="C87" i="36"/>
  <c r="BZ86" i="36"/>
  <c r="BK86" i="36"/>
  <c r="AV86" i="36"/>
  <c r="AG86" i="36"/>
  <c r="Z86" i="36"/>
  <c r="Q86" i="36"/>
  <c r="J86" i="36"/>
  <c r="I86" i="36"/>
  <c r="D86" i="36"/>
  <c r="C86" i="36"/>
  <c r="BZ85" i="36"/>
  <c r="BK85" i="36"/>
  <c r="AV85" i="36"/>
  <c r="AG85" i="36"/>
  <c r="Z85" i="36"/>
  <c r="Q85" i="36"/>
  <c r="L85" i="36" a="1"/>
  <c r="L85" i="36" s="1"/>
  <c r="J85" i="36"/>
  <c r="I85" i="36"/>
  <c r="D85" i="36"/>
  <c r="C85" i="36"/>
  <c r="K85" i="36" s="1" a="1"/>
  <c r="K85" i="36" s="1"/>
  <c r="BZ84" i="36"/>
  <c r="BK84" i="36"/>
  <c r="AV84" i="36"/>
  <c r="AG84" i="36"/>
  <c r="Z84" i="36"/>
  <c r="Q84" i="36"/>
  <c r="L84" i="36" a="1"/>
  <c r="L84" i="36" s="1"/>
  <c r="K84" i="36" a="1"/>
  <c r="K84" i="36" s="1"/>
  <c r="J84" i="36"/>
  <c r="I84" i="36"/>
  <c r="D84" i="36"/>
  <c r="C84" i="36"/>
  <c r="BZ83" i="36"/>
  <c r="BK83" i="36"/>
  <c r="AV83" i="36"/>
  <c r="AG83" i="36"/>
  <c r="Z83" i="36"/>
  <c r="Q83" i="36"/>
  <c r="J83" i="36"/>
  <c r="I83" i="36"/>
  <c r="D83" i="36"/>
  <c r="C83" i="36"/>
  <c r="BZ82" i="36"/>
  <c r="BK82" i="36"/>
  <c r="AV82" i="36"/>
  <c r="AG82" i="36"/>
  <c r="Z82" i="36"/>
  <c r="Q82" i="36"/>
  <c r="L82" i="36" a="1"/>
  <c r="L82" i="36" s="1"/>
  <c r="J82" i="36"/>
  <c r="I82" i="36"/>
  <c r="D82" i="36"/>
  <c r="C82" i="36"/>
  <c r="K82" i="36" s="1" a="1"/>
  <c r="K82" i="36" s="1"/>
  <c r="BZ81" i="36"/>
  <c r="BK81" i="36"/>
  <c r="AV81" i="36"/>
  <c r="AG81" i="36"/>
  <c r="Z81" i="36"/>
  <c r="Q81" i="36"/>
  <c r="J81" i="36"/>
  <c r="I81" i="36"/>
  <c r="D81" i="36"/>
  <c r="C81" i="36"/>
  <c r="L81" i="36" s="1" a="1"/>
  <c r="L81" i="36" s="1"/>
  <c r="BZ80" i="36"/>
  <c r="BK80" i="36"/>
  <c r="AV80" i="36"/>
  <c r="AG80" i="36"/>
  <c r="Z80" i="36"/>
  <c r="Q80" i="36"/>
  <c r="J80" i="36"/>
  <c r="I80" i="36"/>
  <c r="D80" i="36"/>
  <c r="C80" i="36"/>
  <c r="K80" i="36" s="1" a="1"/>
  <c r="K80" i="36" s="1"/>
  <c r="BZ79" i="36"/>
  <c r="BK79" i="36"/>
  <c r="AV79" i="36"/>
  <c r="AG79" i="36"/>
  <c r="Z79" i="36"/>
  <c r="Q79" i="36"/>
  <c r="J79" i="36"/>
  <c r="I79" i="36"/>
  <c r="D79" i="36"/>
  <c r="C79" i="36"/>
  <c r="BZ78" i="36"/>
  <c r="BK78" i="36"/>
  <c r="AV78" i="36"/>
  <c r="AG78" i="36"/>
  <c r="Z78" i="36"/>
  <c r="Q78" i="36"/>
  <c r="J78" i="36"/>
  <c r="I78" i="36"/>
  <c r="D78" i="36"/>
  <c r="C78" i="36"/>
  <c r="BZ77" i="36"/>
  <c r="BK77" i="36"/>
  <c r="AV77" i="36"/>
  <c r="AG77" i="36"/>
  <c r="Z77" i="36"/>
  <c r="Q77" i="36"/>
  <c r="L77" i="36" a="1"/>
  <c r="L77" i="36" s="1"/>
  <c r="J77" i="36"/>
  <c r="I77" i="36"/>
  <c r="D77" i="36"/>
  <c r="C77" i="36"/>
  <c r="K77" i="36" s="1" a="1"/>
  <c r="K77" i="36" s="1"/>
  <c r="BZ76" i="36"/>
  <c r="BK76" i="36"/>
  <c r="AV76" i="36"/>
  <c r="AG76" i="36"/>
  <c r="Z76" i="36"/>
  <c r="Q76" i="36"/>
  <c r="L76" i="36" a="1"/>
  <c r="L76" i="36" s="1"/>
  <c r="K76" i="36" a="1"/>
  <c r="K76" i="36" s="1"/>
  <c r="J76" i="36"/>
  <c r="I76" i="36"/>
  <c r="D76" i="36"/>
  <c r="C76" i="36"/>
  <c r="BZ75" i="36"/>
  <c r="BK75" i="36"/>
  <c r="AV75" i="36"/>
  <c r="AG75" i="36"/>
  <c r="Z75" i="36"/>
  <c r="Q75" i="36"/>
  <c r="J75" i="36"/>
  <c r="I75" i="36"/>
  <c r="D75" i="36"/>
  <c r="C75" i="36"/>
  <c r="BZ74" i="36"/>
  <c r="BK74" i="36"/>
  <c r="AV74" i="36"/>
  <c r="AG74" i="36"/>
  <c r="Z74" i="36"/>
  <c r="Q74" i="36"/>
  <c r="J74" i="36"/>
  <c r="I74" i="36"/>
  <c r="D74" i="36"/>
  <c r="C74" i="36"/>
  <c r="BZ73" i="36"/>
  <c r="BK73" i="36"/>
  <c r="AV73" i="36"/>
  <c r="AG73" i="36"/>
  <c r="Z73" i="36"/>
  <c r="Q73" i="36"/>
  <c r="J73" i="36"/>
  <c r="I73" i="36"/>
  <c r="D73" i="36"/>
  <c r="C73" i="36"/>
  <c r="BZ72" i="36"/>
  <c r="BK72" i="36"/>
  <c r="AV72" i="36"/>
  <c r="AG72" i="36"/>
  <c r="Z72" i="36"/>
  <c r="Q72" i="36"/>
  <c r="K72" i="36" a="1"/>
  <c r="K72" i="36" s="1"/>
  <c r="J72" i="36"/>
  <c r="I72" i="36"/>
  <c r="D72" i="36"/>
  <c r="C72" i="36"/>
  <c r="L72" i="36" s="1" a="1"/>
  <c r="L72" i="36" s="1"/>
  <c r="BZ71" i="36"/>
  <c r="BK71" i="36"/>
  <c r="AV71" i="36"/>
  <c r="AG71" i="36"/>
  <c r="Z71" i="36"/>
  <c r="Q71" i="36"/>
  <c r="L71" i="36" a="1"/>
  <c r="L71" i="36" s="1"/>
  <c r="J71" i="36"/>
  <c r="I71" i="36"/>
  <c r="D71" i="36"/>
  <c r="C71" i="36"/>
  <c r="K71" i="36" s="1" a="1"/>
  <c r="K71" i="36" s="1"/>
  <c r="BZ70" i="36"/>
  <c r="BK70" i="36"/>
  <c r="AV70" i="36"/>
  <c r="AG70" i="36"/>
  <c r="Z70" i="36"/>
  <c r="Q70" i="36"/>
  <c r="K70" i="36" a="1"/>
  <c r="K70" i="36" s="1"/>
  <c r="J70" i="36"/>
  <c r="I70" i="36"/>
  <c r="D70" i="36"/>
  <c r="C70" i="36"/>
  <c r="L70" i="36" s="1" a="1"/>
  <c r="L70" i="36" s="1"/>
  <c r="BZ69" i="36"/>
  <c r="BK69" i="36"/>
  <c r="AV69" i="36"/>
  <c r="AG69" i="36"/>
  <c r="Z69" i="36"/>
  <c r="Q69" i="36"/>
  <c r="J69" i="36"/>
  <c r="I69" i="36"/>
  <c r="D69" i="36"/>
  <c r="C69" i="36"/>
  <c r="BZ68" i="36"/>
  <c r="BK68" i="36"/>
  <c r="AV68" i="36"/>
  <c r="AG68" i="36"/>
  <c r="Z68" i="36"/>
  <c r="Q68" i="36"/>
  <c r="J68" i="36"/>
  <c r="I68" i="36"/>
  <c r="D68" i="36"/>
  <c r="C68" i="36"/>
  <c r="L68" i="36" s="1" a="1"/>
  <c r="L68" i="36" s="1"/>
  <c r="BZ67" i="36"/>
  <c r="BK67" i="36"/>
  <c r="AV67" i="36"/>
  <c r="AG67" i="36"/>
  <c r="Z67" i="36"/>
  <c r="Q67" i="36"/>
  <c r="L67" i="36" a="1"/>
  <c r="L67" i="36" s="1"/>
  <c r="K67" i="36" a="1"/>
  <c r="K67" i="36" s="1"/>
  <c r="J67" i="36"/>
  <c r="I67" i="36"/>
  <c r="D67" i="36"/>
  <c r="C67" i="36"/>
  <c r="BZ66" i="36"/>
  <c r="BK66" i="36"/>
  <c r="AV66" i="36"/>
  <c r="AG66" i="36"/>
  <c r="Z66" i="36"/>
  <c r="Q66" i="36"/>
  <c r="J66" i="36"/>
  <c r="I66" i="36"/>
  <c r="D66" i="36"/>
  <c r="C66" i="36"/>
  <c r="K66" i="36" s="1" a="1"/>
  <c r="K66" i="36" s="1"/>
  <c r="BZ65" i="36"/>
  <c r="BK65" i="36"/>
  <c r="AV65" i="36"/>
  <c r="AG65" i="36"/>
  <c r="Z65" i="36"/>
  <c r="Q65" i="36"/>
  <c r="J65" i="36"/>
  <c r="I65" i="36"/>
  <c r="D65" i="36"/>
  <c r="C65" i="36"/>
  <c r="BZ64" i="36"/>
  <c r="BK64" i="36"/>
  <c r="AV64" i="36"/>
  <c r="AG64" i="36"/>
  <c r="Z64" i="36"/>
  <c r="Q64" i="36"/>
  <c r="J64" i="36"/>
  <c r="I64" i="36"/>
  <c r="D64" i="36"/>
  <c r="C64" i="36"/>
  <c r="L64" i="36" s="1" a="1"/>
  <c r="L64" i="36" s="1"/>
  <c r="BZ63" i="36"/>
  <c r="BK63" i="36"/>
  <c r="AV63" i="36"/>
  <c r="AG63" i="36"/>
  <c r="Z63" i="36"/>
  <c r="Q63" i="36"/>
  <c r="L63" i="36" a="1"/>
  <c r="L63" i="36" s="1"/>
  <c r="K63" i="36" a="1"/>
  <c r="K63" i="36" s="1"/>
  <c r="J63" i="36"/>
  <c r="I63" i="36"/>
  <c r="D63" i="36"/>
  <c r="C63" i="36"/>
  <c r="BZ62" i="36"/>
  <c r="BK62" i="36"/>
  <c r="AV62" i="36"/>
  <c r="AG62" i="36"/>
  <c r="Z62" i="36"/>
  <c r="Q62" i="36"/>
  <c r="L62" i="36" a="1"/>
  <c r="L62" i="36" s="1"/>
  <c r="J62" i="36"/>
  <c r="I62" i="36"/>
  <c r="D62" i="36"/>
  <c r="C62" i="36"/>
  <c r="K62" i="36" s="1" a="1"/>
  <c r="K62" i="36" s="1"/>
  <c r="BZ61" i="36"/>
  <c r="BK61" i="36"/>
  <c r="AV61" i="36"/>
  <c r="AG61" i="36"/>
  <c r="Z61" i="36"/>
  <c r="Q61" i="36"/>
  <c r="J61" i="36"/>
  <c r="I61" i="36"/>
  <c r="D61" i="36"/>
  <c r="C61" i="36"/>
  <c r="BZ60" i="36"/>
  <c r="BK60" i="36"/>
  <c r="AV60" i="36"/>
  <c r="AG60" i="36"/>
  <c r="Z60" i="36"/>
  <c r="Q60" i="36"/>
  <c r="J60" i="36"/>
  <c r="I60" i="36"/>
  <c r="D60" i="36"/>
  <c r="C60" i="36"/>
  <c r="BZ59" i="36"/>
  <c r="BK59" i="36"/>
  <c r="AV59" i="36"/>
  <c r="AG59" i="36"/>
  <c r="Z59" i="36"/>
  <c r="Q59" i="36"/>
  <c r="L59" i="36" a="1"/>
  <c r="L59" i="36" s="1"/>
  <c r="J59" i="36"/>
  <c r="I59" i="36"/>
  <c r="D59" i="36"/>
  <c r="C59" i="36"/>
  <c r="K59" i="36" s="1" a="1"/>
  <c r="K59" i="36" s="1"/>
  <c r="BZ58" i="36"/>
  <c r="BK58" i="36"/>
  <c r="AV58" i="36"/>
  <c r="AG58" i="36"/>
  <c r="Z58" i="36"/>
  <c r="Q58" i="36"/>
  <c r="L58" i="36" a="1"/>
  <c r="L58" i="36" s="1"/>
  <c r="K58" i="36" a="1"/>
  <c r="K58" i="36" s="1"/>
  <c r="J58" i="36"/>
  <c r="I58" i="36"/>
  <c r="D58" i="36"/>
  <c r="C58" i="36"/>
  <c r="BZ57" i="36"/>
  <c r="BK57" i="36"/>
  <c r="AV57" i="36"/>
  <c r="AG57" i="36"/>
  <c r="Z57" i="36"/>
  <c r="Q57" i="36"/>
  <c r="J57" i="36"/>
  <c r="I57" i="36"/>
  <c r="D57" i="36"/>
  <c r="C57" i="36"/>
  <c r="BZ56" i="36"/>
  <c r="BK56" i="36"/>
  <c r="AV56" i="36"/>
  <c r="AG56" i="36"/>
  <c r="Z56" i="36"/>
  <c r="Q56" i="36"/>
  <c r="J56" i="36"/>
  <c r="I56" i="36"/>
  <c r="D56" i="36"/>
  <c r="C56" i="36"/>
  <c r="BZ55" i="36"/>
  <c r="BK55" i="36"/>
  <c r="AV55" i="36"/>
  <c r="AG55" i="36"/>
  <c r="Z55" i="36"/>
  <c r="Q55" i="36"/>
  <c r="L55" i="36" a="1"/>
  <c r="L55" i="36" s="1"/>
  <c r="K55" i="36" a="1"/>
  <c r="K55" i="36" s="1"/>
  <c r="J55" i="36"/>
  <c r="I55" i="36"/>
  <c r="D55" i="36"/>
  <c r="C55" i="36"/>
  <c r="BZ54" i="36"/>
  <c r="BK54" i="36"/>
  <c r="AV54" i="36"/>
  <c r="AG54" i="36"/>
  <c r="Z54" i="36"/>
  <c r="Q54" i="36"/>
  <c r="L54" i="36" a="1"/>
  <c r="L54" i="36" s="1"/>
  <c r="J54" i="36"/>
  <c r="I54" i="36"/>
  <c r="D54" i="36"/>
  <c r="C54" i="36"/>
  <c r="K54" i="36" s="1" a="1"/>
  <c r="K54" i="36" s="1"/>
  <c r="BZ53" i="36"/>
  <c r="BK53" i="36"/>
  <c r="AV53" i="36"/>
  <c r="AG53" i="36"/>
  <c r="Z53" i="36"/>
  <c r="Q53" i="36"/>
  <c r="J53" i="36"/>
  <c r="I53" i="36"/>
  <c r="D53" i="36"/>
  <c r="C53" i="36"/>
  <c r="BZ52" i="36"/>
  <c r="BK52" i="36"/>
  <c r="AV52" i="36"/>
  <c r="AG52" i="36"/>
  <c r="Z52" i="36"/>
  <c r="Q52" i="36"/>
  <c r="J52" i="36"/>
  <c r="I52" i="36"/>
  <c r="D52" i="36"/>
  <c r="C52" i="36"/>
  <c r="BZ51" i="36"/>
  <c r="BK51" i="36"/>
  <c r="AV51" i="36"/>
  <c r="AG51" i="36"/>
  <c r="Z51" i="36"/>
  <c r="Q51" i="36"/>
  <c r="L51" i="36" a="1"/>
  <c r="L51" i="36" s="1"/>
  <c r="J51" i="36"/>
  <c r="I51" i="36"/>
  <c r="D51" i="36"/>
  <c r="C51" i="36"/>
  <c r="K51" i="36" s="1" a="1"/>
  <c r="K51" i="36" s="1"/>
  <c r="BZ50" i="36"/>
  <c r="BK50" i="36"/>
  <c r="AV50" i="36"/>
  <c r="AG50" i="36"/>
  <c r="Z50" i="36"/>
  <c r="Q50" i="36"/>
  <c r="L50" i="36" a="1"/>
  <c r="L50" i="36" s="1"/>
  <c r="K50" i="36" a="1"/>
  <c r="K50" i="36" s="1"/>
  <c r="J50" i="36"/>
  <c r="I50" i="36"/>
  <c r="D50" i="36"/>
  <c r="C50" i="36"/>
  <c r="BZ49" i="36"/>
  <c r="BK49" i="36"/>
  <c r="AV49" i="36"/>
  <c r="AG49" i="36"/>
  <c r="Z49" i="36"/>
  <c r="Q49" i="36"/>
  <c r="K49" i="36" a="1"/>
  <c r="K49" i="36" s="1"/>
  <c r="J49" i="36"/>
  <c r="I49" i="36"/>
  <c r="D49" i="36"/>
  <c r="C49" i="36"/>
  <c r="L49" i="36" s="1" a="1"/>
  <c r="L49" i="36" s="1"/>
  <c r="BZ48" i="36"/>
  <c r="BK48" i="36"/>
  <c r="AV48" i="36"/>
  <c r="AG48" i="36"/>
  <c r="Z48" i="36"/>
  <c r="Q48" i="36"/>
  <c r="J48" i="36"/>
  <c r="I48" i="36"/>
  <c r="D48" i="36"/>
  <c r="C48" i="36"/>
  <c r="K48" i="36" s="1" a="1"/>
  <c r="K48" i="36" s="1"/>
  <c r="BZ47" i="36"/>
  <c r="BK47" i="36"/>
  <c r="AV47" i="36"/>
  <c r="AG47" i="36"/>
  <c r="Z47" i="36"/>
  <c r="Q47" i="36"/>
  <c r="J47" i="36"/>
  <c r="I47" i="36"/>
  <c r="D47" i="36"/>
  <c r="C47" i="36"/>
  <c r="L47" i="36" s="1" a="1"/>
  <c r="L47" i="36" s="1"/>
  <c r="BZ46" i="36"/>
  <c r="BK46" i="36"/>
  <c r="AV46" i="36"/>
  <c r="AG46" i="36"/>
  <c r="Z46" i="36"/>
  <c r="Q46" i="36"/>
  <c r="J46" i="36"/>
  <c r="I46" i="36"/>
  <c r="D46" i="36"/>
  <c r="C46" i="36"/>
  <c r="L46" i="36" s="1" a="1"/>
  <c r="L46" i="36" s="1"/>
  <c r="BZ45" i="36"/>
  <c r="BK45" i="36"/>
  <c r="AV45" i="36"/>
  <c r="AG45" i="36"/>
  <c r="Z45" i="36"/>
  <c r="Q45" i="36"/>
  <c r="J45" i="36"/>
  <c r="I45" i="36"/>
  <c r="D45" i="36"/>
  <c r="C45" i="36"/>
  <c r="K45" i="36" s="1" a="1"/>
  <c r="K45" i="36" s="1"/>
  <c r="BZ44" i="36"/>
  <c r="BK44" i="36"/>
  <c r="AV44" i="36"/>
  <c r="AG44" i="36"/>
  <c r="Z44" i="36"/>
  <c r="Q44" i="36"/>
  <c r="J44" i="36"/>
  <c r="I44" i="36"/>
  <c r="D44" i="36"/>
  <c r="C44" i="36"/>
  <c r="BZ43" i="36"/>
  <c r="BK43" i="36"/>
  <c r="AV43" i="36"/>
  <c r="AG43" i="36"/>
  <c r="Z43" i="36"/>
  <c r="Q43" i="36"/>
  <c r="J43" i="36"/>
  <c r="I43" i="36"/>
  <c r="D43" i="36"/>
  <c r="C43" i="36"/>
  <c r="BZ42" i="36"/>
  <c r="BK42" i="36"/>
  <c r="AV42" i="36"/>
  <c r="AG42" i="36"/>
  <c r="Z42" i="36"/>
  <c r="Q42" i="36"/>
  <c r="L42" i="36" a="1"/>
  <c r="L42" i="36" s="1"/>
  <c r="J42" i="36"/>
  <c r="I42" i="36"/>
  <c r="D42" i="36"/>
  <c r="C42" i="36"/>
  <c r="K42" i="36" s="1" a="1"/>
  <c r="K42" i="36" s="1"/>
  <c r="BZ41" i="36"/>
  <c r="BK41" i="36"/>
  <c r="AV41" i="36"/>
  <c r="AG41" i="36"/>
  <c r="Z41" i="36"/>
  <c r="Q41" i="36"/>
  <c r="J41" i="36"/>
  <c r="I41" i="36"/>
  <c r="D41" i="36"/>
  <c r="C41" i="36"/>
  <c r="K41" i="36" s="1" a="1"/>
  <c r="K41" i="36" s="1"/>
  <c r="BZ40" i="36"/>
  <c r="BK40" i="36"/>
  <c r="AV40" i="36"/>
  <c r="AG40" i="36"/>
  <c r="Z40" i="36"/>
  <c r="Q40" i="36"/>
  <c r="J40" i="36"/>
  <c r="I40" i="36"/>
  <c r="D40" i="36"/>
  <c r="C40" i="36"/>
  <c r="BZ39" i="36"/>
  <c r="BK39" i="36"/>
  <c r="AV39" i="36"/>
  <c r="AG39" i="36"/>
  <c r="Z39" i="36"/>
  <c r="Q39" i="36"/>
  <c r="J39" i="36"/>
  <c r="I39" i="36"/>
  <c r="D39" i="36"/>
  <c r="C39" i="36"/>
  <c r="BZ38" i="36"/>
  <c r="BK38" i="36"/>
  <c r="AV38" i="36"/>
  <c r="AG38" i="36"/>
  <c r="Z38" i="36"/>
  <c r="Q38" i="36"/>
  <c r="J38" i="36"/>
  <c r="I38" i="36"/>
  <c r="D38" i="36"/>
  <c r="C38" i="36"/>
  <c r="L38" i="36" s="1" a="1"/>
  <c r="L38" i="36" s="1"/>
  <c r="BZ37" i="36"/>
  <c r="BK37" i="36"/>
  <c r="AV37" i="36"/>
  <c r="AG37" i="36"/>
  <c r="Z37" i="36"/>
  <c r="Q37" i="36"/>
  <c r="J37" i="36"/>
  <c r="I37" i="36"/>
  <c r="D37" i="36"/>
  <c r="C37" i="36"/>
  <c r="K37" i="36" s="1" a="1"/>
  <c r="K37" i="36" s="1"/>
  <c r="BZ36" i="36"/>
  <c r="BK36" i="36"/>
  <c r="AV36" i="36"/>
  <c r="AG36" i="36"/>
  <c r="Z36" i="36"/>
  <c r="Q36" i="36"/>
  <c r="J36" i="36"/>
  <c r="I36" i="36"/>
  <c r="D36" i="36"/>
  <c r="C36" i="36"/>
  <c r="BZ35" i="36"/>
  <c r="BK35" i="36"/>
  <c r="AV35" i="36"/>
  <c r="AG35" i="36"/>
  <c r="Z35" i="36"/>
  <c r="Q35" i="36"/>
  <c r="K35" i="36" a="1"/>
  <c r="K35" i="36" s="1"/>
  <c r="J35" i="36"/>
  <c r="I35" i="36"/>
  <c r="D35" i="36"/>
  <c r="C35" i="36"/>
  <c r="L35" i="36" s="1" a="1"/>
  <c r="L35" i="36" s="1"/>
  <c r="BZ34" i="36"/>
  <c r="BK34" i="36"/>
  <c r="AV34" i="36"/>
  <c r="AG34" i="36"/>
  <c r="Z34" i="36"/>
  <c r="Q34" i="36"/>
  <c r="J34" i="36"/>
  <c r="I34" i="36"/>
  <c r="D34" i="36"/>
  <c r="C34" i="36"/>
  <c r="BZ33" i="36"/>
  <c r="BK33" i="36"/>
  <c r="AV33" i="36"/>
  <c r="AG33" i="36"/>
  <c r="Z33" i="36"/>
  <c r="Q33" i="36"/>
  <c r="J33" i="36"/>
  <c r="I33" i="36"/>
  <c r="D33" i="36"/>
  <c r="C33" i="36"/>
  <c r="K33" i="36" s="1" a="1"/>
  <c r="K33" i="36" s="1"/>
  <c r="BZ32" i="36"/>
  <c r="BK32" i="36"/>
  <c r="AV32" i="36"/>
  <c r="AG32" i="36"/>
  <c r="Z32" i="36"/>
  <c r="Q32" i="36"/>
  <c r="K32" i="36" a="1"/>
  <c r="K32" i="36" s="1"/>
  <c r="J32" i="36"/>
  <c r="I32" i="36"/>
  <c r="D32" i="36"/>
  <c r="C32" i="36"/>
  <c r="L32" i="36" s="1" a="1"/>
  <c r="L32" i="36" s="1"/>
  <c r="BZ31" i="36"/>
  <c r="BK31" i="36"/>
  <c r="AV31" i="36"/>
  <c r="AG31" i="36"/>
  <c r="Z31" i="36"/>
  <c r="Q31" i="36"/>
  <c r="J31" i="36"/>
  <c r="I31" i="36"/>
  <c r="D31" i="36"/>
  <c r="C31" i="36"/>
  <c r="K31" i="36" s="1" a="1"/>
  <c r="K31" i="36" s="1"/>
  <c r="BZ30" i="36"/>
  <c r="BK30" i="36"/>
  <c r="AV30" i="36"/>
  <c r="AG30" i="36"/>
  <c r="Z30" i="36"/>
  <c r="Q30" i="36"/>
  <c r="J30" i="36"/>
  <c r="I30" i="36"/>
  <c r="D30" i="36"/>
  <c r="C30" i="36"/>
  <c r="BZ29" i="36"/>
  <c r="BK29" i="36"/>
  <c r="AV29" i="36"/>
  <c r="AG29" i="36"/>
  <c r="Z29" i="36"/>
  <c r="Q29" i="36"/>
  <c r="J29" i="36"/>
  <c r="I29" i="36"/>
  <c r="D29" i="36"/>
  <c r="C29" i="36"/>
  <c r="K29" i="36" s="1" a="1"/>
  <c r="K29" i="36" s="1"/>
  <c r="BZ28" i="36"/>
  <c r="BK28" i="36"/>
  <c r="AV28" i="36"/>
  <c r="AG28" i="36"/>
  <c r="Z28" i="36"/>
  <c r="Q28" i="36"/>
  <c r="L28" i="36" a="1"/>
  <c r="L28" i="36" s="1"/>
  <c r="K28" i="36" a="1"/>
  <c r="K28" i="36" s="1"/>
  <c r="J28" i="36"/>
  <c r="I28" i="36"/>
  <c r="D28" i="36"/>
  <c r="C28" i="36"/>
  <c r="BZ27" i="36"/>
  <c r="BK27" i="36"/>
  <c r="AV27" i="36"/>
  <c r="AG27" i="36"/>
  <c r="Z27" i="36"/>
  <c r="Q27" i="36"/>
  <c r="K27" i="36" a="1"/>
  <c r="K27" i="36" s="1"/>
  <c r="J27" i="36"/>
  <c r="I27" i="36"/>
  <c r="D27" i="36"/>
  <c r="C27" i="36"/>
  <c r="BZ26" i="36"/>
  <c r="BK26" i="36"/>
  <c r="AV26" i="36"/>
  <c r="AG26" i="36"/>
  <c r="Z26" i="36"/>
  <c r="Q26" i="36"/>
  <c r="J26" i="36"/>
  <c r="I26" i="36"/>
  <c r="D26" i="36"/>
  <c r="C26" i="36"/>
  <c r="BZ25" i="36"/>
  <c r="BK25" i="36"/>
  <c r="AV25" i="36"/>
  <c r="AG25" i="36"/>
  <c r="Z25" i="36"/>
  <c r="Q25" i="36"/>
  <c r="L25" i="36" a="1"/>
  <c r="L25" i="36" s="1"/>
  <c r="J25" i="36"/>
  <c r="I25" i="36"/>
  <c r="D25" i="36"/>
  <c r="C25" i="36"/>
  <c r="K25" i="36" s="1" a="1"/>
  <c r="K25" i="36" s="1"/>
  <c r="BZ24" i="36"/>
  <c r="BK24" i="36"/>
  <c r="AV24" i="36"/>
  <c r="AG24" i="36"/>
  <c r="Z24" i="36"/>
  <c r="Q24" i="36"/>
  <c r="L24" i="36" a="1"/>
  <c r="L24" i="36" s="1"/>
  <c r="J24" i="36"/>
  <c r="I24" i="36"/>
  <c r="D24" i="36"/>
  <c r="C24" i="36"/>
  <c r="K24" i="36" s="1" a="1"/>
  <c r="K24" i="36" s="1"/>
  <c r="BZ23" i="36"/>
  <c r="BK23" i="36"/>
  <c r="AV23" i="36"/>
  <c r="AG23" i="36"/>
  <c r="Z23" i="36"/>
  <c r="Q23" i="36"/>
  <c r="J23" i="36"/>
  <c r="I23" i="36"/>
  <c r="D23" i="36"/>
  <c r="C23" i="36"/>
  <c r="K23" i="36" s="1" a="1"/>
  <c r="K23" i="36" s="1"/>
  <c r="BZ22" i="36"/>
  <c r="BK22" i="36"/>
  <c r="AV22" i="36"/>
  <c r="AG22" i="36"/>
  <c r="Z22" i="36"/>
  <c r="Q22" i="36"/>
  <c r="J22" i="36"/>
  <c r="I22" i="36"/>
  <c r="D22" i="36"/>
  <c r="C22" i="36"/>
  <c r="BZ21" i="36"/>
  <c r="BK21" i="36"/>
  <c r="AV21" i="36"/>
  <c r="AG21" i="36"/>
  <c r="Z21" i="36"/>
  <c r="Q21" i="36"/>
  <c r="J21" i="36"/>
  <c r="I21" i="36"/>
  <c r="D21" i="36"/>
  <c r="C21" i="36"/>
  <c r="K21" i="36" s="1" a="1"/>
  <c r="K21" i="36" s="1"/>
  <c r="BZ20" i="36"/>
  <c r="BK20" i="36"/>
  <c r="AV20" i="36"/>
  <c r="AG20" i="36"/>
  <c r="Z20" i="36"/>
  <c r="Q20" i="36"/>
  <c r="L20" i="36" a="1"/>
  <c r="L20" i="36" s="1"/>
  <c r="K20" i="36" a="1"/>
  <c r="K20" i="36" s="1"/>
  <c r="J20" i="36"/>
  <c r="I20" i="36"/>
  <c r="D20" i="36"/>
  <c r="C20" i="36"/>
  <c r="BZ19" i="36"/>
  <c r="BK19" i="36"/>
  <c r="AV19" i="36"/>
  <c r="AG19" i="36"/>
  <c r="Z19" i="36"/>
  <c r="Q19" i="36"/>
  <c r="K19" i="36" a="1"/>
  <c r="K19" i="36" s="1"/>
  <c r="J19" i="36"/>
  <c r="I19" i="36"/>
  <c r="D19" i="36"/>
  <c r="C19" i="36"/>
  <c r="BZ18" i="36"/>
  <c r="BK18" i="36"/>
  <c r="AV18" i="36"/>
  <c r="AG18" i="36"/>
  <c r="Z18" i="36"/>
  <c r="Q18" i="36"/>
  <c r="J18" i="36"/>
  <c r="I18" i="36"/>
  <c r="D18" i="36"/>
  <c r="C18" i="36"/>
  <c r="BZ17" i="36"/>
  <c r="BK17" i="36"/>
  <c r="AV17" i="36"/>
  <c r="AG17" i="36"/>
  <c r="Z17" i="36"/>
  <c r="Q17" i="36"/>
  <c r="L17" i="36" a="1"/>
  <c r="L17" i="36" s="1"/>
  <c r="J17" i="36"/>
  <c r="I17" i="36"/>
  <c r="D17" i="36"/>
  <c r="C17" i="36"/>
  <c r="K17" i="36" s="1" a="1"/>
  <c r="K17" i="36" s="1"/>
  <c r="BZ16" i="36"/>
  <c r="BK16" i="36"/>
  <c r="AV16" i="36"/>
  <c r="AG16" i="36"/>
  <c r="Z16" i="36"/>
  <c r="Q16" i="36"/>
  <c r="L16" i="36" a="1"/>
  <c r="L16" i="36" s="1"/>
  <c r="J16" i="36"/>
  <c r="I16" i="36"/>
  <c r="D16" i="36"/>
  <c r="C16" i="36"/>
  <c r="K16" i="36" s="1" a="1"/>
  <c r="K16" i="36" s="1"/>
  <c r="BZ15" i="36"/>
  <c r="BW15" i="36"/>
  <c r="BV15" i="36"/>
  <c r="BK15" i="36"/>
  <c r="BH15" i="36"/>
  <c r="BG15" i="36"/>
  <c r="AV15" i="36"/>
  <c r="AS15" i="36"/>
  <c r="AR15" i="36"/>
  <c r="AG15" i="36"/>
  <c r="Z15" i="36"/>
  <c r="Q15" i="36"/>
  <c r="K15" i="36" a="1"/>
  <c r="K15" i="36" s="1"/>
  <c r="J15" i="36"/>
  <c r="I15" i="36"/>
  <c r="D15" i="36"/>
  <c r="C15" i="36"/>
  <c r="BU14" i="36"/>
  <c r="BT14" i="36"/>
  <c r="BQ14" i="36"/>
  <c r="BP14" i="36"/>
  <c r="BO14" i="36"/>
  <c r="BN14" i="36"/>
  <c r="BM14" i="36"/>
  <c r="BL14" i="36"/>
  <c r="BF14" i="36"/>
  <c r="BE14" i="36"/>
  <c r="BB14" i="36"/>
  <c r="BA14" i="36"/>
  <c r="AZ14" i="36"/>
  <c r="AY14" i="36"/>
  <c r="AW14" i="36"/>
  <c r="AM14" i="36"/>
  <c r="AL14" i="36"/>
  <c r="AK14" i="36"/>
  <c r="AJ14" i="36"/>
  <c r="AI14" i="36"/>
  <c r="AH14" i="36"/>
  <c r="S14" i="36"/>
  <c r="R14" i="36"/>
  <c r="H14" i="36"/>
  <c r="G14" i="36"/>
  <c r="F14" i="36"/>
  <c r="U14" i="36" s="1"/>
  <c r="E14" i="36"/>
  <c r="T14" i="36" s="1"/>
  <c r="P3" i="36"/>
  <c r="AN15" i="36" s="1"/>
  <c r="B2" i="36" a="1"/>
  <c r="B2" i="36" s="1"/>
  <c r="C485" i="31"/>
  <c r="C164" i="31"/>
  <c r="C580" i="31"/>
  <c r="D31" i="3" l="1"/>
  <c r="I14" i="48"/>
  <c r="D30" i="3"/>
  <c r="D29" i="3"/>
  <c r="J14" i="47"/>
  <c r="I14" i="47"/>
  <c r="D28" i="3"/>
  <c r="D26" i="3"/>
  <c r="D25" i="3"/>
  <c r="K51" i="41" a="1"/>
  <c r="K51" i="41" s="1"/>
  <c r="L76" i="41" a="1"/>
  <c r="L76" i="41" s="1"/>
  <c r="AO120" i="41"/>
  <c r="AO124" i="41"/>
  <c r="AW14" i="41"/>
  <c r="K39" i="41" a="1"/>
  <c r="K39" i="41" s="1"/>
  <c r="K119" i="41" a="1"/>
  <c r="K119" i="41" s="1"/>
  <c r="O119" i="41" s="1"/>
  <c r="K123" i="41" a="1"/>
  <c r="K123" i="41" s="1"/>
  <c r="D23" i="3"/>
  <c r="D22" i="3"/>
  <c r="D19" i="3"/>
  <c r="D18" i="3"/>
  <c r="BR19" i="49"/>
  <c r="BV103" i="49"/>
  <c r="BR111" i="49"/>
  <c r="BL14" i="49"/>
  <c r="BV14" i="49" s="1"/>
  <c r="BR39" i="49"/>
  <c r="BV59" i="49"/>
  <c r="BR79" i="49"/>
  <c r="BR107" i="49"/>
  <c r="BR115" i="49"/>
  <c r="BR123" i="49"/>
  <c r="BR47" i="49"/>
  <c r="BR83" i="49"/>
  <c r="BR99" i="49"/>
  <c r="BR119" i="49"/>
  <c r="BR27" i="49"/>
  <c r="BR35" i="49"/>
  <c r="BR55" i="49"/>
  <c r="BR63" i="49"/>
  <c r="BR87" i="49"/>
  <c r="BR31" i="49"/>
  <c r="BR43" i="49"/>
  <c r="BR51" i="49"/>
  <c r="BD83" i="49"/>
  <c r="BD99" i="49"/>
  <c r="BD39" i="49"/>
  <c r="BD107" i="49"/>
  <c r="BD111" i="49"/>
  <c r="BD59" i="49"/>
  <c r="BD63" i="49"/>
  <c r="BD119" i="49"/>
  <c r="BD31" i="49"/>
  <c r="BD35" i="49"/>
  <c r="BH43" i="49"/>
  <c r="BH71" i="49"/>
  <c r="BH75" i="49"/>
  <c r="BD91" i="49"/>
  <c r="BD95" i="49"/>
  <c r="BH123" i="49"/>
  <c r="BD23" i="49"/>
  <c r="BD51" i="49"/>
  <c r="BD55" i="49"/>
  <c r="BD79" i="49"/>
  <c r="BD87" i="49"/>
  <c r="BD103" i="49"/>
  <c r="BH19" i="49"/>
  <c r="AO27" i="49"/>
  <c r="AS31" i="49"/>
  <c r="AO43" i="49"/>
  <c r="AS51" i="49"/>
  <c r="AS59" i="49"/>
  <c r="AO63" i="49"/>
  <c r="AS67" i="49"/>
  <c r="AO83" i="49"/>
  <c r="AS91" i="49"/>
  <c r="AS99" i="49"/>
  <c r="AO119" i="49"/>
  <c r="AO79" i="49"/>
  <c r="AO115" i="49"/>
  <c r="AO123" i="49"/>
  <c r="AO23" i="49"/>
  <c r="AO19" i="49"/>
  <c r="AO71" i="49"/>
  <c r="AO103" i="49"/>
  <c r="AO107" i="49"/>
  <c r="AI14" i="49"/>
  <c r="AO14" i="49" s="1"/>
  <c r="BW23" i="48"/>
  <c r="BW71" i="48"/>
  <c r="BW111" i="48"/>
  <c r="BS35" i="48"/>
  <c r="BS55" i="48"/>
  <c r="BS67" i="48"/>
  <c r="BS75" i="48"/>
  <c r="BS99" i="48"/>
  <c r="BS19" i="48"/>
  <c r="BS27" i="48"/>
  <c r="BS43" i="48"/>
  <c r="BS47" i="48"/>
  <c r="BS107" i="48"/>
  <c r="BS87" i="48"/>
  <c r="BM14" i="48"/>
  <c r="BW14" i="48" s="1"/>
  <c r="BS51" i="48"/>
  <c r="BS63" i="48"/>
  <c r="BS79" i="48"/>
  <c r="BS115" i="48"/>
  <c r="BS123" i="48"/>
  <c r="BG19" i="48"/>
  <c r="BG31" i="48"/>
  <c r="BC43" i="48"/>
  <c r="BC71" i="48"/>
  <c r="BG83" i="48"/>
  <c r="BC99" i="48"/>
  <c r="BG119" i="48"/>
  <c r="BC91" i="48"/>
  <c r="BC95" i="48"/>
  <c r="BC111" i="48"/>
  <c r="AW14" i="48"/>
  <c r="BG14" i="48" s="1"/>
  <c r="BC63" i="48"/>
  <c r="BC23" i="48"/>
  <c r="BC35" i="48"/>
  <c r="BC55" i="48"/>
  <c r="BC59" i="48"/>
  <c r="BC87" i="48"/>
  <c r="BC107" i="48"/>
  <c r="BC51" i="48"/>
  <c r="BC75" i="48"/>
  <c r="BC123" i="48"/>
  <c r="BD14" i="48"/>
  <c r="AN19" i="48"/>
  <c r="AR27" i="48"/>
  <c r="AR55" i="48"/>
  <c r="AN63" i="48"/>
  <c r="AR75" i="48"/>
  <c r="AR103" i="48"/>
  <c r="AR115" i="48"/>
  <c r="AR123" i="48"/>
  <c r="AR19" i="48"/>
  <c r="AN83" i="48"/>
  <c r="AN87" i="48"/>
  <c r="AN91" i="48"/>
  <c r="AN39" i="48"/>
  <c r="AN79" i="48"/>
  <c r="AN31" i="48"/>
  <c r="AN35" i="48"/>
  <c r="AN43" i="48"/>
  <c r="AN51" i="48"/>
  <c r="AN95" i="48"/>
  <c r="AN99" i="48"/>
  <c r="AN107" i="48"/>
  <c r="AN111" i="48"/>
  <c r="AN119" i="48"/>
  <c r="AO14" i="48"/>
  <c r="BM14" i="47"/>
  <c r="BW14" i="47" s="1"/>
  <c r="BS31" i="47"/>
  <c r="BW35" i="47"/>
  <c r="BS43" i="47"/>
  <c r="BW55" i="47"/>
  <c r="BW63" i="47"/>
  <c r="BS71" i="47"/>
  <c r="BW107" i="47"/>
  <c r="BS51" i="47"/>
  <c r="BS87" i="47"/>
  <c r="BS99" i="47"/>
  <c r="BS115" i="47"/>
  <c r="BS59" i="47"/>
  <c r="BS67" i="47"/>
  <c r="BS27" i="47"/>
  <c r="BS47" i="47"/>
  <c r="BS103" i="47"/>
  <c r="BS39" i="47"/>
  <c r="BS75" i="47"/>
  <c r="BS111" i="47"/>
  <c r="BS123" i="47"/>
  <c r="BC19" i="47"/>
  <c r="BC31" i="47"/>
  <c r="BC35" i="47"/>
  <c r="BC55" i="47"/>
  <c r="BG59" i="47"/>
  <c r="BC91" i="47"/>
  <c r="BC107" i="47"/>
  <c r="BG115" i="47"/>
  <c r="BG19" i="47"/>
  <c r="BC23" i="47"/>
  <c r="BC47" i="47"/>
  <c r="BC67" i="47"/>
  <c r="BC71" i="47"/>
  <c r="BC87" i="47"/>
  <c r="BC95" i="47"/>
  <c r="BC103" i="47"/>
  <c r="BC63" i="47"/>
  <c r="BC79" i="47"/>
  <c r="BC83" i="47"/>
  <c r="BC119" i="47"/>
  <c r="BC43" i="47"/>
  <c r="BC123" i="47"/>
  <c r="BH14" i="47"/>
  <c r="AS31" i="47"/>
  <c r="AO35" i="47"/>
  <c r="AO55" i="47"/>
  <c r="AO59" i="47"/>
  <c r="AO63" i="47"/>
  <c r="AO67" i="47"/>
  <c r="AO79" i="47"/>
  <c r="AS123" i="47"/>
  <c r="AO39" i="47"/>
  <c r="AO43" i="47"/>
  <c r="AO75" i="47"/>
  <c r="AO107" i="47"/>
  <c r="AI14" i="47"/>
  <c r="AO14" i="47" s="1"/>
  <c r="AO19" i="47"/>
  <c r="AO71" i="47"/>
  <c r="AO83" i="47"/>
  <c r="AO87" i="47"/>
  <c r="AO91" i="47"/>
  <c r="AO103" i="47"/>
  <c r="AO111" i="47"/>
  <c r="AO115" i="47"/>
  <c r="AO119" i="47"/>
  <c r="AO99" i="47"/>
  <c r="BR95" i="46"/>
  <c r="BR23" i="46"/>
  <c r="BR31" i="46"/>
  <c r="BR119" i="46"/>
  <c r="BL14" i="46"/>
  <c r="BR19" i="46"/>
  <c r="BR123" i="46"/>
  <c r="BR27" i="46"/>
  <c r="BV83" i="46"/>
  <c r="BR103" i="46"/>
  <c r="BR107" i="46"/>
  <c r="BR115" i="46"/>
  <c r="AW14" i="46"/>
  <c r="BH19" i="46"/>
  <c r="BC91" i="46"/>
  <c r="BD95" i="46"/>
  <c r="BD23" i="46"/>
  <c r="BD91" i="46"/>
  <c r="BC107" i="46"/>
  <c r="BC123" i="46"/>
  <c r="BC35" i="46"/>
  <c r="BD107" i="46"/>
  <c r="BD123" i="46"/>
  <c r="BC31" i="46"/>
  <c r="BD35" i="46"/>
  <c r="BC119" i="46"/>
  <c r="BH87" i="46"/>
  <c r="AO27" i="46"/>
  <c r="AS103" i="46"/>
  <c r="AO35" i="46"/>
  <c r="AO111" i="46"/>
  <c r="AO91" i="46"/>
  <c r="AI14" i="46"/>
  <c r="AO95" i="46"/>
  <c r="AO99" i="46"/>
  <c r="AO107" i="46"/>
  <c r="AO115" i="46"/>
  <c r="AO119" i="46"/>
  <c r="AO123" i="46"/>
  <c r="BS119" i="45"/>
  <c r="BS123" i="45"/>
  <c r="BD119" i="45"/>
  <c r="AS19" i="45"/>
  <c r="AS123" i="45"/>
  <c r="AO119" i="45"/>
  <c r="BM14" i="44"/>
  <c r="BS119" i="44"/>
  <c r="BS123" i="44"/>
  <c r="BC119" i="44"/>
  <c r="BC123" i="44"/>
  <c r="AI14" i="44"/>
  <c r="AS119" i="44"/>
  <c r="AS123" i="44"/>
  <c r="BR119" i="43"/>
  <c r="BS118" i="43"/>
  <c r="BV123" i="43"/>
  <c r="BC123" i="43"/>
  <c r="AS119" i="43"/>
  <c r="AO123" i="43"/>
  <c r="BS123" i="42"/>
  <c r="BS115" i="42"/>
  <c r="BS119" i="42"/>
  <c r="BD123" i="42"/>
  <c r="BD119" i="42"/>
  <c r="AO19" i="42"/>
  <c r="AI14" i="42"/>
  <c r="AO119" i="42"/>
  <c r="AO123" i="42"/>
  <c r="BS119" i="41"/>
  <c r="BS123" i="41"/>
  <c r="BM14" i="41"/>
  <c r="BC119" i="41"/>
  <c r="BC123" i="41"/>
  <c r="AN19" i="41"/>
  <c r="AH14" i="41"/>
  <c r="AN123" i="41"/>
  <c r="BS123" i="40"/>
  <c r="BS119" i="40"/>
  <c r="BH119" i="40"/>
  <c r="BC123" i="40"/>
  <c r="BD123" i="40"/>
  <c r="AO19" i="40"/>
  <c r="AO123" i="40"/>
  <c r="BM14" i="39"/>
  <c r="BS25" i="39"/>
  <c r="BS31" i="39"/>
  <c r="BW41" i="39"/>
  <c r="BS83" i="39"/>
  <c r="BS85" i="39"/>
  <c r="BS91" i="39"/>
  <c r="BS93" i="39"/>
  <c r="BS99" i="39"/>
  <c r="BS101" i="39"/>
  <c r="BS107" i="39"/>
  <c r="BS109" i="39"/>
  <c r="BW113" i="39"/>
  <c r="BS123" i="39"/>
  <c r="BS43" i="39"/>
  <c r="BS117" i="39"/>
  <c r="BS21" i="39"/>
  <c r="BS81" i="39"/>
  <c r="BS97" i="39"/>
  <c r="BS119" i="39"/>
  <c r="BH19" i="39"/>
  <c r="BH43" i="39"/>
  <c r="BH111" i="39"/>
  <c r="BH115" i="39"/>
  <c r="BD31" i="39"/>
  <c r="BD47" i="39"/>
  <c r="BD107" i="39"/>
  <c r="BD123" i="39"/>
  <c r="BD27" i="39"/>
  <c r="BD103" i="39"/>
  <c r="BD91" i="39"/>
  <c r="BD119" i="39"/>
  <c r="BD23" i="39"/>
  <c r="BD87" i="39"/>
  <c r="AX14" i="39"/>
  <c r="BD14" i="39" s="1"/>
  <c r="AH14" i="39"/>
  <c r="AN91" i="39"/>
  <c r="AR95" i="39"/>
  <c r="AR99" i="39"/>
  <c r="AN111" i="39"/>
  <c r="AN119" i="39"/>
  <c r="AN19" i="39"/>
  <c r="AN23" i="39"/>
  <c r="AN31" i="39"/>
  <c r="AN35" i="39"/>
  <c r="AN47" i="39"/>
  <c r="BV119" i="38"/>
  <c r="BV123" i="38"/>
  <c r="BD123" i="38"/>
  <c r="BV119" i="37"/>
  <c r="BR123" i="37"/>
  <c r="BD123" i="37"/>
  <c r="BS119" i="36"/>
  <c r="AX14" i="36"/>
  <c r="BD124" i="36"/>
  <c r="BD119" i="36"/>
  <c r="AO123" i="36"/>
  <c r="P24" i="49"/>
  <c r="P16" i="49"/>
  <c r="P21" i="48"/>
  <c r="O36" i="49"/>
  <c r="P28" i="49"/>
  <c r="O29" i="49"/>
  <c r="U14" i="46"/>
  <c r="I14" i="45"/>
  <c r="I14" i="42"/>
  <c r="J14" i="41"/>
  <c r="I14" i="40"/>
  <c r="I14" i="36"/>
  <c r="O17" i="49"/>
  <c r="AR14" i="49"/>
  <c r="BR14" i="49"/>
  <c r="K16" i="49" a="1"/>
  <c r="K16" i="49" s="1"/>
  <c r="O16" i="49" s="1"/>
  <c r="K67" i="49" a="1"/>
  <c r="K67" i="49" s="1"/>
  <c r="O67" i="49" s="1"/>
  <c r="O32" i="49"/>
  <c r="AS14" i="49"/>
  <c r="BS14" i="49"/>
  <c r="J14" i="49"/>
  <c r="O21" i="49"/>
  <c r="L22" i="49" a="1"/>
  <c r="L22" i="49" s="1"/>
  <c r="P22" i="49" s="1"/>
  <c r="K78" i="49" a="1"/>
  <c r="K78" i="49" s="1"/>
  <c r="O78" i="49" s="1"/>
  <c r="K112" i="49" a="1"/>
  <c r="K112" i="49" s="1"/>
  <c r="O112" i="49" s="1"/>
  <c r="K115" i="49" a="1"/>
  <c r="K115" i="49" s="1"/>
  <c r="L125" i="49" a="1"/>
  <c r="L125" i="49" s="1"/>
  <c r="P20" i="49"/>
  <c r="O25" i="49"/>
  <c r="L26" i="49" a="1"/>
  <c r="L26" i="49" s="1"/>
  <c r="P26" i="49" s="1"/>
  <c r="K30" i="49" a="1"/>
  <c r="K30" i="49" s="1"/>
  <c r="O30" i="49" s="1"/>
  <c r="K48" i="49" a="1"/>
  <c r="K48" i="49" s="1"/>
  <c r="O48" i="49" s="1"/>
  <c r="K82" i="49" a="1"/>
  <c r="K82" i="49" s="1"/>
  <c r="O82" i="49" s="1"/>
  <c r="L97" i="49" a="1"/>
  <c r="L97" i="49" s="1"/>
  <c r="K103" i="49" a="1"/>
  <c r="K103" i="49" s="1"/>
  <c r="L113" i="49" a="1"/>
  <c r="L113" i="49" s="1"/>
  <c r="K116" i="49" a="1"/>
  <c r="K116" i="49" s="1"/>
  <c r="O116" i="49" s="1"/>
  <c r="K119" i="49" a="1"/>
  <c r="K119" i="49" s="1"/>
  <c r="P48" i="49"/>
  <c r="L59" i="49" a="1"/>
  <c r="L59" i="49" s="1"/>
  <c r="P59" i="49" s="1"/>
  <c r="L70" i="49" a="1"/>
  <c r="L70" i="49" s="1"/>
  <c r="P70" i="49" s="1"/>
  <c r="L71" i="49" a="1"/>
  <c r="L71" i="49" s="1"/>
  <c r="L101" i="49" a="1"/>
  <c r="L101" i="49" s="1"/>
  <c r="L51" i="49" a="1"/>
  <c r="L51" i="49" s="1"/>
  <c r="K86" i="49" a="1"/>
  <c r="K86" i="49" s="1"/>
  <c r="O86" i="49" s="1"/>
  <c r="P18" i="49"/>
  <c r="K116" i="48" a="1"/>
  <c r="K116" i="48" s="1"/>
  <c r="O116" i="48" s="1"/>
  <c r="L125" i="48" a="1"/>
  <c r="L125" i="48" s="1"/>
  <c r="P125" i="48" s="1"/>
  <c r="K21" i="48" a="1"/>
  <c r="K21" i="48" s="1"/>
  <c r="O21" i="48" s="1"/>
  <c r="K65" i="48" a="1"/>
  <c r="K65" i="48" s="1"/>
  <c r="K74" i="48" a="1"/>
  <c r="K74" i="48" s="1"/>
  <c r="K76" i="48" a="1"/>
  <c r="K76" i="48" s="1"/>
  <c r="K119" i="48" a="1"/>
  <c r="K119" i="48" s="1"/>
  <c r="K49" i="48" a="1"/>
  <c r="K49" i="48" s="1"/>
  <c r="O49" i="48" s="1"/>
  <c r="K60" i="48" a="1"/>
  <c r="K60" i="48" s="1"/>
  <c r="O60" i="48" s="1"/>
  <c r="L51" i="48" a="1"/>
  <c r="L51" i="48" s="1"/>
  <c r="P51" i="48" s="1"/>
  <c r="K61" i="48" a="1"/>
  <c r="K61" i="48" s="1"/>
  <c r="O61" i="48" s="1"/>
  <c r="K66" i="48" a="1"/>
  <c r="K66" i="48" s="1"/>
  <c r="K67" i="48" a="1"/>
  <c r="K67" i="48" s="1"/>
  <c r="L77" i="48" a="1"/>
  <c r="L77" i="48" s="1"/>
  <c r="K79" i="48" a="1"/>
  <c r="K79" i="48" s="1"/>
  <c r="O79" i="48" s="1"/>
  <c r="K97" i="48" a="1"/>
  <c r="K97" i="48" s="1"/>
  <c r="O97" i="48" s="1"/>
  <c r="K111" i="48" a="1"/>
  <c r="K111" i="48" s="1"/>
  <c r="O111" i="48" s="1"/>
  <c r="K120" i="48" a="1"/>
  <c r="K120" i="48" s="1"/>
  <c r="O120" i="48" s="1"/>
  <c r="J14" i="48"/>
  <c r="L26" i="48" a="1"/>
  <c r="L26" i="48" s="1"/>
  <c r="L42" i="48" a="1"/>
  <c r="L42" i="48" s="1"/>
  <c r="K52" i="48" a="1"/>
  <c r="K52" i="48" s="1"/>
  <c r="K83" i="48" a="1"/>
  <c r="K83" i="48" s="1"/>
  <c r="O83" i="48" s="1"/>
  <c r="K115" i="47" a="1"/>
  <c r="K115" i="47" s="1"/>
  <c r="O115" i="47" s="1"/>
  <c r="L125" i="47" a="1"/>
  <c r="L125" i="47" s="1"/>
  <c r="P125" i="47" s="1"/>
  <c r="K43" i="47" a="1"/>
  <c r="K43" i="47" s="1"/>
  <c r="O43" i="47" s="1"/>
  <c r="K74" i="47" a="1"/>
  <c r="K74" i="47" s="1"/>
  <c r="K88" i="47" a="1"/>
  <c r="K88" i="47" s="1"/>
  <c r="K97" i="47" a="1"/>
  <c r="K97" i="47" s="1"/>
  <c r="AS14" i="47"/>
  <c r="BS14" i="47"/>
  <c r="K75" i="47" a="1"/>
  <c r="K75" i="47" s="1"/>
  <c r="K98" i="47" a="1"/>
  <c r="K98" i="47" s="1"/>
  <c r="O98" i="47" s="1"/>
  <c r="K102" i="47" a="1"/>
  <c r="K102" i="47" s="1"/>
  <c r="O102" i="47" s="1"/>
  <c r="L104" i="47" a="1"/>
  <c r="L104" i="47" s="1"/>
  <c r="P104" i="47" s="1"/>
  <c r="L44" i="47" a="1"/>
  <c r="L44" i="47" s="1"/>
  <c r="K47" i="47" a="1"/>
  <c r="K47" i="47" s="1"/>
  <c r="K64" i="47" a="1"/>
  <c r="K64" i="47" s="1"/>
  <c r="K105" i="47" a="1"/>
  <c r="K105" i="47" s="1"/>
  <c r="L117" i="47" a="1"/>
  <c r="L117" i="47" s="1"/>
  <c r="P117" i="47" s="1"/>
  <c r="K28" i="46" a="1"/>
  <c r="K28" i="46" s="1"/>
  <c r="O28" i="46" s="1"/>
  <c r="BR34" i="46"/>
  <c r="BV34" i="46" s="1"/>
  <c r="K35" i="46" a="1"/>
  <c r="K35" i="46" s="1"/>
  <c r="O35" i="46" s="1"/>
  <c r="BD39" i="46"/>
  <c r="BH39" i="46" s="1"/>
  <c r="AO41" i="46"/>
  <c r="AS41" i="46" s="1"/>
  <c r="AO42" i="46"/>
  <c r="AS42" i="46" s="1"/>
  <c r="BS43" i="46"/>
  <c r="BW43" i="46" s="1"/>
  <c r="BD44" i="46"/>
  <c r="BH44" i="46" s="1"/>
  <c r="BS47" i="46"/>
  <c r="BW47" i="46" s="1"/>
  <c r="BC49" i="46"/>
  <c r="BG49" i="46" s="1"/>
  <c r="BC50" i="46"/>
  <c r="BG50" i="46" s="1"/>
  <c r="AO51" i="46"/>
  <c r="AS51" i="46" s="1"/>
  <c r="BR52" i="46"/>
  <c r="BV52" i="46" s="1"/>
  <c r="BD53" i="46"/>
  <c r="BH53" i="46" s="1"/>
  <c r="AN55" i="46"/>
  <c r="AR55" i="46" s="1"/>
  <c r="BR56" i="46"/>
  <c r="BV56" i="46" s="1"/>
  <c r="BR57" i="46"/>
  <c r="BV57" i="46" s="1"/>
  <c r="BD58" i="46"/>
  <c r="BH58" i="46" s="1"/>
  <c r="AO59" i="46"/>
  <c r="AS59" i="46" s="1"/>
  <c r="BS60" i="46"/>
  <c r="BW60" i="46" s="1"/>
  <c r="BC62" i="46"/>
  <c r="BG62" i="46" s="1"/>
  <c r="AO63" i="46"/>
  <c r="AS63" i="46" s="1"/>
  <c r="BR64" i="46"/>
  <c r="BV64" i="46" s="1"/>
  <c r="BR65" i="46"/>
  <c r="BV65" i="46" s="1"/>
  <c r="AO68" i="46"/>
  <c r="AS68" i="46" s="1"/>
  <c r="BS69" i="46"/>
  <c r="BW69" i="46" s="1"/>
  <c r="BR70" i="46"/>
  <c r="BV70" i="46" s="1"/>
  <c r="L71" i="46" a="1"/>
  <c r="L71" i="46" s="1"/>
  <c r="BC71" i="46"/>
  <c r="BG71" i="46" s="1"/>
  <c r="BC72" i="46"/>
  <c r="BG72" i="46" s="1"/>
  <c r="AO73" i="46"/>
  <c r="AS73" i="46" s="1"/>
  <c r="L75" i="46" a="1"/>
  <c r="L75" i="46" s="1"/>
  <c r="P75" i="46" s="1"/>
  <c r="Y75" i="46" s="1"/>
  <c r="BD75" i="46"/>
  <c r="BH75" i="46" s="1"/>
  <c r="AO76" i="46"/>
  <c r="AS76" i="46" s="1"/>
  <c r="BR77" i="46"/>
  <c r="BV77" i="46" s="1"/>
  <c r="BC78" i="46"/>
  <c r="BG78" i="46" s="1"/>
  <c r="BS80" i="46"/>
  <c r="BW80" i="46" s="1"/>
  <c r="K107" i="46" a="1"/>
  <c r="K107" i="46" s="1"/>
  <c r="AO14" i="46"/>
  <c r="I14" i="46"/>
  <c r="K32" i="46" a="1"/>
  <c r="K32" i="46" s="1"/>
  <c r="O32" i="46" s="1"/>
  <c r="BR36" i="46"/>
  <c r="BV36" i="46" s="1"/>
  <c r="BC37" i="46"/>
  <c r="BG37" i="46" s="1"/>
  <c r="AN38" i="46"/>
  <c r="AR38" i="46" s="1"/>
  <c r="K40" i="46" a="1"/>
  <c r="K40" i="46" s="1"/>
  <c r="BC40" i="46"/>
  <c r="BG40" i="46" s="1"/>
  <c r="AN43" i="46"/>
  <c r="AR43" i="46" s="1"/>
  <c r="BC45" i="46"/>
  <c r="BG45" i="46" s="1"/>
  <c r="BC46" i="46"/>
  <c r="BG46" i="46" s="1"/>
  <c r="AN47" i="46"/>
  <c r="AR47" i="46" s="1"/>
  <c r="BR48" i="46"/>
  <c r="BV48" i="46" s="1"/>
  <c r="BD49" i="46"/>
  <c r="BH49" i="46" s="1"/>
  <c r="BD50" i="46"/>
  <c r="BH50" i="46" s="1"/>
  <c r="BS52" i="46"/>
  <c r="BW52" i="46" s="1"/>
  <c r="BC54" i="46"/>
  <c r="BG54" i="46" s="1"/>
  <c r="AO55" i="46"/>
  <c r="AS55" i="46" s="1"/>
  <c r="BS56" i="46"/>
  <c r="BW56" i="46" s="1"/>
  <c r="BS57" i="46"/>
  <c r="BW57" i="46" s="1"/>
  <c r="AN60" i="46"/>
  <c r="AR60" i="46" s="1"/>
  <c r="BR61" i="46"/>
  <c r="BV61" i="46" s="1"/>
  <c r="BD62" i="46"/>
  <c r="BH62" i="46" s="1"/>
  <c r="AN64" i="46"/>
  <c r="AR64" i="46" s="1"/>
  <c r="BS64" i="46"/>
  <c r="BW64" i="46" s="1"/>
  <c r="BS65" i="46"/>
  <c r="BW65" i="46" s="1"/>
  <c r="BR66" i="46"/>
  <c r="BV66" i="46" s="1"/>
  <c r="K67" i="46" a="1"/>
  <c r="K67" i="46" s="1"/>
  <c r="O67" i="46" s="1"/>
  <c r="X67" i="46" s="1"/>
  <c r="BC67" i="46"/>
  <c r="BG67" i="46" s="1"/>
  <c r="AN69" i="46"/>
  <c r="AR69" i="46" s="1"/>
  <c r="AN70" i="46"/>
  <c r="AR70" i="46" s="1"/>
  <c r="BS70" i="46"/>
  <c r="BW70" i="46" s="1"/>
  <c r="BD71" i="46"/>
  <c r="BH71" i="46" s="1"/>
  <c r="BD72" i="46"/>
  <c r="BH72" i="46" s="1"/>
  <c r="BR74" i="46"/>
  <c r="BV74" i="46" s="1"/>
  <c r="AN77" i="46"/>
  <c r="AR77" i="46" s="1"/>
  <c r="BS77" i="46"/>
  <c r="BW77" i="46" s="1"/>
  <c r="BD78" i="46"/>
  <c r="BH78" i="46" s="1"/>
  <c r="AN80" i="46"/>
  <c r="AR80" i="46" s="1"/>
  <c r="K89" i="46" a="1"/>
  <c r="K89" i="46" s="1"/>
  <c r="L106" i="46" a="1"/>
  <c r="L106" i="46" s="1"/>
  <c r="P106" i="46" s="1"/>
  <c r="K108" i="46" a="1"/>
  <c r="K108" i="46" s="1"/>
  <c r="O108" i="46" s="1"/>
  <c r="BS36" i="46"/>
  <c r="BW36" i="46" s="1"/>
  <c r="AO38" i="46"/>
  <c r="AS38" i="46" s="1"/>
  <c r="BR39" i="46"/>
  <c r="BV39" i="46" s="1"/>
  <c r="BD40" i="46"/>
  <c r="BH40" i="46" s="1"/>
  <c r="BC41" i="46"/>
  <c r="BG41" i="46" s="1"/>
  <c r="BC42" i="46"/>
  <c r="BG42" i="46" s="1"/>
  <c r="AO43" i="46"/>
  <c r="AS43" i="46" s="1"/>
  <c r="BR44" i="46"/>
  <c r="BV44" i="46" s="1"/>
  <c r="BD45" i="46"/>
  <c r="BH45" i="46" s="1"/>
  <c r="BD46" i="46"/>
  <c r="BH46" i="46" s="1"/>
  <c r="AO47" i="46"/>
  <c r="AS47" i="46" s="1"/>
  <c r="BS48" i="46"/>
  <c r="BW48" i="46" s="1"/>
  <c r="K51" i="46" a="1"/>
  <c r="K51" i="46" s="1"/>
  <c r="BC51" i="46"/>
  <c r="BG51" i="46" s="1"/>
  <c r="AN52" i="46"/>
  <c r="AR52" i="46" s="1"/>
  <c r="BR53" i="46"/>
  <c r="BV53" i="46" s="1"/>
  <c r="BD54" i="46"/>
  <c r="BH54" i="46" s="1"/>
  <c r="AN56" i="46"/>
  <c r="AR56" i="46" s="1"/>
  <c r="AN57" i="46"/>
  <c r="AR57" i="46" s="1"/>
  <c r="BR58" i="46"/>
  <c r="BV58" i="46" s="1"/>
  <c r="K59" i="46" a="1"/>
  <c r="K59" i="46" s="1"/>
  <c r="BC59" i="46"/>
  <c r="BG59" i="46" s="1"/>
  <c r="AO60" i="46"/>
  <c r="AS60" i="46" s="1"/>
  <c r="BS61" i="46"/>
  <c r="BW61" i="46" s="1"/>
  <c r="K63" i="46" a="1"/>
  <c r="K63" i="46" s="1"/>
  <c r="O63" i="46" s="1"/>
  <c r="X63" i="46" s="1"/>
  <c r="BC63" i="46"/>
  <c r="BG63" i="46" s="1"/>
  <c r="AO64" i="46"/>
  <c r="AS64" i="46" s="1"/>
  <c r="AN65" i="46"/>
  <c r="AR65" i="46" s="1"/>
  <c r="BS66" i="46"/>
  <c r="BW66" i="46" s="1"/>
  <c r="BD67" i="46"/>
  <c r="BH67" i="46" s="1"/>
  <c r="BC68" i="46"/>
  <c r="BG68" i="46" s="1"/>
  <c r="AO69" i="46"/>
  <c r="AS69" i="46" s="1"/>
  <c r="AO70" i="46"/>
  <c r="AS70" i="46" s="1"/>
  <c r="K73" i="46" a="1"/>
  <c r="K73" i="46" s="1"/>
  <c r="O73" i="46" s="1"/>
  <c r="X73" i="46" s="1"/>
  <c r="BC73" i="46"/>
  <c r="BG73" i="46" s="1"/>
  <c r="AN74" i="46"/>
  <c r="AR74" i="46" s="1"/>
  <c r="BS74" i="46"/>
  <c r="BW74" i="46" s="1"/>
  <c r="BR75" i="46"/>
  <c r="BV75" i="46" s="1"/>
  <c r="BC76" i="46"/>
  <c r="BG76" i="46" s="1"/>
  <c r="AO77" i="46"/>
  <c r="AS77" i="46" s="1"/>
  <c r="L79" i="46" a="1"/>
  <c r="L79" i="46" s="1"/>
  <c r="P79" i="46" s="1"/>
  <c r="Y79" i="46" s="1"/>
  <c r="BC79" i="46"/>
  <c r="BG79" i="46" s="1"/>
  <c r="AO80" i="46"/>
  <c r="AS80" i="46" s="1"/>
  <c r="L109" i="46" a="1"/>
  <c r="L109" i="46" s="1"/>
  <c r="K111" i="46" a="1"/>
  <c r="K111" i="46" s="1"/>
  <c r="J14" i="46"/>
  <c r="L16" i="46" a="1"/>
  <c r="L16" i="46" s="1"/>
  <c r="P16" i="46" s="1"/>
  <c r="BS39" i="46"/>
  <c r="BW39" i="46" s="1"/>
  <c r="BD41" i="46"/>
  <c r="BH41" i="46" s="1"/>
  <c r="BD42" i="46"/>
  <c r="BH42" i="46" s="1"/>
  <c r="BS44" i="46"/>
  <c r="BW44" i="46" s="1"/>
  <c r="AN48" i="46"/>
  <c r="AR48" i="46" s="1"/>
  <c r="BR49" i="46"/>
  <c r="BV49" i="46" s="1"/>
  <c r="BR50" i="46"/>
  <c r="BV50" i="46" s="1"/>
  <c r="BD51" i="46"/>
  <c r="BH51" i="46" s="1"/>
  <c r="AO52" i="46"/>
  <c r="AS52" i="46" s="1"/>
  <c r="AN53" i="46"/>
  <c r="AR53" i="46" s="1"/>
  <c r="BS53" i="46"/>
  <c r="BW53" i="46" s="1"/>
  <c r="K55" i="46" a="1"/>
  <c r="K55" i="46" s="1"/>
  <c r="O55" i="46" s="1"/>
  <c r="X55" i="46" s="1"/>
  <c r="BC55" i="46"/>
  <c r="BG55" i="46" s="1"/>
  <c r="AO56" i="46"/>
  <c r="AS56" i="46" s="1"/>
  <c r="AO57" i="46"/>
  <c r="AS57" i="46" s="1"/>
  <c r="BS58" i="46"/>
  <c r="BW58" i="46" s="1"/>
  <c r="BD59" i="46"/>
  <c r="BH59" i="46" s="1"/>
  <c r="AN61" i="46"/>
  <c r="AR61" i="46" s="1"/>
  <c r="BR62" i="46"/>
  <c r="BV62" i="46" s="1"/>
  <c r="BD63" i="46"/>
  <c r="BH63" i="46" s="1"/>
  <c r="AO65" i="46"/>
  <c r="AS65" i="46" s="1"/>
  <c r="AN66" i="46"/>
  <c r="AR66" i="46" s="1"/>
  <c r="BD68" i="46"/>
  <c r="BH68" i="46" s="1"/>
  <c r="BR71" i="46"/>
  <c r="BV71" i="46" s="1"/>
  <c r="BR72" i="46"/>
  <c r="BV72" i="46" s="1"/>
  <c r="BD73" i="46"/>
  <c r="BH73" i="46" s="1"/>
  <c r="AO74" i="46"/>
  <c r="AS74" i="46" s="1"/>
  <c r="BS75" i="46"/>
  <c r="BW75" i="46" s="1"/>
  <c r="BD76" i="46"/>
  <c r="BH76" i="46" s="1"/>
  <c r="BR78" i="46"/>
  <c r="BV78" i="46" s="1"/>
  <c r="BD79" i="46"/>
  <c r="BH79" i="46" s="1"/>
  <c r="K90" i="46" a="1"/>
  <c r="K90" i="46" s="1"/>
  <c r="O90" i="46" s="1"/>
  <c r="L93" i="46" a="1"/>
  <c r="L93" i="46" s="1"/>
  <c r="P93" i="46" s="1"/>
  <c r="K110" i="46" a="1"/>
  <c r="K110" i="46" s="1"/>
  <c r="O110" i="46" s="1"/>
  <c r="BC34" i="46"/>
  <c r="BG34" i="46" s="1"/>
  <c r="BC38" i="46"/>
  <c r="BG38" i="46" s="1"/>
  <c r="AN39" i="46"/>
  <c r="AR39" i="46" s="1"/>
  <c r="BR40" i="46"/>
  <c r="BV40" i="46" s="1"/>
  <c r="BC43" i="46"/>
  <c r="BG43" i="46" s="1"/>
  <c r="AN44" i="46"/>
  <c r="AR44" i="46" s="1"/>
  <c r="BR45" i="46"/>
  <c r="BV45" i="46" s="1"/>
  <c r="BR46" i="46"/>
  <c r="BV46" i="46" s="1"/>
  <c r="BC47" i="46"/>
  <c r="BG47" i="46" s="1"/>
  <c r="AO48" i="46"/>
  <c r="AS48" i="46" s="1"/>
  <c r="BS49" i="46"/>
  <c r="BW49" i="46" s="1"/>
  <c r="BS50" i="46"/>
  <c r="BW50" i="46" s="1"/>
  <c r="AO53" i="46"/>
  <c r="AS53" i="46" s="1"/>
  <c r="BR54" i="46"/>
  <c r="BV54" i="46" s="1"/>
  <c r="BD55" i="46"/>
  <c r="BH55" i="46" s="1"/>
  <c r="AN58" i="46"/>
  <c r="AR58" i="46" s="1"/>
  <c r="BC60" i="46"/>
  <c r="BG60" i="46" s="1"/>
  <c r="AO61" i="46"/>
  <c r="AS61" i="46" s="1"/>
  <c r="BS62" i="46"/>
  <c r="BW62" i="46" s="1"/>
  <c r="AO66" i="46"/>
  <c r="AS66" i="46" s="1"/>
  <c r="BR67" i="46"/>
  <c r="BV67" i="46" s="1"/>
  <c r="BC69" i="46"/>
  <c r="BG69" i="46" s="1"/>
  <c r="AN71" i="46"/>
  <c r="AR71" i="46" s="1"/>
  <c r="BS71" i="46"/>
  <c r="BW71" i="46" s="1"/>
  <c r="BS72" i="46"/>
  <c r="BW72" i="46" s="1"/>
  <c r="AN75" i="46"/>
  <c r="AR75" i="46" s="1"/>
  <c r="BC77" i="46"/>
  <c r="BG77" i="46" s="1"/>
  <c r="AN78" i="46"/>
  <c r="AR78" i="46" s="1"/>
  <c r="BS78" i="46"/>
  <c r="BW78" i="46" s="1"/>
  <c r="BC80" i="46"/>
  <c r="BG80" i="46" s="1"/>
  <c r="AN37" i="46"/>
  <c r="AR37" i="46" s="1"/>
  <c r="BR37" i="46"/>
  <c r="BV37" i="46" s="1"/>
  <c r="BD38" i="46"/>
  <c r="BH38" i="46" s="1"/>
  <c r="AO39" i="46"/>
  <c r="AS39" i="46" s="1"/>
  <c r="BS40" i="46"/>
  <c r="BW40" i="46" s="1"/>
  <c r="BR41" i="46"/>
  <c r="BV41" i="46" s="1"/>
  <c r="BR42" i="46"/>
  <c r="BV42" i="46" s="1"/>
  <c r="BD43" i="46"/>
  <c r="BH43" i="46" s="1"/>
  <c r="AO44" i="46"/>
  <c r="AS44" i="46" s="1"/>
  <c r="AN45" i="46"/>
  <c r="AR45" i="46" s="1"/>
  <c r="BS45" i="46"/>
  <c r="BW45" i="46" s="1"/>
  <c r="BS46" i="46"/>
  <c r="BW46" i="46" s="1"/>
  <c r="BD47" i="46"/>
  <c r="BH47" i="46" s="1"/>
  <c r="AN49" i="46"/>
  <c r="AR49" i="46" s="1"/>
  <c r="AN50" i="46"/>
  <c r="AR50" i="46" s="1"/>
  <c r="BR51" i="46"/>
  <c r="BV51" i="46" s="1"/>
  <c r="BC52" i="46"/>
  <c r="BG52" i="46" s="1"/>
  <c r="BS54" i="46"/>
  <c r="BW54" i="46" s="1"/>
  <c r="BC56" i="46"/>
  <c r="BG56" i="46" s="1"/>
  <c r="BC57" i="46"/>
  <c r="BG57" i="46" s="1"/>
  <c r="AO58" i="46"/>
  <c r="AS58" i="46" s="1"/>
  <c r="BR59" i="46"/>
  <c r="BV59" i="46" s="1"/>
  <c r="BD60" i="46"/>
  <c r="BH60" i="46" s="1"/>
  <c r="AN62" i="46"/>
  <c r="AR62" i="46" s="1"/>
  <c r="BR63" i="46"/>
  <c r="BV63" i="46" s="1"/>
  <c r="BC64" i="46"/>
  <c r="BG64" i="46" s="1"/>
  <c r="BC65" i="46"/>
  <c r="BG65" i="46" s="1"/>
  <c r="BS67" i="46"/>
  <c r="BW67" i="46" s="1"/>
  <c r="BR68" i="46"/>
  <c r="BV68" i="46" s="1"/>
  <c r="BD69" i="46"/>
  <c r="BH69" i="46" s="1"/>
  <c r="BC70" i="46"/>
  <c r="BG70" i="46" s="1"/>
  <c r="AO71" i="46"/>
  <c r="AS71" i="46" s="1"/>
  <c r="AN72" i="46"/>
  <c r="AR72" i="46" s="1"/>
  <c r="BC74" i="46"/>
  <c r="BG74" i="46" s="1"/>
  <c r="AO75" i="46"/>
  <c r="AS75" i="46" s="1"/>
  <c r="BD77" i="46"/>
  <c r="BH77" i="46" s="1"/>
  <c r="AO78" i="46"/>
  <c r="AS78" i="46" s="1"/>
  <c r="BR79" i="46"/>
  <c r="BV79" i="46" s="1"/>
  <c r="BD80" i="46"/>
  <c r="BH80" i="46" s="1"/>
  <c r="BC36" i="46"/>
  <c r="BG36" i="46" s="1"/>
  <c r="AO37" i="46"/>
  <c r="AS37" i="46" s="1"/>
  <c r="AN40" i="46"/>
  <c r="AR40" i="46" s="1"/>
  <c r="BS41" i="46"/>
  <c r="BW41" i="46" s="1"/>
  <c r="BS42" i="46"/>
  <c r="BW42" i="46" s="1"/>
  <c r="AO45" i="46"/>
  <c r="AS45" i="46" s="1"/>
  <c r="AN46" i="46"/>
  <c r="AR46" i="46" s="1"/>
  <c r="BC48" i="46"/>
  <c r="BG48" i="46" s="1"/>
  <c r="AO49" i="46"/>
  <c r="AS49" i="46" s="1"/>
  <c r="AO50" i="46"/>
  <c r="AS50" i="46" s="1"/>
  <c r="BS51" i="46"/>
  <c r="BW51" i="46" s="1"/>
  <c r="BD52" i="46"/>
  <c r="BH52" i="46" s="1"/>
  <c r="AN54" i="46"/>
  <c r="AR54" i="46" s="1"/>
  <c r="BR55" i="46"/>
  <c r="BV55" i="46" s="1"/>
  <c r="BD56" i="46"/>
  <c r="BH56" i="46" s="1"/>
  <c r="BD57" i="46"/>
  <c r="BH57" i="46" s="1"/>
  <c r="BS59" i="46"/>
  <c r="BW59" i="46" s="1"/>
  <c r="BC61" i="46"/>
  <c r="BG61" i="46" s="1"/>
  <c r="AO62" i="46"/>
  <c r="AS62" i="46" s="1"/>
  <c r="BS63" i="46"/>
  <c r="BW63" i="46" s="1"/>
  <c r="BD64" i="46"/>
  <c r="BH64" i="46" s="1"/>
  <c r="BD65" i="46"/>
  <c r="BH65" i="46" s="1"/>
  <c r="BC66" i="46"/>
  <c r="BG66" i="46" s="1"/>
  <c r="AN67" i="46"/>
  <c r="AR67" i="46" s="1"/>
  <c r="BS68" i="46"/>
  <c r="BW68" i="46" s="1"/>
  <c r="BD70" i="46"/>
  <c r="BH70" i="46" s="1"/>
  <c r="AO72" i="46"/>
  <c r="AS72" i="46" s="1"/>
  <c r="BR73" i="46"/>
  <c r="BV73" i="46" s="1"/>
  <c r="BD74" i="46"/>
  <c r="BH74" i="46" s="1"/>
  <c r="BR76" i="46"/>
  <c r="BV76" i="46" s="1"/>
  <c r="AN79" i="46"/>
  <c r="AR79" i="46" s="1"/>
  <c r="BS113" i="45"/>
  <c r="BW113" i="45" s="1"/>
  <c r="AN113" i="45"/>
  <c r="AR113" i="45" s="1"/>
  <c r="BC111" i="45"/>
  <c r="BG111" i="45" s="1"/>
  <c r="BR109" i="45"/>
  <c r="BV109" i="45" s="1"/>
  <c r="AN109" i="45"/>
  <c r="AR109" i="45" s="1"/>
  <c r="AN107" i="45"/>
  <c r="AR107" i="45" s="1"/>
  <c r="AN106" i="45"/>
  <c r="AR106" i="45" s="1"/>
  <c r="AN105" i="45"/>
  <c r="AR105" i="45" s="1"/>
  <c r="BC104" i="45"/>
  <c r="BG104" i="45" s="1"/>
  <c r="BS102" i="45"/>
  <c r="BW102" i="45" s="1"/>
  <c r="AN102" i="45"/>
  <c r="AR102" i="45" s="1"/>
  <c r="AO101" i="45"/>
  <c r="AS101" i="45" s="1"/>
  <c r="AO100" i="45"/>
  <c r="AS100" i="45" s="1"/>
  <c r="BC99" i="45"/>
  <c r="BG99" i="45" s="1"/>
  <c r="BD98" i="45"/>
  <c r="BH98" i="45" s="1"/>
  <c r="BS96" i="45"/>
  <c r="BW96" i="45" s="1"/>
  <c r="AN96" i="45"/>
  <c r="AR96" i="45" s="1"/>
  <c r="BC95" i="45"/>
  <c r="BG95" i="45" s="1"/>
  <c r="BC94" i="45"/>
  <c r="BG94" i="45" s="1"/>
  <c r="BS92" i="45"/>
  <c r="BW92" i="45" s="1"/>
  <c r="AO91" i="45"/>
  <c r="AS91" i="45" s="1"/>
  <c r="BC90" i="45"/>
  <c r="BG90" i="45" s="1"/>
  <c r="BR88" i="45"/>
  <c r="BV88" i="45" s="1"/>
  <c r="BD86" i="45"/>
  <c r="BH86" i="45" s="1"/>
  <c r="BR85" i="45"/>
  <c r="BV85" i="45" s="1"/>
  <c r="AO84" i="45"/>
  <c r="AS84" i="45" s="1"/>
  <c r="BC83" i="45"/>
  <c r="BG83" i="45" s="1"/>
  <c r="BR81" i="45"/>
  <c r="BV81" i="45" s="1"/>
  <c r="AO80" i="45"/>
  <c r="AS80" i="45" s="1"/>
  <c r="BC78" i="45"/>
  <c r="BG78" i="45" s="1"/>
  <c r="BC77" i="45"/>
  <c r="BG77" i="45" s="1"/>
  <c r="AN75" i="45"/>
  <c r="AR75" i="45" s="1"/>
  <c r="BD73" i="45"/>
  <c r="BH73" i="45" s="1"/>
  <c r="BS72" i="45"/>
  <c r="BW72" i="45" s="1"/>
  <c r="AN72" i="45"/>
  <c r="AR72" i="45" s="1"/>
  <c r="BC70" i="45"/>
  <c r="BG70" i="45" s="1"/>
  <c r="BS68" i="45"/>
  <c r="BW68" i="45" s="1"/>
  <c r="AN67" i="45"/>
  <c r="AR67" i="45" s="1"/>
  <c r="BD66" i="45"/>
  <c r="BH66" i="45" s="1"/>
  <c r="BR64" i="45"/>
  <c r="BV64" i="45" s="1"/>
  <c r="BS63" i="45"/>
  <c r="BW63" i="45" s="1"/>
  <c r="AO62" i="45"/>
  <c r="AS62" i="45" s="1"/>
  <c r="BC61" i="45"/>
  <c r="BG61" i="45" s="1"/>
  <c r="BC60" i="45"/>
  <c r="BG60" i="45" s="1"/>
  <c r="BS56" i="45"/>
  <c r="BW56" i="45" s="1"/>
  <c r="BS55" i="45"/>
  <c r="BW55" i="45" s="1"/>
  <c r="BC53" i="45"/>
  <c r="BG53" i="45" s="1"/>
  <c r="BR52" i="45"/>
  <c r="BV52" i="45" s="1"/>
  <c r="BS49" i="45"/>
  <c r="BW49" i="45" s="1"/>
  <c r="AN48" i="45"/>
  <c r="AR48" i="45" s="1"/>
  <c r="BC47" i="45"/>
  <c r="BG47" i="45" s="1"/>
  <c r="BD46" i="45"/>
  <c r="BH46" i="45" s="1"/>
  <c r="BS44" i="45"/>
  <c r="BW44" i="45" s="1"/>
  <c r="AO44" i="45"/>
  <c r="AS44" i="45" s="1"/>
  <c r="BD43" i="45"/>
  <c r="BH43" i="45" s="1"/>
  <c r="BS42" i="45"/>
  <c r="BW42" i="45" s="1"/>
  <c r="AN42" i="45"/>
  <c r="AR42" i="45" s="1"/>
  <c r="BD40" i="45"/>
  <c r="BH40" i="45" s="1"/>
  <c r="BS39" i="45"/>
  <c r="BW39" i="45" s="1"/>
  <c r="AN38" i="45"/>
  <c r="AR38" i="45" s="1"/>
  <c r="AO37" i="45"/>
  <c r="AS37" i="45" s="1"/>
  <c r="BD35" i="45"/>
  <c r="BH35" i="45" s="1"/>
  <c r="BD34" i="45"/>
  <c r="BH34" i="45" s="1"/>
  <c r="BR33" i="45"/>
  <c r="BV33" i="45" s="1"/>
  <c r="AO32" i="45"/>
  <c r="AS32" i="45" s="1"/>
  <c r="BC31" i="45"/>
  <c r="BG31" i="45" s="1"/>
  <c r="BC30" i="45"/>
  <c r="BG30" i="45" s="1"/>
  <c r="BD114" i="45"/>
  <c r="BH114" i="45" s="1"/>
  <c r="BR113" i="45"/>
  <c r="BV113" i="45" s="1"/>
  <c r="AO112" i="45"/>
  <c r="AS112" i="45" s="1"/>
  <c r="BS106" i="45"/>
  <c r="BW106" i="45" s="1"/>
  <c r="BS105" i="45"/>
  <c r="BW105" i="45" s="1"/>
  <c r="BD103" i="45"/>
  <c r="BH103" i="45" s="1"/>
  <c r="BR102" i="45"/>
  <c r="BV102" i="45" s="1"/>
  <c r="BS101" i="45"/>
  <c r="BW101" i="45" s="1"/>
  <c r="AN101" i="45"/>
  <c r="AR101" i="45" s="1"/>
  <c r="AN100" i="45"/>
  <c r="AR100" i="45" s="1"/>
  <c r="BC98" i="45"/>
  <c r="BG98" i="45" s="1"/>
  <c r="BD97" i="45"/>
  <c r="BH97" i="45" s="1"/>
  <c r="BR96" i="45"/>
  <c r="BV96" i="45" s="1"/>
  <c r="BR92" i="45"/>
  <c r="BV92" i="45" s="1"/>
  <c r="AN91" i="45"/>
  <c r="AR91" i="45" s="1"/>
  <c r="BD89" i="45"/>
  <c r="BH89" i="45" s="1"/>
  <c r="BC86" i="45"/>
  <c r="BG86" i="45" s="1"/>
  <c r="BS84" i="45"/>
  <c r="BW84" i="45" s="1"/>
  <c r="AN84" i="45"/>
  <c r="AR84" i="45" s="1"/>
  <c r="BD82" i="45"/>
  <c r="BH82" i="45" s="1"/>
  <c r="BS80" i="45"/>
  <c r="BW80" i="45" s="1"/>
  <c r="AN80" i="45"/>
  <c r="AR80" i="45" s="1"/>
  <c r="BS75" i="45"/>
  <c r="BW75" i="45" s="1"/>
  <c r="BC73" i="45"/>
  <c r="BG73" i="45" s="1"/>
  <c r="BR72" i="45"/>
  <c r="BV72" i="45" s="1"/>
  <c r="BD69" i="45"/>
  <c r="BH69" i="45" s="1"/>
  <c r="BR68" i="45"/>
  <c r="BV68" i="45" s="1"/>
  <c r="BS67" i="45"/>
  <c r="BW67" i="45" s="1"/>
  <c r="BC66" i="45"/>
  <c r="BG66" i="45" s="1"/>
  <c r="BD65" i="45"/>
  <c r="BH65" i="45" s="1"/>
  <c r="BR63" i="45"/>
  <c r="BV63" i="45" s="1"/>
  <c r="AN62" i="45"/>
  <c r="AR62" i="45" s="1"/>
  <c r="BD59" i="45"/>
  <c r="BH59" i="45" s="1"/>
  <c r="BR56" i="45"/>
  <c r="BV56" i="45" s="1"/>
  <c r="BR55" i="45"/>
  <c r="BV55" i="45" s="1"/>
  <c r="AO54" i="45"/>
  <c r="AS54" i="45" s="1"/>
  <c r="BS51" i="45"/>
  <c r="BW51" i="45" s="1"/>
  <c r="BD50" i="45"/>
  <c r="BH50" i="45" s="1"/>
  <c r="BR49" i="45"/>
  <c r="BV49" i="45" s="1"/>
  <c r="BS48" i="45"/>
  <c r="BW48" i="45" s="1"/>
  <c r="BC46" i="45"/>
  <c r="BG46" i="45" s="1"/>
  <c r="BD45" i="45"/>
  <c r="BH45" i="45" s="1"/>
  <c r="BR44" i="45"/>
  <c r="BV44" i="45" s="1"/>
  <c r="AN44" i="45"/>
  <c r="AR44" i="45" s="1"/>
  <c r="BC43" i="45"/>
  <c r="BG43" i="45" s="1"/>
  <c r="BR42" i="45"/>
  <c r="BV42" i="45" s="1"/>
  <c r="AO41" i="45"/>
  <c r="AS41" i="45" s="1"/>
  <c r="BC40" i="45"/>
  <c r="BG40" i="45" s="1"/>
  <c r="BR39" i="45"/>
  <c r="BV39" i="45" s="1"/>
  <c r="BS38" i="45"/>
  <c r="BW38" i="45" s="1"/>
  <c r="BS37" i="45"/>
  <c r="BW37" i="45" s="1"/>
  <c r="AN37" i="45"/>
  <c r="AR37" i="45" s="1"/>
  <c r="BC35" i="45"/>
  <c r="BG35" i="45" s="1"/>
  <c r="BC34" i="45"/>
  <c r="BG34" i="45" s="1"/>
  <c r="BS32" i="45"/>
  <c r="BW32" i="45" s="1"/>
  <c r="AN32" i="45"/>
  <c r="AR32" i="45" s="1"/>
  <c r="BS115" i="45"/>
  <c r="BW115" i="45" s="1"/>
  <c r="AO115" i="45"/>
  <c r="AS115" i="45" s="1"/>
  <c r="BC114" i="45"/>
  <c r="BG114" i="45" s="1"/>
  <c r="AN112" i="45"/>
  <c r="AR112" i="45" s="1"/>
  <c r="AO111" i="45"/>
  <c r="AS111" i="45" s="1"/>
  <c r="BD110" i="45"/>
  <c r="BH110" i="45" s="1"/>
  <c r="AO108" i="45"/>
  <c r="AS108" i="45" s="1"/>
  <c r="BD107" i="45"/>
  <c r="BH107" i="45" s="1"/>
  <c r="BR106" i="45"/>
  <c r="BV106" i="45" s="1"/>
  <c r="BR105" i="45"/>
  <c r="BV105" i="45" s="1"/>
  <c r="AO104" i="45"/>
  <c r="AS104" i="45" s="1"/>
  <c r="BC103" i="45"/>
  <c r="BG103" i="45" s="1"/>
  <c r="BR101" i="45"/>
  <c r="BV101" i="45" s="1"/>
  <c r="BS100" i="45"/>
  <c r="BW100" i="45" s="1"/>
  <c r="AO99" i="45"/>
  <c r="AS99" i="45" s="1"/>
  <c r="BC97" i="45"/>
  <c r="BG97" i="45" s="1"/>
  <c r="AO95" i="45"/>
  <c r="AS95" i="45" s="1"/>
  <c r="BD93" i="45"/>
  <c r="BH93" i="45" s="1"/>
  <c r="BS91" i="45"/>
  <c r="BW91" i="45" s="1"/>
  <c r="AO90" i="45"/>
  <c r="AS90" i="45" s="1"/>
  <c r="BC89" i="45"/>
  <c r="BG89" i="45" s="1"/>
  <c r="BD88" i="45"/>
  <c r="BH88" i="45" s="1"/>
  <c r="BS87" i="45"/>
  <c r="BW87" i="45" s="1"/>
  <c r="AO87" i="45"/>
  <c r="AS87" i="45" s="1"/>
  <c r="BD85" i="45"/>
  <c r="BH85" i="45" s="1"/>
  <c r="BR84" i="45"/>
  <c r="BV84" i="45" s="1"/>
  <c r="AO83" i="45"/>
  <c r="AS83" i="45" s="1"/>
  <c r="BC82" i="45"/>
  <c r="BG82" i="45" s="1"/>
  <c r="BR80" i="45"/>
  <c r="BV80" i="45" s="1"/>
  <c r="AO79" i="45"/>
  <c r="AS79" i="45" s="1"/>
  <c r="AO78" i="45"/>
  <c r="AS78" i="45" s="1"/>
  <c r="AO77" i="45"/>
  <c r="AS77" i="45" s="1"/>
  <c r="BD76" i="45"/>
  <c r="BH76" i="45" s="1"/>
  <c r="BR75" i="45"/>
  <c r="BV75" i="45" s="1"/>
  <c r="AO74" i="45"/>
  <c r="AS74" i="45" s="1"/>
  <c r="AO71" i="45"/>
  <c r="AS71" i="45" s="1"/>
  <c r="AO70" i="45"/>
  <c r="AS70" i="45" s="1"/>
  <c r="BC69" i="45"/>
  <c r="BG69" i="45" s="1"/>
  <c r="BR67" i="45"/>
  <c r="BV67" i="45" s="1"/>
  <c r="BC65" i="45"/>
  <c r="BG65" i="45" s="1"/>
  <c r="BD64" i="45"/>
  <c r="BH64" i="45" s="1"/>
  <c r="BS62" i="45"/>
  <c r="BW62" i="45" s="1"/>
  <c r="AO61" i="45"/>
  <c r="AS61" i="45" s="1"/>
  <c r="AO60" i="45"/>
  <c r="AS60" i="45" s="1"/>
  <c r="BC59" i="45"/>
  <c r="BG59" i="45" s="1"/>
  <c r="BS58" i="45"/>
  <c r="BW58" i="45" s="1"/>
  <c r="AO58" i="45"/>
  <c r="AS58" i="45" s="1"/>
  <c r="BD57" i="45"/>
  <c r="BH57" i="45" s="1"/>
  <c r="BS54" i="45"/>
  <c r="BW54" i="45" s="1"/>
  <c r="AN54" i="45"/>
  <c r="AR54" i="45" s="1"/>
  <c r="BD52" i="45"/>
  <c r="BH52" i="45" s="1"/>
  <c r="BR51" i="45"/>
  <c r="BV51" i="45" s="1"/>
  <c r="AO51" i="45"/>
  <c r="AS51" i="45" s="1"/>
  <c r="BC50" i="45"/>
  <c r="BG50" i="45" s="1"/>
  <c r="BR48" i="45"/>
  <c r="BV48" i="45" s="1"/>
  <c r="AO47" i="45"/>
  <c r="AS47" i="45" s="1"/>
  <c r="BC45" i="45"/>
  <c r="BG45" i="45" s="1"/>
  <c r="AN41" i="45"/>
  <c r="AR41" i="45" s="1"/>
  <c r="BR38" i="45"/>
  <c r="BV38" i="45" s="1"/>
  <c r="BR37" i="45"/>
  <c r="BV37" i="45" s="1"/>
  <c r="AO36" i="45"/>
  <c r="AS36" i="45" s="1"/>
  <c r="BR115" i="45"/>
  <c r="BV115" i="45" s="1"/>
  <c r="AN115" i="45"/>
  <c r="AR115" i="45" s="1"/>
  <c r="BS112" i="45"/>
  <c r="BW112" i="45" s="1"/>
  <c r="AN111" i="45"/>
  <c r="AR111" i="45" s="1"/>
  <c r="BC110" i="45"/>
  <c r="BG110" i="45" s="1"/>
  <c r="BD109" i="45"/>
  <c r="BH109" i="45" s="1"/>
  <c r="BS108" i="45"/>
  <c r="BW108" i="45" s="1"/>
  <c r="AN108" i="45"/>
  <c r="AR108" i="45" s="1"/>
  <c r="BC107" i="45"/>
  <c r="BG107" i="45" s="1"/>
  <c r="BS104" i="45"/>
  <c r="BW104" i="45" s="1"/>
  <c r="AN104" i="45"/>
  <c r="AR104" i="45" s="1"/>
  <c r="BD102" i="45"/>
  <c r="BH102" i="45" s="1"/>
  <c r="BR100" i="45"/>
  <c r="BV100" i="45" s="1"/>
  <c r="AN99" i="45"/>
  <c r="AR99" i="45" s="1"/>
  <c r="AO98" i="45"/>
  <c r="AS98" i="45" s="1"/>
  <c r="AN95" i="45"/>
  <c r="AR95" i="45" s="1"/>
  <c r="BC93" i="45"/>
  <c r="BG93" i="45" s="1"/>
  <c r="BD92" i="45"/>
  <c r="BH92" i="45" s="1"/>
  <c r="BR91" i="45"/>
  <c r="BV91" i="45" s="1"/>
  <c r="BS90" i="45"/>
  <c r="BW90" i="45" s="1"/>
  <c r="AN90" i="45"/>
  <c r="AR90" i="45" s="1"/>
  <c r="BC88" i="45"/>
  <c r="BG88" i="45" s="1"/>
  <c r="BR87" i="45"/>
  <c r="BV87" i="45" s="1"/>
  <c r="AN87" i="45"/>
  <c r="AR87" i="45" s="1"/>
  <c r="BC85" i="45"/>
  <c r="BG85" i="45" s="1"/>
  <c r="AN83" i="45"/>
  <c r="AR83" i="45" s="1"/>
  <c r="BD81" i="45"/>
  <c r="BH81" i="45" s="1"/>
  <c r="BS79" i="45"/>
  <c r="BW79" i="45" s="1"/>
  <c r="AN79" i="45"/>
  <c r="AR79" i="45" s="1"/>
  <c r="AN78" i="45"/>
  <c r="AR78" i="45" s="1"/>
  <c r="AN77" i="45"/>
  <c r="AR77" i="45" s="1"/>
  <c r="BC76" i="45"/>
  <c r="BG76" i="45" s="1"/>
  <c r="BS74" i="45"/>
  <c r="BW74" i="45" s="1"/>
  <c r="AN74" i="45"/>
  <c r="AR74" i="45" s="1"/>
  <c r="BD72" i="45"/>
  <c r="BH72" i="45" s="1"/>
  <c r="BS71" i="45"/>
  <c r="BW71" i="45" s="1"/>
  <c r="AN71" i="45"/>
  <c r="AR71" i="45" s="1"/>
  <c r="AN70" i="45"/>
  <c r="AR70" i="45" s="1"/>
  <c r="BD68" i="45"/>
  <c r="BH68" i="45" s="1"/>
  <c r="AO66" i="45"/>
  <c r="AS66" i="45" s="1"/>
  <c r="BC64" i="45"/>
  <c r="BG64" i="45" s="1"/>
  <c r="BD63" i="45"/>
  <c r="BH63" i="45" s="1"/>
  <c r="BR62" i="45"/>
  <c r="BV62" i="45" s="1"/>
  <c r="AN61" i="45"/>
  <c r="AR61" i="45" s="1"/>
  <c r="AN60" i="45"/>
  <c r="AR60" i="45" s="1"/>
  <c r="BR58" i="45"/>
  <c r="BV58" i="45" s="1"/>
  <c r="AN58" i="45"/>
  <c r="AR58" i="45" s="1"/>
  <c r="BC57" i="45"/>
  <c r="BG57" i="45" s="1"/>
  <c r="BD56" i="45"/>
  <c r="BH56" i="45" s="1"/>
  <c r="BD55" i="45"/>
  <c r="BH55" i="45" s="1"/>
  <c r="BR54" i="45"/>
  <c r="BV54" i="45" s="1"/>
  <c r="AO53" i="45"/>
  <c r="AS53" i="45" s="1"/>
  <c r="BC52" i="45"/>
  <c r="BG52" i="45" s="1"/>
  <c r="AN51" i="45"/>
  <c r="AR51" i="45" s="1"/>
  <c r="BD49" i="45"/>
  <c r="BH49" i="45" s="1"/>
  <c r="BS47" i="45"/>
  <c r="BW47" i="45" s="1"/>
  <c r="AN47" i="45"/>
  <c r="AR47" i="45" s="1"/>
  <c r="AO46" i="45"/>
  <c r="AS46" i="45" s="1"/>
  <c r="BD44" i="45"/>
  <c r="BH44" i="45" s="1"/>
  <c r="BD42" i="45"/>
  <c r="BH42" i="45" s="1"/>
  <c r="BS41" i="45"/>
  <c r="BW41" i="45" s="1"/>
  <c r="AO40" i="45"/>
  <c r="AS40" i="45" s="1"/>
  <c r="BD39" i="45"/>
  <c r="BH39" i="45" s="1"/>
  <c r="BD113" i="45"/>
  <c r="BH113" i="45" s="1"/>
  <c r="BR112" i="45"/>
  <c r="BV112" i="45" s="1"/>
  <c r="BS111" i="45"/>
  <c r="BW111" i="45" s="1"/>
  <c r="BC109" i="45"/>
  <c r="BG109" i="45" s="1"/>
  <c r="BR108" i="45"/>
  <c r="BV108" i="45" s="1"/>
  <c r="BD106" i="45"/>
  <c r="BH106" i="45" s="1"/>
  <c r="BD105" i="45"/>
  <c r="BH105" i="45" s="1"/>
  <c r="BR104" i="45"/>
  <c r="BV104" i="45" s="1"/>
  <c r="AO103" i="45"/>
  <c r="AS103" i="45" s="1"/>
  <c r="BC102" i="45"/>
  <c r="BG102" i="45" s="1"/>
  <c r="BD101" i="45"/>
  <c r="BH101" i="45" s="1"/>
  <c r="BS99" i="45"/>
  <c r="BW99" i="45" s="1"/>
  <c r="AN98" i="45"/>
  <c r="AR98" i="45" s="1"/>
  <c r="AO97" i="45"/>
  <c r="AS97" i="45" s="1"/>
  <c r="BD96" i="45"/>
  <c r="BH96" i="45" s="1"/>
  <c r="BS95" i="45"/>
  <c r="BW95" i="45" s="1"/>
  <c r="BS94" i="45"/>
  <c r="BW94" i="45" s="1"/>
  <c r="AO94" i="45"/>
  <c r="AS94" i="45" s="1"/>
  <c r="BC92" i="45"/>
  <c r="BG92" i="45" s="1"/>
  <c r="BR90" i="45"/>
  <c r="BV90" i="45" s="1"/>
  <c r="AO89" i="45"/>
  <c r="AS89" i="45" s="1"/>
  <c r="AO86" i="45"/>
  <c r="AS86" i="45" s="1"/>
  <c r="BS83" i="45"/>
  <c r="BW83" i="45" s="1"/>
  <c r="AO82" i="45"/>
  <c r="AS82" i="45" s="1"/>
  <c r="BC81" i="45"/>
  <c r="BG81" i="45" s="1"/>
  <c r="BD80" i="45"/>
  <c r="BH80" i="45" s="1"/>
  <c r="BR79" i="45"/>
  <c r="BV79" i="45" s="1"/>
  <c r="BS78" i="45"/>
  <c r="BW78" i="45" s="1"/>
  <c r="BS77" i="45"/>
  <c r="BW77" i="45" s="1"/>
  <c r="BD75" i="45"/>
  <c r="BH75" i="45" s="1"/>
  <c r="BR74" i="45"/>
  <c r="BV74" i="45" s="1"/>
  <c r="BS73" i="45"/>
  <c r="BW73" i="45" s="1"/>
  <c r="AO73" i="45"/>
  <c r="AS73" i="45" s="1"/>
  <c r="BC72" i="45"/>
  <c r="BG72" i="45" s="1"/>
  <c r="BR71" i="45"/>
  <c r="BV71" i="45" s="1"/>
  <c r="BS70" i="45"/>
  <c r="BW70" i="45" s="1"/>
  <c r="AO69" i="45"/>
  <c r="AS69" i="45" s="1"/>
  <c r="BC68" i="45"/>
  <c r="BG68" i="45" s="1"/>
  <c r="BD67" i="45"/>
  <c r="BH67" i="45" s="1"/>
  <c r="BS66" i="45"/>
  <c r="BW66" i="45" s="1"/>
  <c r="AN66" i="45"/>
  <c r="AR66" i="45" s="1"/>
  <c r="BC63" i="45"/>
  <c r="BG63" i="45" s="1"/>
  <c r="BS61" i="45"/>
  <c r="BW61" i="45" s="1"/>
  <c r="BS60" i="45"/>
  <c r="BW60" i="45" s="1"/>
  <c r="BC56" i="45"/>
  <c r="BG56" i="45" s="1"/>
  <c r="BC55" i="45"/>
  <c r="BG55" i="45" s="1"/>
  <c r="BS53" i="45"/>
  <c r="BW53" i="45" s="1"/>
  <c r="AN53" i="45"/>
  <c r="AR53" i="45" s="1"/>
  <c r="BC49" i="45"/>
  <c r="BG49" i="45" s="1"/>
  <c r="BD48" i="45"/>
  <c r="BH48" i="45" s="1"/>
  <c r="BR47" i="45"/>
  <c r="BV47" i="45" s="1"/>
  <c r="AN46" i="45"/>
  <c r="AR46" i="45" s="1"/>
  <c r="BC44" i="45"/>
  <c r="BG44" i="45" s="1"/>
  <c r="BC42" i="45"/>
  <c r="BG42" i="45" s="1"/>
  <c r="BR41" i="45"/>
  <c r="BV41" i="45" s="1"/>
  <c r="BS40" i="45"/>
  <c r="BW40" i="45" s="1"/>
  <c r="AN40" i="45"/>
  <c r="AR40" i="45" s="1"/>
  <c r="BC39" i="45"/>
  <c r="BG39" i="45" s="1"/>
  <c r="BD38" i="45"/>
  <c r="BH38" i="45" s="1"/>
  <c r="BD37" i="45"/>
  <c r="BH37" i="45" s="1"/>
  <c r="BR36" i="45"/>
  <c r="BV36" i="45" s="1"/>
  <c r="AN35" i="45"/>
  <c r="AR35" i="45" s="1"/>
  <c r="AN34" i="45"/>
  <c r="AR34" i="45" s="1"/>
  <c r="BD115" i="45"/>
  <c r="BH115" i="45" s="1"/>
  <c r="BS114" i="45"/>
  <c r="BW114" i="45" s="1"/>
  <c r="AO114" i="45"/>
  <c r="AS114" i="45" s="1"/>
  <c r="BC113" i="45"/>
  <c r="BG113" i="45" s="1"/>
  <c r="BR111" i="45"/>
  <c r="BV111" i="45" s="1"/>
  <c r="BS110" i="45"/>
  <c r="BW110" i="45" s="1"/>
  <c r="AO110" i="45"/>
  <c r="AS110" i="45" s="1"/>
  <c r="BC106" i="45"/>
  <c r="BG106" i="45" s="1"/>
  <c r="BC105" i="45"/>
  <c r="BG105" i="45" s="1"/>
  <c r="AN103" i="45"/>
  <c r="AR103" i="45" s="1"/>
  <c r="BC101" i="45"/>
  <c r="BG101" i="45" s="1"/>
  <c r="BD100" i="45"/>
  <c r="BH100" i="45" s="1"/>
  <c r="BR99" i="45"/>
  <c r="BV99" i="45" s="1"/>
  <c r="BS98" i="45"/>
  <c r="BW98" i="45" s="1"/>
  <c r="AN97" i="45"/>
  <c r="AR97" i="45" s="1"/>
  <c r="BC96" i="45"/>
  <c r="BG96" i="45" s="1"/>
  <c r="BR95" i="45"/>
  <c r="BV95" i="45" s="1"/>
  <c r="BR94" i="45"/>
  <c r="BV94" i="45" s="1"/>
  <c r="AN94" i="45"/>
  <c r="AR94" i="45" s="1"/>
  <c r="AO93" i="45"/>
  <c r="AS93" i="45" s="1"/>
  <c r="BD91" i="45"/>
  <c r="BH91" i="45" s="1"/>
  <c r="AN89" i="45"/>
  <c r="AR89" i="45" s="1"/>
  <c r="BS86" i="45"/>
  <c r="BW86" i="45" s="1"/>
  <c r="AN86" i="45"/>
  <c r="AR86" i="45" s="1"/>
  <c r="AO85" i="45"/>
  <c r="AS85" i="45" s="1"/>
  <c r="BD84" i="45"/>
  <c r="BH84" i="45" s="1"/>
  <c r="BR83" i="45"/>
  <c r="BV83" i="45" s="1"/>
  <c r="AN82" i="45"/>
  <c r="AR82" i="45" s="1"/>
  <c r="BC80" i="45"/>
  <c r="BG80" i="45" s="1"/>
  <c r="BR78" i="45"/>
  <c r="BV78" i="45" s="1"/>
  <c r="BR77" i="45"/>
  <c r="BV77" i="45" s="1"/>
  <c r="AO76" i="45"/>
  <c r="AS76" i="45" s="1"/>
  <c r="BC75" i="45"/>
  <c r="BG75" i="45" s="1"/>
  <c r="BR73" i="45"/>
  <c r="BV73" i="45" s="1"/>
  <c r="AN73" i="45"/>
  <c r="AR73" i="45" s="1"/>
  <c r="BR70" i="45"/>
  <c r="BV70" i="45" s="1"/>
  <c r="BS69" i="45"/>
  <c r="BW69" i="45" s="1"/>
  <c r="AN69" i="45"/>
  <c r="AR69" i="45" s="1"/>
  <c r="BC67" i="45"/>
  <c r="BG67" i="45" s="1"/>
  <c r="BR66" i="45"/>
  <c r="BV66" i="45" s="1"/>
  <c r="AO65" i="45"/>
  <c r="AS65" i="45" s="1"/>
  <c r="BD62" i="45"/>
  <c r="BH62" i="45" s="1"/>
  <c r="BR61" i="45"/>
  <c r="BV61" i="45" s="1"/>
  <c r="BR60" i="45"/>
  <c r="BV60" i="45" s="1"/>
  <c r="BD58" i="45"/>
  <c r="BH58" i="45" s="1"/>
  <c r="BR53" i="45"/>
  <c r="BV53" i="45" s="1"/>
  <c r="BD51" i="45"/>
  <c r="BH51" i="45" s="1"/>
  <c r="BS50" i="45"/>
  <c r="BW50" i="45" s="1"/>
  <c r="AO50" i="45"/>
  <c r="AS50" i="45" s="1"/>
  <c r="BC48" i="45"/>
  <c r="BG48" i="45" s="1"/>
  <c r="BS46" i="45"/>
  <c r="BW46" i="45" s="1"/>
  <c r="BS45" i="45"/>
  <c r="BW45" i="45" s="1"/>
  <c r="AO45" i="45"/>
  <c r="AS45" i="45" s="1"/>
  <c r="BS43" i="45"/>
  <c r="BW43" i="45" s="1"/>
  <c r="AO43" i="45"/>
  <c r="AS43" i="45" s="1"/>
  <c r="BR40" i="45"/>
  <c r="BV40" i="45" s="1"/>
  <c r="BC38" i="45"/>
  <c r="BG38" i="45" s="1"/>
  <c r="BC37" i="45"/>
  <c r="BG37" i="45" s="1"/>
  <c r="BS35" i="45"/>
  <c r="BW35" i="45" s="1"/>
  <c r="BS34" i="45"/>
  <c r="BW34" i="45" s="1"/>
  <c r="AO113" i="45"/>
  <c r="AS113" i="45" s="1"/>
  <c r="BC112" i="45"/>
  <c r="BG112" i="45" s="1"/>
  <c r="BD111" i="45"/>
  <c r="BH111" i="45" s="1"/>
  <c r="BS109" i="45"/>
  <c r="BW109" i="45" s="1"/>
  <c r="AO109" i="45"/>
  <c r="AS109" i="45" s="1"/>
  <c r="BC108" i="45"/>
  <c r="BG108" i="45" s="1"/>
  <c r="BR107" i="45"/>
  <c r="BV107" i="45" s="1"/>
  <c r="AO107" i="45"/>
  <c r="AS107" i="45" s="1"/>
  <c r="AO106" i="45"/>
  <c r="AS106" i="45" s="1"/>
  <c r="AO105" i="45"/>
  <c r="AS105" i="45" s="1"/>
  <c r="BD104" i="45"/>
  <c r="BH104" i="45" s="1"/>
  <c r="BR103" i="45"/>
  <c r="BV103" i="45" s="1"/>
  <c r="AO102" i="45"/>
  <c r="AS102" i="45" s="1"/>
  <c r="BD99" i="45"/>
  <c r="BH99" i="45" s="1"/>
  <c r="BR97" i="45"/>
  <c r="BV97" i="45" s="1"/>
  <c r="AO96" i="45"/>
  <c r="AS96" i="45" s="1"/>
  <c r="BD95" i="45"/>
  <c r="BH95" i="45" s="1"/>
  <c r="BD94" i="45"/>
  <c r="BH94" i="45" s="1"/>
  <c r="BR93" i="45"/>
  <c r="BV93" i="45" s="1"/>
  <c r="AN92" i="45"/>
  <c r="AR92" i="45" s="1"/>
  <c r="BD90" i="45"/>
  <c r="BH90" i="45" s="1"/>
  <c r="BR89" i="45"/>
  <c r="BV89" i="45" s="1"/>
  <c r="BS88" i="45"/>
  <c r="BW88" i="45" s="1"/>
  <c r="AN88" i="45"/>
  <c r="AR88" i="45" s="1"/>
  <c r="BC87" i="45"/>
  <c r="BG87" i="45" s="1"/>
  <c r="BS85" i="45"/>
  <c r="BW85" i="45" s="1"/>
  <c r="BD83" i="45"/>
  <c r="BH83" i="45" s="1"/>
  <c r="BR82" i="45"/>
  <c r="BV82" i="45" s="1"/>
  <c r="BS81" i="45"/>
  <c r="BW81" i="45" s="1"/>
  <c r="AN81" i="45"/>
  <c r="AR81" i="45" s="1"/>
  <c r="BC79" i="45"/>
  <c r="BG79" i="45" s="1"/>
  <c r="BD78" i="45"/>
  <c r="BH78" i="45" s="1"/>
  <c r="BD77" i="45"/>
  <c r="BH77" i="45" s="1"/>
  <c r="BR76" i="45"/>
  <c r="BV76" i="45" s="1"/>
  <c r="AO75" i="45"/>
  <c r="AS75" i="45" s="1"/>
  <c r="BC74" i="45"/>
  <c r="BG74" i="45" s="1"/>
  <c r="AO72" i="45"/>
  <c r="AS72" i="45" s="1"/>
  <c r="BC71" i="45"/>
  <c r="BG71" i="45" s="1"/>
  <c r="BD70" i="45"/>
  <c r="BH70" i="45" s="1"/>
  <c r="AN68" i="45"/>
  <c r="AR68" i="45" s="1"/>
  <c r="AO67" i="45"/>
  <c r="AS67" i="45" s="1"/>
  <c r="BR65" i="45"/>
  <c r="BV65" i="45" s="1"/>
  <c r="BS64" i="45"/>
  <c r="BW64" i="45" s="1"/>
  <c r="AN64" i="45"/>
  <c r="AR64" i="45" s="1"/>
  <c r="AN63" i="45"/>
  <c r="AR63" i="45" s="1"/>
  <c r="BD61" i="45"/>
  <c r="BH61" i="45" s="1"/>
  <c r="BD60" i="45"/>
  <c r="BH60" i="45" s="1"/>
  <c r="BR59" i="45"/>
  <c r="BV59" i="45" s="1"/>
  <c r="AN59" i="45"/>
  <c r="AR59" i="45" s="1"/>
  <c r="BR57" i="45"/>
  <c r="BV57" i="45" s="1"/>
  <c r="AN57" i="45"/>
  <c r="AR57" i="45" s="1"/>
  <c r="AN56" i="45"/>
  <c r="AR56" i="45" s="1"/>
  <c r="AN55" i="45"/>
  <c r="AR55" i="45" s="1"/>
  <c r="BC54" i="45"/>
  <c r="BG54" i="45" s="1"/>
  <c r="BD53" i="45"/>
  <c r="BH53" i="45" s="1"/>
  <c r="BS52" i="45"/>
  <c r="BW52" i="45" s="1"/>
  <c r="AN52" i="45"/>
  <c r="AR52" i="45" s="1"/>
  <c r="AN49" i="45"/>
  <c r="AR49" i="45" s="1"/>
  <c r="AO48" i="45"/>
  <c r="AS48" i="45" s="1"/>
  <c r="BD47" i="45"/>
  <c r="BH47" i="45" s="1"/>
  <c r="BS14" i="45"/>
  <c r="BR17" i="45"/>
  <c r="BV17" i="45" s="1"/>
  <c r="BR18" i="45"/>
  <c r="BV18" i="45" s="1"/>
  <c r="AO22" i="45"/>
  <c r="AS22" i="45" s="1"/>
  <c r="BS22" i="45"/>
  <c r="BW22" i="45" s="1"/>
  <c r="BR23" i="45"/>
  <c r="BV23" i="45" s="1"/>
  <c r="BC25" i="45"/>
  <c r="BG25" i="45" s="1"/>
  <c r="AO26" i="45"/>
  <c r="AS26" i="45" s="1"/>
  <c r="AO27" i="45"/>
  <c r="AS27" i="45" s="1"/>
  <c r="AN28" i="45"/>
  <c r="AR28" i="45" s="1"/>
  <c r="BR28" i="45"/>
  <c r="BV28" i="45" s="1"/>
  <c r="BC29" i="45"/>
  <c r="BG29" i="45" s="1"/>
  <c r="AN30" i="45"/>
  <c r="AR30" i="45" s="1"/>
  <c r="BS30" i="45"/>
  <c r="BW30" i="45" s="1"/>
  <c r="BS33" i="45"/>
  <c r="BW33" i="45" s="1"/>
  <c r="BS36" i="45"/>
  <c r="BW36" i="45" s="1"/>
  <c r="AO39" i="45"/>
  <c r="AS39" i="45" s="1"/>
  <c r="AN43" i="45"/>
  <c r="AR43" i="45" s="1"/>
  <c r="BR46" i="45"/>
  <c r="BV46" i="45" s="1"/>
  <c r="BC62" i="45"/>
  <c r="BG62" i="45" s="1"/>
  <c r="BR69" i="45"/>
  <c r="BV69" i="45" s="1"/>
  <c r="AO81" i="45"/>
  <c r="AS81" i="45" s="1"/>
  <c r="BS89" i="45"/>
  <c r="BW89" i="45" s="1"/>
  <c r="BS93" i="45"/>
  <c r="BW93" i="45" s="1"/>
  <c r="L97" i="45" a="1"/>
  <c r="L97" i="45" s="1"/>
  <c r="K97" i="45" a="1"/>
  <c r="K97" i="45" s="1"/>
  <c r="O97" i="45" s="1"/>
  <c r="X97" i="45" s="1"/>
  <c r="U14" i="45"/>
  <c r="L16" i="45" a="1"/>
  <c r="L16" i="45" s="1"/>
  <c r="BR16" i="45"/>
  <c r="BV16" i="45" s="1"/>
  <c r="BC19" i="45"/>
  <c r="BG19" i="45" s="1"/>
  <c r="AN20" i="45"/>
  <c r="AR20" i="45" s="1"/>
  <c r="BS20" i="45"/>
  <c r="BW20" i="45" s="1"/>
  <c r="BD21" i="45"/>
  <c r="BH21" i="45" s="1"/>
  <c r="AN23" i="45"/>
  <c r="AR23" i="45" s="1"/>
  <c r="BS24" i="45"/>
  <c r="BW24" i="45" s="1"/>
  <c r="BC26" i="45"/>
  <c r="BG26" i="45" s="1"/>
  <c r="BC27" i="45"/>
  <c r="BG27" i="45" s="1"/>
  <c r="AO31" i="45"/>
  <c r="AS31" i="45" s="1"/>
  <c r="AN33" i="45"/>
  <c r="AR33" i="45" s="1"/>
  <c r="AO34" i="45"/>
  <c r="AS34" i="45" s="1"/>
  <c r="BD41" i="45"/>
  <c r="BH41" i="45" s="1"/>
  <c r="AN45" i="45"/>
  <c r="AR45" i="45" s="1"/>
  <c r="BC51" i="45"/>
  <c r="BG51" i="45" s="1"/>
  <c r="BD54" i="45"/>
  <c r="BH54" i="45" s="1"/>
  <c r="BC58" i="45"/>
  <c r="BG58" i="45" s="1"/>
  <c r="AN65" i="45"/>
  <c r="AR65" i="45" s="1"/>
  <c r="AN76" i="45"/>
  <c r="AR76" i="45" s="1"/>
  <c r="AO88" i="45"/>
  <c r="AS88" i="45" s="1"/>
  <c r="AO92" i="45"/>
  <c r="AS92" i="45" s="1"/>
  <c r="BC100" i="45"/>
  <c r="BG100" i="45" s="1"/>
  <c r="BD112" i="45"/>
  <c r="BH112" i="45" s="1"/>
  <c r="D27" i="3"/>
  <c r="BC18" i="45"/>
  <c r="BG18" i="45" s="1"/>
  <c r="BD19" i="45"/>
  <c r="BH19" i="45" s="1"/>
  <c r="AO20" i="45"/>
  <c r="AS20" i="45" s="1"/>
  <c r="AO23" i="45"/>
  <c r="AS23" i="45" s="1"/>
  <c r="AN24" i="45"/>
  <c r="AR24" i="45" s="1"/>
  <c r="BR25" i="45"/>
  <c r="BV25" i="45" s="1"/>
  <c r="BD26" i="45"/>
  <c r="BH26" i="45" s="1"/>
  <c r="BD27" i="45"/>
  <c r="BH27" i="45" s="1"/>
  <c r="BC32" i="45"/>
  <c r="BG32" i="45" s="1"/>
  <c r="AO33" i="45"/>
  <c r="AS33" i="45" s="1"/>
  <c r="AN36" i="45"/>
  <c r="AR36" i="45" s="1"/>
  <c r="BR43" i="45"/>
  <c r="BV43" i="45" s="1"/>
  <c r="K45" i="45" a="1"/>
  <c r="K45" i="45" s="1"/>
  <c r="L45" i="45" a="1"/>
  <c r="L45" i="45" s="1"/>
  <c r="P45" i="45" s="1"/>
  <c r="Y45" i="45" s="1"/>
  <c r="AO68" i="45"/>
  <c r="AS68" i="45" s="1"/>
  <c r="BR21" i="45"/>
  <c r="BV21" i="45" s="1"/>
  <c r="BC22" i="45"/>
  <c r="BG22" i="45" s="1"/>
  <c r="AO24" i="45"/>
  <c r="AS24" i="45" s="1"/>
  <c r="BS25" i="45"/>
  <c r="BW25" i="45" s="1"/>
  <c r="BC28" i="45"/>
  <c r="BG28" i="45" s="1"/>
  <c r="AN29" i="45"/>
  <c r="AR29" i="45" s="1"/>
  <c r="BR29" i="45"/>
  <c r="BV29" i="45" s="1"/>
  <c r="BD31" i="45"/>
  <c r="BH31" i="45" s="1"/>
  <c r="BD32" i="45"/>
  <c r="BH32" i="45" s="1"/>
  <c r="AO38" i="45"/>
  <c r="AS38" i="45" s="1"/>
  <c r="AO42" i="45"/>
  <c r="AS42" i="45" s="1"/>
  <c r="AN50" i="45"/>
  <c r="AR50" i="45" s="1"/>
  <c r="AO52" i="45"/>
  <c r="AS52" i="45" s="1"/>
  <c r="AO57" i="45"/>
  <c r="AS57" i="45" s="1"/>
  <c r="AO63" i="45"/>
  <c r="AS63" i="45" s="1"/>
  <c r="L73" i="45" a="1"/>
  <c r="L73" i="45" s="1"/>
  <c r="K73" i="45" a="1"/>
  <c r="K73" i="45" s="1"/>
  <c r="O73" i="45" s="1"/>
  <c r="X73" i="45" s="1"/>
  <c r="BD79" i="45"/>
  <c r="BH79" i="45" s="1"/>
  <c r="BC84" i="45"/>
  <c r="BG84" i="45" s="1"/>
  <c r="BR86" i="45"/>
  <c r="BV86" i="45" s="1"/>
  <c r="BR98" i="45"/>
  <c r="BV98" i="45" s="1"/>
  <c r="BS103" i="45"/>
  <c r="BW103" i="45" s="1"/>
  <c r="BD108" i="45"/>
  <c r="BH108" i="45" s="1"/>
  <c r="BR110" i="45"/>
  <c r="BV110" i="45" s="1"/>
  <c r="BC115" i="45"/>
  <c r="BG115" i="45" s="1"/>
  <c r="AN19" i="45"/>
  <c r="AR19" i="45" s="1"/>
  <c r="BR19" i="45"/>
  <c r="BV19" i="45" s="1"/>
  <c r="K20" i="45" a="1"/>
  <c r="K20" i="45" s="1"/>
  <c r="O20" i="45" s="1"/>
  <c r="X20" i="45" s="1"/>
  <c r="AN21" i="45"/>
  <c r="AR21" i="45" s="1"/>
  <c r="BS21" i="45"/>
  <c r="BW21" i="45" s="1"/>
  <c r="BD22" i="45"/>
  <c r="BH22" i="45" s="1"/>
  <c r="BC23" i="45"/>
  <c r="BG23" i="45" s="1"/>
  <c r="AN25" i="45"/>
  <c r="AR25" i="45" s="1"/>
  <c r="BR26" i="45"/>
  <c r="BV26" i="45" s="1"/>
  <c r="BR27" i="45"/>
  <c r="BV27" i="45" s="1"/>
  <c r="BD28" i="45"/>
  <c r="BH28" i="45" s="1"/>
  <c r="AO29" i="45"/>
  <c r="AS29" i="45" s="1"/>
  <c r="BS29" i="45"/>
  <c r="BW29" i="45" s="1"/>
  <c r="BD30" i="45"/>
  <c r="BH30" i="45" s="1"/>
  <c r="K33" i="45" a="1"/>
  <c r="K33" i="45" s="1"/>
  <c r="BC33" i="45"/>
  <c r="BG33" i="45" s="1"/>
  <c r="BR34" i="45"/>
  <c r="BV34" i="45" s="1"/>
  <c r="BC36" i="45"/>
  <c r="BG36" i="45" s="1"/>
  <c r="BR45" i="45"/>
  <c r="BV45" i="45" s="1"/>
  <c r="BS65" i="45"/>
  <c r="BW65" i="45" s="1"/>
  <c r="BD71" i="45"/>
  <c r="BH71" i="45" s="1"/>
  <c r="BS76" i="45"/>
  <c r="BW76" i="45" s="1"/>
  <c r="AN93" i="45"/>
  <c r="AR93" i="45" s="1"/>
  <c r="BS19" i="45"/>
  <c r="BW19" i="45" s="1"/>
  <c r="BC20" i="45"/>
  <c r="BG20" i="45" s="1"/>
  <c r="AO21" i="45"/>
  <c r="AS21" i="45" s="1"/>
  <c r="BD23" i="45"/>
  <c r="BH23" i="45" s="1"/>
  <c r="BC24" i="45"/>
  <c r="BG24" i="45" s="1"/>
  <c r="AO25" i="45"/>
  <c r="AS25" i="45" s="1"/>
  <c r="BS26" i="45"/>
  <c r="BW26" i="45" s="1"/>
  <c r="BS27" i="45"/>
  <c r="BW27" i="45" s="1"/>
  <c r="BR31" i="45"/>
  <c r="BV31" i="45" s="1"/>
  <c r="BD33" i="45"/>
  <c r="BH33" i="45" s="1"/>
  <c r="AO35" i="45"/>
  <c r="AS35" i="45" s="1"/>
  <c r="BD36" i="45"/>
  <c r="BH36" i="45" s="1"/>
  <c r="AO55" i="45"/>
  <c r="AS55" i="45" s="1"/>
  <c r="AO59" i="45"/>
  <c r="AS59" i="45" s="1"/>
  <c r="BD74" i="45"/>
  <c r="BH74" i="45" s="1"/>
  <c r="BS82" i="45"/>
  <c r="BW82" i="45" s="1"/>
  <c r="AN85" i="45"/>
  <c r="AR85" i="45" s="1"/>
  <c r="BD87" i="45"/>
  <c r="BH87" i="45" s="1"/>
  <c r="BC91" i="45"/>
  <c r="BG91" i="45" s="1"/>
  <c r="L93" i="45" a="1"/>
  <c r="L93" i="45" s="1"/>
  <c r="P93" i="45" s="1"/>
  <c r="Y93" i="45" s="1"/>
  <c r="K93" i="45" a="1"/>
  <c r="K93" i="45" s="1"/>
  <c r="O93" i="45" s="1"/>
  <c r="X93" i="45" s="1"/>
  <c r="AN114" i="45"/>
  <c r="AR114" i="45" s="1"/>
  <c r="BC14" i="45"/>
  <c r="L19" i="45" a="1"/>
  <c r="L19" i="45" s="1"/>
  <c r="BD20" i="45"/>
  <c r="BH20" i="45" s="1"/>
  <c r="AN22" i="45"/>
  <c r="AR22" i="45" s="1"/>
  <c r="BR22" i="45"/>
  <c r="BV22" i="45" s="1"/>
  <c r="BD24" i="45"/>
  <c r="BH24" i="45" s="1"/>
  <c r="AN26" i="45"/>
  <c r="AR26" i="45" s="1"/>
  <c r="AN27" i="45"/>
  <c r="AR27" i="45" s="1"/>
  <c r="BR30" i="45"/>
  <c r="BV30" i="45" s="1"/>
  <c r="BS31" i="45"/>
  <c r="BW31" i="45" s="1"/>
  <c r="BR32" i="45"/>
  <c r="BV32" i="45" s="1"/>
  <c r="AN39" i="45"/>
  <c r="AR39" i="45" s="1"/>
  <c r="BR50" i="45"/>
  <c r="BV50" i="45" s="1"/>
  <c r="BS57" i="45"/>
  <c r="BW57" i="45" s="1"/>
  <c r="AO64" i="45"/>
  <c r="AS64" i="45" s="1"/>
  <c r="L69" i="45" a="1"/>
  <c r="L69" i="45" s="1"/>
  <c r="K69" i="45" a="1"/>
  <c r="K69" i="45" s="1"/>
  <c r="K96" i="45" a="1"/>
  <c r="K96" i="45" s="1"/>
  <c r="K109" i="45" a="1"/>
  <c r="K109" i="45" s="1"/>
  <c r="O109" i="45" s="1"/>
  <c r="X109" i="45" s="1"/>
  <c r="K113" i="45" a="1"/>
  <c r="K113" i="45" s="1"/>
  <c r="O113" i="45" s="1"/>
  <c r="X113" i="45" s="1"/>
  <c r="L49" i="45" a="1"/>
  <c r="L49" i="45" s="1"/>
  <c r="P49" i="45" s="1"/>
  <c r="Y49" i="45" s="1"/>
  <c r="K76" i="45" a="1"/>
  <c r="K76" i="45" s="1"/>
  <c r="O76" i="45" s="1"/>
  <c r="X76" i="45" s="1"/>
  <c r="L117" i="45" a="1"/>
  <c r="L117" i="45" s="1"/>
  <c r="P117" i="45" s="1"/>
  <c r="L121" i="45" a="1"/>
  <c r="L121" i="45" s="1"/>
  <c r="L125" i="45" a="1"/>
  <c r="L125" i="45" s="1"/>
  <c r="K40" i="45" a="1"/>
  <c r="K40" i="45" s="1"/>
  <c r="K53" i="45" a="1"/>
  <c r="K53" i="45" s="1"/>
  <c r="O53" i="45" s="1"/>
  <c r="X53" i="45" s="1"/>
  <c r="L34" i="45" a="1"/>
  <c r="L34" i="45" s="1"/>
  <c r="P34" i="45" s="1"/>
  <c r="Y34" i="45" s="1"/>
  <c r="BD15" i="44"/>
  <c r="AN16" i="44"/>
  <c r="AR16" i="44" s="1"/>
  <c r="BS16" i="44"/>
  <c r="BW16" i="44" s="1"/>
  <c r="BD17" i="44"/>
  <c r="BH17" i="44" s="1"/>
  <c r="AN19" i="44"/>
  <c r="AR19" i="44" s="1"/>
  <c r="BD20" i="44"/>
  <c r="BH20" i="44" s="1"/>
  <c r="BC21" i="44"/>
  <c r="BG21" i="44" s="1"/>
  <c r="AN22" i="44"/>
  <c r="AR22" i="44" s="1"/>
  <c r="BS22" i="44"/>
  <c r="BW22" i="44" s="1"/>
  <c r="BR23" i="44"/>
  <c r="BV23" i="44" s="1"/>
  <c r="AN26" i="44"/>
  <c r="AR26" i="44" s="1"/>
  <c r="BS26" i="44"/>
  <c r="BW26" i="44" s="1"/>
  <c r="BR27" i="44"/>
  <c r="BV27" i="44" s="1"/>
  <c r="BR31" i="44"/>
  <c r="BV31" i="44" s="1"/>
  <c r="BC33" i="44"/>
  <c r="BG33" i="44" s="1"/>
  <c r="AN34" i="44"/>
  <c r="AR34" i="44" s="1"/>
  <c r="BS34" i="44"/>
  <c r="BW34" i="44" s="1"/>
  <c r="BD35" i="44"/>
  <c r="BH35" i="44" s="1"/>
  <c r="BC36" i="44"/>
  <c r="BG36" i="44" s="1"/>
  <c r="BR37" i="44"/>
  <c r="BV37" i="44" s="1"/>
  <c r="BC39" i="44"/>
  <c r="BG39" i="44" s="1"/>
  <c r="AO40" i="44"/>
  <c r="AS40" i="44" s="1"/>
  <c r="AN41" i="44"/>
  <c r="AR41" i="44" s="1"/>
  <c r="BD43" i="44"/>
  <c r="BH43" i="44" s="1"/>
  <c r="BR45" i="44"/>
  <c r="BV45" i="44" s="1"/>
  <c r="BS53" i="44"/>
  <c r="BW53" i="44" s="1"/>
  <c r="AN56" i="44"/>
  <c r="AR56" i="44" s="1"/>
  <c r="BC57" i="44"/>
  <c r="BG57" i="44" s="1"/>
  <c r="K63" i="44" a="1"/>
  <c r="K63" i="44" s="1"/>
  <c r="O63" i="44" s="1"/>
  <c r="X63" i="44" s="1"/>
  <c r="L63" i="44" a="1"/>
  <c r="L63" i="44" s="1"/>
  <c r="BR68" i="44"/>
  <c r="BV68" i="44" s="1"/>
  <c r="K71" i="44" a="1"/>
  <c r="K71" i="44" s="1"/>
  <c r="O71" i="44" s="1"/>
  <c r="X71" i="44" s="1"/>
  <c r="L71" i="44" a="1"/>
  <c r="L71" i="44" s="1"/>
  <c r="P71" i="44" s="1"/>
  <c r="Y71" i="44" s="1"/>
  <c r="BD73" i="44"/>
  <c r="BH73" i="44" s="1"/>
  <c r="BC86" i="44"/>
  <c r="BG86" i="44" s="1"/>
  <c r="BC90" i="44"/>
  <c r="BG90" i="44" s="1"/>
  <c r="BS92" i="44"/>
  <c r="BW92" i="44" s="1"/>
  <c r="BC97" i="44"/>
  <c r="BG97" i="44" s="1"/>
  <c r="AN103" i="44"/>
  <c r="AR103" i="44" s="1"/>
  <c r="BD105" i="44"/>
  <c r="BH105" i="44" s="1"/>
  <c r="BS107" i="44"/>
  <c r="BW107" i="44" s="1"/>
  <c r="BR115" i="44"/>
  <c r="BV115" i="44" s="1"/>
  <c r="BS112" i="44"/>
  <c r="BW112" i="44" s="1"/>
  <c r="AO112" i="44"/>
  <c r="AS112" i="44" s="1"/>
  <c r="BC108" i="44"/>
  <c r="BG108" i="44" s="1"/>
  <c r="BD104" i="44"/>
  <c r="BH104" i="44" s="1"/>
  <c r="BR103" i="44"/>
  <c r="BV103" i="44" s="1"/>
  <c r="BS102" i="44"/>
  <c r="BW102" i="44" s="1"/>
  <c r="AO102" i="44"/>
  <c r="AS102" i="44" s="1"/>
  <c r="BD101" i="44"/>
  <c r="BH101" i="44" s="1"/>
  <c r="BD100" i="44"/>
  <c r="BH100" i="44" s="1"/>
  <c r="BS99" i="44"/>
  <c r="BW99" i="44" s="1"/>
  <c r="AN99" i="44"/>
  <c r="AR99" i="44" s="1"/>
  <c r="AO98" i="44"/>
  <c r="AS98" i="44" s="1"/>
  <c r="AO97" i="44"/>
  <c r="AS97" i="44" s="1"/>
  <c r="BD96" i="44"/>
  <c r="BH96" i="44" s="1"/>
  <c r="BS95" i="44"/>
  <c r="BW95" i="44" s="1"/>
  <c r="AN95" i="44"/>
  <c r="AR95" i="44" s="1"/>
  <c r="AN94" i="44"/>
  <c r="AR94" i="44" s="1"/>
  <c r="BC93" i="44"/>
  <c r="BG93" i="44" s="1"/>
  <c r="BS91" i="44"/>
  <c r="BW91" i="44" s="1"/>
  <c r="AO90" i="44"/>
  <c r="AS90" i="44" s="1"/>
  <c r="AO89" i="44"/>
  <c r="AS89" i="44" s="1"/>
  <c r="BD88" i="44"/>
  <c r="BH88" i="44" s="1"/>
  <c r="AO86" i="44"/>
  <c r="AS86" i="44" s="1"/>
  <c r="BC83" i="44"/>
  <c r="BG83" i="44" s="1"/>
  <c r="BD82" i="44"/>
  <c r="BH82" i="44" s="1"/>
  <c r="BS80" i="44"/>
  <c r="BW80" i="44" s="1"/>
  <c r="AO80" i="44"/>
  <c r="AS80" i="44" s="1"/>
  <c r="BD79" i="44"/>
  <c r="BH79" i="44" s="1"/>
  <c r="BD78" i="44"/>
  <c r="BH78" i="44" s="1"/>
  <c r="AN76" i="44"/>
  <c r="AR76" i="44" s="1"/>
  <c r="BD72" i="44"/>
  <c r="BH72" i="44" s="1"/>
  <c r="BR71" i="44"/>
  <c r="BV71" i="44" s="1"/>
  <c r="BS70" i="44"/>
  <c r="BW70" i="44" s="1"/>
  <c r="AN70" i="44"/>
  <c r="AR70" i="44" s="1"/>
  <c r="BC69" i="44"/>
  <c r="BG69" i="44" s="1"/>
  <c r="BD68" i="44"/>
  <c r="BH68" i="44" s="1"/>
  <c r="BD67" i="44"/>
  <c r="BH67" i="44" s="1"/>
  <c r="BR66" i="44"/>
  <c r="BV66" i="44" s="1"/>
  <c r="BS114" i="44"/>
  <c r="BW114" i="44" s="1"/>
  <c r="BD113" i="44"/>
  <c r="BH113" i="44" s="1"/>
  <c r="BR112" i="44"/>
  <c r="BV112" i="44" s="1"/>
  <c r="AN112" i="44"/>
  <c r="AR112" i="44" s="1"/>
  <c r="BD111" i="44"/>
  <c r="BH111" i="44" s="1"/>
  <c r="BS110" i="44"/>
  <c r="BW110" i="44" s="1"/>
  <c r="AO110" i="44"/>
  <c r="AS110" i="44" s="1"/>
  <c r="AO109" i="44"/>
  <c r="AS109" i="44" s="1"/>
  <c r="AO106" i="44"/>
  <c r="AS106" i="44" s="1"/>
  <c r="AO105" i="44"/>
  <c r="AS105" i="44" s="1"/>
  <c r="BC104" i="44"/>
  <c r="BG104" i="44" s="1"/>
  <c r="BR102" i="44"/>
  <c r="BV102" i="44" s="1"/>
  <c r="AN102" i="44"/>
  <c r="AR102" i="44" s="1"/>
  <c r="BC101" i="44"/>
  <c r="BG101" i="44" s="1"/>
  <c r="BC100" i="44"/>
  <c r="BG100" i="44" s="1"/>
  <c r="BR99" i="44"/>
  <c r="BV99" i="44" s="1"/>
  <c r="AN98" i="44"/>
  <c r="AR98" i="44" s="1"/>
  <c r="AN97" i="44"/>
  <c r="AR97" i="44" s="1"/>
  <c r="BC96" i="44"/>
  <c r="BG96" i="44" s="1"/>
  <c r="BR95" i="44"/>
  <c r="BV95" i="44" s="1"/>
  <c r="BS94" i="44"/>
  <c r="BW94" i="44" s="1"/>
  <c r="BR91" i="44"/>
  <c r="BV91" i="44" s="1"/>
  <c r="BS90" i="44"/>
  <c r="BW90" i="44" s="1"/>
  <c r="AN90" i="44"/>
  <c r="AR90" i="44" s="1"/>
  <c r="AN89" i="44"/>
  <c r="AR89" i="44" s="1"/>
  <c r="BC88" i="44"/>
  <c r="BG88" i="44" s="1"/>
  <c r="AN86" i="44"/>
  <c r="AR86" i="44" s="1"/>
  <c r="AO85" i="44"/>
  <c r="AS85" i="44" s="1"/>
  <c r="BC82" i="44"/>
  <c r="BG82" i="44" s="1"/>
  <c r="BD81" i="44"/>
  <c r="BH81" i="44" s="1"/>
  <c r="BR80" i="44"/>
  <c r="BV80" i="44" s="1"/>
  <c r="AN80" i="44"/>
  <c r="AR80" i="44" s="1"/>
  <c r="BC79" i="44"/>
  <c r="BG79" i="44" s="1"/>
  <c r="BC78" i="44"/>
  <c r="BG78" i="44" s="1"/>
  <c r="BS76" i="44"/>
  <c r="BW76" i="44" s="1"/>
  <c r="AO75" i="44"/>
  <c r="AS75" i="44" s="1"/>
  <c r="BD74" i="44"/>
  <c r="BH74" i="44" s="1"/>
  <c r="BC72" i="44"/>
  <c r="BG72" i="44" s="1"/>
  <c r="BR70" i="44"/>
  <c r="BV70" i="44" s="1"/>
  <c r="BC68" i="44"/>
  <c r="BG68" i="44" s="1"/>
  <c r="BC67" i="44"/>
  <c r="BG67" i="44" s="1"/>
  <c r="AO65" i="44"/>
  <c r="AS65" i="44" s="1"/>
  <c r="BD64" i="44"/>
  <c r="BH64" i="44" s="1"/>
  <c r="BR62" i="44"/>
  <c r="BV62" i="44" s="1"/>
  <c r="BC60" i="44"/>
  <c r="BG60" i="44" s="1"/>
  <c r="BR58" i="44"/>
  <c r="BV58" i="44" s="1"/>
  <c r="BD56" i="44"/>
  <c r="BH56" i="44" s="1"/>
  <c r="BR55" i="44"/>
  <c r="BV55" i="44" s="1"/>
  <c r="AN54" i="44"/>
  <c r="AR54" i="44" s="1"/>
  <c r="BR52" i="44"/>
  <c r="BV52" i="44" s="1"/>
  <c r="BS51" i="44"/>
  <c r="BW51" i="44" s="1"/>
  <c r="AO51" i="44"/>
  <c r="AS51" i="44" s="1"/>
  <c r="BC50" i="44"/>
  <c r="BG50" i="44" s="1"/>
  <c r="BR48" i="44"/>
  <c r="BV48" i="44" s="1"/>
  <c r="AO47" i="44"/>
  <c r="AS47" i="44" s="1"/>
  <c r="AO46" i="44"/>
  <c r="AS46" i="44" s="1"/>
  <c r="BD45" i="44"/>
  <c r="BH45" i="44" s="1"/>
  <c r="BD115" i="44"/>
  <c r="BH115" i="44" s="1"/>
  <c r="BR114" i="44"/>
  <c r="BV114" i="44" s="1"/>
  <c r="BC113" i="44"/>
  <c r="BG113" i="44" s="1"/>
  <c r="BC111" i="44"/>
  <c r="BG111" i="44" s="1"/>
  <c r="BR110" i="44"/>
  <c r="BV110" i="44" s="1"/>
  <c r="AN110" i="44"/>
  <c r="AR110" i="44" s="1"/>
  <c r="AN109" i="44"/>
  <c r="AR109" i="44" s="1"/>
  <c r="AO108" i="44"/>
  <c r="AS108" i="44" s="1"/>
  <c r="AN106" i="44"/>
  <c r="AR106" i="44" s="1"/>
  <c r="AN105" i="44"/>
  <c r="AR105" i="44" s="1"/>
  <c r="BD103" i="44"/>
  <c r="BH103" i="44" s="1"/>
  <c r="BS98" i="44"/>
  <c r="BW98" i="44" s="1"/>
  <c r="BS97" i="44"/>
  <c r="BW97" i="44" s="1"/>
  <c r="BR94" i="44"/>
  <c r="BV94" i="44" s="1"/>
  <c r="AO93" i="44"/>
  <c r="AS93" i="44" s="1"/>
  <c r="BD92" i="44"/>
  <c r="BH92" i="44" s="1"/>
  <c r="BR90" i="44"/>
  <c r="BV90" i="44" s="1"/>
  <c r="BS89" i="44"/>
  <c r="BW89" i="44" s="1"/>
  <c r="BS86" i="44"/>
  <c r="BW86" i="44" s="1"/>
  <c r="BS85" i="44"/>
  <c r="BW85" i="44" s="1"/>
  <c r="AN85" i="44"/>
  <c r="AR85" i="44" s="1"/>
  <c r="BD84" i="44"/>
  <c r="BH84" i="44" s="1"/>
  <c r="BS83" i="44"/>
  <c r="BW83" i="44" s="1"/>
  <c r="BC81" i="44"/>
  <c r="BG81" i="44" s="1"/>
  <c r="BD77" i="44"/>
  <c r="BH77" i="44" s="1"/>
  <c r="BR76" i="44"/>
  <c r="BV76" i="44" s="1"/>
  <c r="AN75" i="44"/>
  <c r="AR75" i="44" s="1"/>
  <c r="BC74" i="44"/>
  <c r="BG74" i="44" s="1"/>
  <c r="BS73" i="44"/>
  <c r="BW73" i="44" s="1"/>
  <c r="AO73" i="44"/>
  <c r="AS73" i="44" s="1"/>
  <c r="BD71" i="44"/>
  <c r="BH71" i="44" s="1"/>
  <c r="AO69" i="44"/>
  <c r="AS69" i="44" s="1"/>
  <c r="BD66" i="44"/>
  <c r="BH66" i="44" s="1"/>
  <c r="BS65" i="44"/>
  <c r="BW65" i="44" s="1"/>
  <c r="AN65" i="44"/>
  <c r="AR65" i="44" s="1"/>
  <c r="BC64" i="44"/>
  <c r="BG64" i="44" s="1"/>
  <c r="BD63" i="44"/>
  <c r="BH63" i="44" s="1"/>
  <c r="BS61" i="44"/>
  <c r="BW61" i="44" s="1"/>
  <c r="AO61" i="44"/>
  <c r="AS61" i="44" s="1"/>
  <c r="BD59" i="44"/>
  <c r="BH59" i="44" s="1"/>
  <c r="AO57" i="44"/>
  <c r="AS57" i="44" s="1"/>
  <c r="BC56" i="44"/>
  <c r="BG56" i="44" s="1"/>
  <c r="BS54" i="44"/>
  <c r="BW54" i="44" s="1"/>
  <c r="BD53" i="44"/>
  <c r="BH53" i="44" s="1"/>
  <c r="BR51" i="44"/>
  <c r="BV51" i="44" s="1"/>
  <c r="AN51" i="44"/>
  <c r="AR51" i="44" s="1"/>
  <c r="BD49" i="44"/>
  <c r="BH49" i="44" s="1"/>
  <c r="BS47" i="44"/>
  <c r="BW47" i="44" s="1"/>
  <c r="AN47" i="44"/>
  <c r="AR47" i="44" s="1"/>
  <c r="AN46" i="44"/>
  <c r="AR46" i="44" s="1"/>
  <c r="BC45" i="44"/>
  <c r="BG45" i="44" s="1"/>
  <c r="BC115" i="44"/>
  <c r="BG115" i="44" s="1"/>
  <c r="AO114" i="44"/>
  <c r="AS114" i="44" s="1"/>
  <c r="BS109" i="44"/>
  <c r="BW109" i="44" s="1"/>
  <c r="BS108" i="44"/>
  <c r="BW108" i="44" s="1"/>
  <c r="AN108" i="44"/>
  <c r="AR108" i="44" s="1"/>
  <c r="BD107" i="44"/>
  <c r="BH107" i="44" s="1"/>
  <c r="BS106" i="44"/>
  <c r="BW106" i="44" s="1"/>
  <c r="BS105" i="44"/>
  <c r="BW105" i="44" s="1"/>
  <c r="AO104" i="44"/>
  <c r="AS104" i="44" s="1"/>
  <c r="BC103" i="44"/>
  <c r="BG103" i="44" s="1"/>
  <c r="AO101" i="44"/>
  <c r="AS101" i="44" s="1"/>
  <c r="AO100" i="44"/>
  <c r="AS100" i="44" s="1"/>
  <c r="BR98" i="44"/>
  <c r="BV98" i="44" s="1"/>
  <c r="BR97" i="44"/>
  <c r="BV97" i="44" s="1"/>
  <c r="BD95" i="44"/>
  <c r="BH95" i="44" s="1"/>
  <c r="BS93" i="44"/>
  <c r="BW93" i="44" s="1"/>
  <c r="AN93" i="44"/>
  <c r="AR93" i="44" s="1"/>
  <c r="BC92" i="44"/>
  <c r="BG92" i="44" s="1"/>
  <c r="BD91" i="44"/>
  <c r="BH91" i="44" s="1"/>
  <c r="BR89" i="44"/>
  <c r="BV89" i="44" s="1"/>
  <c r="AO88" i="44"/>
  <c r="AS88" i="44" s="1"/>
  <c r="BD87" i="44"/>
  <c r="BH87" i="44" s="1"/>
  <c r="BR86" i="44"/>
  <c r="BV86" i="44" s="1"/>
  <c r="BR85" i="44"/>
  <c r="BV85" i="44" s="1"/>
  <c r="BC84" i="44"/>
  <c r="BG84" i="44" s="1"/>
  <c r="BR83" i="44"/>
  <c r="BV83" i="44" s="1"/>
  <c r="AO83" i="44"/>
  <c r="AS83" i="44" s="1"/>
  <c r="AO82" i="44"/>
  <c r="AS82" i="44" s="1"/>
  <c r="AO79" i="44"/>
  <c r="AS79" i="44" s="1"/>
  <c r="AO78" i="44"/>
  <c r="AS78" i="44" s="1"/>
  <c r="BC77" i="44"/>
  <c r="BG77" i="44" s="1"/>
  <c r="BS75" i="44"/>
  <c r="BW75" i="44" s="1"/>
  <c r="BR73" i="44"/>
  <c r="BV73" i="44" s="1"/>
  <c r="AN73" i="44"/>
  <c r="AR73" i="44" s="1"/>
  <c r="BC71" i="44"/>
  <c r="BG71" i="44" s="1"/>
  <c r="AN69" i="44"/>
  <c r="AR69" i="44" s="1"/>
  <c r="AO68" i="44"/>
  <c r="AS68" i="44" s="1"/>
  <c r="AO67" i="44"/>
  <c r="AS67" i="44" s="1"/>
  <c r="BC66" i="44"/>
  <c r="BG66" i="44" s="1"/>
  <c r="BR65" i="44"/>
  <c r="BV65" i="44" s="1"/>
  <c r="BC63" i="44"/>
  <c r="BG63" i="44" s="1"/>
  <c r="BD62" i="44"/>
  <c r="BH62" i="44" s="1"/>
  <c r="BR61" i="44"/>
  <c r="BV61" i="44" s="1"/>
  <c r="AN61" i="44"/>
  <c r="AR61" i="44" s="1"/>
  <c r="AO60" i="44"/>
  <c r="AS60" i="44" s="1"/>
  <c r="BC59" i="44"/>
  <c r="BG59" i="44" s="1"/>
  <c r="BD58" i="44"/>
  <c r="BH58" i="44" s="1"/>
  <c r="BS57" i="44"/>
  <c r="BW57" i="44" s="1"/>
  <c r="AN57" i="44"/>
  <c r="AR57" i="44" s="1"/>
  <c r="BD55" i="44"/>
  <c r="BH55" i="44" s="1"/>
  <c r="BR54" i="44"/>
  <c r="BV54" i="44" s="1"/>
  <c r="BC53" i="44"/>
  <c r="BG53" i="44" s="1"/>
  <c r="BD52" i="44"/>
  <c r="BH52" i="44" s="1"/>
  <c r="AO50" i="44"/>
  <c r="AS50" i="44" s="1"/>
  <c r="BC49" i="44"/>
  <c r="BG49" i="44" s="1"/>
  <c r="BD48" i="44"/>
  <c r="BH48" i="44" s="1"/>
  <c r="BR47" i="44"/>
  <c r="BV47" i="44" s="1"/>
  <c r="BS46" i="44"/>
  <c r="BW46" i="44" s="1"/>
  <c r="BC44" i="44"/>
  <c r="BG44" i="44" s="1"/>
  <c r="BC43" i="44"/>
  <c r="BG43" i="44" s="1"/>
  <c r="BR42" i="44"/>
  <c r="BV42" i="44" s="1"/>
  <c r="AN114" i="44"/>
  <c r="AR114" i="44" s="1"/>
  <c r="AO113" i="44"/>
  <c r="AS113" i="44" s="1"/>
  <c r="BD112" i="44"/>
  <c r="BH112" i="44" s="1"/>
  <c r="BR109" i="44"/>
  <c r="BV109" i="44" s="1"/>
  <c r="BR108" i="44"/>
  <c r="BV108" i="44" s="1"/>
  <c r="BC107" i="44"/>
  <c r="BG107" i="44" s="1"/>
  <c r="BR106" i="44"/>
  <c r="BV106" i="44" s="1"/>
  <c r="BR105" i="44"/>
  <c r="BV105" i="44" s="1"/>
  <c r="BS104" i="44"/>
  <c r="BW104" i="44" s="1"/>
  <c r="AN104" i="44"/>
  <c r="AR104" i="44" s="1"/>
  <c r="BD102" i="44"/>
  <c r="BH102" i="44" s="1"/>
  <c r="BS101" i="44"/>
  <c r="BW101" i="44" s="1"/>
  <c r="AN101" i="44"/>
  <c r="AR101" i="44" s="1"/>
  <c r="AN100" i="44"/>
  <c r="AR100" i="44" s="1"/>
  <c r="BD99" i="44"/>
  <c r="BH99" i="44" s="1"/>
  <c r="BS96" i="44"/>
  <c r="BW96" i="44" s="1"/>
  <c r="AO96" i="44"/>
  <c r="AS96" i="44" s="1"/>
  <c r="BC95" i="44"/>
  <c r="BG95" i="44" s="1"/>
  <c r="BD94" i="44"/>
  <c r="BH94" i="44" s="1"/>
  <c r="BR93" i="44"/>
  <c r="BV93" i="44" s="1"/>
  <c r="BC91" i="44"/>
  <c r="BG91" i="44" s="1"/>
  <c r="AN88" i="44"/>
  <c r="AR88" i="44" s="1"/>
  <c r="BC87" i="44"/>
  <c r="BG87" i="44" s="1"/>
  <c r="AN83" i="44"/>
  <c r="AR83" i="44" s="1"/>
  <c r="AN82" i="44"/>
  <c r="AR82" i="44" s="1"/>
  <c r="AO81" i="44"/>
  <c r="AS81" i="44" s="1"/>
  <c r="AN79" i="44"/>
  <c r="AR79" i="44" s="1"/>
  <c r="AN78" i="44"/>
  <c r="AR78" i="44" s="1"/>
  <c r="BD76" i="44"/>
  <c r="BH76" i="44" s="1"/>
  <c r="BR75" i="44"/>
  <c r="BV75" i="44" s="1"/>
  <c r="BS74" i="44"/>
  <c r="BW74" i="44" s="1"/>
  <c r="AO72" i="44"/>
  <c r="AS72" i="44" s="1"/>
  <c r="BD70" i="44"/>
  <c r="BH70" i="44" s="1"/>
  <c r="BS69" i="44"/>
  <c r="BW69" i="44" s="1"/>
  <c r="AN68" i="44"/>
  <c r="AR68" i="44" s="1"/>
  <c r="AN67" i="44"/>
  <c r="AR67" i="44" s="1"/>
  <c r="BS64" i="44"/>
  <c r="BW64" i="44" s="1"/>
  <c r="BC62" i="44"/>
  <c r="BG62" i="44" s="1"/>
  <c r="AN60" i="44"/>
  <c r="AR60" i="44" s="1"/>
  <c r="BC58" i="44"/>
  <c r="BG58" i="44" s="1"/>
  <c r="BR57" i="44"/>
  <c r="BV57" i="44" s="1"/>
  <c r="AO56" i="44"/>
  <c r="AS56" i="44" s="1"/>
  <c r="BC55" i="44"/>
  <c r="BG55" i="44" s="1"/>
  <c r="BC52" i="44"/>
  <c r="BG52" i="44" s="1"/>
  <c r="BS50" i="44"/>
  <c r="BW50" i="44" s="1"/>
  <c r="AN50" i="44"/>
  <c r="AR50" i="44" s="1"/>
  <c r="BC48" i="44"/>
  <c r="BG48" i="44" s="1"/>
  <c r="BR46" i="44"/>
  <c r="BV46" i="44" s="1"/>
  <c r="AO45" i="44"/>
  <c r="AS45" i="44" s="1"/>
  <c r="AO115" i="44"/>
  <c r="AS115" i="44" s="1"/>
  <c r="AN113" i="44"/>
  <c r="AR113" i="44" s="1"/>
  <c r="BC112" i="44"/>
  <c r="BG112" i="44" s="1"/>
  <c r="BS111" i="44"/>
  <c r="BW111" i="44" s="1"/>
  <c r="AO111" i="44"/>
  <c r="AS111" i="44" s="1"/>
  <c r="BD110" i="44"/>
  <c r="BH110" i="44" s="1"/>
  <c r="BR104" i="44"/>
  <c r="BV104" i="44" s="1"/>
  <c r="AO103" i="44"/>
  <c r="AS103" i="44" s="1"/>
  <c r="BC102" i="44"/>
  <c r="BG102" i="44" s="1"/>
  <c r="BR101" i="44"/>
  <c r="BV101" i="44" s="1"/>
  <c r="BS100" i="44"/>
  <c r="BW100" i="44" s="1"/>
  <c r="BC99" i="44"/>
  <c r="BG99" i="44" s="1"/>
  <c r="BD98" i="44"/>
  <c r="BH98" i="44" s="1"/>
  <c r="BD97" i="44"/>
  <c r="BH97" i="44" s="1"/>
  <c r="BR96" i="44"/>
  <c r="BV96" i="44" s="1"/>
  <c r="AN96" i="44"/>
  <c r="AR96" i="44" s="1"/>
  <c r="BC94" i="44"/>
  <c r="BG94" i="44" s="1"/>
  <c r="AO92" i="44"/>
  <c r="AS92" i="44" s="1"/>
  <c r="BD90" i="44"/>
  <c r="BH90" i="44" s="1"/>
  <c r="BD89" i="44"/>
  <c r="BH89" i="44" s="1"/>
  <c r="BS88" i="44"/>
  <c r="BW88" i="44" s="1"/>
  <c r="BD86" i="44"/>
  <c r="BH86" i="44" s="1"/>
  <c r="BD85" i="44"/>
  <c r="BH85" i="44" s="1"/>
  <c r="BS82" i="44"/>
  <c r="BW82" i="44" s="1"/>
  <c r="AN81" i="44"/>
  <c r="AR81" i="44" s="1"/>
  <c r="BD80" i="44"/>
  <c r="BH80" i="44" s="1"/>
  <c r="BS79" i="44"/>
  <c r="BW79" i="44" s="1"/>
  <c r="BS78" i="44"/>
  <c r="BW78" i="44" s="1"/>
  <c r="AO77" i="44"/>
  <c r="AS77" i="44" s="1"/>
  <c r="BC76" i="44"/>
  <c r="BG76" i="44" s="1"/>
  <c r="BR74" i="44"/>
  <c r="BV74" i="44" s="1"/>
  <c r="AO74" i="44"/>
  <c r="AS74" i="44" s="1"/>
  <c r="BS72" i="44"/>
  <c r="BW72" i="44" s="1"/>
  <c r="AN72" i="44"/>
  <c r="AR72" i="44" s="1"/>
  <c r="AO71" i="44"/>
  <c r="AS71" i="44" s="1"/>
  <c r="BC70" i="44"/>
  <c r="BG70" i="44" s="1"/>
  <c r="BR69" i="44"/>
  <c r="BV69" i="44" s="1"/>
  <c r="BS68" i="44"/>
  <c r="BW68" i="44" s="1"/>
  <c r="BS67" i="44"/>
  <c r="BW67" i="44" s="1"/>
  <c r="BD65" i="44"/>
  <c r="BH65" i="44" s="1"/>
  <c r="BR64" i="44"/>
  <c r="BV64" i="44" s="1"/>
  <c r="AO64" i="44"/>
  <c r="AS64" i="44" s="1"/>
  <c r="AO63" i="44"/>
  <c r="AS63" i="44" s="1"/>
  <c r="BS60" i="44"/>
  <c r="BW60" i="44" s="1"/>
  <c r="AO59" i="44"/>
  <c r="AS59" i="44" s="1"/>
  <c r="BS115" i="44"/>
  <c r="BW115" i="44" s="1"/>
  <c r="BC114" i="44"/>
  <c r="BG114" i="44" s="1"/>
  <c r="BR113" i="44"/>
  <c r="BV113" i="44" s="1"/>
  <c r="BC109" i="44"/>
  <c r="BG109" i="44" s="1"/>
  <c r="BD108" i="44"/>
  <c r="BH108" i="44" s="1"/>
  <c r="BR107" i="44"/>
  <c r="BV107" i="44" s="1"/>
  <c r="AN107" i="44"/>
  <c r="AR107" i="44" s="1"/>
  <c r="BC106" i="44"/>
  <c r="BG106" i="44" s="1"/>
  <c r="BC105" i="44"/>
  <c r="BG105" i="44" s="1"/>
  <c r="BS103" i="44"/>
  <c r="BW103" i="44" s="1"/>
  <c r="AO99" i="44"/>
  <c r="AS99" i="44" s="1"/>
  <c r="AO95" i="44"/>
  <c r="AS95" i="44" s="1"/>
  <c r="AO94" i="44"/>
  <c r="AS94" i="44" s="1"/>
  <c r="BD93" i="44"/>
  <c r="BH93" i="44" s="1"/>
  <c r="BR92" i="44"/>
  <c r="BV92" i="44" s="1"/>
  <c r="AN91" i="44"/>
  <c r="AR91" i="44" s="1"/>
  <c r="BR87" i="44"/>
  <c r="BV87" i="44" s="1"/>
  <c r="AN87" i="44"/>
  <c r="AR87" i="44" s="1"/>
  <c r="BR84" i="44"/>
  <c r="BV84" i="44" s="1"/>
  <c r="AN84" i="44"/>
  <c r="AR84" i="44" s="1"/>
  <c r="BD83" i="44"/>
  <c r="BH83" i="44" s="1"/>
  <c r="BR81" i="44"/>
  <c r="BV81" i="44" s="1"/>
  <c r="BR77" i="44"/>
  <c r="BV77" i="44" s="1"/>
  <c r="AO76" i="44"/>
  <c r="AS76" i="44" s="1"/>
  <c r="BC75" i="44"/>
  <c r="BG75" i="44" s="1"/>
  <c r="BC73" i="44"/>
  <c r="BG73" i="44" s="1"/>
  <c r="BS71" i="44"/>
  <c r="BW71" i="44" s="1"/>
  <c r="AO70" i="44"/>
  <c r="AS70" i="44" s="1"/>
  <c r="BD69" i="44"/>
  <c r="BH69" i="44" s="1"/>
  <c r="BS66" i="44"/>
  <c r="BW66" i="44" s="1"/>
  <c r="AN66" i="44"/>
  <c r="AR66" i="44" s="1"/>
  <c r="AO15" i="44"/>
  <c r="BC16" i="44"/>
  <c r="BG16" i="44" s="1"/>
  <c r="AN17" i="44"/>
  <c r="AR17" i="44" s="1"/>
  <c r="BS17" i="44"/>
  <c r="BW17" i="44" s="1"/>
  <c r="BD18" i="44"/>
  <c r="BH18" i="44" s="1"/>
  <c r="BS20" i="44"/>
  <c r="BW20" i="44" s="1"/>
  <c r="BC22" i="44"/>
  <c r="BG22" i="44" s="1"/>
  <c r="AO23" i="44"/>
  <c r="AS23" i="44" s="1"/>
  <c r="AO24" i="44"/>
  <c r="AS24" i="44" s="1"/>
  <c r="BS24" i="44"/>
  <c r="BW24" i="44" s="1"/>
  <c r="AN28" i="44"/>
  <c r="AR28" i="44" s="1"/>
  <c r="AO31" i="44"/>
  <c r="AS31" i="44" s="1"/>
  <c r="AN32" i="44"/>
  <c r="AR32" i="44" s="1"/>
  <c r="AN35" i="44"/>
  <c r="AR35" i="44" s="1"/>
  <c r="BS35" i="44"/>
  <c r="BW35" i="44" s="1"/>
  <c r="AN38" i="44"/>
  <c r="AR38" i="44" s="1"/>
  <c r="BD40" i="44"/>
  <c r="BH40" i="44" s="1"/>
  <c r="BC41" i="44"/>
  <c r="BG41" i="44" s="1"/>
  <c r="AO42" i="44"/>
  <c r="AS42" i="44" s="1"/>
  <c r="BS43" i="44"/>
  <c r="BW43" i="44" s="1"/>
  <c r="AO49" i="44"/>
  <c r="AS49" i="44" s="1"/>
  <c r="AO53" i="44"/>
  <c r="AS53" i="44" s="1"/>
  <c r="AO54" i="44"/>
  <c r="AS54" i="44" s="1"/>
  <c r="BR56" i="44"/>
  <c r="BV56" i="44" s="1"/>
  <c r="AN59" i="44"/>
  <c r="AR59" i="44" s="1"/>
  <c r="BR60" i="44"/>
  <c r="BV60" i="44" s="1"/>
  <c r="L62" i="44" a="1"/>
  <c r="L62" i="44" s="1"/>
  <c r="P62" i="44" s="1"/>
  <c r="Y62" i="44" s="1"/>
  <c r="K62" i="44" a="1"/>
  <c r="K62" i="44" s="1"/>
  <c r="O62" i="44" s="1"/>
  <c r="X62" i="44" s="1"/>
  <c r="AO62" i="44"/>
  <c r="AS62" i="44" s="1"/>
  <c r="BS63" i="44"/>
  <c r="BW63" i="44" s="1"/>
  <c r="BR78" i="44"/>
  <c r="BV78" i="44" s="1"/>
  <c r="BC98" i="44"/>
  <c r="BG98" i="44" s="1"/>
  <c r="BD106" i="44"/>
  <c r="BH106" i="44" s="1"/>
  <c r="BC19" i="44"/>
  <c r="BG19" i="44" s="1"/>
  <c r="AN20" i="44"/>
  <c r="AR20" i="44" s="1"/>
  <c r="BR21" i="44"/>
  <c r="BV21" i="44" s="1"/>
  <c r="BD22" i="44"/>
  <c r="BH22" i="44" s="1"/>
  <c r="BR25" i="44"/>
  <c r="BV25" i="44" s="1"/>
  <c r="BC26" i="44"/>
  <c r="BG26" i="44" s="1"/>
  <c r="BC27" i="44"/>
  <c r="BG27" i="44" s="1"/>
  <c r="AO28" i="44"/>
  <c r="AS28" i="44" s="1"/>
  <c r="BR29" i="44"/>
  <c r="BV29" i="44" s="1"/>
  <c r="AO32" i="44"/>
  <c r="AS32" i="44" s="1"/>
  <c r="BC34" i="44"/>
  <c r="BG34" i="44" s="1"/>
  <c r="AO35" i="44"/>
  <c r="AS35" i="44" s="1"/>
  <c r="BR36" i="44"/>
  <c r="BV36" i="44" s="1"/>
  <c r="BC37" i="44"/>
  <c r="BG37" i="44" s="1"/>
  <c r="AO38" i="44"/>
  <c r="AS38" i="44" s="1"/>
  <c r="BR39" i="44"/>
  <c r="BV39" i="44" s="1"/>
  <c r="BD41" i="44"/>
  <c r="BH41" i="44" s="1"/>
  <c r="AN43" i="44"/>
  <c r="AR43" i="44" s="1"/>
  <c r="AN44" i="44"/>
  <c r="AR44" i="44" s="1"/>
  <c r="AN45" i="44"/>
  <c r="AR45" i="44" s="1"/>
  <c r="BS56" i="44"/>
  <c r="BW56" i="44" s="1"/>
  <c r="AN58" i="44"/>
  <c r="AR58" i="44" s="1"/>
  <c r="AN64" i="44"/>
  <c r="AR64" i="44" s="1"/>
  <c r="BC65" i="44"/>
  <c r="BG65" i="44" s="1"/>
  <c r="AN77" i="44"/>
  <c r="AR77" i="44" s="1"/>
  <c r="AN111" i="44"/>
  <c r="AR111" i="44" s="1"/>
  <c r="U14" i="44"/>
  <c r="BR18" i="44"/>
  <c r="BV18" i="44" s="1"/>
  <c r="BD19" i="44"/>
  <c r="BH19" i="44" s="1"/>
  <c r="AO20" i="44"/>
  <c r="AS20" i="44" s="1"/>
  <c r="AN21" i="44"/>
  <c r="AR21" i="44" s="1"/>
  <c r="BS21" i="44"/>
  <c r="BW21" i="44" s="1"/>
  <c r="BC23" i="44"/>
  <c r="BG23" i="44" s="1"/>
  <c r="BC24" i="44"/>
  <c r="BG24" i="44" s="1"/>
  <c r="AN25" i="44"/>
  <c r="AR25" i="44" s="1"/>
  <c r="BS25" i="44"/>
  <c r="BW25" i="44" s="1"/>
  <c r="BD26" i="44"/>
  <c r="BH26" i="44" s="1"/>
  <c r="BD27" i="44"/>
  <c r="BH27" i="44" s="1"/>
  <c r="BS29" i="44"/>
  <c r="BW29" i="44" s="1"/>
  <c r="BC31" i="44"/>
  <c r="BG31" i="44" s="1"/>
  <c r="AN33" i="44"/>
  <c r="AR33" i="44" s="1"/>
  <c r="BR33" i="44"/>
  <c r="BV33" i="44" s="1"/>
  <c r="BD34" i="44"/>
  <c r="BH34" i="44" s="1"/>
  <c r="AN36" i="44"/>
  <c r="AR36" i="44" s="1"/>
  <c r="BS36" i="44"/>
  <c r="BW36" i="44" s="1"/>
  <c r="BD37" i="44"/>
  <c r="BH37" i="44" s="1"/>
  <c r="AN39" i="44"/>
  <c r="AR39" i="44" s="1"/>
  <c r="BS39" i="44"/>
  <c r="BW39" i="44" s="1"/>
  <c r="BR40" i="44"/>
  <c r="BV40" i="44" s="1"/>
  <c r="K42" i="44" a="1"/>
  <c r="K42" i="44" s="1"/>
  <c r="O42" i="44" s="1"/>
  <c r="X42" i="44" s="1"/>
  <c r="BC42" i="44"/>
  <c r="BG42" i="44" s="1"/>
  <c r="AO43" i="44"/>
  <c r="AS43" i="44" s="1"/>
  <c r="AO44" i="44"/>
  <c r="AS44" i="44" s="1"/>
  <c r="BC46" i="44"/>
  <c r="BG46" i="44" s="1"/>
  <c r="AN48" i="44"/>
  <c r="AR48" i="44" s="1"/>
  <c r="L50" i="44" a="1"/>
  <c r="L50" i="44" s="1"/>
  <c r="P50" i="44" s="1"/>
  <c r="Y50" i="44" s="1"/>
  <c r="BR50" i="44"/>
  <c r="BV50" i="44" s="1"/>
  <c r="AN52" i="44"/>
  <c r="AR52" i="44" s="1"/>
  <c r="BC54" i="44"/>
  <c r="BG54" i="44" s="1"/>
  <c r="BS55" i="44"/>
  <c r="BW55" i="44" s="1"/>
  <c r="AO58" i="44"/>
  <c r="AS58" i="44" s="1"/>
  <c r="BR67" i="44"/>
  <c r="BV67" i="44" s="1"/>
  <c r="BR72" i="44"/>
  <c r="BV72" i="44" s="1"/>
  <c r="L81" i="44" a="1"/>
  <c r="L81" i="44" s="1"/>
  <c r="P81" i="44" s="1"/>
  <c r="Y81" i="44" s="1"/>
  <c r="K81" i="44" a="1"/>
  <c r="K81" i="44" s="1"/>
  <c r="O81" i="44" s="1"/>
  <c r="X81" i="44" s="1"/>
  <c r="BC85" i="44"/>
  <c r="BG85" i="44" s="1"/>
  <c r="BS87" i="44"/>
  <c r="BW87" i="44" s="1"/>
  <c r="BC89" i="44"/>
  <c r="BG89" i="44" s="1"/>
  <c r="AN92" i="44"/>
  <c r="AR92" i="44" s="1"/>
  <c r="L96" i="44" a="1"/>
  <c r="L96" i="44" s="1"/>
  <c r="P96" i="44" s="1"/>
  <c r="Y96" i="44" s="1"/>
  <c r="K96" i="44" a="1"/>
  <c r="K96" i="44" s="1"/>
  <c r="AO107" i="44"/>
  <c r="AS107" i="44" s="1"/>
  <c r="L15" i="44" a="1"/>
  <c r="L15" i="44" s="1"/>
  <c r="P15" i="44" s="1"/>
  <c r="AN18" i="44"/>
  <c r="AR18" i="44" s="1"/>
  <c r="BS18" i="44"/>
  <c r="BW18" i="44" s="1"/>
  <c r="AO21" i="44"/>
  <c r="AS21" i="44" s="1"/>
  <c r="L23" i="44" a="1"/>
  <c r="L23" i="44" s="1"/>
  <c r="BD23" i="44"/>
  <c r="BH23" i="44" s="1"/>
  <c r="BD24" i="44"/>
  <c r="BH24" i="44" s="1"/>
  <c r="AO25" i="44"/>
  <c r="AS25" i="44" s="1"/>
  <c r="BC28" i="44"/>
  <c r="BG28" i="44" s="1"/>
  <c r="AN29" i="44"/>
  <c r="AR29" i="44" s="1"/>
  <c r="AN30" i="44"/>
  <c r="AR30" i="44" s="1"/>
  <c r="BR30" i="44"/>
  <c r="BV30" i="44" s="1"/>
  <c r="L31" i="44" a="1"/>
  <c r="L31" i="44" s="1"/>
  <c r="BD31" i="44"/>
  <c r="BH31" i="44" s="1"/>
  <c r="BC32" i="44"/>
  <c r="BG32" i="44" s="1"/>
  <c r="AO33" i="44"/>
  <c r="AS33" i="44" s="1"/>
  <c r="BS33" i="44"/>
  <c r="BW33" i="44" s="1"/>
  <c r="AO36" i="44"/>
  <c r="AS36" i="44" s="1"/>
  <c r="BC38" i="44"/>
  <c r="BG38" i="44" s="1"/>
  <c r="AO39" i="44"/>
  <c r="AS39" i="44" s="1"/>
  <c r="BS40" i="44"/>
  <c r="BW40" i="44" s="1"/>
  <c r="BR41" i="44"/>
  <c r="BV41" i="44" s="1"/>
  <c r="BD42" i="44"/>
  <c r="BH42" i="44" s="1"/>
  <c r="BD46" i="44"/>
  <c r="BH46" i="44" s="1"/>
  <c r="K48" i="44" a="1"/>
  <c r="K48" i="44" s="1"/>
  <c r="O48" i="44" s="1"/>
  <c r="X48" i="44" s="1"/>
  <c r="L48" i="44" a="1"/>
  <c r="L48" i="44" s="1"/>
  <c r="P48" i="44" s="1"/>
  <c r="Y48" i="44" s="1"/>
  <c r="AO48" i="44"/>
  <c r="AS48" i="44" s="1"/>
  <c r="BR49" i="44"/>
  <c r="BV49" i="44" s="1"/>
  <c r="AO52" i="44"/>
  <c r="AS52" i="44" s="1"/>
  <c r="BD54" i="44"/>
  <c r="BH54" i="44" s="1"/>
  <c r="BR59" i="44"/>
  <c r="BV59" i="44" s="1"/>
  <c r="BC61" i="44"/>
  <c r="BG61" i="44" s="1"/>
  <c r="BS62" i="44"/>
  <c r="BW62" i="44" s="1"/>
  <c r="AO66" i="44"/>
  <c r="AS66" i="44" s="1"/>
  <c r="BR79" i="44"/>
  <c r="BV79" i="44" s="1"/>
  <c r="BS81" i="44"/>
  <c r="BW81" i="44" s="1"/>
  <c r="AO84" i="44"/>
  <c r="AS84" i="44" s="1"/>
  <c r="L92" i="44" a="1"/>
  <c r="L92" i="44" s="1"/>
  <c r="P92" i="44" s="1"/>
  <c r="Y92" i="44" s="1"/>
  <c r="K92" i="44" a="1"/>
  <c r="K92" i="44" s="1"/>
  <c r="BS113" i="44"/>
  <c r="BW113" i="44" s="1"/>
  <c r="BC15" i="44"/>
  <c r="BR16" i="44"/>
  <c r="BV16" i="44" s="1"/>
  <c r="BC17" i="44"/>
  <c r="BG17" i="44" s="1"/>
  <c r="AO18" i="44"/>
  <c r="AS18" i="44" s="1"/>
  <c r="BC20" i="44"/>
  <c r="BG20" i="44" s="1"/>
  <c r="BR22" i="44"/>
  <c r="BV22" i="44" s="1"/>
  <c r="BR26" i="44"/>
  <c r="BV26" i="44" s="1"/>
  <c r="K28" i="44" a="1"/>
  <c r="K28" i="44" s="1"/>
  <c r="BD28" i="44"/>
  <c r="BH28" i="44" s="1"/>
  <c r="AO29" i="44"/>
  <c r="AS29" i="44" s="1"/>
  <c r="AO30" i="44"/>
  <c r="AS30" i="44" s="1"/>
  <c r="BS30" i="44"/>
  <c r="BW30" i="44" s="1"/>
  <c r="K32" i="44" a="1"/>
  <c r="K32" i="44" s="1"/>
  <c r="BD32" i="44"/>
  <c r="BH32" i="44" s="1"/>
  <c r="BR34" i="44"/>
  <c r="BV34" i="44" s="1"/>
  <c r="L35" i="44" a="1"/>
  <c r="L35" i="44" s="1"/>
  <c r="P35" i="44" s="1"/>
  <c r="Y35" i="44" s="1"/>
  <c r="BC35" i="44"/>
  <c r="BG35" i="44" s="1"/>
  <c r="K38" i="44" a="1"/>
  <c r="K38" i="44" s="1"/>
  <c r="O38" i="44" s="1"/>
  <c r="X38" i="44" s="1"/>
  <c r="BD38" i="44"/>
  <c r="BH38" i="44" s="1"/>
  <c r="AN40" i="44"/>
  <c r="AR40" i="44" s="1"/>
  <c r="BS41" i="44"/>
  <c r="BW41" i="44" s="1"/>
  <c r="BD44" i="44"/>
  <c r="BH44" i="44" s="1"/>
  <c r="BS49" i="44"/>
  <c r="BW49" i="44" s="1"/>
  <c r="BR53" i="44"/>
  <c r="BV53" i="44" s="1"/>
  <c r="BS59" i="44"/>
  <c r="BW59" i="44" s="1"/>
  <c r="BD61" i="44"/>
  <c r="BH61" i="44" s="1"/>
  <c r="AN63" i="44"/>
  <c r="AR63" i="44" s="1"/>
  <c r="L66" i="44" a="1"/>
  <c r="L66" i="44" s="1"/>
  <c r="P66" i="44" s="1"/>
  <c r="Y66" i="44" s="1"/>
  <c r="K66" i="44" a="1"/>
  <c r="K66" i="44" s="1"/>
  <c r="AN71" i="44"/>
  <c r="AR71" i="44" s="1"/>
  <c r="BD75" i="44"/>
  <c r="BH75" i="44" s="1"/>
  <c r="BS77" i="44"/>
  <c r="BW77" i="44" s="1"/>
  <c r="BD109" i="44"/>
  <c r="BH109" i="44" s="1"/>
  <c r="BR111" i="44"/>
  <c r="BV111" i="44" s="1"/>
  <c r="K84" i="44" a="1"/>
  <c r="K84" i="44" s="1"/>
  <c r="O84" i="44" s="1"/>
  <c r="X84" i="44" s="1"/>
  <c r="K87" i="44" a="1"/>
  <c r="K87" i="44" s="1"/>
  <c r="O87" i="44" s="1"/>
  <c r="X87" i="44" s="1"/>
  <c r="K99" i="44" a="1"/>
  <c r="K99" i="44" s="1"/>
  <c r="K107" i="44" a="1"/>
  <c r="K107" i="44" s="1"/>
  <c r="K74" i="44" a="1"/>
  <c r="K74" i="44" s="1"/>
  <c r="K77" i="44" a="1"/>
  <c r="K77" i="44" s="1"/>
  <c r="L91" i="44" a="1"/>
  <c r="L91" i="44" s="1"/>
  <c r="P91" i="44" s="1"/>
  <c r="Y91" i="44" s="1"/>
  <c r="K111" i="44" a="1"/>
  <c r="K111" i="44" s="1"/>
  <c r="O111" i="44" s="1"/>
  <c r="X111" i="44" s="1"/>
  <c r="K115" i="44" a="1"/>
  <c r="K115" i="44" s="1"/>
  <c r="O115" i="44" s="1"/>
  <c r="X115" i="44" s="1"/>
  <c r="L125" i="44" a="1"/>
  <c r="L125" i="44" s="1"/>
  <c r="P125" i="44" s="1"/>
  <c r="BD16" i="43"/>
  <c r="BH16" i="43" s="1"/>
  <c r="AO17" i="43"/>
  <c r="AS17" i="43" s="1"/>
  <c r="AO18" i="43"/>
  <c r="AS18" i="43" s="1"/>
  <c r="BS19" i="43"/>
  <c r="BW19" i="43" s="1"/>
  <c r="BC21" i="43"/>
  <c r="BG21" i="43" s="1"/>
  <c r="BS23" i="43"/>
  <c r="BW23" i="43" s="1"/>
  <c r="BD24" i="43"/>
  <c r="BH24" i="43" s="1"/>
  <c r="AN26" i="43"/>
  <c r="AR26" i="43" s="1"/>
  <c r="AO29" i="43"/>
  <c r="AS29" i="43" s="1"/>
  <c r="AO30" i="43"/>
  <c r="AS30" i="43" s="1"/>
  <c r="BS30" i="43"/>
  <c r="BW30" i="43" s="1"/>
  <c r="BD31" i="43"/>
  <c r="BH31" i="43" s="1"/>
  <c r="AO32" i="43"/>
  <c r="AS32" i="43" s="1"/>
  <c r="AO34" i="43"/>
  <c r="AS34" i="43" s="1"/>
  <c r="BC36" i="43"/>
  <c r="BG36" i="43" s="1"/>
  <c r="BC37" i="43"/>
  <c r="BG37" i="43" s="1"/>
  <c r="AO38" i="43"/>
  <c r="AS38" i="43" s="1"/>
  <c r="AO42" i="43"/>
  <c r="AS42" i="43" s="1"/>
  <c r="BR51" i="43"/>
  <c r="BV51" i="43" s="1"/>
  <c r="BC54" i="43"/>
  <c r="BG54" i="43" s="1"/>
  <c r="BS56" i="43"/>
  <c r="BW56" i="43" s="1"/>
  <c r="AN69" i="43"/>
  <c r="AR69" i="43" s="1"/>
  <c r="L78" i="43" a="1"/>
  <c r="L78" i="43" s="1"/>
  <c r="P78" i="43" s="1"/>
  <c r="Y78" i="43" s="1"/>
  <c r="K78" i="43" a="1"/>
  <c r="K78" i="43" s="1"/>
  <c r="O78" i="43" s="1"/>
  <c r="X78" i="43" s="1"/>
  <c r="BC87" i="43"/>
  <c r="BG87" i="43" s="1"/>
  <c r="AO101" i="43"/>
  <c r="AS101" i="43" s="1"/>
  <c r="AN106" i="43"/>
  <c r="AR106" i="43" s="1"/>
  <c r="AO111" i="43"/>
  <c r="AS111" i="43" s="1"/>
  <c r="K125" i="43" a="1"/>
  <c r="K125" i="43" s="1"/>
  <c r="O125" i="43" s="1"/>
  <c r="L125" i="43" a="1"/>
  <c r="L125" i="43" s="1"/>
  <c r="P125" i="43" s="1"/>
  <c r="L51" i="43" a="1"/>
  <c r="L51" i="43" s="1"/>
  <c r="P51" i="43" s="1"/>
  <c r="Y51" i="43" s="1"/>
  <c r="K51" i="43" a="1"/>
  <c r="K51" i="43" s="1"/>
  <c r="O51" i="43" s="1"/>
  <c r="X51" i="43" s="1"/>
  <c r="BC15" i="43"/>
  <c r="AN19" i="43"/>
  <c r="AR19" i="43" s="1"/>
  <c r="BR20" i="43"/>
  <c r="BV20" i="43" s="1"/>
  <c r="BD21" i="43"/>
  <c r="BH21" i="43" s="1"/>
  <c r="BC22" i="43"/>
  <c r="BG22" i="43" s="1"/>
  <c r="AN23" i="43"/>
  <c r="AR23" i="43" s="1"/>
  <c r="BC25" i="43"/>
  <c r="BG25" i="43" s="1"/>
  <c r="AO26" i="43"/>
  <c r="AS26" i="43" s="1"/>
  <c r="BR27" i="43"/>
  <c r="BV27" i="43" s="1"/>
  <c r="K28" i="43" a="1"/>
  <c r="K28" i="43" s="1"/>
  <c r="BC28" i="43"/>
  <c r="BG28" i="43" s="1"/>
  <c r="BR33" i="43"/>
  <c r="BV33" i="43" s="1"/>
  <c r="BR35" i="43"/>
  <c r="BV35" i="43" s="1"/>
  <c r="L36" i="43" a="1"/>
  <c r="L36" i="43" s="1"/>
  <c r="P36" i="43" s="1"/>
  <c r="Y36" i="43" s="1"/>
  <c r="BD36" i="43"/>
  <c r="BH36" i="43" s="1"/>
  <c r="BD37" i="43"/>
  <c r="BH37" i="43" s="1"/>
  <c r="AN39" i="43"/>
  <c r="AR39" i="43" s="1"/>
  <c r="BD44" i="43"/>
  <c r="BH44" i="43" s="1"/>
  <c r="BS78" i="43"/>
  <c r="BW78" i="43" s="1"/>
  <c r="L81" i="43" a="1"/>
  <c r="L81" i="43" s="1"/>
  <c r="K81" i="43" a="1"/>
  <c r="K81" i="43" s="1"/>
  <c r="O81" i="43" s="1"/>
  <c r="X81" i="43" s="1"/>
  <c r="BR85" i="43"/>
  <c r="BV85" i="43" s="1"/>
  <c r="AN92" i="43"/>
  <c r="AR92" i="43" s="1"/>
  <c r="AO96" i="43"/>
  <c r="AS96" i="43" s="1"/>
  <c r="BD103" i="43"/>
  <c r="BH103" i="43" s="1"/>
  <c r="AN109" i="43"/>
  <c r="AR109" i="43" s="1"/>
  <c r="AO114" i="43"/>
  <c r="AS114" i="43" s="1"/>
  <c r="BD15" i="43"/>
  <c r="BR16" i="43"/>
  <c r="BV16" i="43" s="1"/>
  <c r="BC17" i="43"/>
  <c r="BG17" i="43" s="1"/>
  <c r="BC18" i="43"/>
  <c r="BG18" i="43" s="1"/>
  <c r="AO19" i="43"/>
  <c r="AS19" i="43" s="1"/>
  <c r="BS20" i="43"/>
  <c r="BW20" i="43" s="1"/>
  <c r="BD22" i="43"/>
  <c r="BH22" i="43" s="1"/>
  <c r="AO23" i="43"/>
  <c r="AS23" i="43" s="1"/>
  <c r="BD25" i="43"/>
  <c r="BH25" i="43" s="1"/>
  <c r="AN27" i="43"/>
  <c r="AR27" i="43" s="1"/>
  <c r="BS27" i="43"/>
  <c r="BW27" i="43" s="1"/>
  <c r="BD28" i="43"/>
  <c r="BH28" i="43" s="1"/>
  <c r="BC29" i="43"/>
  <c r="BG29" i="43" s="1"/>
  <c r="BR31" i="43"/>
  <c r="BV31" i="43" s="1"/>
  <c r="AN33" i="43"/>
  <c r="AR33" i="43" s="1"/>
  <c r="BS33" i="43"/>
  <c r="BW33" i="43" s="1"/>
  <c r="AN35" i="43"/>
  <c r="AR35" i="43" s="1"/>
  <c r="BS35" i="43"/>
  <c r="BW35" i="43" s="1"/>
  <c r="BC38" i="43"/>
  <c r="BG38" i="43" s="1"/>
  <c r="BC40" i="43"/>
  <c r="BG40" i="43" s="1"/>
  <c r="AO67" i="43"/>
  <c r="AS67" i="43" s="1"/>
  <c r="BC72" i="43"/>
  <c r="BG72" i="43" s="1"/>
  <c r="BS74" i="43"/>
  <c r="BW74" i="43" s="1"/>
  <c r="BR81" i="43"/>
  <c r="BV81" i="43" s="1"/>
  <c r="K92" i="43" a="1"/>
  <c r="K92" i="43" s="1"/>
  <c r="L92" i="43" a="1"/>
  <c r="L92" i="43" s="1"/>
  <c r="P92" i="43" s="1"/>
  <c r="Y92" i="43" s="1"/>
  <c r="K109" i="43" a="1"/>
  <c r="K109" i="43" s="1"/>
  <c r="O109" i="43" s="1"/>
  <c r="X109" i="43" s="1"/>
  <c r="L109" i="43" a="1"/>
  <c r="L109" i="43" s="1"/>
  <c r="P109" i="43" s="1"/>
  <c r="Y109" i="43" s="1"/>
  <c r="K121" i="43" a="1"/>
  <c r="K121" i="43" s="1"/>
  <c r="O121" i="43" s="1"/>
  <c r="L121" i="43" a="1"/>
  <c r="L121" i="43" s="1"/>
  <c r="BC14" i="43"/>
  <c r="BS16" i="43"/>
  <c r="BW16" i="43" s="1"/>
  <c r="L17" i="43" a="1"/>
  <c r="L17" i="43" s="1"/>
  <c r="P17" i="43" s="1"/>
  <c r="Y17" i="43" s="1"/>
  <c r="BD17" i="43"/>
  <c r="BH17" i="43" s="1"/>
  <c r="BD18" i="43"/>
  <c r="BH18" i="43" s="1"/>
  <c r="AN20" i="43"/>
  <c r="AR20" i="43" s="1"/>
  <c r="BR24" i="43"/>
  <c r="BV24" i="43" s="1"/>
  <c r="BC26" i="43"/>
  <c r="BG26" i="43" s="1"/>
  <c r="AO27" i="43"/>
  <c r="AS27" i="43" s="1"/>
  <c r="L29" i="43" a="1"/>
  <c r="L29" i="43" s="1"/>
  <c r="BD29" i="43"/>
  <c r="BH29" i="43" s="1"/>
  <c r="BC30" i="43"/>
  <c r="BG30" i="43" s="1"/>
  <c r="AN31" i="43"/>
  <c r="AR31" i="43" s="1"/>
  <c r="BS31" i="43"/>
  <c r="BW31" i="43" s="1"/>
  <c r="BC32" i="43"/>
  <c r="BG32" i="43" s="1"/>
  <c r="AO33" i="43"/>
  <c r="AS33" i="43" s="1"/>
  <c r="BC34" i="43"/>
  <c r="BG34" i="43" s="1"/>
  <c r="AO35" i="43"/>
  <c r="AS35" i="43" s="1"/>
  <c r="BR36" i="43"/>
  <c r="BV36" i="43" s="1"/>
  <c r="BR37" i="43"/>
  <c r="BV37" i="43" s="1"/>
  <c r="K38" i="43" a="1"/>
  <c r="K38" i="43" s="1"/>
  <c r="BD38" i="43"/>
  <c r="BH38" i="43" s="1"/>
  <c r="BD39" i="43"/>
  <c r="BH39" i="43" s="1"/>
  <c r="AN43" i="43"/>
  <c r="AR43" i="43" s="1"/>
  <c r="BC62" i="43"/>
  <c r="BG62" i="43" s="1"/>
  <c r="BD90" i="43"/>
  <c r="BH90" i="43" s="1"/>
  <c r="BD94" i="43"/>
  <c r="BH94" i="43" s="1"/>
  <c r="BC115" i="43"/>
  <c r="BG115" i="43" s="1"/>
  <c r="BR114" i="43"/>
  <c r="BV114" i="43" s="1"/>
  <c r="AO113" i="43"/>
  <c r="AS113" i="43" s="1"/>
  <c r="BS111" i="43"/>
  <c r="BW111" i="43" s="1"/>
  <c r="BC110" i="43"/>
  <c r="BG110" i="43" s="1"/>
  <c r="BS108" i="43"/>
  <c r="BW108" i="43" s="1"/>
  <c r="AN108" i="43"/>
  <c r="AR108" i="43" s="1"/>
  <c r="BC107" i="43"/>
  <c r="BG107" i="43" s="1"/>
  <c r="BR105" i="43"/>
  <c r="BV105" i="43" s="1"/>
  <c r="AN104" i="43"/>
  <c r="AR104" i="43" s="1"/>
  <c r="BD102" i="43"/>
  <c r="BH102" i="43" s="1"/>
  <c r="BS101" i="43"/>
  <c r="BW101" i="43" s="1"/>
  <c r="BS100" i="43"/>
  <c r="BW100" i="43" s="1"/>
  <c r="AN100" i="43"/>
  <c r="AR100" i="43" s="1"/>
  <c r="AN99" i="43"/>
  <c r="AR99" i="43" s="1"/>
  <c r="BD98" i="43"/>
  <c r="BH98" i="43" s="1"/>
  <c r="BR97" i="43"/>
  <c r="BV97" i="43" s="1"/>
  <c r="BS96" i="43"/>
  <c r="BW96" i="43" s="1"/>
  <c r="AN95" i="43"/>
  <c r="AR95" i="43" s="1"/>
  <c r="AN91" i="43"/>
  <c r="AR91" i="43" s="1"/>
  <c r="AN88" i="43"/>
  <c r="AR88" i="43" s="1"/>
  <c r="AO87" i="43"/>
  <c r="AS87" i="43" s="1"/>
  <c r="BD85" i="43"/>
  <c r="BH85" i="43" s="1"/>
  <c r="BS84" i="43"/>
  <c r="BW84" i="43" s="1"/>
  <c r="BS83" i="43"/>
  <c r="BW83" i="43" s="1"/>
  <c r="AN83" i="43"/>
  <c r="AR83" i="43" s="1"/>
  <c r="BD81" i="43"/>
  <c r="BH81" i="43" s="1"/>
  <c r="AO80" i="43"/>
  <c r="AS80" i="43" s="1"/>
  <c r="BC79" i="43"/>
  <c r="BG79" i="43" s="1"/>
  <c r="BS77" i="43"/>
  <c r="BW77" i="43" s="1"/>
  <c r="BC76" i="43"/>
  <c r="BG76" i="43" s="1"/>
  <c r="BD75" i="43"/>
  <c r="BH75" i="43" s="1"/>
  <c r="BS73" i="43"/>
  <c r="BW73" i="43" s="1"/>
  <c r="AN73" i="43"/>
  <c r="AR73" i="43" s="1"/>
  <c r="BC71" i="43"/>
  <c r="BG71" i="43" s="1"/>
  <c r="BD70" i="43"/>
  <c r="BH70" i="43" s="1"/>
  <c r="BR69" i="43"/>
  <c r="BV69" i="43" s="1"/>
  <c r="BS68" i="43"/>
  <c r="BW68" i="43" s="1"/>
  <c r="BS67" i="43"/>
  <c r="BW67" i="43" s="1"/>
  <c r="AO66" i="43"/>
  <c r="AS66" i="43" s="1"/>
  <c r="BC65" i="43"/>
  <c r="BG65" i="43" s="1"/>
  <c r="BR64" i="43"/>
  <c r="BV64" i="43" s="1"/>
  <c r="AN64" i="43"/>
  <c r="AR64" i="43" s="1"/>
  <c r="AN63" i="43"/>
  <c r="AR63" i="43" s="1"/>
  <c r="AO62" i="43"/>
  <c r="AS62" i="43" s="1"/>
  <c r="BD61" i="43"/>
  <c r="BH61" i="43" s="1"/>
  <c r="BR59" i="43"/>
  <c r="BV59" i="43" s="1"/>
  <c r="AO58" i="43"/>
  <c r="AS58" i="43" s="1"/>
  <c r="BC57" i="43"/>
  <c r="BG57" i="43" s="1"/>
  <c r="BS55" i="43"/>
  <c r="BW55" i="43" s="1"/>
  <c r="AN55" i="43"/>
  <c r="AR55" i="43" s="1"/>
  <c r="AO54" i="43"/>
  <c r="AS54" i="43" s="1"/>
  <c r="BC52" i="43"/>
  <c r="BG52" i="43" s="1"/>
  <c r="BD51" i="43"/>
  <c r="BH51" i="43" s="1"/>
  <c r="BS50" i="43"/>
  <c r="BW50" i="43" s="1"/>
  <c r="AN50" i="43"/>
  <c r="AR50" i="43" s="1"/>
  <c r="AN49" i="43"/>
  <c r="AR49" i="43" s="1"/>
  <c r="BD47" i="43"/>
  <c r="BH47" i="43" s="1"/>
  <c r="BS46" i="43"/>
  <c r="BW46" i="43" s="1"/>
  <c r="BS45" i="43"/>
  <c r="BW45" i="43" s="1"/>
  <c r="BC43" i="43"/>
  <c r="BG43" i="43" s="1"/>
  <c r="BR42" i="43"/>
  <c r="BV42" i="43" s="1"/>
  <c r="BS41" i="43"/>
  <c r="BW41" i="43" s="1"/>
  <c r="AN41" i="43"/>
  <c r="AR41" i="43" s="1"/>
  <c r="AO40" i="43"/>
  <c r="AS40" i="43" s="1"/>
  <c r="BC39" i="43"/>
  <c r="BG39" i="43" s="1"/>
  <c r="BS113" i="43"/>
  <c r="BW113" i="43" s="1"/>
  <c r="AN113" i="43"/>
  <c r="AR113" i="43" s="1"/>
  <c r="BD112" i="43"/>
  <c r="BH112" i="43" s="1"/>
  <c r="BR111" i="43"/>
  <c r="BV111" i="43" s="1"/>
  <c r="BD109" i="43"/>
  <c r="BH109" i="43" s="1"/>
  <c r="BR108" i="43"/>
  <c r="BV108" i="43" s="1"/>
  <c r="BS104" i="43"/>
  <c r="BW104" i="43" s="1"/>
  <c r="AO103" i="43"/>
  <c r="AS103" i="43" s="1"/>
  <c r="BC102" i="43"/>
  <c r="BG102" i="43" s="1"/>
  <c r="BR101" i="43"/>
  <c r="BV101" i="43" s="1"/>
  <c r="BR100" i="43"/>
  <c r="BV100" i="43" s="1"/>
  <c r="BS99" i="43"/>
  <c r="BW99" i="43" s="1"/>
  <c r="BC98" i="43"/>
  <c r="BG98" i="43" s="1"/>
  <c r="BR96" i="43"/>
  <c r="BV96" i="43" s="1"/>
  <c r="BS95" i="43"/>
  <c r="BW95" i="43" s="1"/>
  <c r="AO94" i="43"/>
  <c r="AS94" i="43" s="1"/>
  <c r="BD93" i="43"/>
  <c r="BH93" i="43" s="1"/>
  <c r="BD92" i="43"/>
  <c r="BH92" i="43" s="1"/>
  <c r="BS91" i="43"/>
  <c r="BW91" i="43" s="1"/>
  <c r="AO90" i="43"/>
  <c r="AS90" i="43" s="1"/>
  <c r="BS88" i="43"/>
  <c r="BW88" i="43" s="1"/>
  <c r="AN87" i="43"/>
  <c r="AR87" i="43" s="1"/>
  <c r="AO86" i="43"/>
  <c r="AS86" i="43" s="1"/>
  <c r="BC85" i="43"/>
  <c r="BG85" i="43" s="1"/>
  <c r="BR84" i="43"/>
  <c r="BV84" i="43" s="1"/>
  <c r="BR83" i="43"/>
  <c r="BV83" i="43" s="1"/>
  <c r="AO82" i="43"/>
  <c r="AS82" i="43" s="1"/>
  <c r="BC81" i="43"/>
  <c r="BG81" i="43" s="1"/>
  <c r="BS80" i="43"/>
  <c r="BW80" i="43" s="1"/>
  <c r="AN80" i="43"/>
  <c r="AR80" i="43" s="1"/>
  <c r="BD78" i="43"/>
  <c r="BH78" i="43" s="1"/>
  <c r="BR77" i="43"/>
  <c r="BV77" i="43" s="1"/>
  <c r="BC75" i="43"/>
  <c r="BG75" i="43" s="1"/>
  <c r="BD74" i="43"/>
  <c r="BH74" i="43" s="1"/>
  <c r="BR73" i="43"/>
  <c r="BV73" i="43" s="1"/>
  <c r="AO72" i="43"/>
  <c r="AS72" i="43" s="1"/>
  <c r="BC70" i="43"/>
  <c r="BG70" i="43" s="1"/>
  <c r="BR68" i="43"/>
  <c r="BV68" i="43" s="1"/>
  <c r="BR67" i="43"/>
  <c r="BV67" i="43" s="1"/>
  <c r="BS66" i="43"/>
  <c r="BW66" i="43" s="1"/>
  <c r="AN66" i="43"/>
  <c r="AR66" i="43" s="1"/>
  <c r="BS63" i="43"/>
  <c r="BW63" i="43" s="1"/>
  <c r="AN62" i="43"/>
  <c r="AR62" i="43" s="1"/>
  <c r="BC61" i="43"/>
  <c r="BG61" i="43" s="1"/>
  <c r="BD60" i="43"/>
  <c r="BH60" i="43" s="1"/>
  <c r="BS58" i="43"/>
  <c r="BW58" i="43" s="1"/>
  <c r="AN58" i="43"/>
  <c r="AR58" i="43" s="1"/>
  <c r="BD56" i="43"/>
  <c r="BH56" i="43" s="1"/>
  <c r="BR55" i="43"/>
  <c r="BV55" i="43" s="1"/>
  <c r="AN54" i="43"/>
  <c r="AR54" i="43" s="1"/>
  <c r="AO53" i="43"/>
  <c r="AS53" i="43" s="1"/>
  <c r="BC51" i="43"/>
  <c r="BG51" i="43" s="1"/>
  <c r="BR50" i="43"/>
  <c r="BV50" i="43" s="1"/>
  <c r="BS49" i="43"/>
  <c r="BW49" i="43" s="1"/>
  <c r="AO48" i="43"/>
  <c r="AS48" i="43" s="1"/>
  <c r="BC47" i="43"/>
  <c r="BG47" i="43" s="1"/>
  <c r="BR46" i="43"/>
  <c r="BV46" i="43" s="1"/>
  <c r="BR45" i="43"/>
  <c r="BV45" i="43" s="1"/>
  <c r="AO44" i="43"/>
  <c r="AS44" i="43" s="1"/>
  <c r="BR41" i="43"/>
  <c r="BV41" i="43" s="1"/>
  <c r="AN40" i="43"/>
  <c r="AR40" i="43" s="1"/>
  <c r="AO115" i="43"/>
  <c r="AS115" i="43" s="1"/>
  <c r="BD114" i="43"/>
  <c r="BH114" i="43" s="1"/>
  <c r="BR113" i="43"/>
  <c r="BV113" i="43" s="1"/>
  <c r="BC112" i="43"/>
  <c r="BG112" i="43" s="1"/>
  <c r="AO110" i="43"/>
  <c r="AS110" i="43" s="1"/>
  <c r="BC109" i="43"/>
  <c r="BG109" i="43" s="1"/>
  <c r="AO107" i="43"/>
  <c r="AS107" i="43" s="1"/>
  <c r="BD106" i="43"/>
  <c r="BH106" i="43" s="1"/>
  <c r="BD105" i="43"/>
  <c r="BH105" i="43" s="1"/>
  <c r="BR104" i="43"/>
  <c r="BV104" i="43" s="1"/>
  <c r="AN103" i="43"/>
  <c r="AR103" i="43" s="1"/>
  <c r="BR99" i="43"/>
  <c r="BV99" i="43" s="1"/>
  <c r="BD97" i="43"/>
  <c r="BH97" i="43" s="1"/>
  <c r="BR95" i="43"/>
  <c r="BV95" i="43" s="1"/>
  <c r="AN94" i="43"/>
  <c r="AR94" i="43" s="1"/>
  <c r="BC93" i="43"/>
  <c r="BG93" i="43" s="1"/>
  <c r="BC92" i="43"/>
  <c r="BG92" i="43" s="1"/>
  <c r="BR91" i="43"/>
  <c r="BV91" i="43" s="1"/>
  <c r="AN90" i="43"/>
  <c r="AR90" i="43" s="1"/>
  <c r="BD89" i="43"/>
  <c r="BH89" i="43" s="1"/>
  <c r="BR88" i="43"/>
  <c r="BV88" i="43" s="1"/>
  <c r="BS87" i="43"/>
  <c r="BW87" i="43" s="1"/>
  <c r="AN86" i="43"/>
  <c r="AR86" i="43" s="1"/>
  <c r="BS82" i="43"/>
  <c r="BW82" i="43" s="1"/>
  <c r="AN82" i="43"/>
  <c r="AR82" i="43" s="1"/>
  <c r="BR80" i="43"/>
  <c r="BV80" i="43" s="1"/>
  <c r="AO79" i="43"/>
  <c r="AS79" i="43" s="1"/>
  <c r="BC78" i="43"/>
  <c r="BG78" i="43" s="1"/>
  <c r="AO76" i="43"/>
  <c r="AS76" i="43" s="1"/>
  <c r="BC74" i="43"/>
  <c r="BG74" i="43" s="1"/>
  <c r="BS72" i="43"/>
  <c r="BW72" i="43" s="1"/>
  <c r="AN72" i="43"/>
  <c r="AR72" i="43" s="1"/>
  <c r="AO71" i="43"/>
  <c r="AS71" i="43" s="1"/>
  <c r="BD69" i="43"/>
  <c r="BH69" i="43" s="1"/>
  <c r="BR66" i="43"/>
  <c r="BV66" i="43" s="1"/>
  <c r="BR63" i="43"/>
  <c r="BV63" i="43" s="1"/>
  <c r="BS62" i="43"/>
  <c r="BW62" i="43" s="1"/>
  <c r="BC60" i="43"/>
  <c r="BG60" i="43" s="1"/>
  <c r="BR58" i="43"/>
  <c r="BV58" i="43" s="1"/>
  <c r="BC56" i="43"/>
  <c r="BG56" i="43" s="1"/>
  <c r="BS54" i="43"/>
  <c r="BW54" i="43" s="1"/>
  <c r="BS53" i="43"/>
  <c r="BW53" i="43" s="1"/>
  <c r="AN53" i="43"/>
  <c r="AR53" i="43" s="1"/>
  <c r="AO52" i="43"/>
  <c r="AS52" i="43" s="1"/>
  <c r="BR49" i="43"/>
  <c r="BV49" i="43" s="1"/>
  <c r="AN48" i="43"/>
  <c r="AR48" i="43" s="1"/>
  <c r="BS44" i="43"/>
  <c r="BW44" i="43" s="1"/>
  <c r="AN44" i="43"/>
  <c r="AR44" i="43" s="1"/>
  <c r="BD42" i="43"/>
  <c r="BH42" i="43" s="1"/>
  <c r="BS40" i="43"/>
  <c r="BW40" i="43" s="1"/>
  <c r="AO39" i="43"/>
  <c r="AS39" i="43" s="1"/>
  <c r="BS115" i="43"/>
  <c r="BW115" i="43" s="1"/>
  <c r="AN115" i="43"/>
  <c r="AR115" i="43" s="1"/>
  <c r="BC114" i="43"/>
  <c r="BG114" i="43" s="1"/>
  <c r="BD111" i="43"/>
  <c r="BH111" i="43" s="1"/>
  <c r="AN110" i="43"/>
  <c r="AR110" i="43" s="1"/>
  <c r="AN107" i="43"/>
  <c r="AR107" i="43" s="1"/>
  <c r="BC106" i="43"/>
  <c r="BG106" i="43" s="1"/>
  <c r="BC105" i="43"/>
  <c r="BG105" i="43" s="1"/>
  <c r="BS103" i="43"/>
  <c r="BW103" i="43" s="1"/>
  <c r="AO102" i="43"/>
  <c r="AS102" i="43" s="1"/>
  <c r="BD101" i="43"/>
  <c r="BH101" i="43" s="1"/>
  <c r="BD100" i="43"/>
  <c r="BH100" i="43" s="1"/>
  <c r="AO98" i="43"/>
  <c r="AS98" i="43" s="1"/>
  <c r="BC97" i="43"/>
  <c r="BG97" i="43" s="1"/>
  <c r="BD96" i="43"/>
  <c r="BH96" i="43" s="1"/>
  <c r="BS94" i="43"/>
  <c r="BW94" i="43" s="1"/>
  <c r="BS90" i="43"/>
  <c r="BW90" i="43" s="1"/>
  <c r="BC89" i="43"/>
  <c r="BG89" i="43" s="1"/>
  <c r="BR87" i="43"/>
  <c r="BV87" i="43" s="1"/>
  <c r="BS86" i="43"/>
  <c r="BW86" i="43" s="1"/>
  <c r="AO85" i="43"/>
  <c r="AS85" i="43" s="1"/>
  <c r="BD84" i="43"/>
  <c r="BH84" i="43" s="1"/>
  <c r="BD83" i="43"/>
  <c r="BH83" i="43" s="1"/>
  <c r="BR82" i="43"/>
  <c r="BV82" i="43" s="1"/>
  <c r="BS79" i="43"/>
  <c r="BW79" i="43" s="1"/>
  <c r="AN79" i="43"/>
  <c r="AR79" i="43" s="1"/>
  <c r="BD77" i="43"/>
  <c r="BH77" i="43" s="1"/>
  <c r="BS76" i="43"/>
  <c r="BW76" i="43" s="1"/>
  <c r="AN76" i="43"/>
  <c r="AR76" i="43" s="1"/>
  <c r="AO75" i="43"/>
  <c r="AS75" i="43" s="1"/>
  <c r="BD73" i="43"/>
  <c r="BH73" i="43" s="1"/>
  <c r="BR72" i="43"/>
  <c r="BV72" i="43" s="1"/>
  <c r="AN71" i="43"/>
  <c r="AR71" i="43" s="1"/>
  <c r="AO70" i="43"/>
  <c r="AS70" i="43" s="1"/>
  <c r="BC69" i="43"/>
  <c r="BG69" i="43" s="1"/>
  <c r="BD68" i="43"/>
  <c r="BH68" i="43" s="1"/>
  <c r="BD67" i="43"/>
  <c r="BH67" i="43" s="1"/>
  <c r="AO65" i="43"/>
  <c r="AS65" i="43" s="1"/>
  <c r="BD64" i="43"/>
  <c r="BH64" i="43" s="1"/>
  <c r="BR62" i="43"/>
  <c r="BV62" i="43" s="1"/>
  <c r="AO61" i="43"/>
  <c r="AS61" i="43" s="1"/>
  <c r="BD59" i="43"/>
  <c r="BH59" i="43" s="1"/>
  <c r="AO57" i="43"/>
  <c r="AS57" i="43" s="1"/>
  <c r="BR54" i="43"/>
  <c r="BV54" i="43" s="1"/>
  <c r="BR53" i="43"/>
  <c r="BV53" i="43" s="1"/>
  <c r="AN52" i="43"/>
  <c r="AR52" i="43" s="1"/>
  <c r="BD50" i="43"/>
  <c r="BH50" i="43" s="1"/>
  <c r="BS48" i="43"/>
  <c r="BW48" i="43" s="1"/>
  <c r="AO47" i="43"/>
  <c r="AS47" i="43" s="1"/>
  <c r="BD46" i="43"/>
  <c r="BH46" i="43" s="1"/>
  <c r="BD45" i="43"/>
  <c r="BH45" i="43" s="1"/>
  <c r="BR44" i="43"/>
  <c r="BV44" i="43" s="1"/>
  <c r="AO43" i="43"/>
  <c r="AS43" i="43" s="1"/>
  <c r="BC42" i="43"/>
  <c r="BG42" i="43" s="1"/>
  <c r="BR40" i="43"/>
  <c r="BV40" i="43" s="1"/>
  <c r="BS112" i="43"/>
  <c r="BW112" i="43" s="1"/>
  <c r="AO112" i="43"/>
  <c r="AS112" i="43" s="1"/>
  <c r="BC111" i="43"/>
  <c r="BG111" i="43" s="1"/>
  <c r="BS110" i="43"/>
  <c r="BW110" i="43" s="1"/>
  <c r="BD108" i="43"/>
  <c r="BH108" i="43" s="1"/>
  <c r="BS107" i="43"/>
  <c r="BW107" i="43" s="1"/>
  <c r="BD104" i="43"/>
  <c r="BH104" i="43" s="1"/>
  <c r="BR103" i="43"/>
  <c r="BV103" i="43" s="1"/>
  <c r="AN102" i="43"/>
  <c r="AR102" i="43" s="1"/>
  <c r="BC101" i="43"/>
  <c r="BG101" i="43" s="1"/>
  <c r="BC100" i="43"/>
  <c r="BG100" i="43" s="1"/>
  <c r="BD99" i="43"/>
  <c r="BH99" i="43" s="1"/>
  <c r="BS98" i="43"/>
  <c r="BW98" i="43" s="1"/>
  <c r="AN98" i="43"/>
  <c r="AR98" i="43" s="1"/>
  <c r="BC96" i="43"/>
  <c r="BG96" i="43" s="1"/>
  <c r="BD95" i="43"/>
  <c r="BH95" i="43" s="1"/>
  <c r="BR94" i="43"/>
  <c r="BV94" i="43" s="1"/>
  <c r="AO93" i="43"/>
  <c r="AS93" i="43" s="1"/>
  <c r="BD91" i="43"/>
  <c r="BH91" i="43" s="1"/>
  <c r="BR90" i="43"/>
  <c r="BV90" i="43" s="1"/>
  <c r="BD88" i="43"/>
  <c r="BH88" i="43" s="1"/>
  <c r="BR86" i="43"/>
  <c r="BV86" i="43" s="1"/>
  <c r="AN85" i="43"/>
  <c r="AR85" i="43" s="1"/>
  <c r="BC84" i="43"/>
  <c r="BG84" i="43" s="1"/>
  <c r="BC83" i="43"/>
  <c r="BG83" i="43" s="1"/>
  <c r="AO81" i="43"/>
  <c r="AS81" i="43" s="1"/>
  <c r="BD80" i="43"/>
  <c r="BH80" i="43" s="1"/>
  <c r="BR79" i="43"/>
  <c r="BV79" i="43" s="1"/>
  <c r="AO78" i="43"/>
  <c r="AS78" i="43" s="1"/>
  <c r="BC77" i="43"/>
  <c r="BG77" i="43" s="1"/>
  <c r="BR76" i="43"/>
  <c r="BV76" i="43" s="1"/>
  <c r="AN75" i="43"/>
  <c r="AR75" i="43" s="1"/>
  <c r="AO74" i="43"/>
  <c r="AS74" i="43" s="1"/>
  <c r="BC73" i="43"/>
  <c r="BG73" i="43" s="1"/>
  <c r="BS71" i="43"/>
  <c r="BW71" i="43" s="1"/>
  <c r="AN70" i="43"/>
  <c r="AR70" i="43" s="1"/>
  <c r="BC68" i="43"/>
  <c r="BG68" i="43" s="1"/>
  <c r="BC67" i="43"/>
  <c r="BG67" i="43" s="1"/>
  <c r="BD66" i="43"/>
  <c r="BH66" i="43" s="1"/>
  <c r="BS65" i="43"/>
  <c r="BW65" i="43" s="1"/>
  <c r="AN65" i="43"/>
  <c r="AR65" i="43" s="1"/>
  <c r="BC64" i="43"/>
  <c r="BG64" i="43" s="1"/>
  <c r="BD63" i="43"/>
  <c r="BH63" i="43" s="1"/>
  <c r="BS61" i="43"/>
  <c r="BW61" i="43" s="1"/>
  <c r="AN61" i="43"/>
  <c r="AR61" i="43" s="1"/>
  <c r="AO60" i="43"/>
  <c r="AS60" i="43" s="1"/>
  <c r="BC59" i="43"/>
  <c r="BG59" i="43" s="1"/>
  <c r="BD58" i="43"/>
  <c r="BH58" i="43" s="1"/>
  <c r="BS57" i="43"/>
  <c r="BW57" i="43" s="1"/>
  <c r="AN57" i="43"/>
  <c r="AR57" i="43" s="1"/>
  <c r="BD55" i="43"/>
  <c r="BH55" i="43" s="1"/>
  <c r="BS52" i="43"/>
  <c r="BW52" i="43" s="1"/>
  <c r="AO51" i="43"/>
  <c r="AS51" i="43" s="1"/>
  <c r="BC50" i="43"/>
  <c r="BG50" i="43" s="1"/>
  <c r="BD49" i="43"/>
  <c r="BH49" i="43" s="1"/>
  <c r="BR48" i="43"/>
  <c r="BV48" i="43" s="1"/>
  <c r="BS47" i="43"/>
  <c r="BW47" i="43" s="1"/>
  <c r="AN47" i="43"/>
  <c r="AR47" i="43" s="1"/>
  <c r="BC46" i="43"/>
  <c r="BG46" i="43" s="1"/>
  <c r="BC45" i="43"/>
  <c r="BG45" i="43" s="1"/>
  <c r="BD113" i="43"/>
  <c r="BH113" i="43" s="1"/>
  <c r="BR112" i="43"/>
  <c r="BV112" i="43" s="1"/>
  <c r="AN112" i="43"/>
  <c r="AR112" i="43" s="1"/>
  <c r="BR110" i="43"/>
  <c r="BV110" i="43" s="1"/>
  <c r="BS109" i="43"/>
  <c r="BW109" i="43" s="1"/>
  <c r="AO109" i="43"/>
  <c r="AS109" i="43" s="1"/>
  <c r="BC108" i="43"/>
  <c r="BG108" i="43" s="1"/>
  <c r="BR107" i="43"/>
  <c r="BV107" i="43" s="1"/>
  <c r="AO106" i="43"/>
  <c r="AS106" i="43" s="1"/>
  <c r="AO105" i="43"/>
  <c r="AS105" i="43" s="1"/>
  <c r="BC104" i="43"/>
  <c r="BG104" i="43" s="1"/>
  <c r="BS102" i="43"/>
  <c r="BW102" i="43" s="1"/>
  <c r="BC99" i="43"/>
  <c r="BG99" i="43" s="1"/>
  <c r="BR98" i="43"/>
  <c r="BV98" i="43" s="1"/>
  <c r="AO97" i="43"/>
  <c r="AS97" i="43" s="1"/>
  <c r="BC95" i="43"/>
  <c r="BG95" i="43" s="1"/>
  <c r="AN93" i="43"/>
  <c r="AR93" i="43" s="1"/>
  <c r="AO92" i="43"/>
  <c r="AS92" i="43" s="1"/>
  <c r="BC91" i="43"/>
  <c r="BG91" i="43" s="1"/>
  <c r="AO89" i="43"/>
  <c r="AS89" i="43" s="1"/>
  <c r="BC88" i="43"/>
  <c r="BG88" i="43" s="1"/>
  <c r="BD87" i="43"/>
  <c r="BH87" i="43" s="1"/>
  <c r="BS85" i="43"/>
  <c r="BW85" i="43" s="1"/>
  <c r="BD82" i="43"/>
  <c r="BH82" i="43" s="1"/>
  <c r="BS81" i="43"/>
  <c r="BW81" i="43" s="1"/>
  <c r="AN81" i="43"/>
  <c r="AR81" i="43" s="1"/>
  <c r="BC80" i="43"/>
  <c r="BG80" i="43" s="1"/>
  <c r="AN78" i="43"/>
  <c r="AR78" i="43" s="1"/>
  <c r="BS75" i="43"/>
  <c r="BW75" i="43" s="1"/>
  <c r="AN74" i="43"/>
  <c r="AR74" i="43" s="1"/>
  <c r="BD72" i="43"/>
  <c r="BH72" i="43" s="1"/>
  <c r="BR71" i="43"/>
  <c r="BV71" i="43" s="1"/>
  <c r="BS70" i="43"/>
  <c r="BW70" i="43" s="1"/>
  <c r="AO69" i="43"/>
  <c r="AS69" i="43" s="1"/>
  <c r="BC66" i="43"/>
  <c r="BG66" i="43" s="1"/>
  <c r="BR65" i="43"/>
  <c r="BV65" i="43" s="1"/>
  <c r="BC63" i="43"/>
  <c r="BG63" i="43" s="1"/>
  <c r="BD62" i="43"/>
  <c r="BH62" i="43" s="1"/>
  <c r="BR61" i="43"/>
  <c r="BV61" i="43" s="1"/>
  <c r="AN60" i="43"/>
  <c r="AR60" i="43" s="1"/>
  <c r="BC58" i="43"/>
  <c r="BG58" i="43" s="1"/>
  <c r="BR57" i="43"/>
  <c r="BV57" i="43" s="1"/>
  <c r="AO56" i="43"/>
  <c r="AS56" i="43" s="1"/>
  <c r="BC55" i="43"/>
  <c r="BG55" i="43" s="1"/>
  <c r="BD54" i="43"/>
  <c r="BH54" i="43" s="1"/>
  <c r="BR52" i="43"/>
  <c r="BV52" i="43" s="1"/>
  <c r="BS51" i="43"/>
  <c r="BW51" i="43" s="1"/>
  <c r="AN51" i="43"/>
  <c r="AR51" i="43" s="1"/>
  <c r="BC49" i="43"/>
  <c r="BG49" i="43" s="1"/>
  <c r="BR47" i="43"/>
  <c r="BV47" i="43" s="1"/>
  <c r="BR43" i="43"/>
  <c r="BV43" i="43" s="1"/>
  <c r="BC41" i="43"/>
  <c r="BG41" i="43" s="1"/>
  <c r="BD40" i="43"/>
  <c r="BH40" i="43" s="1"/>
  <c r="BD115" i="43"/>
  <c r="BH115" i="43" s="1"/>
  <c r="BS114" i="43"/>
  <c r="BW114" i="43" s="1"/>
  <c r="AN114" i="43"/>
  <c r="AR114" i="43" s="1"/>
  <c r="AN111" i="43"/>
  <c r="AR111" i="43" s="1"/>
  <c r="BD110" i="43"/>
  <c r="BH110" i="43" s="1"/>
  <c r="AO108" i="43"/>
  <c r="AS108" i="43" s="1"/>
  <c r="BD107" i="43"/>
  <c r="BH107" i="43" s="1"/>
  <c r="BR106" i="43"/>
  <c r="BV106" i="43" s="1"/>
  <c r="BS105" i="43"/>
  <c r="BW105" i="43" s="1"/>
  <c r="AO104" i="43"/>
  <c r="AS104" i="43" s="1"/>
  <c r="BC103" i="43"/>
  <c r="BG103" i="43" s="1"/>
  <c r="AN101" i="43"/>
  <c r="AR101" i="43" s="1"/>
  <c r="AO100" i="43"/>
  <c r="AS100" i="43" s="1"/>
  <c r="AO99" i="43"/>
  <c r="AS99" i="43" s="1"/>
  <c r="BS97" i="43"/>
  <c r="BW97" i="43" s="1"/>
  <c r="AN96" i="43"/>
  <c r="AR96" i="43" s="1"/>
  <c r="AO95" i="43"/>
  <c r="AS95" i="43" s="1"/>
  <c r="BC94" i="43"/>
  <c r="BG94" i="43" s="1"/>
  <c r="BR93" i="43"/>
  <c r="BV93" i="43" s="1"/>
  <c r="BR92" i="43"/>
  <c r="BV92" i="43" s="1"/>
  <c r="AO91" i="43"/>
  <c r="AS91" i="43" s="1"/>
  <c r="BC90" i="43"/>
  <c r="BG90" i="43" s="1"/>
  <c r="BR89" i="43"/>
  <c r="BV89" i="43" s="1"/>
  <c r="AO88" i="43"/>
  <c r="AS88" i="43" s="1"/>
  <c r="BC86" i="43"/>
  <c r="BG86" i="43" s="1"/>
  <c r="AN84" i="43"/>
  <c r="AR84" i="43" s="1"/>
  <c r="AO83" i="43"/>
  <c r="AS83" i="43" s="1"/>
  <c r="BD79" i="43"/>
  <c r="BH79" i="43" s="1"/>
  <c r="BR78" i="43"/>
  <c r="BV78" i="43" s="1"/>
  <c r="AN77" i="43"/>
  <c r="AR77" i="43" s="1"/>
  <c r="BD76" i="43"/>
  <c r="BH76" i="43" s="1"/>
  <c r="BR74" i="43"/>
  <c r="BV74" i="43" s="1"/>
  <c r="AO73" i="43"/>
  <c r="AS73" i="43" s="1"/>
  <c r="BD71" i="43"/>
  <c r="BH71" i="43" s="1"/>
  <c r="BS69" i="43"/>
  <c r="BW69" i="43" s="1"/>
  <c r="AN68" i="43"/>
  <c r="AR68" i="43" s="1"/>
  <c r="AN67" i="43"/>
  <c r="AR67" i="43" s="1"/>
  <c r="BD65" i="43"/>
  <c r="BH65" i="43" s="1"/>
  <c r="BS64" i="43"/>
  <c r="BW64" i="43" s="1"/>
  <c r="AO64" i="43"/>
  <c r="AS64" i="43" s="1"/>
  <c r="AO63" i="43"/>
  <c r="AS63" i="43" s="1"/>
  <c r="BR60" i="43"/>
  <c r="BV60" i="43" s="1"/>
  <c r="BS59" i="43"/>
  <c r="BW59" i="43" s="1"/>
  <c r="AN59" i="43"/>
  <c r="AR59" i="43" s="1"/>
  <c r="BD57" i="43"/>
  <c r="BH57" i="43" s="1"/>
  <c r="BR56" i="43"/>
  <c r="BV56" i="43" s="1"/>
  <c r="AO55" i="43"/>
  <c r="AS55" i="43" s="1"/>
  <c r="BC53" i="43"/>
  <c r="BG53" i="43" s="1"/>
  <c r="BD52" i="43"/>
  <c r="BH52" i="43" s="1"/>
  <c r="AO50" i="43"/>
  <c r="AS50" i="43" s="1"/>
  <c r="AO49" i="43"/>
  <c r="AS49" i="43" s="1"/>
  <c r="BC48" i="43"/>
  <c r="BG48" i="43" s="1"/>
  <c r="AN46" i="43"/>
  <c r="AR46" i="43" s="1"/>
  <c r="AN45" i="43"/>
  <c r="AR45" i="43" s="1"/>
  <c r="BC44" i="43"/>
  <c r="BG44" i="43" s="1"/>
  <c r="BD43" i="43"/>
  <c r="BH43" i="43" s="1"/>
  <c r="BS42" i="43"/>
  <c r="BW42" i="43" s="1"/>
  <c r="AN42" i="43"/>
  <c r="AR42" i="43" s="1"/>
  <c r="AO41" i="43"/>
  <c r="AS41" i="43" s="1"/>
  <c r="AO14" i="43"/>
  <c r="BD14" i="43"/>
  <c r="AN15" i="43"/>
  <c r="AN16" i="43"/>
  <c r="AR16" i="43" s="1"/>
  <c r="BC19" i="43"/>
  <c r="BG19" i="43" s="1"/>
  <c r="AO20" i="43"/>
  <c r="AS20" i="43" s="1"/>
  <c r="AN21" i="43"/>
  <c r="AR21" i="43" s="1"/>
  <c r="BR21" i="43"/>
  <c r="BV21" i="43" s="1"/>
  <c r="BR22" i="43"/>
  <c r="BV22" i="43" s="1"/>
  <c r="BC23" i="43"/>
  <c r="BG23" i="43" s="1"/>
  <c r="AN24" i="43"/>
  <c r="AR24" i="43" s="1"/>
  <c r="BS24" i="43"/>
  <c r="BW24" i="43" s="1"/>
  <c r="BR25" i="43"/>
  <c r="BV25" i="43" s="1"/>
  <c r="BD26" i="43"/>
  <c r="BH26" i="43" s="1"/>
  <c r="BR28" i="43"/>
  <c r="BV28" i="43" s="1"/>
  <c r="BD30" i="43"/>
  <c r="BH30" i="43" s="1"/>
  <c r="AO31" i="43"/>
  <c r="AS31" i="43" s="1"/>
  <c r="BD32" i="43"/>
  <c r="BH32" i="43" s="1"/>
  <c r="BD34" i="43"/>
  <c r="BH34" i="43" s="1"/>
  <c r="BS36" i="43"/>
  <c r="BW36" i="43" s="1"/>
  <c r="BS37" i="43"/>
  <c r="BW37" i="43" s="1"/>
  <c r="AO45" i="43"/>
  <c r="AS45" i="43" s="1"/>
  <c r="AO77" i="43"/>
  <c r="AS77" i="43" s="1"/>
  <c r="AO84" i="43"/>
  <c r="AS84" i="43" s="1"/>
  <c r="AN89" i="43"/>
  <c r="AR89" i="43" s="1"/>
  <c r="BS92" i="43"/>
  <c r="BW92" i="43" s="1"/>
  <c r="AN97" i="43"/>
  <c r="AR97" i="43" s="1"/>
  <c r="BR109" i="43"/>
  <c r="BV109" i="43" s="1"/>
  <c r="BD23" i="43"/>
  <c r="BH23" i="43" s="1"/>
  <c r="AO24" i="43"/>
  <c r="AS24" i="43" s="1"/>
  <c r="BS25" i="43"/>
  <c r="BW25" i="43" s="1"/>
  <c r="BC27" i="43"/>
  <c r="BG27" i="43" s="1"/>
  <c r="BS28" i="43"/>
  <c r="BW28" i="43" s="1"/>
  <c r="BR29" i="43"/>
  <c r="BV29" i="43" s="1"/>
  <c r="AN36" i="43"/>
  <c r="AR36" i="43" s="1"/>
  <c r="AN37" i="43"/>
  <c r="AR37" i="43" s="1"/>
  <c r="BR38" i="43"/>
  <c r="BV38" i="43" s="1"/>
  <c r="BR39" i="43"/>
  <c r="BV39" i="43" s="1"/>
  <c r="BD53" i="43"/>
  <c r="BH53" i="43" s="1"/>
  <c r="AN56" i="43"/>
  <c r="AR56" i="43" s="1"/>
  <c r="BS60" i="43"/>
  <c r="BW60" i="43" s="1"/>
  <c r="AO68" i="43"/>
  <c r="AS68" i="43" s="1"/>
  <c r="BR70" i="43"/>
  <c r="BV70" i="43" s="1"/>
  <c r="BR75" i="43"/>
  <c r="BV75" i="43" s="1"/>
  <c r="BD86" i="43"/>
  <c r="BH86" i="43" s="1"/>
  <c r="BR102" i="43"/>
  <c r="BV102" i="43" s="1"/>
  <c r="AN105" i="43"/>
  <c r="AR105" i="43" s="1"/>
  <c r="U14" i="43"/>
  <c r="BR15" i="43"/>
  <c r="BS17" i="43"/>
  <c r="BW17" i="43" s="1"/>
  <c r="BS18" i="43"/>
  <c r="BW18" i="43" s="1"/>
  <c r="BC20" i="43"/>
  <c r="BG20" i="43" s="1"/>
  <c r="AN22" i="43"/>
  <c r="AR22" i="43" s="1"/>
  <c r="AN25" i="43"/>
  <c r="AR25" i="43" s="1"/>
  <c r="BR26" i="43"/>
  <c r="BV26" i="43" s="1"/>
  <c r="BD27" i="43"/>
  <c r="BH27" i="43" s="1"/>
  <c r="AN28" i="43"/>
  <c r="AR28" i="43" s="1"/>
  <c r="BS29" i="43"/>
  <c r="BW29" i="43" s="1"/>
  <c r="BR32" i="43"/>
  <c r="BV32" i="43" s="1"/>
  <c r="L33" i="43" a="1"/>
  <c r="L33" i="43" s="1"/>
  <c r="P33" i="43" s="1"/>
  <c r="Y33" i="43" s="1"/>
  <c r="BC33" i="43"/>
  <c r="BG33" i="43" s="1"/>
  <c r="BR34" i="43"/>
  <c r="BV34" i="43" s="1"/>
  <c r="BC35" i="43"/>
  <c r="BG35" i="43" s="1"/>
  <c r="AO36" i="43"/>
  <c r="AS36" i="43" s="1"/>
  <c r="AO37" i="43"/>
  <c r="AS37" i="43" s="1"/>
  <c r="BS38" i="43"/>
  <c r="BW38" i="43" s="1"/>
  <c r="BS39" i="43"/>
  <c r="BW39" i="43" s="1"/>
  <c r="BD41" i="43"/>
  <c r="BH41" i="43" s="1"/>
  <c r="BS43" i="43"/>
  <c r="BW43" i="43" s="1"/>
  <c r="BD48" i="43"/>
  <c r="BH48" i="43" s="1"/>
  <c r="BC82" i="43"/>
  <c r="BG82" i="43" s="1"/>
  <c r="L107" i="43" a="1"/>
  <c r="L107" i="43" s="1"/>
  <c r="L115" i="43" a="1"/>
  <c r="L115" i="43" s="1"/>
  <c r="P115" i="43" s="1"/>
  <c r="Y115" i="43" s="1"/>
  <c r="L67" i="43" a="1"/>
  <c r="L67" i="43" s="1"/>
  <c r="K89" i="43" a="1"/>
  <c r="K89" i="43" s="1"/>
  <c r="O89" i="43" s="1"/>
  <c r="X89" i="43" s="1"/>
  <c r="K105" i="43" a="1"/>
  <c r="K105" i="43" s="1"/>
  <c r="O105" i="43" s="1"/>
  <c r="X105" i="43" s="1"/>
  <c r="L117" i="43" a="1"/>
  <c r="L117" i="43" s="1"/>
  <c r="P117" i="43" s="1"/>
  <c r="K43" i="43" a="1"/>
  <c r="K43" i="43" s="1"/>
  <c r="O43" i="43" s="1"/>
  <c r="X43" i="43" s="1"/>
  <c r="K47" i="43" a="1"/>
  <c r="K47" i="43" s="1"/>
  <c r="O47" i="43" s="1"/>
  <c r="X47" i="43" s="1"/>
  <c r="K70" i="43" a="1"/>
  <c r="K70" i="43" s="1"/>
  <c r="L74" i="43" a="1"/>
  <c r="L74" i="43" s="1"/>
  <c r="P74" i="43" s="1"/>
  <c r="Y74" i="43" s="1"/>
  <c r="K85" i="43" a="1"/>
  <c r="K85" i="43" s="1"/>
  <c r="K98" i="43" a="1"/>
  <c r="K98" i="43" s="1"/>
  <c r="O98" i="43" s="1"/>
  <c r="X98" i="43" s="1"/>
  <c r="K102" i="43" a="1"/>
  <c r="K102" i="43" s="1"/>
  <c r="O102" i="43" s="1"/>
  <c r="X102" i="43" s="1"/>
  <c r="K57" i="43" a="1"/>
  <c r="K57" i="43" s="1"/>
  <c r="O57" i="43" s="1"/>
  <c r="X57" i="43" s="1"/>
  <c r="D24" i="3"/>
  <c r="J14" i="42"/>
  <c r="BR17" i="42"/>
  <c r="BV17" i="42" s="1"/>
  <c r="BC19" i="42"/>
  <c r="BG19" i="42" s="1"/>
  <c r="AN20" i="42"/>
  <c r="AR20" i="42" s="1"/>
  <c r="BC22" i="42"/>
  <c r="BG22" i="42" s="1"/>
  <c r="AO24" i="42"/>
  <c r="AS24" i="42" s="1"/>
  <c r="BS25" i="42"/>
  <c r="BW25" i="42" s="1"/>
  <c r="BR28" i="42"/>
  <c r="BV28" i="42" s="1"/>
  <c r="AO30" i="42"/>
  <c r="AS30" i="42" s="1"/>
  <c r="AN31" i="42"/>
  <c r="AR31" i="42" s="1"/>
  <c r="AN34" i="42"/>
  <c r="AR34" i="42" s="1"/>
  <c r="BC36" i="42"/>
  <c r="BG36" i="42" s="1"/>
  <c r="AN37" i="42"/>
  <c r="AR37" i="42" s="1"/>
  <c r="BD38" i="42"/>
  <c r="BH38" i="42" s="1"/>
  <c r="BS40" i="42"/>
  <c r="BW40" i="42" s="1"/>
  <c r="AO42" i="42"/>
  <c r="AS42" i="42" s="1"/>
  <c r="AO45" i="42"/>
  <c r="AS45" i="42" s="1"/>
  <c r="BD49" i="42"/>
  <c r="BH49" i="42" s="1"/>
  <c r="AN52" i="42"/>
  <c r="AR52" i="42" s="1"/>
  <c r="BR54" i="42"/>
  <c r="BV54" i="42" s="1"/>
  <c r="AO57" i="42"/>
  <c r="AS57" i="42" s="1"/>
  <c r="BS63" i="42"/>
  <c r="BW63" i="42" s="1"/>
  <c r="AO65" i="42"/>
  <c r="AS65" i="42" s="1"/>
  <c r="BS67" i="42"/>
  <c r="BW67" i="42" s="1"/>
  <c r="BR72" i="42"/>
  <c r="BV72" i="42" s="1"/>
  <c r="AO76" i="42"/>
  <c r="AS76" i="42" s="1"/>
  <c r="AN80" i="42"/>
  <c r="AR80" i="42" s="1"/>
  <c r="L82" i="42" a="1"/>
  <c r="L82" i="42" s="1"/>
  <c r="BR82" i="42"/>
  <c r="BV82" i="42" s="1"/>
  <c r="BC84" i="42"/>
  <c r="BG84" i="42" s="1"/>
  <c r="BS85" i="42"/>
  <c r="BW85" i="42" s="1"/>
  <c r="AO87" i="42"/>
  <c r="AS87" i="42" s="1"/>
  <c r="BC88" i="42"/>
  <c r="BG88" i="42" s="1"/>
  <c r="BD96" i="42"/>
  <c r="BH96" i="42" s="1"/>
  <c r="BS97" i="42"/>
  <c r="BW97" i="42" s="1"/>
  <c r="AO100" i="42"/>
  <c r="AS100" i="42" s="1"/>
  <c r="BD101" i="42"/>
  <c r="BH101" i="42" s="1"/>
  <c r="BD108" i="42"/>
  <c r="BH108" i="42" s="1"/>
  <c r="L110" i="42" a="1"/>
  <c r="L110" i="42" s="1"/>
  <c r="P110" i="42" s="1"/>
  <c r="Y110" i="42" s="1"/>
  <c r="K110" i="42" a="1"/>
  <c r="K110" i="42" s="1"/>
  <c r="O110" i="42" s="1"/>
  <c r="X110" i="42" s="1"/>
  <c r="BD111" i="42"/>
  <c r="BH111" i="42" s="1"/>
  <c r="BS17" i="42"/>
  <c r="BW17" i="42" s="1"/>
  <c r="BD19" i="42"/>
  <c r="BH19" i="42" s="1"/>
  <c r="AO20" i="42"/>
  <c r="AS20" i="42" s="1"/>
  <c r="BR21" i="42"/>
  <c r="BV21" i="42" s="1"/>
  <c r="BD22" i="42"/>
  <c r="BH22" i="42" s="1"/>
  <c r="BC23" i="42"/>
  <c r="BG23" i="42" s="1"/>
  <c r="AN25" i="42"/>
  <c r="AR25" i="42" s="1"/>
  <c r="BR26" i="42"/>
  <c r="BV26" i="42" s="1"/>
  <c r="BS28" i="42"/>
  <c r="BW28" i="42" s="1"/>
  <c r="BC29" i="42"/>
  <c r="BG29" i="42" s="1"/>
  <c r="AO31" i="42"/>
  <c r="AS31" i="42" s="1"/>
  <c r="BR32" i="42"/>
  <c r="BV32" i="42" s="1"/>
  <c r="BC33" i="42"/>
  <c r="BG33" i="42" s="1"/>
  <c r="AO34" i="42"/>
  <c r="AS34" i="42" s="1"/>
  <c r="AN35" i="42"/>
  <c r="AR35" i="42" s="1"/>
  <c r="BR35" i="42"/>
  <c r="BV35" i="42" s="1"/>
  <c r="K36" i="42" a="1"/>
  <c r="K36" i="42" s="1"/>
  <c r="BD36" i="42"/>
  <c r="BH36" i="42" s="1"/>
  <c r="AO37" i="42"/>
  <c r="AS37" i="42" s="1"/>
  <c r="BC39" i="42"/>
  <c r="BG39" i="42" s="1"/>
  <c r="AN40" i="42"/>
  <c r="AR40" i="42" s="1"/>
  <c r="AO43" i="42"/>
  <c r="AS43" i="42" s="1"/>
  <c r="AO46" i="42"/>
  <c r="AS46" i="42" s="1"/>
  <c r="BR48" i="42"/>
  <c r="BV48" i="42" s="1"/>
  <c r="AN51" i="42"/>
  <c r="AR51" i="42" s="1"/>
  <c r="AO52" i="42"/>
  <c r="AS52" i="42" s="1"/>
  <c r="BS54" i="42"/>
  <c r="BW54" i="42" s="1"/>
  <c r="AN69" i="42"/>
  <c r="AR69" i="42" s="1"/>
  <c r="BS72" i="42"/>
  <c r="BW72" i="42" s="1"/>
  <c r="BS77" i="42"/>
  <c r="BW77" i="42" s="1"/>
  <c r="AO80" i="42"/>
  <c r="AS80" i="42" s="1"/>
  <c r="BR81" i="42"/>
  <c r="BV81" i="42" s="1"/>
  <c r="BD84" i="42"/>
  <c r="BH84" i="42" s="1"/>
  <c r="BS92" i="42"/>
  <c r="BW92" i="42" s="1"/>
  <c r="AN99" i="42"/>
  <c r="AR99" i="42" s="1"/>
  <c r="AN103" i="42"/>
  <c r="AR103" i="42" s="1"/>
  <c r="AN106" i="42"/>
  <c r="AR106" i="42" s="1"/>
  <c r="BR107" i="42"/>
  <c r="BV107" i="42" s="1"/>
  <c r="L71" i="42" a="1"/>
  <c r="L71" i="42" s="1"/>
  <c r="P71" i="42" s="1"/>
  <c r="Y71" i="42" s="1"/>
  <c r="K71" i="42" a="1"/>
  <c r="K71" i="42" s="1"/>
  <c r="O71" i="42" s="1"/>
  <c r="X71" i="42" s="1"/>
  <c r="K69" i="42" a="1"/>
  <c r="K69" i="42" s="1"/>
  <c r="L69" i="42" a="1"/>
  <c r="L69" i="42" s="1"/>
  <c r="L116" i="42" a="1"/>
  <c r="L116" i="42" s="1"/>
  <c r="K116" i="42" a="1"/>
  <c r="K116" i="42" s="1"/>
  <c r="O116" i="42" s="1"/>
  <c r="L107" i="42" a="1"/>
  <c r="L107" i="42" s="1"/>
  <c r="P107" i="42" s="1"/>
  <c r="Y107" i="42" s="1"/>
  <c r="K107" i="42" a="1"/>
  <c r="K107" i="42" s="1"/>
  <c r="BR19" i="42"/>
  <c r="BV19" i="42" s="1"/>
  <c r="BC20" i="42"/>
  <c r="BG20" i="42" s="1"/>
  <c r="AO21" i="42"/>
  <c r="AS21" i="42" s="1"/>
  <c r="BR22" i="42"/>
  <c r="BV22" i="42" s="1"/>
  <c r="K24" i="42" a="1"/>
  <c r="K24" i="42" s="1"/>
  <c r="BD24" i="42"/>
  <c r="BH24" i="42" s="1"/>
  <c r="AO26" i="42"/>
  <c r="AS26" i="42" s="1"/>
  <c r="BD27" i="42"/>
  <c r="BH27" i="42" s="1"/>
  <c r="AO28" i="42"/>
  <c r="AS28" i="42" s="1"/>
  <c r="BD30" i="42"/>
  <c r="BH30" i="42" s="1"/>
  <c r="BC31" i="42"/>
  <c r="BG31" i="42" s="1"/>
  <c r="AO32" i="42"/>
  <c r="AS32" i="42" s="1"/>
  <c r="BC34" i="42"/>
  <c r="BG34" i="42" s="1"/>
  <c r="BR36" i="42"/>
  <c r="BV36" i="42" s="1"/>
  <c r="K37" i="42" a="1"/>
  <c r="K37" i="42" s="1"/>
  <c r="O37" i="42" s="1"/>
  <c r="X37" i="42" s="1"/>
  <c r="BC37" i="42"/>
  <c r="BG37" i="42" s="1"/>
  <c r="BS38" i="42"/>
  <c r="BW38" i="42" s="1"/>
  <c r="AN41" i="42"/>
  <c r="AR41" i="42" s="1"/>
  <c r="BS41" i="42"/>
  <c r="BW41" i="42" s="1"/>
  <c r="BD42" i="42"/>
  <c r="BH42" i="42" s="1"/>
  <c r="BC43" i="42"/>
  <c r="BG43" i="42" s="1"/>
  <c r="BD44" i="42"/>
  <c r="BH44" i="42" s="1"/>
  <c r="L45" i="42" a="1"/>
  <c r="L45" i="42" s="1"/>
  <c r="P45" i="42" s="1"/>
  <c r="Y45" i="42" s="1"/>
  <c r="BR47" i="42"/>
  <c r="BV47" i="42" s="1"/>
  <c r="L50" i="42" a="1"/>
  <c r="L50" i="42" s="1"/>
  <c r="P50" i="42" s="1"/>
  <c r="Y50" i="42" s="1"/>
  <c r="K50" i="42" a="1"/>
  <c r="K50" i="42" s="1"/>
  <c r="O50" i="42" s="1"/>
  <c r="X50" i="42" s="1"/>
  <c r="AO50" i="42"/>
  <c r="AS50" i="42" s="1"/>
  <c r="BC52" i="42"/>
  <c r="BG52" i="42" s="1"/>
  <c r="AN54" i="42"/>
  <c r="AR54" i="42" s="1"/>
  <c r="AO59" i="42"/>
  <c r="AS59" i="42" s="1"/>
  <c r="BS62" i="42"/>
  <c r="BW62" i="42" s="1"/>
  <c r="BD65" i="42"/>
  <c r="BH65" i="42" s="1"/>
  <c r="AN67" i="42"/>
  <c r="AR67" i="42" s="1"/>
  <c r="BD70" i="42"/>
  <c r="BH70" i="42" s="1"/>
  <c r="AO73" i="42"/>
  <c r="AS73" i="42" s="1"/>
  <c r="AN78" i="42"/>
  <c r="AR78" i="42" s="1"/>
  <c r="BC80" i="42"/>
  <c r="BG80" i="42" s="1"/>
  <c r="BC83" i="42"/>
  <c r="BG83" i="42" s="1"/>
  <c r="AN85" i="42"/>
  <c r="AR85" i="42" s="1"/>
  <c r="BD87" i="42"/>
  <c r="BH87" i="42" s="1"/>
  <c r="AN89" i="42"/>
  <c r="AR89" i="42" s="1"/>
  <c r="AO93" i="42"/>
  <c r="AS93" i="42" s="1"/>
  <c r="BD94" i="42"/>
  <c r="BH94" i="42" s="1"/>
  <c r="BD95" i="42"/>
  <c r="BH95" i="42" s="1"/>
  <c r="K97" i="42" a="1"/>
  <c r="K97" i="42" s="1"/>
  <c r="L97" i="42" a="1"/>
  <c r="L97" i="42" s="1"/>
  <c r="P97" i="42" s="1"/>
  <c r="Y97" i="42" s="1"/>
  <c r="AO97" i="42"/>
  <c r="AS97" i="42" s="1"/>
  <c r="BR100" i="42"/>
  <c r="BV100" i="42" s="1"/>
  <c r="BR101" i="42"/>
  <c r="BV101" i="42" s="1"/>
  <c r="BS110" i="42"/>
  <c r="BW110" i="42" s="1"/>
  <c r="L112" i="42" a="1"/>
  <c r="L112" i="42" s="1"/>
  <c r="K112" i="42" a="1"/>
  <c r="K112" i="42" s="1"/>
  <c r="O112" i="42" s="1"/>
  <c r="X112" i="42" s="1"/>
  <c r="BR114" i="42"/>
  <c r="BV114" i="42" s="1"/>
  <c r="BC115" i="42"/>
  <c r="BG115" i="42" s="1"/>
  <c r="L124" i="42" a="1"/>
  <c r="L124" i="42" s="1"/>
  <c r="P124" i="42" s="1"/>
  <c r="K124" i="42" a="1"/>
  <c r="K124" i="42" s="1"/>
  <c r="O124" i="42" s="1"/>
  <c r="K125" i="42" a="1"/>
  <c r="K125" i="42" s="1"/>
  <c r="O125" i="42" s="1"/>
  <c r="L125" i="42" a="1"/>
  <c r="L125" i="42" s="1"/>
  <c r="P125" i="42" s="1"/>
  <c r="BS19" i="42"/>
  <c r="BW19" i="42" s="1"/>
  <c r="BD20" i="42"/>
  <c r="BH20" i="42" s="1"/>
  <c r="BS22" i="42"/>
  <c r="BW22" i="42" s="1"/>
  <c r="BR23" i="42"/>
  <c r="BV23" i="42" s="1"/>
  <c r="BC25" i="42"/>
  <c r="BG25" i="42" s="1"/>
  <c r="BR29" i="42"/>
  <c r="BV29" i="42" s="1"/>
  <c r="L31" i="42" a="1"/>
  <c r="L31" i="42" s="1"/>
  <c r="P31" i="42" s="1"/>
  <c r="Y31" i="42" s="1"/>
  <c r="BD31" i="42"/>
  <c r="BH31" i="42" s="1"/>
  <c r="BD34" i="42"/>
  <c r="BH34" i="42" s="1"/>
  <c r="BS36" i="42"/>
  <c r="BW36" i="42" s="1"/>
  <c r="BD37" i="42"/>
  <c r="BH37" i="42" s="1"/>
  <c r="AN38" i="42"/>
  <c r="AR38" i="42" s="1"/>
  <c r="BC40" i="42"/>
  <c r="BG40" i="42" s="1"/>
  <c r="AO41" i="42"/>
  <c r="AS41" i="42" s="1"/>
  <c r="BD43" i="42"/>
  <c r="BH43" i="42" s="1"/>
  <c r="BC46" i="42"/>
  <c r="BG46" i="42" s="1"/>
  <c r="BS47" i="42"/>
  <c r="BW47" i="42" s="1"/>
  <c r="AO54" i="42"/>
  <c r="AS54" i="42" s="1"/>
  <c r="BD55" i="42"/>
  <c r="BH55" i="42" s="1"/>
  <c r="BC56" i="42"/>
  <c r="BG56" i="42" s="1"/>
  <c r="AN58" i="42"/>
  <c r="AR58" i="42" s="1"/>
  <c r="BC60" i="42"/>
  <c r="BG60" i="42" s="1"/>
  <c r="AN63" i="42"/>
  <c r="AR63" i="42" s="1"/>
  <c r="L67" i="42" a="1"/>
  <c r="L67" i="42" s="1"/>
  <c r="P67" i="42" s="1"/>
  <c r="Y67" i="42" s="1"/>
  <c r="K67" i="42" a="1"/>
  <c r="K67" i="42" s="1"/>
  <c r="AN72" i="42"/>
  <c r="AR72" i="42" s="1"/>
  <c r="BC74" i="42"/>
  <c r="BG74" i="42" s="1"/>
  <c r="BC75" i="42"/>
  <c r="BG75" i="42" s="1"/>
  <c r="BS76" i="42"/>
  <c r="BW76" i="42" s="1"/>
  <c r="L78" i="42" a="1"/>
  <c r="L78" i="42" s="1"/>
  <c r="P78" i="42" s="1"/>
  <c r="Y78" i="42" s="1"/>
  <c r="K78" i="42" a="1"/>
  <c r="K78" i="42" s="1"/>
  <c r="O78" i="42" s="1"/>
  <c r="X78" i="42" s="1"/>
  <c r="BC79" i="42"/>
  <c r="BG79" i="42" s="1"/>
  <c r="BD83" i="42"/>
  <c r="BH83" i="42" s="1"/>
  <c r="L85" i="42" a="1"/>
  <c r="L85" i="42" s="1"/>
  <c r="P85" i="42" s="1"/>
  <c r="Y85" i="42" s="1"/>
  <c r="K85" i="42" a="1"/>
  <c r="K85" i="42" s="1"/>
  <c r="AO85" i="42"/>
  <c r="AS85" i="42" s="1"/>
  <c r="L89" i="42" a="1"/>
  <c r="L89" i="42" s="1"/>
  <c r="P89" i="42" s="1"/>
  <c r="Y89" i="42" s="1"/>
  <c r="K89" i="42" a="1"/>
  <c r="K89" i="42" s="1"/>
  <c r="O89" i="42" s="1"/>
  <c r="X89" i="42" s="1"/>
  <c r="BC90" i="42"/>
  <c r="BG90" i="42" s="1"/>
  <c r="BC99" i="42"/>
  <c r="BG99" i="42" s="1"/>
  <c r="BS100" i="42"/>
  <c r="BW100" i="42" s="1"/>
  <c r="BC109" i="42"/>
  <c r="BG109" i="42" s="1"/>
  <c r="BC113" i="42"/>
  <c r="BG113" i="42" s="1"/>
  <c r="AO115" i="42"/>
  <c r="AS115" i="42" s="1"/>
  <c r="BS113" i="42"/>
  <c r="BW113" i="42" s="1"/>
  <c r="BD112" i="42"/>
  <c r="BH112" i="42" s="1"/>
  <c r="BD110" i="42"/>
  <c r="BH110" i="42" s="1"/>
  <c r="BS109" i="42"/>
  <c r="BW109" i="42" s="1"/>
  <c r="AN109" i="42"/>
  <c r="AR109" i="42" s="1"/>
  <c r="AO108" i="42"/>
  <c r="AS108" i="42" s="1"/>
  <c r="BS106" i="42"/>
  <c r="BW106" i="42" s="1"/>
  <c r="BS105" i="42"/>
  <c r="BW105" i="42" s="1"/>
  <c r="AN105" i="42"/>
  <c r="AR105" i="42" s="1"/>
  <c r="BD104" i="42"/>
  <c r="BH104" i="42" s="1"/>
  <c r="BS103" i="42"/>
  <c r="BW103" i="42" s="1"/>
  <c r="BC101" i="42"/>
  <c r="BG101" i="42" s="1"/>
  <c r="BS99" i="42"/>
  <c r="BW99" i="42" s="1"/>
  <c r="BD98" i="42"/>
  <c r="BH98" i="42" s="1"/>
  <c r="AN96" i="42"/>
  <c r="AR96" i="42" s="1"/>
  <c r="AO95" i="42"/>
  <c r="AS95" i="42" s="1"/>
  <c r="BC94" i="42"/>
  <c r="BG94" i="42" s="1"/>
  <c r="BR93" i="42"/>
  <c r="BV93" i="42" s="1"/>
  <c r="BR92" i="42"/>
  <c r="BV92" i="42" s="1"/>
  <c r="BS91" i="42"/>
  <c r="BW91" i="42" s="1"/>
  <c r="AN91" i="42"/>
  <c r="AR91" i="42" s="1"/>
  <c r="AO90" i="42"/>
  <c r="AS90" i="42" s="1"/>
  <c r="BD89" i="42"/>
  <c r="BH89" i="42" s="1"/>
  <c r="BS88" i="42"/>
  <c r="BW88" i="42" s="1"/>
  <c r="AN87" i="42"/>
  <c r="AR87" i="42" s="1"/>
  <c r="AO86" i="42"/>
  <c r="AS86" i="42" s="1"/>
  <c r="AN84" i="42"/>
  <c r="AR84" i="42" s="1"/>
  <c r="AO83" i="42"/>
  <c r="AS83" i="42" s="1"/>
  <c r="BC82" i="42"/>
  <c r="BG82" i="42" s="1"/>
  <c r="BS80" i="42"/>
  <c r="BW80" i="42" s="1"/>
  <c r="AO79" i="42"/>
  <c r="AS79" i="42" s="1"/>
  <c r="BD78" i="42"/>
  <c r="BH78" i="42" s="1"/>
  <c r="BR77" i="42"/>
  <c r="BV77" i="42" s="1"/>
  <c r="BR76" i="42"/>
  <c r="BV76" i="42" s="1"/>
  <c r="AN75" i="42"/>
  <c r="AR75" i="42" s="1"/>
  <c r="BR71" i="42"/>
  <c r="BV71" i="42" s="1"/>
  <c r="BD69" i="42"/>
  <c r="BH69" i="42" s="1"/>
  <c r="BS68" i="42"/>
  <c r="BW68" i="42" s="1"/>
  <c r="AO68" i="42"/>
  <c r="AS68" i="42" s="1"/>
  <c r="BC67" i="42"/>
  <c r="BG67" i="42" s="1"/>
  <c r="BR66" i="42"/>
  <c r="BV66" i="42" s="1"/>
  <c r="AN65" i="42"/>
  <c r="AR65" i="42" s="1"/>
  <c r="AO64" i="42"/>
  <c r="AS64" i="42" s="1"/>
  <c r="BD63" i="42"/>
  <c r="BH63" i="42" s="1"/>
  <c r="BS61" i="42"/>
  <c r="BW61" i="42" s="1"/>
  <c r="AN61" i="42"/>
  <c r="AR61" i="42" s="1"/>
  <c r="AO60" i="42"/>
  <c r="AS60" i="42" s="1"/>
  <c r="BS58" i="42"/>
  <c r="BW58" i="42" s="1"/>
  <c r="BS57" i="42"/>
  <c r="BW57" i="42" s="1"/>
  <c r="AN56" i="42"/>
  <c r="AR56" i="42" s="1"/>
  <c r="BC55" i="42"/>
  <c r="BG55" i="42" s="1"/>
  <c r="BR53" i="42"/>
  <c r="BV53" i="42" s="1"/>
  <c r="BS52" i="42"/>
  <c r="BW52" i="42" s="1"/>
  <c r="BD51" i="42"/>
  <c r="BH51" i="42" s="1"/>
  <c r="BR50" i="42"/>
  <c r="BV50" i="42" s="1"/>
  <c r="AO49" i="42"/>
  <c r="AS49" i="42" s="1"/>
  <c r="BS46" i="42"/>
  <c r="BW46" i="42" s="1"/>
  <c r="AN46" i="42"/>
  <c r="AR46" i="42" s="1"/>
  <c r="BD45" i="42"/>
  <c r="BH45" i="42" s="1"/>
  <c r="BS44" i="42"/>
  <c r="BW44" i="42" s="1"/>
  <c r="AO44" i="42"/>
  <c r="AS44" i="42" s="1"/>
  <c r="BD114" i="42"/>
  <c r="BH114" i="42" s="1"/>
  <c r="BR113" i="42"/>
  <c r="BV113" i="42" s="1"/>
  <c r="AO113" i="42"/>
  <c r="AS113" i="42" s="1"/>
  <c r="BC112" i="42"/>
  <c r="BG112" i="42" s="1"/>
  <c r="AO111" i="42"/>
  <c r="AS111" i="42" s="1"/>
  <c r="BC110" i="42"/>
  <c r="BG110" i="42" s="1"/>
  <c r="BR109" i="42"/>
  <c r="BV109" i="42" s="1"/>
  <c r="AN108" i="42"/>
  <c r="AR108" i="42" s="1"/>
  <c r="BD107" i="42"/>
  <c r="BH107" i="42" s="1"/>
  <c r="BR106" i="42"/>
  <c r="BV106" i="42" s="1"/>
  <c r="BR105" i="42"/>
  <c r="BV105" i="42" s="1"/>
  <c r="BC104" i="42"/>
  <c r="BG104" i="42" s="1"/>
  <c r="BR103" i="42"/>
  <c r="BV103" i="42" s="1"/>
  <c r="AO102" i="42"/>
  <c r="AS102" i="42" s="1"/>
  <c r="BD100" i="42"/>
  <c r="BH100" i="42" s="1"/>
  <c r="BR99" i="42"/>
  <c r="BV99" i="42" s="1"/>
  <c r="BC98" i="42"/>
  <c r="BG98" i="42" s="1"/>
  <c r="BD97" i="42"/>
  <c r="BH97" i="42" s="1"/>
  <c r="BS96" i="42"/>
  <c r="BW96" i="42" s="1"/>
  <c r="AN95" i="42"/>
  <c r="AR95" i="42" s="1"/>
  <c r="BR91" i="42"/>
  <c r="BV91" i="42" s="1"/>
  <c r="AN90" i="42"/>
  <c r="AR90" i="42" s="1"/>
  <c r="BC89" i="42"/>
  <c r="BG89" i="42" s="1"/>
  <c r="BR88" i="42"/>
  <c r="BV88" i="42" s="1"/>
  <c r="BS87" i="42"/>
  <c r="BW87" i="42" s="1"/>
  <c r="AN86" i="42"/>
  <c r="AR86" i="42" s="1"/>
  <c r="BD85" i="42"/>
  <c r="BH85" i="42" s="1"/>
  <c r="BS84" i="42"/>
  <c r="BW84" i="42" s="1"/>
  <c r="BS83" i="42"/>
  <c r="BW83" i="42" s="1"/>
  <c r="AN83" i="42"/>
  <c r="AR83" i="42" s="1"/>
  <c r="BD81" i="42"/>
  <c r="BH81" i="42" s="1"/>
  <c r="BR80" i="42"/>
  <c r="BV80" i="42" s="1"/>
  <c r="BS79" i="42"/>
  <c r="BW79" i="42" s="1"/>
  <c r="AN79" i="42"/>
  <c r="AR79" i="42" s="1"/>
  <c r="BC78" i="42"/>
  <c r="BG78" i="42" s="1"/>
  <c r="BS75" i="42"/>
  <c r="BW75" i="42" s="1"/>
  <c r="AO74" i="42"/>
  <c r="AS74" i="42" s="1"/>
  <c r="BD73" i="42"/>
  <c r="BH73" i="42" s="1"/>
  <c r="BD72" i="42"/>
  <c r="BH72" i="42" s="1"/>
  <c r="AO70" i="42"/>
  <c r="AS70" i="42" s="1"/>
  <c r="BC69" i="42"/>
  <c r="BG69" i="42" s="1"/>
  <c r="BR68" i="42"/>
  <c r="BV68" i="42" s="1"/>
  <c r="AN68" i="42"/>
  <c r="AR68" i="42" s="1"/>
  <c r="BS65" i="42"/>
  <c r="BW65" i="42" s="1"/>
  <c r="AN64" i="42"/>
  <c r="AR64" i="42" s="1"/>
  <c r="BC63" i="42"/>
  <c r="BG63" i="42" s="1"/>
  <c r="BD62" i="42"/>
  <c r="BH62" i="42" s="1"/>
  <c r="BR61" i="42"/>
  <c r="BV61" i="42" s="1"/>
  <c r="AN60" i="42"/>
  <c r="AR60" i="42" s="1"/>
  <c r="BD59" i="42"/>
  <c r="BH59" i="42" s="1"/>
  <c r="BR58" i="42"/>
  <c r="BV58" i="42" s="1"/>
  <c r="BR57" i="42"/>
  <c r="BV57" i="42" s="1"/>
  <c r="BS56" i="42"/>
  <c r="BW56" i="42" s="1"/>
  <c r="BD54" i="42"/>
  <c r="BH54" i="42" s="1"/>
  <c r="BR52" i="42"/>
  <c r="BV52" i="42" s="1"/>
  <c r="BC51" i="42"/>
  <c r="BG51" i="42" s="1"/>
  <c r="AN49" i="42"/>
  <c r="AR49" i="42" s="1"/>
  <c r="BD48" i="42"/>
  <c r="BH48" i="42" s="1"/>
  <c r="BD47" i="42"/>
  <c r="BH47" i="42" s="1"/>
  <c r="BR46" i="42"/>
  <c r="BV46" i="42" s="1"/>
  <c r="BC114" i="42"/>
  <c r="BG114" i="42" s="1"/>
  <c r="BS111" i="42"/>
  <c r="BW111" i="42" s="1"/>
  <c r="AN111" i="42"/>
  <c r="AR111" i="42" s="1"/>
  <c r="BS108" i="42"/>
  <c r="BW108" i="42" s="1"/>
  <c r="BC107" i="42"/>
  <c r="BG107" i="42" s="1"/>
  <c r="AN102" i="42"/>
  <c r="AR102" i="42" s="1"/>
  <c r="AO101" i="42"/>
  <c r="AS101" i="42" s="1"/>
  <c r="BC100" i="42"/>
  <c r="BG100" i="42" s="1"/>
  <c r="BC97" i="42"/>
  <c r="BG97" i="42" s="1"/>
  <c r="BR96" i="42"/>
  <c r="BV96" i="42" s="1"/>
  <c r="BS95" i="42"/>
  <c r="BW95" i="42" s="1"/>
  <c r="AO94" i="42"/>
  <c r="AS94" i="42" s="1"/>
  <c r="BD93" i="42"/>
  <c r="BH93" i="42" s="1"/>
  <c r="BD92" i="42"/>
  <c r="BH92" i="42" s="1"/>
  <c r="BS90" i="42"/>
  <c r="BW90" i="42" s="1"/>
  <c r="BR87" i="42"/>
  <c r="BV87" i="42" s="1"/>
  <c r="BS86" i="42"/>
  <c r="BW86" i="42" s="1"/>
  <c r="BC85" i="42"/>
  <c r="BG85" i="42" s="1"/>
  <c r="BR84" i="42"/>
  <c r="BV84" i="42" s="1"/>
  <c r="BR83" i="42"/>
  <c r="BV83" i="42" s="1"/>
  <c r="AO82" i="42"/>
  <c r="AS82" i="42" s="1"/>
  <c r="BC81" i="42"/>
  <c r="BG81" i="42" s="1"/>
  <c r="BR79" i="42"/>
  <c r="BV79" i="42" s="1"/>
  <c r="BD77" i="42"/>
  <c r="BH77" i="42" s="1"/>
  <c r="BD76" i="42"/>
  <c r="BH76" i="42" s="1"/>
  <c r="BR75" i="42"/>
  <c r="BV75" i="42" s="1"/>
  <c r="AN74" i="42"/>
  <c r="AR74" i="42" s="1"/>
  <c r="BC73" i="42"/>
  <c r="BG73" i="42" s="1"/>
  <c r="BC72" i="42"/>
  <c r="BG72" i="42" s="1"/>
  <c r="BD71" i="42"/>
  <c r="BH71" i="42" s="1"/>
  <c r="AN70" i="42"/>
  <c r="AR70" i="42" s="1"/>
  <c r="BD66" i="42"/>
  <c r="BH66" i="42" s="1"/>
  <c r="BR65" i="42"/>
  <c r="BV65" i="42" s="1"/>
  <c r="BS64" i="42"/>
  <c r="BW64" i="42" s="1"/>
  <c r="BC62" i="42"/>
  <c r="BG62" i="42" s="1"/>
  <c r="BS60" i="42"/>
  <c r="BW60" i="42" s="1"/>
  <c r="BC59" i="42"/>
  <c r="BG59" i="42" s="1"/>
  <c r="BR56" i="42"/>
  <c r="BV56" i="42" s="1"/>
  <c r="AO55" i="42"/>
  <c r="AS55" i="42" s="1"/>
  <c r="BC54" i="42"/>
  <c r="BG54" i="42" s="1"/>
  <c r="BD53" i="42"/>
  <c r="BH53" i="42" s="1"/>
  <c r="BD50" i="42"/>
  <c r="BH50" i="42" s="1"/>
  <c r="BS49" i="42"/>
  <c r="BW49" i="42" s="1"/>
  <c r="BC48" i="42"/>
  <c r="BG48" i="42" s="1"/>
  <c r="BC47" i="42"/>
  <c r="BG47" i="42" s="1"/>
  <c r="AN43" i="42"/>
  <c r="AR43" i="42" s="1"/>
  <c r="BR111" i="42"/>
  <c r="BV111" i="42" s="1"/>
  <c r="BR108" i="42"/>
  <c r="BV108" i="42" s="1"/>
  <c r="BD106" i="42"/>
  <c r="BH106" i="42" s="1"/>
  <c r="BD105" i="42"/>
  <c r="BH105" i="42" s="1"/>
  <c r="BS104" i="42"/>
  <c r="BW104" i="42" s="1"/>
  <c r="BD103" i="42"/>
  <c r="BH103" i="42" s="1"/>
  <c r="BS102" i="42"/>
  <c r="BW102" i="42" s="1"/>
  <c r="BS101" i="42"/>
  <c r="BW101" i="42" s="1"/>
  <c r="AN101" i="42"/>
  <c r="AR101" i="42" s="1"/>
  <c r="BD99" i="42"/>
  <c r="BH99" i="42" s="1"/>
  <c r="AO98" i="42"/>
  <c r="AS98" i="42" s="1"/>
  <c r="BR95" i="42"/>
  <c r="BV95" i="42" s="1"/>
  <c r="AN94" i="42"/>
  <c r="AR94" i="42" s="1"/>
  <c r="BC93" i="42"/>
  <c r="BG93" i="42" s="1"/>
  <c r="BC92" i="42"/>
  <c r="BG92" i="42" s="1"/>
  <c r="BD91" i="42"/>
  <c r="BH91" i="42" s="1"/>
  <c r="BR90" i="42"/>
  <c r="BV90" i="42" s="1"/>
  <c r="AO89" i="42"/>
  <c r="AS89" i="42" s="1"/>
  <c r="BD88" i="42"/>
  <c r="BH88" i="42" s="1"/>
  <c r="BR86" i="42"/>
  <c r="BV86" i="42" s="1"/>
  <c r="BS82" i="42"/>
  <c r="BW82" i="42" s="1"/>
  <c r="AN82" i="42"/>
  <c r="AR82" i="42" s="1"/>
  <c r="BD80" i="42"/>
  <c r="BH80" i="42" s="1"/>
  <c r="AO78" i="42"/>
  <c r="AS78" i="42" s="1"/>
  <c r="BC77" i="42"/>
  <c r="BG77" i="42" s="1"/>
  <c r="BC76" i="42"/>
  <c r="BG76" i="42" s="1"/>
  <c r="BS74" i="42"/>
  <c r="BW74" i="42" s="1"/>
  <c r="BC71" i="42"/>
  <c r="BG71" i="42" s="1"/>
  <c r="BS70" i="42"/>
  <c r="BW70" i="42" s="1"/>
  <c r="AO67" i="42"/>
  <c r="AS67" i="42" s="1"/>
  <c r="BC66" i="42"/>
  <c r="BG66" i="42" s="1"/>
  <c r="BR64" i="42"/>
  <c r="BV64" i="42" s="1"/>
  <c r="AO63" i="42"/>
  <c r="AS63" i="42" s="1"/>
  <c r="BD61" i="42"/>
  <c r="BH61" i="42" s="1"/>
  <c r="BR60" i="42"/>
  <c r="BV60" i="42" s="1"/>
  <c r="BD58" i="42"/>
  <c r="BH58" i="42" s="1"/>
  <c r="BD57" i="42"/>
  <c r="BH57" i="42" s="1"/>
  <c r="AN55" i="42"/>
  <c r="AR55" i="42" s="1"/>
  <c r="BC53" i="42"/>
  <c r="BG53" i="42" s="1"/>
  <c r="BD52" i="42"/>
  <c r="BH52" i="42" s="1"/>
  <c r="AO51" i="42"/>
  <c r="AS51" i="42" s="1"/>
  <c r="BC50" i="42"/>
  <c r="BG50" i="42" s="1"/>
  <c r="BR49" i="42"/>
  <c r="BV49" i="42" s="1"/>
  <c r="BD46" i="42"/>
  <c r="BH46" i="42" s="1"/>
  <c r="BS43" i="42"/>
  <c r="BW43" i="42" s="1"/>
  <c r="BD115" i="42"/>
  <c r="BH115" i="42" s="1"/>
  <c r="BD113" i="42"/>
  <c r="BH113" i="42" s="1"/>
  <c r="AO112" i="42"/>
  <c r="AS112" i="42" s="1"/>
  <c r="AO110" i="42"/>
  <c r="AS110" i="42" s="1"/>
  <c r="BD109" i="42"/>
  <c r="BH109" i="42" s="1"/>
  <c r="AO107" i="42"/>
  <c r="AS107" i="42" s="1"/>
  <c r="BC106" i="42"/>
  <c r="BG106" i="42" s="1"/>
  <c r="BC105" i="42"/>
  <c r="BG105" i="42" s="1"/>
  <c r="BR104" i="42"/>
  <c r="BV104" i="42" s="1"/>
  <c r="BC103" i="42"/>
  <c r="BG103" i="42" s="1"/>
  <c r="BR102" i="42"/>
  <c r="BV102" i="42" s="1"/>
  <c r="BR18" i="42"/>
  <c r="BV18" i="42" s="1"/>
  <c r="BC21" i="42"/>
  <c r="BG21" i="42" s="1"/>
  <c r="AN22" i="42"/>
  <c r="AR22" i="42" s="1"/>
  <c r="BS23" i="42"/>
  <c r="BW23" i="42" s="1"/>
  <c r="BR24" i="42"/>
  <c r="BV24" i="42" s="1"/>
  <c r="BD25" i="42"/>
  <c r="BH25" i="42" s="1"/>
  <c r="BC28" i="42"/>
  <c r="BG28" i="42" s="1"/>
  <c r="BS29" i="42"/>
  <c r="BW29" i="42" s="1"/>
  <c r="BR30" i="42"/>
  <c r="BV30" i="42" s="1"/>
  <c r="BC32" i="42"/>
  <c r="BG32" i="42" s="1"/>
  <c r="BR33" i="42"/>
  <c r="BV33" i="42" s="1"/>
  <c r="BC35" i="42"/>
  <c r="BG35" i="42" s="1"/>
  <c r="AN36" i="42"/>
  <c r="AR36" i="42" s="1"/>
  <c r="AO38" i="42"/>
  <c r="AS38" i="42" s="1"/>
  <c r="BR39" i="42"/>
  <c r="BV39" i="42" s="1"/>
  <c r="BD40" i="42"/>
  <c r="BH40" i="42" s="1"/>
  <c r="BR42" i="42"/>
  <c r="BV42" i="42" s="1"/>
  <c r="BR44" i="42"/>
  <c r="BV44" i="42" s="1"/>
  <c r="BR45" i="42"/>
  <c r="BV45" i="42" s="1"/>
  <c r="AN48" i="42"/>
  <c r="AR48" i="42" s="1"/>
  <c r="BR51" i="42"/>
  <c r="BV51" i="42" s="1"/>
  <c r="BD56" i="42"/>
  <c r="BH56" i="42" s="1"/>
  <c r="AO58" i="42"/>
  <c r="AS58" i="42" s="1"/>
  <c r="BD60" i="42"/>
  <c r="BH60" i="42" s="1"/>
  <c r="BC64" i="42"/>
  <c r="BG64" i="42" s="1"/>
  <c r="AN66" i="42"/>
  <c r="AR66" i="42" s="1"/>
  <c r="BD67" i="42"/>
  <c r="BH67" i="42" s="1"/>
  <c r="BC68" i="42"/>
  <c r="BG68" i="42" s="1"/>
  <c r="BR69" i="42"/>
  <c r="BV69" i="42" s="1"/>
  <c r="BR70" i="42"/>
  <c r="BV70" i="42" s="1"/>
  <c r="AO72" i="42"/>
  <c r="AS72" i="42" s="1"/>
  <c r="BD74" i="42"/>
  <c r="BH74" i="42" s="1"/>
  <c r="BD75" i="42"/>
  <c r="BH75" i="42" s="1"/>
  <c r="AN77" i="42"/>
  <c r="AR77" i="42" s="1"/>
  <c r="BD79" i="42"/>
  <c r="BH79" i="42" s="1"/>
  <c r="AN81" i="42"/>
  <c r="AR81" i="42" s="1"/>
  <c r="BD82" i="42"/>
  <c r="BH82" i="42" s="1"/>
  <c r="BC86" i="42"/>
  <c r="BG86" i="42" s="1"/>
  <c r="AN88" i="42"/>
  <c r="AR88" i="42" s="1"/>
  <c r="BD90" i="42"/>
  <c r="BH90" i="42" s="1"/>
  <c r="AN92" i="42"/>
  <c r="AR92" i="42" s="1"/>
  <c r="BR94" i="42"/>
  <c r="BV94" i="42" s="1"/>
  <c r="AO96" i="42"/>
  <c r="AS96" i="42" s="1"/>
  <c r="BC102" i="42"/>
  <c r="BG102" i="42" s="1"/>
  <c r="AO105" i="42"/>
  <c r="AS105" i="42" s="1"/>
  <c r="BR112" i="42"/>
  <c r="BV112" i="42" s="1"/>
  <c r="K47" i="42" a="1"/>
  <c r="K47" i="42" s="1"/>
  <c r="O47" i="42" s="1"/>
  <c r="X47" i="42" s="1"/>
  <c r="L47" i="42" a="1"/>
  <c r="L47" i="42" s="1"/>
  <c r="BD14" i="42"/>
  <c r="BS14" i="42"/>
  <c r="BW14" i="42" s="1"/>
  <c r="BS18" i="42"/>
  <c r="BW18" i="42" s="1"/>
  <c r="BR20" i="42"/>
  <c r="BV20" i="42" s="1"/>
  <c r="BD21" i="42"/>
  <c r="BH21" i="42" s="1"/>
  <c r="AO22" i="42"/>
  <c r="AS22" i="42" s="1"/>
  <c r="AN23" i="42"/>
  <c r="AR23" i="42" s="1"/>
  <c r="BS24" i="42"/>
  <c r="BW24" i="42" s="1"/>
  <c r="BC26" i="42"/>
  <c r="BG26" i="42" s="1"/>
  <c r="AN27" i="42"/>
  <c r="AR27" i="42" s="1"/>
  <c r="BR27" i="42"/>
  <c r="BV27" i="42" s="1"/>
  <c r="K28" i="42" a="1"/>
  <c r="K28" i="42" s="1"/>
  <c r="O28" i="42" s="1"/>
  <c r="X28" i="42" s="1"/>
  <c r="BD28" i="42"/>
  <c r="BH28" i="42" s="1"/>
  <c r="AN29" i="42"/>
  <c r="AR29" i="42" s="1"/>
  <c r="BS30" i="42"/>
  <c r="BW30" i="42" s="1"/>
  <c r="BR31" i="42"/>
  <c r="BV31" i="42" s="1"/>
  <c r="BD32" i="42"/>
  <c r="BH32" i="42" s="1"/>
  <c r="AN33" i="42"/>
  <c r="AR33" i="42" s="1"/>
  <c r="BS33" i="42"/>
  <c r="BW33" i="42" s="1"/>
  <c r="BR34" i="42"/>
  <c r="BV34" i="42" s="1"/>
  <c r="BD35" i="42"/>
  <c r="BH35" i="42" s="1"/>
  <c r="AO36" i="42"/>
  <c r="AS36" i="42" s="1"/>
  <c r="BR37" i="42"/>
  <c r="BV37" i="42" s="1"/>
  <c r="AN39" i="42"/>
  <c r="AR39" i="42" s="1"/>
  <c r="BS39" i="42"/>
  <c r="BW39" i="42" s="1"/>
  <c r="BC41" i="42"/>
  <c r="BG41" i="42" s="1"/>
  <c r="BS42" i="42"/>
  <c r="BW42" i="42" s="1"/>
  <c r="BR43" i="42"/>
  <c r="BV43" i="42" s="1"/>
  <c r="BS45" i="42"/>
  <c r="BW45" i="42" s="1"/>
  <c r="AN47" i="42"/>
  <c r="AR47" i="42" s="1"/>
  <c r="AO48" i="42"/>
  <c r="AS48" i="42" s="1"/>
  <c r="BS50" i="42"/>
  <c r="BW50" i="42" s="1"/>
  <c r="BS51" i="42"/>
  <c r="BW51" i="42" s="1"/>
  <c r="AN53" i="42"/>
  <c r="AR53" i="42" s="1"/>
  <c r="BR55" i="42"/>
  <c r="BV55" i="42" s="1"/>
  <c r="BR59" i="42"/>
  <c r="BV59" i="42" s="1"/>
  <c r="AN62" i="42"/>
  <c r="AR62" i="42" s="1"/>
  <c r="BD64" i="42"/>
  <c r="BH64" i="42" s="1"/>
  <c r="AO66" i="42"/>
  <c r="AS66" i="42" s="1"/>
  <c r="BD68" i="42"/>
  <c r="BH68" i="42" s="1"/>
  <c r="BS69" i="42"/>
  <c r="BW69" i="42" s="1"/>
  <c r="AN71" i="42"/>
  <c r="AR71" i="42" s="1"/>
  <c r="BR73" i="42"/>
  <c r="BV73" i="42" s="1"/>
  <c r="AO77" i="42"/>
  <c r="AS77" i="42" s="1"/>
  <c r="BR78" i="42"/>
  <c r="BV78" i="42" s="1"/>
  <c r="L81" i="42" a="1"/>
  <c r="L81" i="42" s="1"/>
  <c r="K81" i="42" a="1"/>
  <c r="K81" i="42" s="1"/>
  <c r="O81" i="42" s="1"/>
  <c r="X81" i="42" s="1"/>
  <c r="AO81" i="42"/>
  <c r="AS81" i="42" s="1"/>
  <c r="AO84" i="42"/>
  <c r="AS84" i="42" s="1"/>
  <c r="BD86" i="42"/>
  <c r="BH86" i="42" s="1"/>
  <c r="AO88" i="42"/>
  <c r="AS88" i="42" s="1"/>
  <c r="BR89" i="42"/>
  <c r="BV89" i="42" s="1"/>
  <c r="AO92" i="42"/>
  <c r="AS92" i="42" s="1"/>
  <c r="BS93" i="42"/>
  <c r="BW93" i="42" s="1"/>
  <c r="BS94" i="42"/>
  <c r="BW94" i="42" s="1"/>
  <c r="BR98" i="42"/>
  <c r="BV98" i="42" s="1"/>
  <c r="BD102" i="42"/>
  <c r="BH102" i="42" s="1"/>
  <c r="AN104" i="42"/>
  <c r="AR104" i="42" s="1"/>
  <c r="AN107" i="42"/>
  <c r="AR107" i="42" s="1"/>
  <c r="BS112" i="42"/>
  <c r="BW112" i="42" s="1"/>
  <c r="BS115" i="41"/>
  <c r="BW115" i="41" s="1"/>
  <c r="BR111" i="41"/>
  <c r="BV111" i="41" s="1"/>
  <c r="AO110" i="41"/>
  <c r="AS110" i="41" s="1"/>
  <c r="BC108" i="41"/>
  <c r="BG108" i="41" s="1"/>
  <c r="BS106" i="41"/>
  <c r="BW106" i="41" s="1"/>
  <c r="AO105" i="41"/>
  <c r="AS105" i="41" s="1"/>
  <c r="BD104" i="41"/>
  <c r="BH104" i="41" s="1"/>
  <c r="AO102" i="41"/>
  <c r="AS102" i="41" s="1"/>
  <c r="BC101" i="41"/>
  <c r="BG101" i="41" s="1"/>
  <c r="BD100" i="41"/>
  <c r="BH100" i="41" s="1"/>
  <c r="BR99" i="41"/>
  <c r="BV99" i="41" s="1"/>
  <c r="AO98" i="41"/>
  <c r="AS98" i="41" s="1"/>
  <c r="AO97" i="41"/>
  <c r="AS97" i="41" s="1"/>
  <c r="AO94" i="41"/>
  <c r="AS94" i="41" s="1"/>
  <c r="AO93" i="41"/>
  <c r="AS93" i="41" s="1"/>
  <c r="BD92" i="41"/>
  <c r="BH92" i="41" s="1"/>
  <c r="BD91" i="41"/>
  <c r="BH91" i="41" s="1"/>
  <c r="AO89" i="41"/>
  <c r="AS89" i="41" s="1"/>
  <c r="BR86" i="41"/>
  <c r="BV86" i="41" s="1"/>
  <c r="AN85" i="41"/>
  <c r="AR85" i="41" s="1"/>
  <c r="BD82" i="41"/>
  <c r="BH82" i="41" s="1"/>
  <c r="BR80" i="41"/>
  <c r="BV80" i="41" s="1"/>
  <c r="AN79" i="41"/>
  <c r="AR79" i="41" s="1"/>
  <c r="BD78" i="41"/>
  <c r="BH78" i="41" s="1"/>
  <c r="BD77" i="41"/>
  <c r="BH77" i="41" s="1"/>
  <c r="AO75" i="41"/>
  <c r="AS75" i="41" s="1"/>
  <c r="BC74" i="41"/>
  <c r="BG74" i="41" s="1"/>
  <c r="BS72" i="41"/>
  <c r="BW72" i="41" s="1"/>
  <c r="AN72" i="41"/>
  <c r="AR72" i="41" s="1"/>
  <c r="BR69" i="41"/>
  <c r="BV69" i="41" s="1"/>
  <c r="AN68" i="41"/>
  <c r="AR68" i="41" s="1"/>
  <c r="AO67" i="41"/>
  <c r="AS67" i="41" s="1"/>
  <c r="BR63" i="41"/>
  <c r="BV63" i="41" s="1"/>
  <c r="BR62" i="41"/>
  <c r="BV62" i="41" s="1"/>
  <c r="BR61" i="41"/>
  <c r="BV61" i="41" s="1"/>
  <c r="AN60" i="41"/>
  <c r="AR60" i="41" s="1"/>
  <c r="BC58" i="41"/>
  <c r="BG58" i="41" s="1"/>
  <c r="BS56" i="41"/>
  <c r="BW56" i="41" s="1"/>
  <c r="AN56" i="41"/>
  <c r="AR56" i="41" s="1"/>
  <c r="BR51" i="41"/>
  <c r="BV51" i="41" s="1"/>
  <c r="BR115" i="41"/>
  <c r="BV115" i="41" s="1"/>
  <c r="BD113" i="41"/>
  <c r="BH113" i="41" s="1"/>
  <c r="BD112" i="41"/>
  <c r="BH112" i="41" s="1"/>
  <c r="BS110" i="41"/>
  <c r="BW110" i="41" s="1"/>
  <c r="AN110" i="41"/>
  <c r="AR110" i="41" s="1"/>
  <c r="AO109" i="41"/>
  <c r="AS109" i="41" s="1"/>
  <c r="BD107" i="41"/>
  <c r="BH107" i="41" s="1"/>
  <c r="BR106" i="41"/>
  <c r="BV106" i="41" s="1"/>
  <c r="AN105" i="41"/>
  <c r="AR105" i="41" s="1"/>
  <c r="BC104" i="41"/>
  <c r="BG104" i="41" s="1"/>
  <c r="BD103" i="41"/>
  <c r="BH103" i="41" s="1"/>
  <c r="BS102" i="41"/>
  <c r="BW102" i="41" s="1"/>
  <c r="AN102" i="41"/>
  <c r="AR102" i="41" s="1"/>
  <c r="BC100" i="41"/>
  <c r="BG100" i="41" s="1"/>
  <c r="BS98" i="41"/>
  <c r="BW98" i="41" s="1"/>
  <c r="AN98" i="41"/>
  <c r="AR98" i="41" s="1"/>
  <c r="AN97" i="41"/>
  <c r="AR97" i="41" s="1"/>
  <c r="BD95" i="41"/>
  <c r="BH95" i="41" s="1"/>
  <c r="BS94" i="41"/>
  <c r="BW94" i="41" s="1"/>
  <c r="AN94" i="41"/>
  <c r="AR94" i="41" s="1"/>
  <c r="AN93" i="41"/>
  <c r="AR93" i="41" s="1"/>
  <c r="BC92" i="41"/>
  <c r="BG92" i="41" s="1"/>
  <c r="BC91" i="41"/>
  <c r="BG91" i="41" s="1"/>
  <c r="BS89" i="41"/>
  <c r="BW89" i="41" s="1"/>
  <c r="AN89" i="41"/>
  <c r="AR89" i="41" s="1"/>
  <c r="BD87" i="41"/>
  <c r="BH87" i="41" s="1"/>
  <c r="BS85" i="41"/>
  <c r="BW85" i="41" s="1"/>
  <c r="AO84" i="41"/>
  <c r="AS84" i="41" s="1"/>
  <c r="AO83" i="41"/>
  <c r="AS83" i="41" s="1"/>
  <c r="BC82" i="41"/>
  <c r="BG82" i="41" s="1"/>
  <c r="BD81" i="41"/>
  <c r="BH81" i="41" s="1"/>
  <c r="BS79" i="41"/>
  <c r="BW79" i="41" s="1"/>
  <c r="BC78" i="41"/>
  <c r="BG78" i="41" s="1"/>
  <c r="BC77" i="41"/>
  <c r="BG77" i="41" s="1"/>
  <c r="AN75" i="41"/>
  <c r="AR75" i="41" s="1"/>
  <c r="BD73" i="41"/>
  <c r="BH73" i="41" s="1"/>
  <c r="BR72" i="41"/>
  <c r="BV72" i="41" s="1"/>
  <c r="BS114" i="41"/>
  <c r="BW114" i="41" s="1"/>
  <c r="AO114" i="41"/>
  <c r="AS114" i="41" s="1"/>
  <c r="BC113" i="41"/>
  <c r="BG113" i="41" s="1"/>
  <c r="BC112" i="41"/>
  <c r="BG112" i="41" s="1"/>
  <c r="BD111" i="41"/>
  <c r="BH111" i="41" s="1"/>
  <c r="BR110" i="41"/>
  <c r="BV110" i="41" s="1"/>
  <c r="AN109" i="41"/>
  <c r="AR109" i="41" s="1"/>
  <c r="AO108" i="41"/>
  <c r="AS108" i="41" s="1"/>
  <c r="BC107" i="41"/>
  <c r="BG107" i="41" s="1"/>
  <c r="BS105" i="41"/>
  <c r="BW105" i="41" s="1"/>
  <c r="BC103" i="41"/>
  <c r="BG103" i="41" s="1"/>
  <c r="BR102" i="41"/>
  <c r="BV102" i="41" s="1"/>
  <c r="BS101" i="41"/>
  <c r="BW101" i="41" s="1"/>
  <c r="AO101" i="41"/>
  <c r="AS101" i="41" s="1"/>
  <c r="BD99" i="41"/>
  <c r="BH99" i="41" s="1"/>
  <c r="BR98" i="41"/>
  <c r="BV98" i="41" s="1"/>
  <c r="BS97" i="41"/>
  <c r="BW97" i="41" s="1"/>
  <c r="BS96" i="41"/>
  <c r="BW96" i="41" s="1"/>
  <c r="AO96" i="41"/>
  <c r="AS96" i="41" s="1"/>
  <c r="BC95" i="41"/>
  <c r="BG95" i="41" s="1"/>
  <c r="BR94" i="41"/>
  <c r="BV94" i="41" s="1"/>
  <c r="BS93" i="41"/>
  <c r="BW93" i="41" s="1"/>
  <c r="BD90" i="41"/>
  <c r="BH90" i="41" s="1"/>
  <c r="BR89" i="41"/>
  <c r="BV89" i="41" s="1"/>
  <c r="AO88" i="41"/>
  <c r="AS88" i="41" s="1"/>
  <c r="BC87" i="41"/>
  <c r="BG87" i="41" s="1"/>
  <c r="BD86" i="41"/>
  <c r="BH86" i="41" s="1"/>
  <c r="BR85" i="41"/>
  <c r="BV85" i="41" s="1"/>
  <c r="BS84" i="41"/>
  <c r="BW84" i="41" s="1"/>
  <c r="AN84" i="41"/>
  <c r="AR84" i="41" s="1"/>
  <c r="AN83" i="41"/>
  <c r="AR83" i="41" s="1"/>
  <c r="BC81" i="41"/>
  <c r="BG81" i="41" s="1"/>
  <c r="BD80" i="41"/>
  <c r="BH80" i="41" s="1"/>
  <c r="BR79" i="41"/>
  <c r="BV79" i="41" s="1"/>
  <c r="BS75" i="41"/>
  <c r="BW75" i="41" s="1"/>
  <c r="AO74" i="41"/>
  <c r="AS74" i="41" s="1"/>
  <c r="BC73" i="41"/>
  <c r="BG73" i="41" s="1"/>
  <c r="AO71" i="41"/>
  <c r="AS71" i="41" s="1"/>
  <c r="BC70" i="41"/>
  <c r="BG70" i="41" s="1"/>
  <c r="BR68" i="41"/>
  <c r="BV68" i="41" s="1"/>
  <c r="BS67" i="41"/>
  <c r="BW67" i="41" s="1"/>
  <c r="BS66" i="41"/>
  <c r="BW66" i="41" s="1"/>
  <c r="AN66" i="41"/>
  <c r="AR66" i="41" s="1"/>
  <c r="AN65" i="41"/>
  <c r="AR65" i="41" s="1"/>
  <c r="BC64" i="41"/>
  <c r="BG64" i="41" s="1"/>
  <c r="BD63" i="41"/>
  <c r="BH63" i="41" s="1"/>
  <c r="BD62" i="41"/>
  <c r="BH62" i="41" s="1"/>
  <c r="BD61" i="41"/>
  <c r="BH61" i="41" s="1"/>
  <c r="BR60" i="41"/>
  <c r="BV60" i="41" s="1"/>
  <c r="BS59" i="41"/>
  <c r="BW59" i="41" s="1"/>
  <c r="AO59" i="41"/>
  <c r="AS59" i="41" s="1"/>
  <c r="AO58" i="41"/>
  <c r="AS58" i="41" s="1"/>
  <c r="BC57" i="41"/>
  <c r="BG57" i="41" s="1"/>
  <c r="BS55" i="41"/>
  <c r="BW55" i="41" s="1"/>
  <c r="AN55" i="41"/>
  <c r="AR55" i="41" s="1"/>
  <c r="AN54" i="41"/>
  <c r="AR54" i="41" s="1"/>
  <c r="BC53" i="41"/>
  <c r="BG53" i="41" s="1"/>
  <c r="BC52" i="41"/>
  <c r="BG52" i="41" s="1"/>
  <c r="BD51" i="41"/>
  <c r="BH51" i="41" s="1"/>
  <c r="BR50" i="41"/>
  <c r="BV50" i="41" s="1"/>
  <c r="AN50" i="41"/>
  <c r="AR50" i="41" s="1"/>
  <c r="AO49" i="41"/>
  <c r="AS49" i="41" s="1"/>
  <c r="BD46" i="41"/>
  <c r="BH46" i="41" s="1"/>
  <c r="AN45" i="41"/>
  <c r="AR45" i="41" s="1"/>
  <c r="AN44" i="41"/>
  <c r="AR44" i="41" s="1"/>
  <c r="BC43" i="41"/>
  <c r="BG43" i="41" s="1"/>
  <c r="BD115" i="41"/>
  <c r="BH115" i="41" s="1"/>
  <c r="BR114" i="41"/>
  <c r="BV114" i="41" s="1"/>
  <c r="AN114" i="41"/>
  <c r="AR114" i="41" s="1"/>
  <c r="BC111" i="41"/>
  <c r="BG111" i="41" s="1"/>
  <c r="BS109" i="41"/>
  <c r="BW109" i="41" s="1"/>
  <c r="BS108" i="41"/>
  <c r="BW108" i="41" s="1"/>
  <c r="AN108" i="41"/>
  <c r="AR108" i="41" s="1"/>
  <c r="BD106" i="41"/>
  <c r="BH106" i="41" s="1"/>
  <c r="BR105" i="41"/>
  <c r="BV105" i="41" s="1"/>
  <c r="BS104" i="41"/>
  <c r="BW104" i="41" s="1"/>
  <c r="AO104" i="41"/>
  <c r="AS104" i="41" s="1"/>
  <c r="BR101" i="41"/>
  <c r="BV101" i="41" s="1"/>
  <c r="AN101" i="41"/>
  <c r="AR101" i="41" s="1"/>
  <c r="AO100" i="41"/>
  <c r="AS100" i="41" s="1"/>
  <c r="BC99" i="41"/>
  <c r="BG99" i="41" s="1"/>
  <c r="BR97" i="41"/>
  <c r="BV97" i="41" s="1"/>
  <c r="BR96" i="41"/>
  <c r="BV96" i="41" s="1"/>
  <c r="AN96" i="41"/>
  <c r="AR96" i="41" s="1"/>
  <c r="BC115" i="41"/>
  <c r="BG115" i="41" s="1"/>
  <c r="AO113" i="41"/>
  <c r="AS113" i="41" s="1"/>
  <c r="BR109" i="41"/>
  <c r="BV109" i="41" s="1"/>
  <c r="BR108" i="41"/>
  <c r="BV108" i="41" s="1"/>
  <c r="AO107" i="41"/>
  <c r="AS107" i="41" s="1"/>
  <c r="BC106" i="41"/>
  <c r="BG106" i="41" s="1"/>
  <c r="BR104" i="41"/>
  <c r="BV104" i="41" s="1"/>
  <c r="AN104" i="41"/>
  <c r="AR104" i="41" s="1"/>
  <c r="BD102" i="41"/>
  <c r="BH102" i="41" s="1"/>
  <c r="AN100" i="41"/>
  <c r="AR100" i="41" s="1"/>
  <c r="BD94" i="41"/>
  <c r="BH94" i="41" s="1"/>
  <c r="BR92" i="41"/>
  <c r="BV92" i="41" s="1"/>
  <c r="AN92" i="41"/>
  <c r="AR92" i="41" s="1"/>
  <c r="AN91" i="41"/>
  <c r="AR91" i="41" s="1"/>
  <c r="BR88" i="41"/>
  <c r="BV88" i="41" s="1"/>
  <c r="AO87" i="41"/>
  <c r="AS87" i="41" s="1"/>
  <c r="BD85" i="41"/>
  <c r="BH85" i="41" s="1"/>
  <c r="BR83" i="41"/>
  <c r="BV83" i="41" s="1"/>
  <c r="AN82" i="41"/>
  <c r="AR82" i="41" s="1"/>
  <c r="BD79" i="41"/>
  <c r="BH79" i="41" s="1"/>
  <c r="BR78" i="41"/>
  <c r="BV78" i="41" s="1"/>
  <c r="AN78" i="41"/>
  <c r="AR78" i="41" s="1"/>
  <c r="AN77" i="41"/>
  <c r="AR77" i="41" s="1"/>
  <c r="BC76" i="41"/>
  <c r="BG76" i="41" s="1"/>
  <c r="BS74" i="41"/>
  <c r="BW74" i="41" s="1"/>
  <c r="BS73" i="41"/>
  <c r="BW73" i="41" s="1"/>
  <c r="BC72" i="41"/>
  <c r="BG72" i="41" s="1"/>
  <c r="BR71" i="41"/>
  <c r="BV71" i="41" s="1"/>
  <c r="BC69" i="41"/>
  <c r="BG69" i="41" s="1"/>
  <c r="BD68" i="41"/>
  <c r="BH68" i="41" s="1"/>
  <c r="BR65" i="41"/>
  <c r="BV65" i="41" s="1"/>
  <c r="AO64" i="41"/>
  <c r="AS64" i="41" s="1"/>
  <c r="BD60" i="41"/>
  <c r="BH60" i="41" s="1"/>
  <c r="BS58" i="41"/>
  <c r="BW58" i="41" s="1"/>
  <c r="AO57" i="41"/>
  <c r="AS57" i="41" s="1"/>
  <c r="BD56" i="41"/>
  <c r="BH56" i="41" s="1"/>
  <c r="BR54" i="41"/>
  <c r="BV54" i="41" s="1"/>
  <c r="AO53" i="41"/>
  <c r="AS53" i="41" s="1"/>
  <c r="BS49" i="41"/>
  <c r="BW49" i="41" s="1"/>
  <c r="BS48" i="41"/>
  <c r="BW48" i="41" s="1"/>
  <c r="AN48" i="41"/>
  <c r="AR48" i="41" s="1"/>
  <c r="AN47" i="41"/>
  <c r="AR47" i="41" s="1"/>
  <c r="BR44" i="41"/>
  <c r="BV44" i="41" s="1"/>
  <c r="AO43" i="41"/>
  <c r="AS43" i="41" s="1"/>
  <c r="BD42" i="41"/>
  <c r="BH42" i="41" s="1"/>
  <c r="BS39" i="41"/>
  <c r="BW39" i="41" s="1"/>
  <c r="AN39" i="41"/>
  <c r="AR39" i="41" s="1"/>
  <c r="BD114" i="41"/>
  <c r="BH114" i="41" s="1"/>
  <c r="AN113" i="41"/>
  <c r="AR113" i="41" s="1"/>
  <c r="AO112" i="41"/>
  <c r="AS112" i="41" s="1"/>
  <c r="AO111" i="41"/>
  <c r="AS111" i="41" s="1"/>
  <c r="BD110" i="41"/>
  <c r="BH110" i="41" s="1"/>
  <c r="BS107" i="41"/>
  <c r="BW107" i="41" s="1"/>
  <c r="AN107" i="41"/>
  <c r="AR107" i="41" s="1"/>
  <c r="BD105" i="41"/>
  <c r="BH105" i="41" s="1"/>
  <c r="AO103" i="41"/>
  <c r="AS103" i="41" s="1"/>
  <c r="BC102" i="41"/>
  <c r="BG102" i="41" s="1"/>
  <c r="BS100" i="41"/>
  <c r="BW100" i="41" s="1"/>
  <c r="AO99" i="41"/>
  <c r="AS99" i="41" s="1"/>
  <c r="BD98" i="41"/>
  <c r="BH98" i="41" s="1"/>
  <c r="BD97" i="41"/>
  <c r="BH97" i="41" s="1"/>
  <c r="BS95" i="41"/>
  <c r="BW95" i="41" s="1"/>
  <c r="AO95" i="41"/>
  <c r="AS95" i="41" s="1"/>
  <c r="BC94" i="41"/>
  <c r="BG94" i="41" s="1"/>
  <c r="BD93" i="41"/>
  <c r="BH93" i="41" s="1"/>
  <c r="BS91" i="41"/>
  <c r="BW91" i="41" s="1"/>
  <c r="AO90" i="41"/>
  <c r="AS90" i="41" s="1"/>
  <c r="BD89" i="41"/>
  <c r="BH89" i="41" s="1"/>
  <c r="BS87" i="41"/>
  <c r="BW87" i="41" s="1"/>
  <c r="AN87" i="41"/>
  <c r="AR87" i="41" s="1"/>
  <c r="AO86" i="41"/>
  <c r="AS86" i="41" s="1"/>
  <c r="BC85" i="41"/>
  <c r="BG85" i="41" s="1"/>
  <c r="BS82" i="41"/>
  <c r="BW82" i="41" s="1"/>
  <c r="BS81" i="41"/>
  <c r="BW81" i="41" s="1"/>
  <c r="AO81" i="41"/>
  <c r="AS81" i="41" s="1"/>
  <c r="AO80" i="41"/>
  <c r="AS80" i="41" s="1"/>
  <c r="BC79" i="41"/>
  <c r="BG79" i="41" s="1"/>
  <c r="BS77" i="41"/>
  <c r="BW77" i="41" s="1"/>
  <c r="BD75" i="41"/>
  <c r="BH75" i="41" s="1"/>
  <c r="BR74" i="41"/>
  <c r="BV74" i="41" s="1"/>
  <c r="BR73" i="41"/>
  <c r="BV73" i="41" s="1"/>
  <c r="AO73" i="41"/>
  <c r="AS73" i="41" s="1"/>
  <c r="AO70" i="41"/>
  <c r="AS70" i="41" s="1"/>
  <c r="BC68" i="41"/>
  <c r="BG68" i="41" s="1"/>
  <c r="BD67" i="41"/>
  <c r="BH67" i="41" s="1"/>
  <c r="BD66" i="41"/>
  <c r="BH66" i="41" s="1"/>
  <c r="BS64" i="41"/>
  <c r="BW64" i="41" s="1"/>
  <c r="AN64" i="41"/>
  <c r="AR64" i="41" s="1"/>
  <c r="AO63" i="41"/>
  <c r="AS63" i="41" s="1"/>
  <c r="AO62" i="41"/>
  <c r="AS62" i="41" s="1"/>
  <c r="AO61" i="41"/>
  <c r="AS61" i="41" s="1"/>
  <c r="BC60" i="41"/>
  <c r="BG60" i="41" s="1"/>
  <c r="BR58" i="41"/>
  <c r="BV58" i="41" s="1"/>
  <c r="AN57" i="41"/>
  <c r="AR57" i="41" s="1"/>
  <c r="BC56" i="41"/>
  <c r="BG56" i="41" s="1"/>
  <c r="BD55" i="41"/>
  <c r="BH55" i="41" s="1"/>
  <c r="BS53" i="41"/>
  <c r="BW53" i="41" s="1"/>
  <c r="AN53" i="41"/>
  <c r="AR53" i="41" s="1"/>
  <c r="AO52" i="41"/>
  <c r="AS52" i="41" s="1"/>
  <c r="AO51" i="41"/>
  <c r="AS51" i="41" s="1"/>
  <c r="BR49" i="41"/>
  <c r="BV49" i="41" s="1"/>
  <c r="BR48" i="41"/>
  <c r="BV48" i="41" s="1"/>
  <c r="BS47" i="41"/>
  <c r="BW47" i="41" s="1"/>
  <c r="AO46" i="41"/>
  <c r="AS46" i="41" s="1"/>
  <c r="BD45" i="41"/>
  <c r="BH45" i="41" s="1"/>
  <c r="BS43" i="41"/>
  <c r="BW43" i="41" s="1"/>
  <c r="AN43" i="41"/>
  <c r="AR43" i="41" s="1"/>
  <c r="BC42" i="41"/>
  <c r="BG42" i="41" s="1"/>
  <c r="BD41" i="41"/>
  <c r="BH41" i="41" s="1"/>
  <c r="BR39" i="41"/>
  <c r="BV39" i="41" s="1"/>
  <c r="BD37" i="41"/>
  <c r="BH37" i="41" s="1"/>
  <c r="AO115" i="41"/>
  <c r="AS115" i="41" s="1"/>
  <c r="BC114" i="41"/>
  <c r="BG114" i="41" s="1"/>
  <c r="BS113" i="41"/>
  <c r="BW113" i="41" s="1"/>
  <c r="BS112" i="41"/>
  <c r="BW112" i="41" s="1"/>
  <c r="AN112" i="41"/>
  <c r="AR112" i="41" s="1"/>
  <c r="AN111" i="41"/>
  <c r="AR111" i="41" s="1"/>
  <c r="BC110" i="41"/>
  <c r="BG110" i="41" s="1"/>
  <c r="BD109" i="41"/>
  <c r="BH109" i="41" s="1"/>
  <c r="BR107" i="41"/>
  <c r="BV107" i="41" s="1"/>
  <c r="AO106" i="41"/>
  <c r="AS106" i="41" s="1"/>
  <c r="BC105" i="41"/>
  <c r="BG105" i="41" s="1"/>
  <c r="BS103" i="41"/>
  <c r="BW103" i="41" s="1"/>
  <c r="AN103" i="41"/>
  <c r="AR103" i="41" s="1"/>
  <c r="BR100" i="41"/>
  <c r="BV100" i="41" s="1"/>
  <c r="AN99" i="41"/>
  <c r="AR99" i="41" s="1"/>
  <c r="BC98" i="41"/>
  <c r="BG98" i="41" s="1"/>
  <c r="BC97" i="41"/>
  <c r="BG97" i="41" s="1"/>
  <c r="BD96" i="41"/>
  <c r="BH96" i="41" s="1"/>
  <c r="BR95" i="41"/>
  <c r="BV95" i="41" s="1"/>
  <c r="AN95" i="41"/>
  <c r="AR95" i="41" s="1"/>
  <c r="BC93" i="41"/>
  <c r="BG93" i="41" s="1"/>
  <c r="BR91" i="41"/>
  <c r="BV91" i="41" s="1"/>
  <c r="BS90" i="41"/>
  <c r="BW90" i="41" s="1"/>
  <c r="AN90" i="41"/>
  <c r="AR90" i="41" s="1"/>
  <c r="BC89" i="41"/>
  <c r="BG89" i="41" s="1"/>
  <c r="BD88" i="41"/>
  <c r="BH88" i="41" s="1"/>
  <c r="BR87" i="41"/>
  <c r="BV87" i="41" s="1"/>
  <c r="AN86" i="41"/>
  <c r="AR86" i="41" s="1"/>
  <c r="BD84" i="41"/>
  <c r="BH84" i="41" s="1"/>
  <c r="BD83" i="41"/>
  <c r="BH83" i="41" s="1"/>
  <c r="BR82" i="41"/>
  <c r="BV82" i="41" s="1"/>
  <c r="BR81" i="41"/>
  <c r="BV81" i="41" s="1"/>
  <c r="AN81" i="41"/>
  <c r="AR81" i="41" s="1"/>
  <c r="AN80" i="41"/>
  <c r="AR80" i="41" s="1"/>
  <c r="BR77" i="41"/>
  <c r="BV77" i="41" s="1"/>
  <c r="BS76" i="41"/>
  <c r="BW76" i="41" s="1"/>
  <c r="AO76" i="41"/>
  <c r="AS76" i="41" s="1"/>
  <c r="BC75" i="41"/>
  <c r="BG75" i="41" s="1"/>
  <c r="AN73" i="41"/>
  <c r="AR73" i="41" s="1"/>
  <c r="BD71" i="41"/>
  <c r="BH71" i="41" s="1"/>
  <c r="BS70" i="41"/>
  <c r="BW70" i="41" s="1"/>
  <c r="AN70" i="41"/>
  <c r="AR70" i="41" s="1"/>
  <c r="AO69" i="41"/>
  <c r="AS69" i="41" s="1"/>
  <c r="BC67" i="41"/>
  <c r="BG67" i="41" s="1"/>
  <c r="BC66" i="41"/>
  <c r="BG66" i="41" s="1"/>
  <c r="BD65" i="41"/>
  <c r="BH65" i="41" s="1"/>
  <c r="BR64" i="41"/>
  <c r="BV64" i="41" s="1"/>
  <c r="AN63" i="41"/>
  <c r="AR63" i="41" s="1"/>
  <c r="AN62" i="41"/>
  <c r="AR62" i="41" s="1"/>
  <c r="AN61" i="41"/>
  <c r="AR61" i="41" s="1"/>
  <c r="BD59" i="41"/>
  <c r="BH59" i="41" s="1"/>
  <c r="BS57" i="41"/>
  <c r="BW57" i="41" s="1"/>
  <c r="BC55" i="41"/>
  <c r="BG55" i="41" s="1"/>
  <c r="BD54" i="41"/>
  <c r="BH54" i="41" s="1"/>
  <c r="BR53" i="41"/>
  <c r="BV53" i="41" s="1"/>
  <c r="BS52" i="41"/>
  <c r="BW52" i="41" s="1"/>
  <c r="AN52" i="41"/>
  <c r="AR52" i="41" s="1"/>
  <c r="AN51" i="41"/>
  <c r="AR51" i="41" s="1"/>
  <c r="BD50" i="41"/>
  <c r="BH50" i="41" s="1"/>
  <c r="BR47" i="41"/>
  <c r="BV47" i="41" s="1"/>
  <c r="AN46" i="41"/>
  <c r="AR46" i="41" s="1"/>
  <c r="BC45" i="41"/>
  <c r="BG45" i="41" s="1"/>
  <c r="BD44" i="41"/>
  <c r="BH44" i="41" s="1"/>
  <c r="BR43" i="41"/>
  <c r="BV43" i="41" s="1"/>
  <c r="BC41" i="41"/>
  <c r="BG41" i="41" s="1"/>
  <c r="AO38" i="41"/>
  <c r="AS38" i="41" s="1"/>
  <c r="BC37" i="41"/>
  <c r="BG37" i="41" s="1"/>
  <c r="BC36" i="41"/>
  <c r="BG36" i="41" s="1"/>
  <c r="BC14" i="41"/>
  <c r="BR14" i="41"/>
  <c r="BR18" i="41"/>
  <c r="BV18" i="41" s="1"/>
  <c r="BS23" i="41"/>
  <c r="BW23" i="41" s="1"/>
  <c r="BR24" i="41"/>
  <c r="BV24" i="41" s="1"/>
  <c r="BD26" i="41"/>
  <c r="BH26" i="41" s="1"/>
  <c r="AO27" i="41"/>
  <c r="AS27" i="41" s="1"/>
  <c r="AN28" i="41"/>
  <c r="AR28" i="41" s="1"/>
  <c r="AN29" i="41"/>
  <c r="AR29" i="41" s="1"/>
  <c r="BS29" i="41"/>
  <c r="BW29" i="41" s="1"/>
  <c r="K31" i="41" a="1"/>
  <c r="K31" i="41" s="1"/>
  <c r="O31" i="41" s="1"/>
  <c r="X31" i="41" s="1"/>
  <c r="BC31" i="41"/>
  <c r="BG31" i="41" s="1"/>
  <c r="AN33" i="41"/>
  <c r="AR33" i="41" s="1"/>
  <c r="BR34" i="41"/>
  <c r="BV34" i="41" s="1"/>
  <c r="BD35" i="41"/>
  <c r="BH35" i="41" s="1"/>
  <c r="BD36" i="41"/>
  <c r="BH36" i="41" s="1"/>
  <c r="BR37" i="41"/>
  <c r="BV37" i="41" s="1"/>
  <c r="BR38" i="41"/>
  <c r="BV38" i="41" s="1"/>
  <c r="BD39" i="41"/>
  <c r="BH39" i="41" s="1"/>
  <c r="BR40" i="41"/>
  <c r="BV40" i="41" s="1"/>
  <c r="AN42" i="41"/>
  <c r="AR42" i="41" s="1"/>
  <c r="BC44" i="41"/>
  <c r="BG44" i="41" s="1"/>
  <c r="BR45" i="41"/>
  <c r="BV45" i="41" s="1"/>
  <c r="BD49" i="41"/>
  <c r="BH49" i="41" s="1"/>
  <c r="K54" i="41" a="1"/>
  <c r="K54" i="41" s="1"/>
  <c r="BS54" i="41"/>
  <c r="BW54" i="41" s="1"/>
  <c r="BC59" i="41"/>
  <c r="BG59" i="41" s="1"/>
  <c r="L69" i="41" a="1"/>
  <c r="L69" i="41" s="1"/>
  <c r="P69" i="41" s="1"/>
  <c r="Y69" i="41" s="1"/>
  <c r="BS69" i="41"/>
  <c r="BW69" i="41" s="1"/>
  <c r="AO85" i="41"/>
  <c r="AS85" i="41" s="1"/>
  <c r="K86" i="41" a="1"/>
  <c r="K86" i="41" s="1"/>
  <c r="AO91" i="41"/>
  <c r="AS91" i="41" s="1"/>
  <c r="L103" i="41" a="1"/>
  <c r="L103" i="41" s="1"/>
  <c r="K103" i="41" a="1"/>
  <c r="K103" i="41" s="1"/>
  <c r="O103" i="41" s="1"/>
  <c r="X103" i="41" s="1"/>
  <c r="AN106" i="41"/>
  <c r="AR106" i="41" s="1"/>
  <c r="BR113" i="41"/>
  <c r="BV113" i="41" s="1"/>
  <c r="AO14" i="41"/>
  <c r="K18" i="41" a="1"/>
  <c r="K18" i="41" s="1"/>
  <c r="BS18" i="41"/>
  <c r="BW18" i="41" s="1"/>
  <c r="BR20" i="41"/>
  <c r="BV20" i="41" s="1"/>
  <c r="BC22" i="41"/>
  <c r="BG22" i="41" s="1"/>
  <c r="AN23" i="41"/>
  <c r="AR23" i="41" s="1"/>
  <c r="AN24" i="41"/>
  <c r="AR24" i="41" s="1"/>
  <c r="BS24" i="41"/>
  <c r="BW24" i="41" s="1"/>
  <c r="BR25" i="41"/>
  <c r="BV25" i="41" s="1"/>
  <c r="AO28" i="41"/>
  <c r="AS28" i="41" s="1"/>
  <c r="AO29" i="41"/>
  <c r="AS29" i="41" s="1"/>
  <c r="BR30" i="41"/>
  <c r="BV30" i="41" s="1"/>
  <c r="BD31" i="41"/>
  <c r="BH31" i="41" s="1"/>
  <c r="BC32" i="41"/>
  <c r="BG32" i="41" s="1"/>
  <c r="AO33" i="41"/>
  <c r="AS33" i="41" s="1"/>
  <c r="AN34" i="41"/>
  <c r="AR34" i="41" s="1"/>
  <c r="BS34" i="41"/>
  <c r="BW34" i="41" s="1"/>
  <c r="BS37" i="41"/>
  <c r="BW37" i="41" s="1"/>
  <c r="BS38" i="41"/>
  <c r="BW38" i="41" s="1"/>
  <c r="BS40" i="41"/>
  <c r="BW40" i="41" s="1"/>
  <c r="AO42" i="41"/>
  <c r="AS42" i="41" s="1"/>
  <c r="BS45" i="41"/>
  <c r="BW45" i="41" s="1"/>
  <c r="BC48" i="41"/>
  <c r="BG48" i="41" s="1"/>
  <c r="BC51" i="41"/>
  <c r="BG51" i="41" s="1"/>
  <c r="BD53" i="41"/>
  <c r="BH53" i="41" s="1"/>
  <c r="AO55" i="41"/>
  <c r="AS55" i="41" s="1"/>
  <c r="BR56" i="41"/>
  <c r="BV56" i="41" s="1"/>
  <c r="AN58" i="41"/>
  <c r="AR58" i="41" s="1"/>
  <c r="BC61" i="41"/>
  <c r="BG61" i="41" s="1"/>
  <c r="BC63" i="41"/>
  <c r="BG63" i="41" s="1"/>
  <c r="AO65" i="41"/>
  <c r="AS65" i="41" s="1"/>
  <c r="BR66" i="41"/>
  <c r="BV66" i="41" s="1"/>
  <c r="BR76" i="41"/>
  <c r="BV76" i="41" s="1"/>
  <c r="BS78" i="41"/>
  <c r="BW78" i="41" s="1"/>
  <c r="BS80" i="41"/>
  <c r="BW80" i="41" s="1"/>
  <c r="BC83" i="41"/>
  <c r="BG83" i="41" s="1"/>
  <c r="BR103" i="41"/>
  <c r="BV103" i="41" s="1"/>
  <c r="BD108" i="41"/>
  <c r="BH108" i="41" s="1"/>
  <c r="L111" i="41" a="1"/>
  <c r="L111" i="41" s="1"/>
  <c r="P111" i="41" s="1"/>
  <c r="Y111" i="41" s="1"/>
  <c r="K111" i="41" a="1"/>
  <c r="K111" i="41" s="1"/>
  <c r="O111" i="41" s="1"/>
  <c r="X111" i="41" s="1"/>
  <c r="U14" i="41"/>
  <c r="BR17" i="41"/>
  <c r="BV17" i="41" s="1"/>
  <c r="BS20" i="41"/>
  <c r="BW20" i="41" s="1"/>
  <c r="BR21" i="41"/>
  <c r="BV21" i="41" s="1"/>
  <c r="BD22" i="41"/>
  <c r="BH22" i="41" s="1"/>
  <c r="AO23" i="41"/>
  <c r="AS23" i="41" s="1"/>
  <c r="AO24" i="41"/>
  <c r="AS24" i="41" s="1"/>
  <c r="AN25" i="41"/>
  <c r="AR25" i="41" s="1"/>
  <c r="BS25" i="41"/>
  <c r="BW25" i="41" s="1"/>
  <c r="BC27" i="41"/>
  <c r="BG27" i="41" s="1"/>
  <c r="BS30" i="41"/>
  <c r="BW30" i="41" s="1"/>
  <c r="BD32" i="41"/>
  <c r="BH32" i="41" s="1"/>
  <c r="AO34" i="41"/>
  <c r="AS34" i="41" s="1"/>
  <c r="BR36" i="41"/>
  <c r="BV36" i="41" s="1"/>
  <c r="AN40" i="41"/>
  <c r="AR40" i="41" s="1"/>
  <c r="AN41" i="41"/>
  <c r="AR41" i="41" s="1"/>
  <c r="BD43" i="41"/>
  <c r="BH43" i="41" s="1"/>
  <c r="BS44" i="41"/>
  <c r="BW44" i="41" s="1"/>
  <c r="AO47" i="41"/>
  <c r="AS47" i="41" s="1"/>
  <c r="BD48" i="41"/>
  <c r="BH48" i="41" s="1"/>
  <c r="AO50" i="41"/>
  <c r="AS50" i="41" s="1"/>
  <c r="BR59" i="41"/>
  <c r="BV59" i="41" s="1"/>
  <c r="AN67" i="41"/>
  <c r="AR67" i="41" s="1"/>
  <c r="BS68" i="41"/>
  <c r="BW68" i="41" s="1"/>
  <c r="BD70" i="41"/>
  <c r="BH70" i="41" s="1"/>
  <c r="BC71" i="41"/>
  <c r="BG71" i="41" s="1"/>
  <c r="AO77" i="41"/>
  <c r="AS77" i="41" s="1"/>
  <c r="AO79" i="41"/>
  <c r="AS79" i="41" s="1"/>
  <c r="K80" i="41" a="1"/>
  <c r="K80" i="41" s="1"/>
  <c r="BR93" i="41"/>
  <c r="BV93" i="41" s="1"/>
  <c r="L99" i="41" a="1"/>
  <c r="L99" i="41" s="1"/>
  <c r="P99" i="41" s="1"/>
  <c r="Y99" i="41" s="1"/>
  <c r="K99" i="41" a="1"/>
  <c r="K99" i="41" s="1"/>
  <c r="O99" i="41" s="1"/>
  <c r="X99" i="41" s="1"/>
  <c r="BD101" i="41"/>
  <c r="BH101" i="41" s="1"/>
  <c r="BS111" i="41"/>
  <c r="BW111" i="41" s="1"/>
  <c r="L16" i="41" a="1"/>
  <c r="L16" i="41" s="1"/>
  <c r="P16" i="41" s="1"/>
  <c r="BS17" i="41"/>
  <c r="BW17" i="41" s="1"/>
  <c r="BC19" i="41"/>
  <c r="BG19" i="41" s="1"/>
  <c r="AN20" i="41"/>
  <c r="AR20" i="41" s="1"/>
  <c r="AN21" i="41"/>
  <c r="AR21" i="41" s="1"/>
  <c r="BS21" i="41"/>
  <c r="BW21" i="41" s="1"/>
  <c r="K23" i="41" a="1"/>
  <c r="K23" i="41" s="1"/>
  <c r="O23" i="41" s="1"/>
  <c r="X23" i="41" s="1"/>
  <c r="AO25" i="41"/>
  <c r="AS25" i="41" s="1"/>
  <c r="BR26" i="41"/>
  <c r="BV26" i="41" s="1"/>
  <c r="BD27" i="41"/>
  <c r="BH27" i="41" s="1"/>
  <c r="BC28" i="41"/>
  <c r="BG28" i="41" s="1"/>
  <c r="BC29" i="41"/>
  <c r="BG29" i="41" s="1"/>
  <c r="AN30" i="41"/>
  <c r="AR30" i="41" s="1"/>
  <c r="BR31" i="41"/>
  <c r="BV31" i="41" s="1"/>
  <c r="BC33" i="41"/>
  <c r="BG33" i="41" s="1"/>
  <c r="BR35" i="41"/>
  <c r="BV35" i="41" s="1"/>
  <c r="BS36" i="41"/>
  <c r="BW36" i="41" s="1"/>
  <c r="AN38" i="41"/>
  <c r="AR38" i="41" s="1"/>
  <c r="AO40" i="41"/>
  <c r="AS40" i="41" s="1"/>
  <c r="AO41" i="41"/>
  <c r="AS41" i="41" s="1"/>
  <c r="AO45" i="41"/>
  <c r="AS45" i="41" s="1"/>
  <c r="BS51" i="41"/>
  <c r="BW51" i="41" s="1"/>
  <c r="BD58" i="41"/>
  <c r="BH58" i="41" s="1"/>
  <c r="AO60" i="41"/>
  <c r="AS60" i="41" s="1"/>
  <c r="BS61" i="41"/>
  <c r="BW61" i="41" s="1"/>
  <c r="BS63" i="41"/>
  <c r="BW63" i="41" s="1"/>
  <c r="BC65" i="41"/>
  <c r="BG65" i="41" s="1"/>
  <c r="BR75" i="41"/>
  <c r="BV75" i="41" s="1"/>
  <c r="BS83" i="41"/>
  <c r="BW83" i="41" s="1"/>
  <c r="AN88" i="41"/>
  <c r="AR88" i="41" s="1"/>
  <c r="AO92" i="41"/>
  <c r="AS92" i="41" s="1"/>
  <c r="K95" i="41" a="1"/>
  <c r="K95" i="41" s="1"/>
  <c r="BC96" i="41"/>
  <c r="BG96" i="41" s="1"/>
  <c r="BS99" i="41"/>
  <c r="BW99" i="41" s="1"/>
  <c r="BD19" i="41"/>
  <c r="BH19" i="41" s="1"/>
  <c r="AO20" i="41"/>
  <c r="AS20" i="41" s="1"/>
  <c r="AO21" i="41"/>
  <c r="AS21" i="41" s="1"/>
  <c r="BR22" i="41"/>
  <c r="BV22" i="41" s="1"/>
  <c r="BC23" i="41"/>
  <c r="BG23" i="41" s="1"/>
  <c r="BC24" i="41"/>
  <c r="BG24" i="41" s="1"/>
  <c r="AN26" i="41"/>
  <c r="AR26" i="41" s="1"/>
  <c r="BS26" i="41"/>
  <c r="BW26" i="41" s="1"/>
  <c r="BD28" i="41"/>
  <c r="BH28" i="41" s="1"/>
  <c r="BD29" i="41"/>
  <c r="BH29" i="41" s="1"/>
  <c r="AO30" i="41"/>
  <c r="AS30" i="41" s="1"/>
  <c r="BS31" i="41"/>
  <c r="BW31" i="41" s="1"/>
  <c r="BD33" i="41"/>
  <c r="BH33" i="41" s="1"/>
  <c r="BC34" i="41"/>
  <c r="BG34" i="41" s="1"/>
  <c r="AN35" i="41"/>
  <c r="AR35" i="41" s="1"/>
  <c r="BS35" i="41"/>
  <c r="BW35" i="41" s="1"/>
  <c r="AN37" i="41"/>
  <c r="AR37" i="41" s="1"/>
  <c r="AO39" i="41"/>
  <c r="AS39" i="41" s="1"/>
  <c r="BC46" i="41"/>
  <c r="BG46" i="41" s="1"/>
  <c r="BC47" i="41"/>
  <c r="BG47" i="41" s="1"/>
  <c r="BC50" i="41"/>
  <c r="BG50" i="41" s="1"/>
  <c r="AO54" i="41"/>
  <c r="AS54" i="41" s="1"/>
  <c r="BR55" i="41"/>
  <c r="BV55" i="41" s="1"/>
  <c r="AN69" i="41"/>
  <c r="AR69" i="41" s="1"/>
  <c r="BR70" i="41"/>
  <c r="BV70" i="41" s="1"/>
  <c r="BS71" i="41"/>
  <c r="BW71" i="41" s="1"/>
  <c r="AO82" i="41"/>
  <c r="AS82" i="41" s="1"/>
  <c r="BC90" i="41"/>
  <c r="BG90" i="41" s="1"/>
  <c r="BC109" i="41"/>
  <c r="BG109" i="41" s="1"/>
  <c r="AN115" i="41"/>
  <c r="AR115" i="41" s="1"/>
  <c r="AN22" i="41"/>
  <c r="AR22" i="41" s="1"/>
  <c r="BS22" i="41"/>
  <c r="BW22" i="41" s="1"/>
  <c r="BD23" i="41"/>
  <c r="BH23" i="41" s="1"/>
  <c r="BD24" i="41"/>
  <c r="BH24" i="41" s="1"/>
  <c r="AO26" i="41"/>
  <c r="AS26" i="41" s="1"/>
  <c r="AN31" i="41"/>
  <c r="AR31" i="41" s="1"/>
  <c r="AN32" i="41"/>
  <c r="AR32" i="41" s="1"/>
  <c r="BD34" i="41"/>
  <c r="BH34" i="41" s="1"/>
  <c r="AO35" i="41"/>
  <c r="AS35" i="41" s="1"/>
  <c r="AN36" i="41"/>
  <c r="AR36" i="41" s="1"/>
  <c r="AO37" i="41"/>
  <c r="AS37" i="41" s="1"/>
  <c r="BC38" i="41"/>
  <c r="BG38" i="41" s="1"/>
  <c r="BC40" i="41"/>
  <c r="BG40" i="41" s="1"/>
  <c r="BR42" i="41"/>
  <c r="BV42" i="41" s="1"/>
  <c r="BD47" i="41"/>
  <c r="BH47" i="41" s="1"/>
  <c r="AN49" i="41"/>
  <c r="AR49" i="41" s="1"/>
  <c r="BD52" i="41"/>
  <c r="BH52" i="41" s="1"/>
  <c r="AO56" i="41"/>
  <c r="AS56" i="41" s="1"/>
  <c r="BD57" i="41"/>
  <c r="BH57" i="41" s="1"/>
  <c r="AN59" i="41"/>
  <c r="AR59" i="41" s="1"/>
  <c r="BC62" i="41"/>
  <c r="BG62" i="41" s="1"/>
  <c r="K65" i="41" a="1"/>
  <c r="K65" i="41" s="1"/>
  <c r="O65" i="41" s="1"/>
  <c r="X65" i="41" s="1"/>
  <c r="BS65" i="41"/>
  <c r="BW65" i="41" s="1"/>
  <c r="BR67" i="41"/>
  <c r="BV67" i="41" s="1"/>
  <c r="AO72" i="41"/>
  <c r="AS72" i="41" s="1"/>
  <c r="AN74" i="41"/>
  <c r="AR74" i="41" s="1"/>
  <c r="AN76" i="41"/>
  <c r="AR76" i="41" s="1"/>
  <c r="AO78" i="41"/>
  <c r="AS78" i="41" s="1"/>
  <c r="BC84" i="41"/>
  <c r="BG84" i="41" s="1"/>
  <c r="BC86" i="41"/>
  <c r="BG86" i="41" s="1"/>
  <c r="BC88" i="41"/>
  <c r="BG88" i="41" s="1"/>
  <c r="BR112" i="41"/>
  <c r="BV112" i="41" s="1"/>
  <c r="BR19" i="41"/>
  <c r="BV19" i="41" s="1"/>
  <c r="BC20" i="41"/>
  <c r="BG20" i="41" s="1"/>
  <c r="BC21" i="41"/>
  <c r="BG21" i="41" s="1"/>
  <c r="BC25" i="41"/>
  <c r="BG25" i="41" s="1"/>
  <c r="BR27" i="41"/>
  <c r="BV27" i="41" s="1"/>
  <c r="BR28" i="41"/>
  <c r="BV28" i="41" s="1"/>
  <c r="BC30" i="41"/>
  <c r="BG30" i="41" s="1"/>
  <c r="AO31" i="41"/>
  <c r="AS31" i="41" s="1"/>
  <c r="AO32" i="41"/>
  <c r="AS32" i="41" s="1"/>
  <c r="BR32" i="41"/>
  <c r="BV32" i="41" s="1"/>
  <c r="BR33" i="41"/>
  <c r="BV33" i="41" s="1"/>
  <c r="AO36" i="41"/>
  <c r="AS36" i="41" s="1"/>
  <c r="BD38" i="41"/>
  <c r="BH38" i="41" s="1"/>
  <c r="BD40" i="41"/>
  <c r="BH40" i="41" s="1"/>
  <c r="BR41" i="41"/>
  <c r="BV41" i="41" s="1"/>
  <c r="BS42" i="41"/>
  <c r="BW42" i="41" s="1"/>
  <c r="AO44" i="41"/>
  <c r="AS44" i="41" s="1"/>
  <c r="BR46" i="41"/>
  <c r="BV46" i="41" s="1"/>
  <c r="BS50" i="41"/>
  <c r="BW50" i="41" s="1"/>
  <c r="BC54" i="41"/>
  <c r="BG54" i="41" s="1"/>
  <c r="BS60" i="41"/>
  <c r="BW60" i="41" s="1"/>
  <c r="BD64" i="41"/>
  <c r="BH64" i="41" s="1"/>
  <c r="AO66" i="41"/>
  <c r="AS66" i="41" s="1"/>
  <c r="BD69" i="41"/>
  <c r="BH69" i="41" s="1"/>
  <c r="BR90" i="41"/>
  <c r="BV90" i="41" s="1"/>
  <c r="K75" i="41" a="1"/>
  <c r="K75" i="41" s="1"/>
  <c r="L121" i="41" a="1"/>
  <c r="L121" i="41" s="1"/>
  <c r="P121" i="41" s="1"/>
  <c r="K122" i="41" a="1"/>
  <c r="K122" i="41" s="1"/>
  <c r="O122" i="41" s="1"/>
  <c r="K72" i="41" a="1"/>
  <c r="K72" i="41" s="1"/>
  <c r="O72" i="41" s="1"/>
  <c r="X72" i="41" s="1"/>
  <c r="K79" i="41" a="1"/>
  <c r="K79" i="41" s="1"/>
  <c r="O79" i="41" s="1"/>
  <c r="X79" i="41" s="1"/>
  <c r="K89" i="41" a="1"/>
  <c r="K89" i="41" s="1"/>
  <c r="O89" i="41" s="1"/>
  <c r="X89" i="41" s="1"/>
  <c r="K93" i="41" a="1"/>
  <c r="K93" i="41" s="1"/>
  <c r="K110" i="41" a="1"/>
  <c r="K110" i="41" s="1"/>
  <c r="O110" i="41" s="1"/>
  <c r="X110" i="41" s="1"/>
  <c r="K124" i="41" a="1"/>
  <c r="K124" i="41" s="1"/>
  <c r="O124" i="41" s="1"/>
  <c r="BR19" i="40"/>
  <c r="BV19" i="40" s="1"/>
  <c r="BD20" i="40"/>
  <c r="BH20" i="40" s="1"/>
  <c r="AO21" i="40"/>
  <c r="AS21" i="40" s="1"/>
  <c r="AN22" i="40"/>
  <c r="AR22" i="40" s="1"/>
  <c r="BR23" i="40"/>
  <c r="BV23" i="40" s="1"/>
  <c r="BR24" i="40"/>
  <c r="BV24" i="40" s="1"/>
  <c r="BD25" i="40"/>
  <c r="BH25" i="40" s="1"/>
  <c r="AO26" i="40"/>
  <c r="AS26" i="40" s="1"/>
  <c r="AN27" i="40"/>
  <c r="AR27" i="40" s="1"/>
  <c r="AN28" i="40"/>
  <c r="AR28" i="40" s="1"/>
  <c r="BC30" i="40"/>
  <c r="BG30" i="40" s="1"/>
  <c r="BR32" i="40"/>
  <c r="BV32" i="40" s="1"/>
  <c r="K38" i="40" a="1"/>
  <c r="K38" i="40" s="1"/>
  <c r="O38" i="40" s="1"/>
  <c r="X38" i="40" s="1"/>
  <c r="L38" i="40" a="1"/>
  <c r="L38" i="40" s="1"/>
  <c r="AO38" i="40"/>
  <c r="AS38" i="40" s="1"/>
  <c r="AN40" i="40"/>
  <c r="AR40" i="40" s="1"/>
  <c r="BD41" i="40"/>
  <c r="BH41" i="40" s="1"/>
  <c r="AO43" i="40"/>
  <c r="AS43" i="40" s="1"/>
  <c r="AN45" i="40"/>
  <c r="AR45" i="40" s="1"/>
  <c r="BD48" i="40"/>
  <c r="BH48" i="40" s="1"/>
  <c r="BC53" i="40"/>
  <c r="BG53" i="40" s="1"/>
  <c r="BS61" i="40"/>
  <c r="BW61" i="40" s="1"/>
  <c r="AO84" i="40"/>
  <c r="AS84" i="40" s="1"/>
  <c r="BS19" i="40"/>
  <c r="BW19" i="40" s="1"/>
  <c r="AO22" i="40"/>
  <c r="AS22" i="40" s="1"/>
  <c r="AN23" i="40"/>
  <c r="AR23" i="40" s="1"/>
  <c r="BS23" i="40"/>
  <c r="BW23" i="40" s="1"/>
  <c r="BS24" i="40"/>
  <c r="BW24" i="40" s="1"/>
  <c r="AO27" i="40"/>
  <c r="AS27" i="40" s="1"/>
  <c r="AO28" i="40"/>
  <c r="AS28" i="40" s="1"/>
  <c r="BR29" i="40"/>
  <c r="BV29" i="40" s="1"/>
  <c r="L30" i="40" a="1"/>
  <c r="L30" i="40" s="1"/>
  <c r="BD30" i="40"/>
  <c r="BH30" i="40" s="1"/>
  <c r="AN32" i="40"/>
  <c r="AR32" i="40" s="1"/>
  <c r="BS32" i="40"/>
  <c r="BW32" i="40" s="1"/>
  <c r="BC33" i="40"/>
  <c r="BG33" i="40" s="1"/>
  <c r="BD34" i="40"/>
  <c r="BH34" i="40" s="1"/>
  <c r="BR35" i="40"/>
  <c r="BV35" i="40" s="1"/>
  <c r="L40" i="40" a="1"/>
  <c r="L40" i="40" s="1"/>
  <c r="P40" i="40" s="1"/>
  <c r="Y40" i="40" s="1"/>
  <c r="K40" i="40" a="1"/>
  <c r="K40" i="40" s="1"/>
  <c r="BC64" i="40"/>
  <c r="BG64" i="40" s="1"/>
  <c r="AN70" i="40"/>
  <c r="AR70" i="40" s="1"/>
  <c r="BC72" i="40"/>
  <c r="BG72" i="40" s="1"/>
  <c r="AO77" i="40"/>
  <c r="AS77" i="40" s="1"/>
  <c r="BS81" i="40"/>
  <c r="BW81" i="40" s="1"/>
  <c r="BR90" i="40"/>
  <c r="BV90" i="40" s="1"/>
  <c r="AO93" i="40"/>
  <c r="AS93" i="40" s="1"/>
  <c r="AO98" i="40"/>
  <c r="AS98" i="40" s="1"/>
  <c r="BD102" i="40"/>
  <c r="BH102" i="40" s="1"/>
  <c r="AO105" i="40"/>
  <c r="AS105" i="40" s="1"/>
  <c r="BS107" i="40"/>
  <c r="BW107" i="40" s="1"/>
  <c r="L120" i="40" a="1"/>
  <c r="L120" i="40" s="1"/>
  <c r="P120" i="40" s="1"/>
  <c r="K120" i="40" a="1"/>
  <c r="K120" i="40" s="1"/>
  <c r="O120" i="40" s="1"/>
  <c r="BC115" i="40"/>
  <c r="BG115" i="40" s="1"/>
  <c r="BS113" i="40"/>
  <c r="BW113" i="40" s="1"/>
  <c r="AN113" i="40"/>
  <c r="AR113" i="40" s="1"/>
  <c r="BC112" i="40"/>
  <c r="BG112" i="40" s="1"/>
  <c r="BS111" i="40"/>
  <c r="BW111" i="40" s="1"/>
  <c r="AN111" i="40"/>
  <c r="AR111" i="40" s="1"/>
  <c r="BC108" i="40"/>
  <c r="BG108" i="40" s="1"/>
  <c r="BR107" i="40"/>
  <c r="BV107" i="40" s="1"/>
  <c r="AN106" i="40"/>
  <c r="AR106" i="40" s="1"/>
  <c r="AN105" i="40"/>
  <c r="AR105" i="40" s="1"/>
  <c r="BC102" i="40"/>
  <c r="BG102" i="40" s="1"/>
  <c r="BR99" i="40"/>
  <c r="BV99" i="40" s="1"/>
  <c r="BS98" i="40"/>
  <c r="BW98" i="40" s="1"/>
  <c r="AN98" i="40"/>
  <c r="AR98" i="40" s="1"/>
  <c r="BC96" i="40"/>
  <c r="BG96" i="40" s="1"/>
  <c r="BD95" i="40"/>
  <c r="BH95" i="40" s="1"/>
  <c r="BR94" i="40"/>
  <c r="BV94" i="40" s="1"/>
  <c r="AN93" i="40"/>
  <c r="AR93" i="40" s="1"/>
  <c r="AO92" i="40"/>
  <c r="AS92" i="40" s="1"/>
  <c r="BC91" i="40"/>
  <c r="BG91" i="40" s="1"/>
  <c r="AN89" i="40"/>
  <c r="AR89" i="40" s="1"/>
  <c r="BC87" i="40"/>
  <c r="BG87" i="40" s="1"/>
  <c r="BS85" i="40"/>
  <c r="BW85" i="40" s="1"/>
  <c r="AN84" i="40"/>
  <c r="AR84" i="40" s="1"/>
  <c r="AO83" i="40"/>
  <c r="AS83" i="40" s="1"/>
  <c r="BD82" i="40"/>
  <c r="BH82" i="40" s="1"/>
  <c r="BR81" i="40"/>
  <c r="BV81" i="40" s="1"/>
  <c r="BS80" i="40"/>
  <c r="BW80" i="40" s="1"/>
  <c r="BD78" i="40"/>
  <c r="BH78" i="40" s="1"/>
  <c r="BS77" i="40"/>
  <c r="BW77" i="40" s="1"/>
  <c r="AN77" i="40"/>
  <c r="AR77" i="40" s="1"/>
  <c r="AO76" i="40"/>
  <c r="AS76" i="40" s="1"/>
  <c r="BS73" i="40"/>
  <c r="BW73" i="40" s="1"/>
  <c r="AO73" i="40"/>
  <c r="AS73" i="40" s="1"/>
  <c r="BD71" i="40"/>
  <c r="BH71" i="40" s="1"/>
  <c r="BR70" i="40"/>
  <c r="BV70" i="40" s="1"/>
  <c r="BC68" i="40"/>
  <c r="BG68" i="40" s="1"/>
  <c r="BS66" i="40"/>
  <c r="BW66" i="40" s="1"/>
  <c r="AO65" i="40"/>
  <c r="AS65" i="40" s="1"/>
  <c r="BC63" i="40"/>
  <c r="BG63" i="40" s="1"/>
  <c r="BD62" i="40"/>
  <c r="BH62" i="40" s="1"/>
  <c r="BR61" i="40"/>
  <c r="BV61" i="40" s="1"/>
  <c r="BR60" i="40"/>
  <c r="BV60" i="40" s="1"/>
  <c r="BS59" i="40"/>
  <c r="BW59" i="40" s="1"/>
  <c r="AO58" i="40"/>
  <c r="AS58" i="40" s="1"/>
  <c r="BR55" i="40"/>
  <c r="BV55" i="40" s="1"/>
  <c r="AO54" i="40"/>
  <c r="AS54" i="40" s="1"/>
  <c r="BC52" i="40"/>
  <c r="BG52" i="40" s="1"/>
  <c r="BD51" i="40"/>
  <c r="BH51" i="40" s="1"/>
  <c r="BS50" i="40"/>
  <c r="BW50" i="40" s="1"/>
  <c r="AN50" i="40"/>
  <c r="AR50" i="40" s="1"/>
  <c r="BC48" i="40"/>
  <c r="BG48" i="40" s="1"/>
  <c r="BR46" i="40"/>
  <c r="BV46" i="40" s="1"/>
  <c r="BS45" i="40"/>
  <c r="BW45" i="40" s="1"/>
  <c r="AO44" i="40"/>
  <c r="AS44" i="40" s="1"/>
  <c r="BD114" i="40"/>
  <c r="BH114" i="40" s="1"/>
  <c r="BR113" i="40"/>
  <c r="BV113" i="40" s="1"/>
  <c r="BR111" i="40"/>
  <c r="BV111" i="40" s="1"/>
  <c r="AO110" i="40"/>
  <c r="AS110" i="40" s="1"/>
  <c r="AO109" i="40"/>
  <c r="AS109" i="40" s="1"/>
  <c r="BS106" i="40"/>
  <c r="BW106" i="40" s="1"/>
  <c r="BS105" i="40"/>
  <c r="BW105" i="40" s="1"/>
  <c r="AO104" i="40"/>
  <c r="AS104" i="40" s="1"/>
  <c r="AO103" i="40"/>
  <c r="AS103" i="40" s="1"/>
  <c r="BD101" i="40"/>
  <c r="BH101" i="40" s="1"/>
  <c r="BD100" i="40"/>
  <c r="BH100" i="40" s="1"/>
  <c r="BR98" i="40"/>
  <c r="BV98" i="40" s="1"/>
  <c r="BC95" i="40"/>
  <c r="BG95" i="40" s="1"/>
  <c r="BS93" i="40"/>
  <c r="BW93" i="40" s="1"/>
  <c r="AN92" i="40"/>
  <c r="AR92" i="40" s="1"/>
  <c r="BD90" i="40"/>
  <c r="BH90" i="40" s="1"/>
  <c r="BS89" i="40"/>
  <c r="BW89" i="40" s="1"/>
  <c r="AO88" i="40"/>
  <c r="AS88" i="40" s="1"/>
  <c r="BD86" i="40"/>
  <c r="BH86" i="40" s="1"/>
  <c r="BR85" i="40"/>
  <c r="BV85" i="40" s="1"/>
  <c r="BS84" i="40"/>
  <c r="BW84" i="40" s="1"/>
  <c r="AN83" i="40"/>
  <c r="AR83" i="40" s="1"/>
  <c r="BC82" i="40"/>
  <c r="BG82" i="40" s="1"/>
  <c r="BR80" i="40"/>
  <c r="BV80" i="40" s="1"/>
  <c r="AO79" i="40"/>
  <c r="AS79" i="40" s="1"/>
  <c r="BC78" i="40"/>
  <c r="BG78" i="40" s="1"/>
  <c r="BR77" i="40"/>
  <c r="BV77" i="40" s="1"/>
  <c r="AN76" i="40"/>
  <c r="AR76" i="40" s="1"/>
  <c r="AO75" i="40"/>
  <c r="AS75" i="40" s="1"/>
  <c r="BR73" i="40"/>
  <c r="BV73" i="40" s="1"/>
  <c r="AN73" i="40"/>
  <c r="AR73" i="40" s="1"/>
  <c r="BC71" i="40"/>
  <c r="BG71" i="40" s="1"/>
  <c r="AO69" i="40"/>
  <c r="AS69" i="40" s="1"/>
  <c r="BD67" i="40"/>
  <c r="BH67" i="40" s="1"/>
  <c r="BR66" i="40"/>
  <c r="BV66" i="40" s="1"/>
  <c r="AN65" i="40"/>
  <c r="AR65" i="40" s="1"/>
  <c r="AO64" i="40"/>
  <c r="AS64" i="40" s="1"/>
  <c r="BC62" i="40"/>
  <c r="BG62" i="40" s="1"/>
  <c r="BR59" i="40"/>
  <c r="BV59" i="40" s="1"/>
  <c r="AN58" i="40"/>
  <c r="AR58" i="40" s="1"/>
  <c r="BD56" i="40"/>
  <c r="BH56" i="40" s="1"/>
  <c r="AN54" i="40"/>
  <c r="AR54" i="40" s="1"/>
  <c r="AO53" i="40"/>
  <c r="AS53" i="40" s="1"/>
  <c r="BC51" i="40"/>
  <c r="BG51" i="40" s="1"/>
  <c r="BR50" i="40"/>
  <c r="BV50" i="40" s="1"/>
  <c r="AO49" i="40"/>
  <c r="AS49" i="40" s="1"/>
  <c r="AO115" i="40"/>
  <c r="AS115" i="40" s="1"/>
  <c r="BC114" i="40"/>
  <c r="BG114" i="40" s="1"/>
  <c r="BS110" i="40"/>
  <c r="BW110" i="40" s="1"/>
  <c r="AN110" i="40"/>
  <c r="AR110" i="40" s="1"/>
  <c r="AN109" i="40"/>
  <c r="AR109" i="40" s="1"/>
  <c r="AO108" i="40"/>
  <c r="AS108" i="40" s="1"/>
  <c r="BD107" i="40"/>
  <c r="BH107" i="40" s="1"/>
  <c r="BR106" i="40"/>
  <c r="BV106" i="40" s="1"/>
  <c r="BR105" i="40"/>
  <c r="BV105" i="40" s="1"/>
  <c r="BS104" i="40"/>
  <c r="BW104" i="40" s="1"/>
  <c r="AN104" i="40"/>
  <c r="AR104" i="40" s="1"/>
  <c r="AN103" i="40"/>
  <c r="AR103" i="40" s="1"/>
  <c r="AO102" i="40"/>
  <c r="AS102" i="40" s="1"/>
  <c r="BC101" i="40"/>
  <c r="BG101" i="40" s="1"/>
  <c r="BC100" i="40"/>
  <c r="BG100" i="40" s="1"/>
  <c r="BD99" i="40"/>
  <c r="BH99" i="40" s="1"/>
  <c r="AO97" i="40"/>
  <c r="AS97" i="40" s="1"/>
  <c r="AO96" i="40"/>
  <c r="AS96" i="40" s="1"/>
  <c r="BD94" i="40"/>
  <c r="BH94" i="40" s="1"/>
  <c r="BR93" i="40"/>
  <c r="BV93" i="40" s="1"/>
  <c r="BS92" i="40"/>
  <c r="BW92" i="40" s="1"/>
  <c r="AO91" i="40"/>
  <c r="AS91" i="40" s="1"/>
  <c r="BC90" i="40"/>
  <c r="BG90" i="40" s="1"/>
  <c r="BR89" i="40"/>
  <c r="BV89" i="40" s="1"/>
  <c r="BS88" i="40"/>
  <c r="BW88" i="40" s="1"/>
  <c r="AN88" i="40"/>
  <c r="AR88" i="40" s="1"/>
  <c r="AO87" i="40"/>
  <c r="AS87" i="40" s="1"/>
  <c r="BC86" i="40"/>
  <c r="BG86" i="40" s="1"/>
  <c r="BR84" i="40"/>
  <c r="BV84" i="40" s="1"/>
  <c r="BS83" i="40"/>
  <c r="BW83" i="40" s="1"/>
  <c r="BD81" i="40"/>
  <c r="BH81" i="40" s="1"/>
  <c r="BS79" i="40"/>
  <c r="BW79" i="40" s="1"/>
  <c r="AN79" i="40"/>
  <c r="AR79" i="40" s="1"/>
  <c r="BS76" i="40"/>
  <c r="BW76" i="40" s="1"/>
  <c r="AN75" i="40"/>
  <c r="AR75" i="40" s="1"/>
  <c r="AO72" i="40"/>
  <c r="AS72" i="40" s="1"/>
  <c r="AN69" i="40"/>
  <c r="AR69" i="40" s="1"/>
  <c r="AO68" i="40"/>
  <c r="AS68" i="40" s="1"/>
  <c r="BC67" i="40"/>
  <c r="BG67" i="40" s="1"/>
  <c r="BS65" i="40"/>
  <c r="BW65" i="40" s="1"/>
  <c r="AN64" i="40"/>
  <c r="AR64" i="40" s="1"/>
  <c r="BD61" i="40"/>
  <c r="BH61" i="40" s="1"/>
  <c r="BD60" i="40"/>
  <c r="BH60" i="40" s="1"/>
  <c r="BS58" i="40"/>
  <c r="BW58" i="40" s="1"/>
  <c r="AO57" i="40"/>
  <c r="AS57" i="40" s="1"/>
  <c r="BC56" i="40"/>
  <c r="BG56" i="40" s="1"/>
  <c r="BD55" i="40"/>
  <c r="BH55" i="40" s="1"/>
  <c r="BS54" i="40"/>
  <c r="BW54" i="40" s="1"/>
  <c r="AN53" i="40"/>
  <c r="AR53" i="40" s="1"/>
  <c r="AO52" i="40"/>
  <c r="AS52" i="40" s="1"/>
  <c r="AN49" i="40"/>
  <c r="AR49" i="40" s="1"/>
  <c r="AO48" i="40"/>
  <c r="AS48" i="40" s="1"/>
  <c r="BC47" i="40"/>
  <c r="BG47" i="40" s="1"/>
  <c r="BD46" i="40"/>
  <c r="BH46" i="40" s="1"/>
  <c r="BS44" i="40"/>
  <c r="BW44" i="40" s="1"/>
  <c r="AN43" i="40"/>
  <c r="AR43" i="40" s="1"/>
  <c r="BC41" i="40"/>
  <c r="BG41" i="40" s="1"/>
  <c r="BS39" i="40"/>
  <c r="BW39" i="40" s="1"/>
  <c r="AN115" i="40"/>
  <c r="AR115" i="40" s="1"/>
  <c r="BS112" i="40"/>
  <c r="BW112" i="40" s="1"/>
  <c r="AO112" i="40"/>
  <c r="AS112" i="40" s="1"/>
  <c r="BD111" i="40"/>
  <c r="BH111" i="40" s="1"/>
  <c r="BR110" i="40"/>
  <c r="BV110" i="40" s="1"/>
  <c r="BS109" i="40"/>
  <c r="BW109" i="40" s="1"/>
  <c r="AN108" i="40"/>
  <c r="AR108" i="40" s="1"/>
  <c r="BC107" i="40"/>
  <c r="BG107" i="40" s="1"/>
  <c r="BR104" i="40"/>
  <c r="BV104" i="40" s="1"/>
  <c r="BS103" i="40"/>
  <c r="BW103" i="40" s="1"/>
  <c r="AN102" i="40"/>
  <c r="AR102" i="40" s="1"/>
  <c r="BC99" i="40"/>
  <c r="BG99" i="40" s="1"/>
  <c r="BD98" i="40"/>
  <c r="BH98" i="40" s="1"/>
  <c r="BS97" i="40"/>
  <c r="BW97" i="40" s="1"/>
  <c r="AN97" i="40"/>
  <c r="AR97" i="40" s="1"/>
  <c r="AN96" i="40"/>
  <c r="AR96" i="40" s="1"/>
  <c r="AO95" i="40"/>
  <c r="AS95" i="40" s="1"/>
  <c r="BC94" i="40"/>
  <c r="BG94" i="40" s="1"/>
  <c r="BR92" i="40"/>
  <c r="BV92" i="40" s="1"/>
  <c r="AN91" i="40"/>
  <c r="AR91" i="40" s="1"/>
  <c r="BR88" i="40"/>
  <c r="BV88" i="40" s="1"/>
  <c r="AN87" i="40"/>
  <c r="AR87" i="40" s="1"/>
  <c r="BD85" i="40"/>
  <c r="BH85" i="40" s="1"/>
  <c r="BR83" i="40"/>
  <c r="BV83" i="40" s="1"/>
  <c r="AO82" i="40"/>
  <c r="AS82" i="40" s="1"/>
  <c r="BC81" i="40"/>
  <c r="BG81" i="40" s="1"/>
  <c r="BD80" i="40"/>
  <c r="BH80" i="40" s="1"/>
  <c r="BR79" i="40"/>
  <c r="BV79" i="40" s="1"/>
  <c r="BD77" i="40"/>
  <c r="BH77" i="40" s="1"/>
  <c r="BR76" i="40"/>
  <c r="BV76" i="40" s="1"/>
  <c r="BS75" i="40"/>
  <c r="BW75" i="40" s="1"/>
  <c r="BS74" i="40"/>
  <c r="BW74" i="40" s="1"/>
  <c r="AO74" i="40"/>
  <c r="AS74" i="40" s="1"/>
  <c r="BD73" i="40"/>
  <c r="BH73" i="40" s="1"/>
  <c r="BS72" i="40"/>
  <c r="BW72" i="40" s="1"/>
  <c r="AN72" i="40"/>
  <c r="AR72" i="40" s="1"/>
  <c r="BD70" i="40"/>
  <c r="BH70" i="40" s="1"/>
  <c r="BS69" i="40"/>
  <c r="BW69" i="40" s="1"/>
  <c r="AN68" i="40"/>
  <c r="AR68" i="40" s="1"/>
  <c r="BD66" i="40"/>
  <c r="BH66" i="40" s="1"/>
  <c r="BR65" i="40"/>
  <c r="BV65" i="40" s="1"/>
  <c r="BS64" i="40"/>
  <c r="BW64" i="40" s="1"/>
  <c r="AO63" i="40"/>
  <c r="AS63" i="40" s="1"/>
  <c r="AO62" i="40"/>
  <c r="AS62" i="40" s="1"/>
  <c r="BC61" i="40"/>
  <c r="BG61" i="40" s="1"/>
  <c r="BC60" i="40"/>
  <c r="BG60" i="40" s="1"/>
  <c r="BD59" i="40"/>
  <c r="BH59" i="40" s="1"/>
  <c r="BR58" i="40"/>
  <c r="BV58" i="40" s="1"/>
  <c r="BS57" i="40"/>
  <c r="BW57" i="40" s="1"/>
  <c r="AN57" i="40"/>
  <c r="AR57" i="40" s="1"/>
  <c r="BC55" i="40"/>
  <c r="BG55" i="40" s="1"/>
  <c r="BR54" i="40"/>
  <c r="BV54" i="40" s="1"/>
  <c r="BS53" i="40"/>
  <c r="BW53" i="40" s="1"/>
  <c r="AN52" i="40"/>
  <c r="AR52" i="40" s="1"/>
  <c r="BD50" i="40"/>
  <c r="BH50" i="40" s="1"/>
  <c r="BS49" i="40"/>
  <c r="BW49" i="40" s="1"/>
  <c r="AN48" i="40"/>
  <c r="AR48" i="40" s="1"/>
  <c r="BC46" i="40"/>
  <c r="BG46" i="40" s="1"/>
  <c r="BD45" i="40"/>
  <c r="BH45" i="40" s="1"/>
  <c r="BR44" i="40"/>
  <c r="BV44" i="40" s="1"/>
  <c r="BS43" i="40"/>
  <c r="BW43" i="40" s="1"/>
  <c r="BS42" i="40"/>
  <c r="BW42" i="40" s="1"/>
  <c r="AO42" i="40"/>
  <c r="AS42" i="40" s="1"/>
  <c r="BD40" i="40"/>
  <c r="BH40" i="40" s="1"/>
  <c r="BR39" i="40"/>
  <c r="BV39" i="40" s="1"/>
  <c r="BR38" i="40"/>
  <c r="BV38" i="40" s="1"/>
  <c r="BS37" i="40"/>
  <c r="BW37" i="40" s="1"/>
  <c r="AO36" i="40"/>
  <c r="AS36" i="40" s="1"/>
  <c r="BC35" i="40"/>
  <c r="BG35" i="40" s="1"/>
  <c r="BS115" i="40"/>
  <c r="BW115" i="40" s="1"/>
  <c r="BD113" i="40"/>
  <c r="BH113" i="40" s="1"/>
  <c r="BR112" i="40"/>
  <c r="BV112" i="40" s="1"/>
  <c r="AN112" i="40"/>
  <c r="AR112" i="40" s="1"/>
  <c r="BC111" i="40"/>
  <c r="BG111" i="40" s="1"/>
  <c r="BR109" i="40"/>
  <c r="BV109" i="40" s="1"/>
  <c r="BS108" i="40"/>
  <c r="BW108" i="40" s="1"/>
  <c r="BD106" i="40"/>
  <c r="BH106" i="40" s="1"/>
  <c r="BD105" i="40"/>
  <c r="BH105" i="40" s="1"/>
  <c r="BR103" i="40"/>
  <c r="BV103" i="40" s="1"/>
  <c r="BS102" i="40"/>
  <c r="BW102" i="40" s="1"/>
  <c r="AO101" i="40"/>
  <c r="AS101" i="40" s="1"/>
  <c r="AO100" i="40"/>
  <c r="AS100" i="40" s="1"/>
  <c r="BC98" i="40"/>
  <c r="BG98" i="40" s="1"/>
  <c r="BR97" i="40"/>
  <c r="BV97" i="40" s="1"/>
  <c r="BS96" i="40"/>
  <c r="BW96" i="40" s="1"/>
  <c r="AN95" i="40"/>
  <c r="AR95" i="40" s="1"/>
  <c r="BD93" i="40"/>
  <c r="BH93" i="40" s="1"/>
  <c r="BS91" i="40"/>
  <c r="BW91" i="40" s="1"/>
  <c r="AO90" i="40"/>
  <c r="AS90" i="40" s="1"/>
  <c r="BD89" i="40"/>
  <c r="BH89" i="40" s="1"/>
  <c r="BS87" i="40"/>
  <c r="BW87" i="40" s="1"/>
  <c r="AO86" i="40"/>
  <c r="AS86" i="40" s="1"/>
  <c r="BC85" i="40"/>
  <c r="BG85" i="40" s="1"/>
  <c r="BD84" i="40"/>
  <c r="BH84" i="40" s="1"/>
  <c r="AN82" i="40"/>
  <c r="AR82" i="40" s="1"/>
  <c r="BC80" i="40"/>
  <c r="BG80" i="40" s="1"/>
  <c r="AO78" i="40"/>
  <c r="AS78" i="40" s="1"/>
  <c r="BC77" i="40"/>
  <c r="BG77" i="40" s="1"/>
  <c r="BR75" i="40"/>
  <c r="BV75" i="40" s="1"/>
  <c r="BR74" i="40"/>
  <c r="BV74" i="40" s="1"/>
  <c r="AN74" i="40"/>
  <c r="AR74" i="40" s="1"/>
  <c r="BC73" i="40"/>
  <c r="BG73" i="40" s="1"/>
  <c r="BR72" i="40"/>
  <c r="BV72" i="40" s="1"/>
  <c r="AO71" i="40"/>
  <c r="AS71" i="40" s="1"/>
  <c r="BC70" i="40"/>
  <c r="BG70" i="40" s="1"/>
  <c r="BR69" i="40"/>
  <c r="BV69" i="40" s="1"/>
  <c r="BS68" i="40"/>
  <c r="BW68" i="40" s="1"/>
  <c r="BC66" i="40"/>
  <c r="BG66" i="40" s="1"/>
  <c r="BR64" i="40"/>
  <c r="BV64" i="40" s="1"/>
  <c r="BS63" i="40"/>
  <c r="BW63" i="40" s="1"/>
  <c r="AN63" i="40"/>
  <c r="AR63" i="40" s="1"/>
  <c r="AN62" i="40"/>
  <c r="AR62" i="40" s="1"/>
  <c r="BC59" i="40"/>
  <c r="BG59" i="40" s="1"/>
  <c r="BR57" i="40"/>
  <c r="BV57" i="40" s="1"/>
  <c r="AO56" i="40"/>
  <c r="AS56" i="40" s="1"/>
  <c r="BR53" i="40"/>
  <c r="BV53" i="40" s="1"/>
  <c r="BS52" i="40"/>
  <c r="BW52" i="40" s="1"/>
  <c r="AO51" i="40"/>
  <c r="AS51" i="40" s="1"/>
  <c r="BC50" i="40"/>
  <c r="BG50" i="40" s="1"/>
  <c r="BR49" i="40"/>
  <c r="BV49" i="40" s="1"/>
  <c r="BS48" i="40"/>
  <c r="BW48" i="40" s="1"/>
  <c r="AO47" i="40"/>
  <c r="AS47" i="40" s="1"/>
  <c r="BC45" i="40"/>
  <c r="BG45" i="40" s="1"/>
  <c r="BR43" i="40"/>
  <c r="BV43" i="40" s="1"/>
  <c r="BR42" i="40"/>
  <c r="BV42" i="40" s="1"/>
  <c r="AN42" i="40"/>
  <c r="AR42" i="40" s="1"/>
  <c r="AO41" i="40"/>
  <c r="AS41" i="40" s="1"/>
  <c r="BC40" i="40"/>
  <c r="BG40" i="40" s="1"/>
  <c r="BR37" i="40"/>
  <c r="BV37" i="40" s="1"/>
  <c r="AN36" i="40"/>
  <c r="AR36" i="40" s="1"/>
  <c r="BC34" i="40"/>
  <c r="BG34" i="40" s="1"/>
  <c r="BD33" i="40"/>
  <c r="BH33" i="40" s="1"/>
  <c r="BR115" i="40"/>
  <c r="BV115" i="40" s="1"/>
  <c r="AO114" i="40"/>
  <c r="AS114" i="40" s="1"/>
  <c r="BC113" i="40"/>
  <c r="BG113" i="40" s="1"/>
  <c r="BD110" i="40"/>
  <c r="BH110" i="40" s="1"/>
  <c r="BR108" i="40"/>
  <c r="BV108" i="40" s="1"/>
  <c r="AO107" i="40"/>
  <c r="AS107" i="40" s="1"/>
  <c r="BC106" i="40"/>
  <c r="BG106" i="40" s="1"/>
  <c r="BC105" i="40"/>
  <c r="BG105" i="40" s="1"/>
  <c r="BD104" i="40"/>
  <c r="BH104" i="40" s="1"/>
  <c r="BR102" i="40"/>
  <c r="BV102" i="40" s="1"/>
  <c r="AN101" i="40"/>
  <c r="AR101" i="40" s="1"/>
  <c r="AN100" i="40"/>
  <c r="AR100" i="40" s="1"/>
  <c r="AO99" i="40"/>
  <c r="AS99" i="40" s="1"/>
  <c r="BR96" i="40"/>
  <c r="BV96" i="40" s="1"/>
  <c r="BS95" i="40"/>
  <c r="BW95" i="40" s="1"/>
  <c r="AO94" i="40"/>
  <c r="AS94" i="40" s="1"/>
  <c r="BC93" i="40"/>
  <c r="BG93" i="40" s="1"/>
  <c r="BD92" i="40"/>
  <c r="BH92" i="40" s="1"/>
  <c r="BR91" i="40"/>
  <c r="BV91" i="40" s="1"/>
  <c r="AN90" i="40"/>
  <c r="AR90" i="40" s="1"/>
  <c r="BC89" i="40"/>
  <c r="BG89" i="40" s="1"/>
  <c r="BD88" i="40"/>
  <c r="BH88" i="40" s="1"/>
  <c r="BR87" i="40"/>
  <c r="BV87" i="40" s="1"/>
  <c r="AN86" i="40"/>
  <c r="AR86" i="40" s="1"/>
  <c r="BC84" i="40"/>
  <c r="BG84" i="40" s="1"/>
  <c r="BD83" i="40"/>
  <c r="BH83" i="40" s="1"/>
  <c r="BS82" i="40"/>
  <c r="BW82" i="40" s="1"/>
  <c r="AO81" i="40"/>
  <c r="AS81" i="40" s="1"/>
  <c r="BD79" i="40"/>
  <c r="BH79" i="40" s="1"/>
  <c r="BS78" i="40"/>
  <c r="BW78" i="40" s="1"/>
  <c r="AN78" i="40"/>
  <c r="AR78" i="40" s="1"/>
  <c r="BD76" i="40"/>
  <c r="BH76" i="40" s="1"/>
  <c r="BS71" i="40"/>
  <c r="BW71" i="40" s="1"/>
  <c r="AN71" i="40"/>
  <c r="AR71" i="40" s="1"/>
  <c r="BR68" i="40"/>
  <c r="BV68" i="40" s="1"/>
  <c r="BS67" i="40"/>
  <c r="BW67" i="40" s="1"/>
  <c r="AO67" i="40"/>
  <c r="AS67" i="40" s="1"/>
  <c r="BD65" i="40"/>
  <c r="BH65" i="40" s="1"/>
  <c r="BR63" i="40"/>
  <c r="BV63" i="40" s="1"/>
  <c r="BS62" i="40"/>
  <c r="BW62" i="40" s="1"/>
  <c r="AO61" i="40"/>
  <c r="AS61" i="40" s="1"/>
  <c r="AO60" i="40"/>
  <c r="AS60" i="40" s="1"/>
  <c r="BD58" i="40"/>
  <c r="BH58" i="40" s="1"/>
  <c r="BS56" i="40"/>
  <c r="BW56" i="40" s="1"/>
  <c r="AN56" i="40"/>
  <c r="AR56" i="40" s="1"/>
  <c r="AO55" i="40"/>
  <c r="AS55" i="40" s="1"/>
  <c r="BD54" i="40"/>
  <c r="BH54" i="40" s="1"/>
  <c r="BR52" i="40"/>
  <c r="BV52" i="40" s="1"/>
  <c r="BS51" i="40"/>
  <c r="BW51" i="40" s="1"/>
  <c r="AN51" i="40"/>
  <c r="AR51" i="40" s="1"/>
  <c r="BR48" i="40"/>
  <c r="BV48" i="40" s="1"/>
  <c r="AN47" i="40"/>
  <c r="AR47" i="40" s="1"/>
  <c r="AO46" i="40"/>
  <c r="AS46" i="40" s="1"/>
  <c r="BD44" i="40"/>
  <c r="BH44" i="40" s="1"/>
  <c r="AN41" i="40"/>
  <c r="AR41" i="40" s="1"/>
  <c r="BD39" i="40"/>
  <c r="BH39" i="40" s="1"/>
  <c r="BD38" i="40"/>
  <c r="BH38" i="40" s="1"/>
  <c r="BS36" i="40"/>
  <c r="BW36" i="40" s="1"/>
  <c r="AO35" i="40"/>
  <c r="AS35" i="40" s="1"/>
  <c r="BS114" i="40"/>
  <c r="BW114" i="40" s="1"/>
  <c r="AN114" i="40"/>
  <c r="AR114" i="40" s="1"/>
  <c r="BC110" i="40"/>
  <c r="BG110" i="40" s="1"/>
  <c r="BD109" i="40"/>
  <c r="BH109" i="40" s="1"/>
  <c r="AN107" i="40"/>
  <c r="AR107" i="40" s="1"/>
  <c r="BC104" i="40"/>
  <c r="BG104" i="40" s="1"/>
  <c r="BD103" i="40"/>
  <c r="BH103" i="40" s="1"/>
  <c r="BS101" i="40"/>
  <c r="BW101" i="40" s="1"/>
  <c r="BS100" i="40"/>
  <c r="BW100" i="40" s="1"/>
  <c r="AN99" i="40"/>
  <c r="AR99" i="40" s="1"/>
  <c r="BD97" i="40"/>
  <c r="BH97" i="40" s="1"/>
  <c r="BR95" i="40"/>
  <c r="BV95" i="40" s="1"/>
  <c r="AN94" i="40"/>
  <c r="AR94" i="40" s="1"/>
  <c r="BC92" i="40"/>
  <c r="BG92" i="40" s="1"/>
  <c r="BS90" i="40"/>
  <c r="BW90" i="40" s="1"/>
  <c r="BC88" i="40"/>
  <c r="BG88" i="40" s="1"/>
  <c r="BS86" i="40"/>
  <c r="BW86" i="40" s="1"/>
  <c r="AO85" i="40"/>
  <c r="AS85" i="40" s="1"/>
  <c r="BC83" i="40"/>
  <c r="BG83" i="40" s="1"/>
  <c r="BR82" i="40"/>
  <c r="BV82" i="40" s="1"/>
  <c r="AN81" i="40"/>
  <c r="AR81" i="40" s="1"/>
  <c r="AO80" i="40"/>
  <c r="AS80" i="40" s="1"/>
  <c r="BC79" i="40"/>
  <c r="BG79" i="40" s="1"/>
  <c r="BR78" i="40"/>
  <c r="BV78" i="40" s="1"/>
  <c r="BC76" i="40"/>
  <c r="BG76" i="40" s="1"/>
  <c r="BD75" i="40"/>
  <c r="BH75" i="40" s="1"/>
  <c r="BD74" i="40"/>
  <c r="BH74" i="40" s="1"/>
  <c r="BD72" i="40"/>
  <c r="BH72" i="40" s="1"/>
  <c r="BR71" i="40"/>
  <c r="BV71" i="40" s="1"/>
  <c r="AO70" i="40"/>
  <c r="AS70" i="40" s="1"/>
  <c r="BD69" i="40"/>
  <c r="BH69" i="40" s="1"/>
  <c r="BR67" i="40"/>
  <c r="BV67" i="40" s="1"/>
  <c r="AN67" i="40"/>
  <c r="AR67" i="40" s="1"/>
  <c r="AO66" i="40"/>
  <c r="AS66" i="40" s="1"/>
  <c r="BC65" i="40"/>
  <c r="BG65" i="40" s="1"/>
  <c r="BD64" i="40"/>
  <c r="BH64" i="40" s="1"/>
  <c r="BR62" i="40"/>
  <c r="BV62" i="40" s="1"/>
  <c r="AN61" i="40"/>
  <c r="AR61" i="40" s="1"/>
  <c r="AN60" i="40"/>
  <c r="AR60" i="40" s="1"/>
  <c r="AO59" i="40"/>
  <c r="AS59" i="40" s="1"/>
  <c r="BC58" i="40"/>
  <c r="BG58" i="40" s="1"/>
  <c r="BD57" i="40"/>
  <c r="BH57" i="40" s="1"/>
  <c r="BR56" i="40"/>
  <c r="BV56" i="40" s="1"/>
  <c r="AN55" i="40"/>
  <c r="AR55" i="40" s="1"/>
  <c r="BC54" i="40"/>
  <c r="BG54" i="40" s="1"/>
  <c r="BD53" i="40"/>
  <c r="BH53" i="40" s="1"/>
  <c r="BR51" i="40"/>
  <c r="BV51" i="40" s="1"/>
  <c r="BD49" i="40"/>
  <c r="BH49" i="40" s="1"/>
  <c r="BS47" i="40"/>
  <c r="BW47" i="40" s="1"/>
  <c r="AN46" i="40"/>
  <c r="AR46" i="40" s="1"/>
  <c r="AO45" i="40"/>
  <c r="AS45" i="40" s="1"/>
  <c r="BC44" i="40"/>
  <c r="BG44" i="40" s="1"/>
  <c r="BD43" i="40"/>
  <c r="BH43" i="40" s="1"/>
  <c r="BS41" i="40"/>
  <c r="BW41" i="40" s="1"/>
  <c r="AO40" i="40"/>
  <c r="AS40" i="40" s="1"/>
  <c r="BC39" i="40"/>
  <c r="BG39" i="40" s="1"/>
  <c r="BC38" i="40"/>
  <c r="BG38" i="40" s="1"/>
  <c r="BD37" i="40"/>
  <c r="BH37" i="40" s="1"/>
  <c r="BR36" i="40"/>
  <c r="BV36" i="40" s="1"/>
  <c r="AN35" i="40"/>
  <c r="AR35" i="40" s="1"/>
  <c r="BR20" i="40"/>
  <c r="BV20" i="40" s="1"/>
  <c r="BC21" i="40"/>
  <c r="BG21" i="40" s="1"/>
  <c r="AO23" i="40"/>
  <c r="AS23" i="40" s="1"/>
  <c r="AN24" i="40"/>
  <c r="AR24" i="40" s="1"/>
  <c r="BR25" i="40"/>
  <c r="BV25" i="40" s="1"/>
  <c r="BC26" i="40"/>
  <c r="BG26" i="40" s="1"/>
  <c r="BS29" i="40"/>
  <c r="BW29" i="40" s="1"/>
  <c r="BC31" i="40"/>
  <c r="BG31" i="40" s="1"/>
  <c r="AO32" i="40"/>
  <c r="AS32" i="40" s="1"/>
  <c r="BS35" i="40"/>
  <c r="BW35" i="40" s="1"/>
  <c r="AN37" i="40"/>
  <c r="AR37" i="40" s="1"/>
  <c r="BR41" i="40"/>
  <c r="BV41" i="40" s="1"/>
  <c r="BC43" i="40"/>
  <c r="BG43" i="40" s="1"/>
  <c r="BD47" i="40"/>
  <c r="BH47" i="40" s="1"/>
  <c r="BC74" i="40"/>
  <c r="BG74" i="40" s="1"/>
  <c r="BR86" i="40"/>
  <c r="BV86" i="40" s="1"/>
  <c r="BR100" i="40"/>
  <c r="BV100" i="40" s="1"/>
  <c r="T14" i="40"/>
  <c r="BR18" i="40"/>
  <c r="BV18" i="40" s="1"/>
  <c r="BS20" i="40"/>
  <c r="BW20" i="40" s="1"/>
  <c r="BD21" i="40"/>
  <c r="BH21" i="40" s="1"/>
  <c r="BC22" i="40"/>
  <c r="BG22" i="40" s="1"/>
  <c r="AO24" i="40"/>
  <c r="AS24" i="40" s="1"/>
  <c r="BS25" i="40"/>
  <c r="BW25" i="40" s="1"/>
  <c r="BD26" i="40"/>
  <c r="BH26" i="40" s="1"/>
  <c r="BC27" i="40"/>
  <c r="BG27" i="40" s="1"/>
  <c r="BC28" i="40"/>
  <c r="BG28" i="40" s="1"/>
  <c r="AN29" i="40"/>
  <c r="AR29" i="40" s="1"/>
  <c r="BR30" i="40"/>
  <c r="BV30" i="40" s="1"/>
  <c r="BD31" i="40"/>
  <c r="BH31" i="40" s="1"/>
  <c r="BR33" i="40"/>
  <c r="BV33" i="40" s="1"/>
  <c r="BR34" i="40"/>
  <c r="BV34" i="40" s="1"/>
  <c r="AO37" i="40"/>
  <c r="AS37" i="40" s="1"/>
  <c r="BS38" i="40"/>
  <c r="BW38" i="40" s="1"/>
  <c r="BR40" i="40"/>
  <c r="BV40" i="40" s="1"/>
  <c r="BR45" i="40"/>
  <c r="BV45" i="40" s="1"/>
  <c r="BC49" i="40"/>
  <c r="BG49" i="40" s="1"/>
  <c r="BC57" i="40"/>
  <c r="BG57" i="40" s="1"/>
  <c r="AN80" i="40"/>
  <c r="AR80" i="40" s="1"/>
  <c r="AN85" i="40"/>
  <c r="AR85" i="40" s="1"/>
  <c r="AO89" i="40"/>
  <c r="AS89" i="40" s="1"/>
  <c r="BS18" i="40"/>
  <c r="BW18" i="40" s="1"/>
  <c r="AN20" i="40"/>
  <c r="AR20" i="40" s="1"/>
  <c r="BD22" i="40"/>
  <c r="BH22" i="40" s="1"/>
  <c r="AN25" i="40"/>
  <c r="AR25" i="40" s="1"/>
  <c r="L27" i="40" a="1"/>
  <c r="L27" i="40" s="1"/>
  <c r="P27" i="40" s="1"/>
  <c r="Y27" i="40" s="1"/>
  <c r="BD27" i="40"/>
  <c r="BH27" i="40" s="1"/>
  <c r="BD28" i="40"/>
  <c r="BH28" i="40" s="1"/>
  <c r="AO29" i="40"/>
  <c r="AS29" i="40" s="1"/>
  <c r="BS30" i="40"/>
  <c r="BW30" i="40" s="1"/>
  <c r="BS33" i="40"/>
  <c r="BW33" i="40" s="1"/>
  <c r="BS34" i="40"/>
  <c r="BW34" i="40" s="1"/>
  <c r="AN39" i="40"/>
  <c r="AR39" i="40" s="1"/>
  <c r="BS40" i="40"/>
  <c r="BW40" i="40" s="1"/>
  <c r="AN44" i="40"/>
  <c r="AR44" i="40" s="1"/>
  <c r="BR47" i="40"/>
  <c r="BV47" i="40" s="1"/>
  <c r="BD68" i="40"/>
  <c r="BH68" i="40" s="1"/>
  <c r="BS70" i="40"/>
  <c r="BW70" i="40" s="1"/>
  <c r="K80" i="40" a="1"/>
  <c r="K80" i="40" s="1"/>
  <c r="O80" i="40" s="1"/>
  <c r="X80" i="40" s="1"/>
  <c r="L80" i="40" a="1"/>
  <c r="L80" i="40" s="1"/>
  <c r="P80" i="40" s="1"/>
  <c r="Y80" i="40" s="1"/>
  <c r="BD96" i="40"/>
  <c r="BH96" i="40" s="1"/>
  <c r="AO106" i="40"/>
  <c r="AS106" i="40" s="1"/>
  <c r="BD112" i="40"/>
  <c r="BH112" i="40" s="1"/>
  <c r="BR114" i="40"/>
  <c r="BV114" i="40" s="1"/>
  <c r="BR17" i="40"/>
  <c r="BV17" i="40" s="1"/>
  <c r="BC19" i="40"/>
  <c r="BG19" i="40" s="1"/>
  <c r="AO20" i="40"/>
  <c r="AS20" i="40" s="1"/>
  <c r="BR21" i="40"/>
  <c r="BV21" i="40" s="1"/>
  <c r="BC23" i="40"/>
  <c r="BG23" i="40" s="1"/>
  <c r="BC24" i="40"/>
  <c r="BG24" i="40" s="1"/>
  <c r="AO25" i="40"/>
  <c r="AS25" i="40" s="1"/>
  <c r="BR26" i="40"/>
  <c r="BV26" i="40" s="1"/>
  <c r="AN30" i="40"/>
  <c r="AR30" i="40" s="1"/>
  <c r="BR31" i="40"/>
  <c r="BV31" i="40" s="1"/>
  <c r="BC32" i="40"/>
  <c r="BG32" i="40" s="1"/>
  <c r="AN33" i="40"/>
  <c r="AR33" i="40" s="1"/>
  <c r="BC37" i="40"/>
  <c r="BG37" i="40" s="1"/>
  <c r="AO39" i="40"/>
  <c r="AS39" i="40" s="1"/>
  <c r="BC42" i="40"/>
  <c r="BG42" i="40" s="1"/>
  <c r="K44" i="40" a="1"/>
  <c r="K44" i="40" s="1"/>
  <c r="L44" i="40" a="1"/>
  <c r="L44" i="40" s="1"/>
  <c r="AO50" i="40"/>
  <c r="AS50" i="40" s="1"/>
  <c r="BD52" i="40"/>
  <c r="BH52" i="40" s="1"/>
  <c r="L55" i="40" a="1"/>
  <c r="L55" i="40" s="1"/>
  <c r="P55" i="40" s="1"/>
  <c r="Y55" i="40" s="1"/>
  <c r="K55" i="40" a="1"/>
  <c r="K55" i="40" s="1"/>
  <c r="O55" i="40" s="1"/>
  <c r="X55" i="40" s="1"/>
  <c r="BS60" i="40"/>
  <c r="BW60" i="40" s="1"/>
  <c r="AN66" i="40"/>
  <c r="AR66" i="40" s="1"/>
  <c r="BC75" i="40"/>
  <c r="BG75" i="40" s="1"/>
  <c r="BD91" i="40"/>
  <c r="BH91" i="40" s="1"/>
  <c r="L94" i="40" a="1"/>
  <c r="L94" i="40" s="1"/>
  <c r="P94" i="40" s="1"/>
  <c r="Y94" i="40" s="1"/>
  <c r="K94" i="40" a="1"/>
  <c r="K94" i="40" s="1"/>
  <c r="O94" i="40" s="1"/>
  <c r="X94" i="40" s="1"/>
  <c r="BR101" i="40"/>
  <c r="BV101" i="40" s="1"/>
  <c r="BC103" i="40"/>
  <c r="BG103" i="40" s="1"/>
  <c r="BD108" i="40"/>
  <c r="BH108" i="40" s="1"/>
  <c r="AO111" i="40"/>
  <c r="AS111" i="40" s="1"/>
  <c r="BS17" i="40"/>
  <c r="BW17" i="40" s="1"/>
  <c r="BD19" i="40"/>
  <c r="BH19" i="40" s="1"/>
  <c r="BS21" i="40"/>
  <c r="BW21" i="40" s="1"/>
  <c r="BR22" i="40"/>
  <c r="BV22" i="40" s="1"/>
  <c r="BD23" i="40"/>
  <c r="BH23" i="40" s="1"/>
  <c r="BD24" i="40"/>
  <c r="BH24" i="40" s="1"/>
  <c r="BS26" i="40"/>
  <c r="BW26" i="40" s="1"/>
  <c r="BR27" i="40"/>
  <c r="BV27" i="40" s="1"/>
  <c r="BR28" i="40"/>
  <c r="BV28" i="40" s="1"/>
  <c r="BC29" i="40"/>
  <c r="BG29" i="40" s="1"/>
  <c r="AO30" i="40"/>
  <c r="AS30" i="40" s="1"/>
  <c r="AN31" i="40"/>
  <c r="AR31" i="40" s="1"/>
  <c r="BS31" i="40"/>
  <c r="BW31" i="40" s="1"/>
  <c r="BD32" i="40"/>
  <c r="BH32" i="40" s="1"/>
  <c r="AO33" i="40"/>
  <c r="AS33" i="40" s="1"/>
  <c r="AN34" i="40"/>
  <c r="AR34" i="40" s="1"/>
  <c r="BC36" i="40"/>
  <c r="BG36" i="40" s="1"/>
  <c r="BD42" i="40"/>
  <c r="BH42" i="40" s="1"/>
  <c r="BS55" i="40"/>
  <c r="BW55" i="40" s="1"/>
  <c r="BD63" i="40"/>
  <c r="BH63" i="40" s="1"/>
  <c r="BD87" i="40"/>
  <c r="BH87" i="40" s="1"/>
  <c r="BS94" i="40"/>
  <c r="BW94" i="40" s="1"/>
  <c r="BS99" i="40"/>
  <c r="BW99" i="40" s="1"/>
  <c r="AO113" i="40"/>
  <c r="AS113" i="40" s="1"/>
  <c r="BR14" i="40"/>
  <c r="BC20" i="40"/>
  <c r="BG20" i="40" s="1"/>
  <c r="AN21" i="40"/>
  <c r="AR21" i="40" s="1"/>
  <c r="BS22" i="40"/>
  <c r="BW22" i="40" s="1"/>
  <c r="BC25" i="40"/>
  <c r="BG25" i="40" s="1"/>
  <c r="AN26" i="40"/>
  <c r="AR26" i="40" s="1"/>
  <c r="BS27" i="40"/>
  <c r="BW27" i="40" s="1"/>
  <c r="BS28" i="40"/>
  <c r="BW28" i="40" s="1"/>
  <c r="BD29" i="40"/>
  <c r="BH29" i="40" s="1"/>
  <c r="AO31" i="40"/>
  <c r="AS31" i="40" s="1"/>
  <c r="AO34" i="40"/>
  <c r="AS34" i="40" s="1"/>
  <c r="BD35" i="40"/>
  <c r="BH35" i="40" s="1"/>
  <c r="BD36" i="40"/>
  <c r="BH36" i="40" s="1"/>
  <c r="AN38" i="40"/>
  <c r="AR38" i="40" s="1"/>
  <c r="BS46" i="40"/>
  <c r="BW46" i="40" s="1"/>
  <c r="AN59" i="40"/>
  <c r="AR59" i="40" s="1"/>
  <c r="BC69" i="40"/>
  <c r="BG69" i="40" s="1"/>
  <c r="BC97" i="40"/>
  <c r="BG97" i="40" s="1"/>
  <c r="BD115" i="40"/>
  <c r="BH115" i="40" s="1"/>
  <c r="L49" i="40" a="1"/>
  <c r="L49" i="40" s="1"/>
  <c r="P49" i="40" s="1"/>
  <c r="Y49" i="40" s="1"/>
  <c r="K83" i="40" a="1"/>
  <c r="K83" i="40" s="1"/>
  <c r="O83" i="40" s="1"/>
  <c r="X83" i="40" s="1"/>
  <c r="K54" i="40" a="1"/>
  <c r="K54" i="40" s="1"/>
  <c r="O54" i="40" s="1"/>
  <c r="X54" i="40" s="1"/>
  <c r="K58" i="40" a="1"/>
  <c r="K58" i="40" s="1"/>
  <c r="O58" i="40" s="1"/>
  <c r="X58" i="40" s="1"/>
  <c r="L92" i="40" a="1"/>
  <c r="L92" i="40" s="1"/>
  <c r="K98" i="40" a="1"/>
  <c r="K98" i="40" s="1"/>
  <c r="O98" i="40" s="1"/>
  <c r="X98" i="40" s="1"/>
  <c r="K59" i="40" a="1"/>
  <c r="K59" i="40" s="1"/>
  <c r="K66" i="40" a="1"/>
  <c r="K66" i="40" s="1"/>
  <c r="O66" i="40" s="1"/>
  <c r="X66" i="40" s="1"/>
  <c r="K70" i="40" a="1"/>
  <c r="K70" i="40" s="1"/>
  <c r="O70" i="40" s="1"/>
  <c r="X70" i="40" s="1"/>
  <c r="L84" i="40" a="1"/>
  <c r="L84" i="40" s="1"/>
  <c r="P84" i="40" s="1"/>
  <c r="Y84" i="40" s="1"/>
  <c r="L113" i="40" a="1"/>
  <c r="L113" i="40" s="1"/>
  <c r="P113" i="40" s="1"/>
  <c r="Y113" i="40" s="1"/>
  <c r="L117" i="40" a="1"/>
  <c r="L117" i="40" s="1"/>
  <c r="P117" i="40" s="1"/>
  <c r="BR36" i="39"/>
  <c r="BV36" i="39" s="1"/>
  <c r="BS52" i="39"/>
  <c r="BW52" i="39" s="1"/>
  <c r="BS56" i="39"/>
  <c r="BW56" i="39" s="1"/>
  <c r="BS59" i="39"/>
  <c r="BW59" i="39" s="1"/>
  <c r="BC61" i="39"/>
  <c r="BG61" i="39" s="1"/>
  <c r="BR71" i="39"/>
  <c r="BV71" i="39" s="1"/>
  <c r="BC73" i="39"/>
  <c r="BG73" i="39" s="1"/>
  <c r="BR80" i="39"/>
  <c r="BV80" i="39" s="1"/>
  <c r="I14" i="39"/>
  <c r="K16" i="39" a="1"/>
  <c r="K16" i="39" s="1"/>
  <c r="O16" i="39" s="1"/>
  <c r="BR40" i="39"/>
  <c r="BV40" i="39" s="1"/>
  <c r="AO41" i="39"/>
  <c r="AS41" i="39" s="1"/>
  <c r="BC42" i="39"/>
  <c r="BG42" i="39" s="1"/>
  <c r="K46" i="39" a="1"/>
  <c r="K46" i="39" s="1"/>
  <c r="O46" i="39" s="1"/>
  <c r="X46" i="39" s="1"/>
  <c r="AO49" i="39"/>
  <c r="AS49" i="39" s="1"/>
  <c r="AO50" i="39"/>
  <c r="AS50" i="39" s="1"/>
  <c r="BD51" i="39"/>
  <c r="BH51" i="39" s="1"/>
  <c r="BR53" i="39"/>
  <c r="BV53" i="39" s="1"/>
  <c r="K55" i="39" a="1"/>
  <c r="K55" i="39" s="1"/>
  <c r="BC55" i="39"/>
  <c r="BG55" i="39" s="1"/>
  <c r="AN56" i="39"/>
  <c r="AR56" i="39" s="1"/>
  <c r="BR57" i="39"/>
  <c r="BV57" i="39" s="1"/>
  <c r="BD58" i="39"/>
  <c r="BH58" i="39" s="1"/>
  <c r="AN59" i="39"/>
  <c r="AR59" i="39" s="1"/>
  <c r="L61" i="39" a="1"/>
  <c r="L61" i="39" s="1"/>
  <c r="BD61" i="39"/>
  <c r="BH61" i="39" s="1"/>
  <c r="BC62" i="39"/>
  <c r="BG62" i="39" s="1"/>
  <c r="AN63" i="39"/>
  <c r="AR63" i="39" s="1"/>
  <c r="BS63" i="39"/>
  <c r="BW63" i="39" s="1"/>
  <c r="BD64" i="39"/>
  <c r="BH64" i="39" s="1"/>
  <c r="AO66" i="39"/>
  <c r="AS66" i="39" s="1"/>
  <c r="BR67" i="39"/>
  <c r="BV67" i="39" s="1"/>
  <c r="AO70" i="39"/>
  <c r="AS70" i="39" s="1"/>
  <c r="BS71" i="39"/>
  <c r="BW71" i="39" s="1"/>
  <c r="BD72" i="39"/>
  <c r="BH72" i="39" s="1"/>
  <c r="BD73" i="39"/>
  <c r="BH73" i="39" s="1"/>
  <c r="AO74" i="39"/>
  <c r="AS74" i="39" s="1"/>
  <c r="BS75" i="39"/>
  <c r="BW75" i="39" s="1"/>
  <c r="BD76" i="39"/>
  <c r="BH76" i="39" s="1"/>
  <c r="BR78" i="39"/>
  <c r="BV78" i="39" s="1"/>
  <c r="BD79" i="39"/>
  <c r="BH79" i="39" s="1"/>
  <c r="K82" i="39" a="1"/>
  <c r="K82" i="39" s="1"/>
  <c r="O82" i="39" s="1"/>
  <c r="K100" i="39" a="1"/>
  <c r="K100" i="39" s="1"/>
  <c r="K116" i="39" a="1"/>
  <c r="K116" i="39" s="1"/>
  <c r="O116" i="39" s="1"/>
  <c r="BC58" i="39"/>
  <c r="BG58" i="39" s="1"/>
  <c r="BD60" i="39"/>
  <c r="BH60" i="39" s="1"/>
  <c r="BC64" i="39"/>
  <c r="BG64" i="39" s="1"/>
  <c r="J14" i="39"/>
  <c r="K17" i="39" a="1"/>
  <c r="K17" i="39" s="1"/>
  <c r="K26" i="39" a="1"/>
  <c r="K26" i="39" s="1"/>
  <c r="O26" i="39" s="1"/>
  <c r="BS37" i="39"/>
  <c r="BW37" i="39" s="1"/>
  <c r="K38" i="39" a="1"/>
  <c r="K38" i="39" s="1"/>
  <c r="O38" i="39" s="1"/>
  <c r="BR38" i="39"/>
  <c r="BV38" i="39" s="1"/>
  <c r="AN43" i="39"/>
  <c r="AR43" i="39" s="1"/>
  <c r="K45" i="39" a="1"/>
  <c r="K45" i="39" s="1"/>
  <c r="O45" i="39" s="1"/>
  <c r="BR47" i="39"/>
  <c r="BV47" i="39" s="1"/>
  <c r="BC48" i="39"/>
  <c r="BG48" i="39" s="1"/>
  <c r="K52" i="39" a="1"/>
  <c r="K52" i="39" s="1"/>
  <c r="AN53" i="39"/>
  <c r="AR53" i="39" s="1"/>
  <c r="BS53" i="39"/>
  <c r="BW53" i="39" s="1"/>
  <c r="BR54" i="39"/>
  <c r="BV54" i="39" s="1"/>
  <c r="BD55" i="39"/>
  <c r="BH55" i="39" s="1"/>
  <c r="AO56" i="39"/>
  <c r="AS56" i="39" s="1"/>
  <c r="AN57" i="39"/>
  <c r="AR57" i="39" s="1"/>
  <c r="BS57" i="39"/>
  <c r="BW57" i="39" s="1"/>
  <c r="AO59" i="39"/>
  <c r="AS59" i="39" s="1"/>
  <c r="BR60" i="39"/>
  <c r="BV60" i="39" s="1"/>
  <c r="BD62" i="39"/>
  <c r="BH62" i="39" s="1"/>
  <c r="AO63" i="39"/>
  <c r="AS63" i="39" s="1"/>
  <c r="L65" i="39" a="1"/>
  <c r="L65" i="39" s="1"/>
  <c r="P65" i="39" s="1"/>
  <c r="Y65" i="39" s="1"/>
  <c r="BC65" i="39"/>
  <c r="BG65" i="39" s="1"/>
  <c r="BS67" i="39"/>
  <c r="BW67" i="39" s="1"/>
  <c r="BR68" i="39"/>
  <c r="BV68" i="39" s="1"/>
  <c r="BC69" i="39"/>
  <c r="BG69" i="39" s="1"/>
  <c r="AN71" i="39"/>
  <c r="AR71" i="39" s="1"/>
  <c r="AN75" i="39"/>
  <c r="AR75" i="39" s="1"/>
  <c r="BC77" i="39"/>
  <c r="BG77" i="39" s="1"/>
  <c r="AN78" i="39"/>
  <c r="AR78" i="39" s="1"/>
  <c r="BS78" i="39"/>
  <c r="BW78" i="39" s="1"/>
  <c r="L85" i="39" a="1"/>
  <c r="L85" i="39" s="1"/>
  <c r="P85" i="39" s="1"/>
  <c r="K87" i="39" a="1"/>
  <c r="K87" i="39" s="1"/>
  <c r="K125" i="39" a="1"/>
  <c r="K125" i="39" s="1"/>
  <c r="O125" i="39" s="1"/>
  <c r="AN45" i="39"/>
  <c r="AR45" i="39" s="1"/>
  <c r="AN49" i="39"/>
  <c r="AR49" i="39" s="1"/>
  <c r="BR63" i="39"/>
  <c r="BV63" i="39" s="1"/>
  <c r="BD68" i="39"/>
  <c r="BH68" i="39" s="1"/>
  <c r="AN74" i="39"/>
  <c r="AR74" i="39" s="1"/>
  <c r="D21" i="3"/>
  <c r="BS38" i="39"/>
  <c r="BW38" i="39" s="1"/>
  <c r="BS39" i="39"/>
  <c r="BW39" i="39" s="1"/>
  <c r="BS44" i="39"/>
  <c r="BW44" i="39" s="1"/>
  <c r="BD46" i="39"/>
  <c r="BH46" i="39" s="1"/>
  <c r="AO47" i="39"/>
  <c r="AS47" i="39" s="1"/>
  <c r="BS47" i="39"/>
  <c r="BW47" i="39" s="1"/>
  <c r="BD48" i="39"/>
  <c r="BH48" i="39" s="1"/>
  <c r="BC49" i="39"/>
  <c r="BG49" i="39" s="1"/>
  <c r="BR51" i="39"/>
  <c r="BV51" i="39" s="1"/>
  <c r="BC52" i="39"/>
  <c r="BG52" i="39" s="1"/>
  <c r="BS54" i="39"/>
  <c r="BW54" i="39" s="1"/>
  <c r="AO57" i="39"/>
  <c r="AS57" i="39" s="1"/>
  <c r="BR58" i="39"/>
  <c r="BV58" i="39" s="1"/>
  <c r="BS60" i="39"/>
  <c r="BW60" i="39" s="1"/>
  <c r="BR61" i="39"/>
  <c r="BV61" i="39" s="1"/>
  <c r="BR64" i="39"/>
  <c r="BV64" i="39" s="1"/>
  <c r="BD65" i="39"/>
  <c r="BH65" i="39" s="1"/>
  <c r="BC66" i="39"/>
  <c r="BG66" i="39" s="1"/>
  <c r="AN67" i="39"/>
  <c r="AR67" i="39" s="1"/>
  <c r="BS68" i="39"/>
  <c r="BW68" i="39" s="1"/>
  <c r="BD69" i="39"/>
  <c r="BH69" i="39" s="1"/>
  <c r="BC70" i="39"/>
  <c r="BG70" i="39" s="1"/>
  <c r="AO71" i="39"/>
  <c r="AS71" i="39" s="1"/>
  <c r="BR72" i="39"/>
  <c r="BV72" i="39" s="1"/>
  <c r="BC74" i="39"/>
  <c r="BG74" i="39" s="1"/>
  <c r="AO75" i="39"/>
  <c r="AS75" i="39" s="1"/>
  <c r="BR76" i="39"/>
  <c r="BV76" i="39" s="1"/>
  <c r="BD77" i="39"/>
  <c r="BH77" i="39" s="1"/>
  <c r="AO78" i="39"/>
  <c r="AS78" i="39" s="1"/>
  <c r="BR43" i="39"/>
  <c r="BV43" i="39" s="1"/>
  <c r="BC45" i="39"/>
  <c r="BG45" i="39" s="1"/>
  <c r="BD49" i="39"/>
  <c r="BH49" i="39" s="1"/>
  <c r="BC50" i="39"/>
  <c r="BG50" i="39" s="1"/>
  <c r="AN51" i="39"/>
  <c r="AR51" i="39" s="1"/>
  <c r="BS51" i="39"/>
  <c r="BW51" i="39" s="1"/>
  <c r="AN54" i="39"/>
  <c r="AR54" i="39" s="1"/>
  <c r="BR55" i="39"/>
  <c r="BV55" i="39" s="1"/>
  <c r="K56" i="39" a="1"/>
  <c r="K56" i="39" s="1"/>
  <c r="O56" i="39" s="1"/>
  <c r="X56" i="39" s="1"/>
  <c r="BC56" i="39"/>
  <c r="BG56" i="39" s="1"/>
  <c r="AN58" i="39"/>
  <c r="AR58" i="39" s="1"/>
  <c r="BS58" i="39"/>
  <c r="BW58" i="39" s="1"/>
  <c r="BC59" i="39"/>
  <c r="BG59" i="39" s="1"/>
  <c r="AN60" i="39"/>
  <c r="AR60" i="39" s="1"/>
  <c r="BS61" i="39"/>
  <c r="BW61" i="39" s="1"/>
  <c r="BR62" i="39"/>
  <c r="BV62" i="39" s="1"/>
  <c r="K63" i="39" a="1"/>
  <c r="K63" i="39" s="1"/>
  <c r="O63" i="39" s="1"/>
  <c r="X63" i="39" s="1"/>
  <c r="AN64" i="39"/>
  <c r="AR64" i="39" s="1"/>
  <c r="BS64" i="39"/>
  <c r="BW64" i="39" s="1"/>
  <c r="BD66" i="39"/>
  <c r="BH66" i="39" s="1"/>
  <c r="AO67" i="39"/>
  <c r="AS67" i="39" s="1"/>
  <c r="AN68" i="39"/>
  <c r="AR68" i="39" s="1"/>
  <c r="BD70" i="39"/>
  <c r="BH70" i="39" s="1"/>
  <c r="AN72" i="39"/>
  <c r="AR72" i="39" s="1"/>
  <c r="BS72" i="39"/>
  <c r="BW72" i="39" s="1"/>
  <c r="BR73" i="39"/>
  <c r="BV73" i="39" s="1"/>
  <c r="BD74" i="39"/>
  <c r="BH74" i="39" s="1"/>
  <c r="BS76" i="39"/>
  <c r="BW76" i="39" s="1"/>
  <c r="BS79" i="39"/>
  <c r="BW79" i="39" s="1"/>
  <c r="BC80" i="39"/>
  <c r="BG80" i="39" s="1"/>
  <c r="K107" i="39" a="1"/>
  <c r="K107" i="39" s="1"/>
  <c r="L118" i="39" a="1"/>
  <c r="L118" i="39" s="1"/>
  <c r="P118" i="39" s="1"/>
  <c r="K120" i="39" a="1"/>
  <c r="K120" i="39" s="1"/>
  <c r="O120" i="39" s="1"/>
  <c r="BR45" i="39"/>
  <c r="BV45" i="39" s="1"/>
  <c r="AN50" i="39"/>
  <c r="AR50" i="39" s="1"/>
  <c r="AO52" i="39"/>
  <c r="AS52" i="39" s="1"/>
  <c r="BD54" i="39"/>
  <c r="BH54" i="39" s="1"/>
  <c r="AN70" i="39"/>
  <c r="AR70" i="39" s="1"/>
  <c r="K18" i="39" a="1"/>
  <c r="K18" i="39" s="1"/>
  <c r="O18" i="39" s="1"/>
  <c r="BC40" i="39"/>
  <c r="BG40" i="39" s="1"/>
  <c r="BD41" i="39"/>
  <c r="BH41" i="39" s="1"/>
  <c r="BR42" i="39"/>
  <c r="BV42" i="39" s="1"/>
  <c r="BR48" i="39"/>
  <c r="BV48" i="39" s="1"/>
  <c r="BD50" i="39"/>
  <c r="BH50" i="39" s="1"/>
  <c r="AO51" i="39"/>
  <c r="AS51" i="39" s="1"/>
  <c r="AO54" i="39"/>
  <c r="AS54" i="39" s="1"/>
  <c r="BS55" i="39"/>
  <c r="BW55" i="39" s="1"/>
  <c r="BD56" i="39"/>
  <c r="BH56" i="39" s="1"/>
  <c r="BC57" i="39"/>
  <c r="BG57" i="39" s="1"/>
  <c r="BD59" i="39"/>
  <c r="BH59" i="39" s="1"/>
  <c r="AO60" i="39"/>
  <c r="AS60" i="39" s="1"/>
  <c r="AN61" i="39"/>
  <c r="AR61" i="39" s="1"/>
  <c r="AN62" i="39"/>
  <c r="AR62" i="39" s="1"/>
  <c r="BS62" i="39"/>
  <c r="BW62" i="39" s="1"/>
  <c r="BC63" i="39"/>
  <c r="BG63" i="39" s="1"/>
  <c r="AO64" i="39"/>
  <c r="AS64" i="39" s="1"/>
  <c r="BR65" i="39"/>
  <c r="BV65" i="39" s="1"/>
  <c r="AO68" i="39"/>
  <c r="AS68" i="39" s="1"/>
  <c r="BR69" i="39"/>
  <c r="BV69" i="39" s="1"/>
  <c r="BC71" i="39"/>
  <c r="BG71" i="39" s="1"/>
  <c r="AO72" i="39"/>
  <c r="AS72" i="39" s="1"/>
  <c r="AN73" i="39"/>
  <c r="AR73" i="39" s="1"/>
  <c r="BS73" i="39"/>
  <c r="BW73" i="39" s="1"/>
  <c r="BC75" i="39"/>
  <c r="BG75" i="39" s="1"/>
  <c r="AN76" i="39"/>
  <c r="AR76" i="39" s="1"/>
  <c r="BR77" i="39"/>
  <c r="BV77" i="39" s="1"/>
  <c r="AN79" i="39"/>
  <c r="AR79" i="39" s="1"/>
  <c r="BD39" i="39"/>
  <c r="BH39" i="39" s="1"/>
  <c r="BD40" i="39"/>
  <c r="BH40" i="39" s="1"/>
  <c r="AO42" i="39"/>
  <c r="AS42" i="39" s="1"/>
  <c r="AN46" i="39"/>
  <c r="AR46" i="39" s="1"/>
  <c r="BR46" i="39"/>
  <c r="BV46" i="39" s="1"/>
  <c r="BC47" i="39"/>
  <c r="BG47" i="39" s="1"/>
  <c r="AN48" i="39"/>
  <c r="AR48" i="39" s="1"/>
  <c r="BS48" i="39"/>
  <c r="BW48" i="39" s="1"/>
  <c r="BR49" i="39"/>
  <c r="BV49" i="39" s="1"/>
  <c r="BC53" i="39"/>
  <c r="BG53" i="39" s="1"/>
  <c r="AN55" i="39"/>
  <c r="AR55" i="39" s="1"/>
  <c r="AO61" i="39"/>
  <c r="AS61" i="39" s="1"/>
  <c r="AO62" i="39"/>
  <c r="AS62" i="39" s="1"/>
  <c r="BD63" i="39"/>
  <c r="BH63" i="39" s="1"/>
  <c r="AN65" i="39"/>
  <c r="AR65" i="39" s="1"/>
  <c r="BS65" i="39"/>
  <c r="BW65" i="39" s="1"/>
  <c r="BR66" i="39"/>
  <c r="BV66" i="39" s="1"/>
  <c r="BC67" i="39"/>
  <c r="BG67" i="39" s="1"/>
  <c r="AN69" i="39"/>
  <c r="AR69" i="39" s="1"/>
  <c r="BS69" i="39"/>
  <c r="BW69" i="39" s="1"/>
  <c r="BR70" i="39"/>
  <c r="BV70" i="39" s="1"/>
  <c r="BD71" i="39"/>
  <c r="BH71" i="39" s="1"/>
  <c r="AO73" i="39"/>
  <c r="AS73" i="39" s="1"/>
  <c r="BR74" i="39"/>
  <c r="BV74" i="39" s="1"/>
  <c r="BD75" i="39"/>
  <c r="BH75" i="39" s="1"/>
  <c r="AO76" i="39"/>
  <c r="AS76" i="39" s="1"/>
  <c r="AN77" i="39"/>
  <c r="AR77" i="39" s="1"/>
  <c r="BS77" i="39"/>
  <c r="BW77" i="39" s="1"/>
  <c r="BC78" i="39"/>
  <c r="BG78" i="39" s="1"/>
  <c r="AO79" i="39"/>
  <c r="AS79" i="39" s="1"/>
  <c r="BC51" i="39"/>
  <c r="BG51" i="39" s="1"/>
  <c r="AN66" i="39"/>
  <c r="AR66" i="39" s="1"/>
  <c r="BC72" i="39"/>
  <c r="BG72" i="39" s="1"/>
  <c r="BR75" i="39"/>
  <c r="BV75" i="39" s="1"/>
  <c r="BC76" i="39"/>
  <c r="BG76" i="39" s="1"/>
  <c r="BC79" i="39"/>
  <c r="BG79" i="39" s="1"/>
  <c r="BC44" i="39"/>
  <c r="BG44" i="39" s="1"/>
  <c r="AN14" i="39"/>
  <c r="BC14" i="39"/>
  <c r="BS46" i="39"/>
  <c r="BW46" i="39" s="1"/>
  <c r="BS49" i="39"/>
  <c r="BW49" i="39" s="1"/>
  <c r="BR50" i="39"/>
  <c r="BV50" i="39" s="1"/>
  <c r="AN52" i="39"/>
  <c r="AR52" i="39" s="1"/>
  <c r="BR52" i="39"/>
  <c r="BV52" i="39" s="1"/>
  <c r="BD53" i="39"/>
  <c r="BH53" i="39" s="1"/>
  <c r="BC54" i="39"/>
  <c r="BG54" i="39" s="1"/>
  <c r="AO55" i="39"/>
  <c r="AS55" i="39" s="1"/>
  <c r="BR56" i="39"/>
  <c r="BV56" i="39" s="1"/>
  <c r="BR59" i="39"/>
  <c r="BV59" i="39" s="1"/>
  <c r="BC60" i="39"/>
  <c r="BG60" i="39" s="1"/>
  <c r="AO65" i="39"/>
  <c r="AS65" i="39" s="1"/>
  <c r="BS66" i="39"/>
  <c r="BW66" i="39" s="1"/>
  <c r="BD67" i="39"/>
  <c r="BH67" i="39" s="1"/>
  <c r="BC68" i="39"/>
  <c r="BG68" i="39" s="1"/>
  <c r="AO69" i="39"/>
  <c r="AS69" i="39" s="1"/>
  <c r="BS70" i="39"/>
  <c r="BW70" i="39" s="1"/>
  <c r="BS74" i="39"/>
  <c r="BW74" i="39" s="1"/>
  <c r="AO77" i="39"/>
  <c r="AS77" i="39" s="1"/>
  <c r="L94" i="39" a="1"/>
  <c r="L94" i="39" s="1"/>
  <c r="K123" i="39" a="1"/>
  <c r="K123" i="39" s="1"/>
  <c r="O123" i="39" s="1"/>
  <c r="T14" i="38"/>
  <c r="BS15" i="38"/>
  <c r="AO17" i="38"/>
  <c r="AS17" i="38" s="1"/>
  <c r="BR18" i="38"/>
  <c r="BV18" i="38" s="1"/>
  <c r="BD20" i="38"/>
  <c r="BH20" i="38" s="1"/>
  <c r="BC24" i="38"/>
  <c r="BG24" i="38" s="1"/>
  <c r="AO25" i="38"/>
  <c r="AS25" i="38" s="1"/>
  <c r="BC29" i="38"/>
  <c r="BG29" i="38" s="1"/>
  <c r="BD31" i="38"/>
  <c r="BH31" i="38" s="1"/>
  <c r="BC36" i="38"/>
  <c r="BG36" i="38" s="1"/>
  <c r="AN37" i="38"/>
  <c r="AR37" i="38" s="1"/>
  <c r="BD40" i="38"/>
  <c r="BH40" i="38" s="1"/>
  <c r="BC41" i="38"/>
  <c r="BG41" i="38" s="1"/>
  <c r="BC45" i="38"/>
  <c r="BG45" i="38" s="1"/>
  <c r="AN46" i="38"/>
  <c r="AR46" i="38" s="1"/>
  <c r="AO47" i="38"/>
  <c r="AS47" i="38" s="1"/>
  <c r="L48" i="38" a="1"/>
  <c r="L48" i="38" s="1"/>
  <c r="P48" i="38" s="1"/>
  <c r="Y48" i="38" s="1"/>
  <c r="BC48" i="38"/>
  <c r="BG48" i="38" s="1"/>
  <c r="AN50" i="38"/>
  <c r="AR50" i="38" s="1"/>
  <c r="BC53" i="38"/>
  <c r="BG53" i="38" s="1"/>
  <c r="AN54" i="38"/>
  <c r="AR54" i="38" s="1"/>
  <c r="AN55" i="38"/>
  <c r="AR55" i="38" s="1"/>
  <c r="BC57" i="38"/>
  <c r="BG57" i="38" s="1"/>
  <c r="AO58" i="38"/>
  <c r="AS58" i="38" s="1"/>
  <c r="BD63" i="38"/>
  <c r="BH63" i="38" s="1"/>
  <c r="L70" i="38" a="1"/>
  <c r="L70" i="38" s="1"/>
  <c r="P70" i="38" s="1"/>
  <c r="Y70" i="38" s="1"/>
  <c r="K70" i="38" a="1"/>
  <c r="K70" i="38" s="1"/>
  <c r="O70" i="38" s="1"/>
  <c r="X70" i="38" s="1"/>
  <c r="BC75" i="38"/>
  <c r="BG75" i="38" s="1"/>
  <c r="BD79" i="38"/>
  <c r="BH79" i="38" s="1"/>
  <c r="BD94" i="38"/>
  <c r="BH94" i="38" s="1"/>
  <c r="AN96" i="38"/>
  <c r="AR96" i="38" s="1"/>
  <c r="BC99" i="38"/>
  <c r="BG99" i="38" s="1"/>
  <c r="BC104" i="38"/>
  <c r="BG104" i="38" s="1"/>
  <c r="BC106" i="38"/>
  <c r="BG106" i="38" s="1"/>
  <c r="BC110" i="38"/>
  <c r="BG110" i="38" s="1"/>
  <c r="BD114" i="38"/>
  <c r="BH114" i="38" s="1"/>
  <c r="BR110" i="38"/>
  <c r="BV110" i="38" s="1"/>
  <c r="BR94" i="38"/>
  <c r="BV94" i="38" s="1"/>
  <c r="BR78" i="38"/>
  <c r="BV78" i="38" s="1"/>
  <c r="BR62" i="38"/>
  <c r="BV62" i="38" s="1"/>
  <c r="BR46" i="38"/>
  <c r="BV46" i="38" s="1"/>
  <c r="BR30" i="38"/>
  <c r="BV30" i="38" s="1"/>
  <c r="D20" i="3"/>
  <c r="BC15" i="38"/>
  <c r="BC16" i="38"/>
  <c r="BG16" i="38" s="1"/>
  <c r="I14" i="38"/>
  <c r="BC17" i="38"/>
  <c r="BG17" i="38" s="1"/>
  <c r="AO18" i="38"/>
  <c r="AS18" i="38" s="1"/>
  <c r="BC21" i="38"/>
  <c r="BG21" i="38" s="1"/>
  <c r="AO22" i="38"/>
  <c r="AS22" i="38" s="1"/>
  <c r="AN23" i="38"/>
  <c r="AR23" i="38" s="1"/>
  <c r="BC25" i="38"/>
  <c r="BG25" i="38" s="1"/>
  <c r="AN26" i="38"/>
  <c r="AR26" i="38" s="1"/>
  <c r="AN27" i="38"/>
  <c r="AR27" i="38" s="1"/>
  <c r="AO30" i="38"/>
  <c r="AS30" i="38" s="1"/>
  <c r="BC32" i="38"/>
  <c r="BG32" i="38" s="1"/>
  <c r="AO33" i="38"/>
  <c r="AS33" i="38" s="1"/>
  <c r="AN35" i="38"/>
  <c r="AR35" i="38" s="1"/>
  <c r="BC38" i="38"/>
  <c r="BG38" i="38" s="1"/>
  <c r="AO39" i="38"/>
  <c r="AS39" i="38" s="1"/>
  <c r="AO42" i="38"/>
  <c r="AS42" i="38" s="1"/>
  <c r="AO43" i="38"/>
  <c r="AS43" i="38" s="1"/>
  <c r="AN44" i="38"/>
  <c r="AR44" i="38" s="1"/>
  <c r="BD49" i="38"/>
  <c r="BH49" i="38" s="1"/>
  <c r="AN51" i="38"/>
  <c r="AR51" i="38" s="1"/>
  <c r="AN52" i="38"/>
  <c r="AR52" i="38" s="1"/>
  <c r="AN56" i="38"/>
  <c r="AR56" i="38" s="1"/>
  <c r="AO59" i="38"/>
  <c r="AS59" i="38" s="1"/>
  <c r="AN60" i="38"/>
  <c r="AR60" i="38" s="1"/>
  <c r="BD61" i="38"/>
  <c r="BH61" i="38" s="1"/>
  <c r="BD62" i="38"/>
  <c r="BH62" i="38" s="1"/>
  <c r="AN65" i="38"/>
  <c r="AR65" i="38" s="1"/>
  <c r="BC98" i="38"/>
  <c r="BG98" i="38" s="1"/>
  <c r="AN100" i="38"/>
  <c r="AR100" i="38" s="1"/>
  <c r="AO103" i="38"/>
  <c r="AS103" i="38" s="1"/>
  <c r="AO111" i="38"/>
  <c r="AS111" i="38" s="1"/>
  <c r="BR106" i="38"/>
  <c r="BV106" i="38" s="1"/>
  <c r="BR90" i="38"/>
  <c r="BV90" i="38" s="1"/>
  <c r="BR74" i="38"/>
  <c r="BV74" i="38" s="1"/>
  <c r="BR58" i="38"/>
  <c r="BV58" i="38" s="1"/>
  <c r="BR42" i="38"/>
  <c r="BV42" i="38" s="1"/>
  <c r="BR26" i="38"/>
  <c r="BV26" i="38" s="1"/>
  <c r="BD15" i="38"/>
  <c r="BD16" i="38"/>
  <c r="BH16" i="38" s="1"/>
  <c r="BD17" i="38"/>
  <c r="BH17" i="38" s="1"/>
  <c r="AN19" i="38"/>
  <c r="AR19" i="38" s="1"/>
  <c r="BD21" i="38"/>
  <c r="BH21" i="38" s="1"/>
  <c r="AO23" i="38"/>
  <c r="AS23" i="38" s="1"/>
  <c r="BD25" i="38"/>
  <c r="BH25" i="38" s="1"/>
  <c r="AO26" i="38"/>
  <c r="AS26" i="38" s="1"/>
  <c r="AO27" i="38"/>
  <c r="AS27" i="38" s="1"/>
  <c r="AN28" i="38"/>
  <c r="AR28" i="38" s="1"/>
  <c r="AN31" i="38"/>
  <c r="AR31" i="38" s="1"/>
  <c r="BD32" i="38"/>
  <c r="BH32" i="38" s="1"/>
  <c r="AN34" i="38"/>
  <c r="AR34" i="38" s="1"/>
  <c r="AO35" i="38"/>
  <c r="AS35" i="38" s="1"/>
  <c r="BD38" i="38"/>
  <c r="BH38" i="38" s="1"/>
  <c r="AO44" i="38"/>
  <c r="AS44" i="38" s="1"/>
  <c r="BC46" i="38"/>
  <c r="BG46" i="38" s="1"/>
  <c r="BC50" i="38"/>
  <c r="BG50" i="38" s="1"/>
  <c r="AO51" i="38"/>
  <c r="AS51" i="38" s="1"/>
  <c r="AO52" i="38"/>
  <c r="AS52" i="38" s="1"/>
  <c r="AO56" i="38"/>
  <c r="AS56" i="38" s="1"/>
  <c r="BC58" i="38"/>
  <c r="BG58" i="38" s="1"/>
  <c r="AO60" i="38"/>
  <c r="AS60" i="38" s="1"/>
  <c r="AN71" i="38"/>
  <c r="AR71" i="38" s="1"/>
  <c r="BD74" i="38"/>
  <c r="BH74" i="38" s="1"/>
  <c r="AN76" i="38"/>
  <c r="AR76" i="38" s="1"/>
  <c r="BC80" i="38"/>
  <c r="BG80" i="38" s="1"/>
  <c r="BC82" i="38"/>
  <c r="BG82" i="38" s="1"/>
  <c r="AO95" i="38"/>
  <c r="AS95" i="38" s="1"/>
  <c r="BD98" i="38"/>
  <c r="BH98" i="38" s="1"/>
  <c r="AO100" i="38"/>
  <c r="AS100" i="38" s="1"/>
  <c r="BC115" i="38"/>
  <c r="BG115" i="38" s="1"/>
  <c r="BS105" i="38"/>
  <c r="BW105" i="38" s="1"/>
  <c r="BS89" i="38"/>
  <c r="BW89" i="38" s="1"/>
  <c r="BS73" i="38"/>
  <c r="BW73" i="38" s="1"/>
  <c r="BS57" i="38"/>
  <c r="BW57" i="38" s="1"/>
  <c r="BS41" i="38"/>
  <c r="BW41" i="38" s="1"/>
  <c r="BS25" i="38"/>
  <c r="BW25" i="38" s="1"/>
  <c r="BC18" i="38"/>
  <c r="BG18" i="38" s="1"/>
  <c r="AO19" i="38"/>
  <c r="AS19" i="38" s="1"/>
  <c r="AN20" i="38"/>
  <c r="AR20" i="38" s="1"/>
  <c r="AO28" i="38"/>
  <c r="AS28" i="38" s="1"/>
  <c r="AN29" i="38"/>
  <c r="AR29" i="38" s="1"/>
  <c r="AO31" i="38"/>
  <c r="AS31" i="38" s="1"/>
  <c r="AO34" i="38"/>
  <c r="AS34" i="38" s="1"/>
  <c r="AN36" i="38"/>
  <c r="AR36" i="38" s="1"/>
  <c r="AN40" i="38"/>
  <c r="AR40" i="38" s="1"/>
  <c r="BC42" i="38"/>
  <c r="BG42" i="38" s="1"/>
  <c r="BC43" i="38"/>
  <c r="BG43" i="38" s="1"/>
  <c r="BD46" i="38"/>
  <c r="BH46" i="38" s="1"/>
  <c r="BC47" i="38"/>
  <c r="BG47" i="38" s="1"/>
  <c r="AN48" i="38"/>
  <c r="AR48" i="38" s="1"/>
  <c r="BD50" i="38"/>
  <c r="BH50" i="38" s="1"/>
  <c r="AN53" i="38"/>
  <c r="AR53" i="38" s="1"/>
  <c r="BC54" i="38"/>
  <c r="BG54" i="38" s="1"/>
  <c r="BC55" i="38"/>
  <c r="BG55" i="38" s="1"/>
  <c r="AN57" i="38"/>
  <c r="AR57" i="38" s="1"/>
  <c r="BD58" i="38"/>
  <c r="BH58" i="38" s="1"/>
  <c r="AN61" i="38"/>
  <c r="AR61" i="38" s="1"/>
  <c r="AN64" i="38"/>
  <c r="AR64" i="38" s="1"/>
  <c r="AN68" i="38"/>
  <c r="AR68" i="38" s="1"/>
  <c r="BD69" i="38"/>
  <c r="BH69" i="38" s="1"/>
  <c r="L71" i="38" a="1"/>
  <c r="L71" i="38" s="1"/>
  <c r="P71" i="38" s="1"/>
  <c r="Y71" i="38" s="1"/>
  <c r="K71" i="38" a="1"/>
  <c r="K71" i="38" s="1"/>
  <c r="O71" i="38" s="1"/>
  <c r="X71" i="38" s="1"/>
  <c r="L76" i="38" a="1"/>
  <c r="L76" i="38" s="1"/>
  <c r="P76" i="38" s="1"/>
  <c r="Y76" i="38" s="1"/>
  <c r="K76" i="38" a="1"/>
  <c r="K76" i="38" s="1"/>
  <c r="O76" i="38" s="1"/>
  <c r="X76" i="38" s="1"/>
  <c r="BD78" i="38"/>
  <c r="BH78" i="38" s="1"/>
  <c r="AN85" i="38"/>
  <c r="AR85" i="38" s="1"/>
  <c r="BC87" i="38"/>
  <c r="BG87" i="38" s="1"/>
  <c r="BC91" i="38"/>
  <c r="BG91" i="38" s="1"/>
  <c r="BC105" i="38"/>
  <c r="BG105" i="38" s="1"/>
  <c r="BC107" i="38"/>
  <c r="BG107" i="38" s="1"/>
  <c r="L109" i="38" a="1"/>
  <c r="L109" i="38" s="1"/>
  <c r="P109" i="38" s="1"/>
  <c r="Y109" i="38" s="1"/>
  <c r="K109" i="38" a="1"/>
  <c r="K109" i="38" s="1"/>
  <c r="O109" i="38" s="1"/>
  <c r="X109" i="38" s="1"/>
  <c r="BD109" i="38"/>
  <c r="BH109" i="38" s="1"/>
  <c r="BD113" i="38"/>
  <c r="BH113" i="38" s="1"/>
  <c r="BR102" i="38"/>
  <c r="BV102" i="38" s="1"/>
  <c r="BR86" i="38"/>
  <c r="BV86" i="38" s="1"/>
  <c r="BR70" i="38"/>
  <c r="BV70" i="38" s="1"/>
  <c r="BR54" i="38"/>
  <c r="BV54" i="38" s="1"/>
  <c r="BR38" i="38"/>
  <c r="BV38" i="38" s="1"/>
  <c r="BR22" i="38"/>
  <c r="BV22" i="38" s="1"/>
  <c r="AN15" i="38"/>
  <c r="AN16" i="38"/>
  <c r="AR16" i="38" s="1"/>
  <c r="BR16" i="38"/>
  <c r="BV16" i="38" s="1"/>
  <c r="L18" i="38" a="1"/>
  <c r="L18" i="38" s="1"/>
  <c r="P18" i="38" s="1"/>
  <c r="Y18" i="38" s="1"/>
  <c r="BD18" i="38"/>
  <c r="BH18" i="38" s="1"/>
  <c r="AO20" i="38"/>
  <c r="AS20" i="38" s="1"/>
  <c r="BC22" i="38"/>
  <c r="BG22" i="38" s="1"/>
  <c r="AN24" i="38"/>
  <c r="AR24" i="38" s="1"/>
  <c r="K26" i="38" a="1"/>
  <c r="K26" i="38" s="1"/>
  <c r="BC26" i="38"/>
  <c r="BG26" i="38" s="1"/>
  <c r="BC27" i="38"/>
  <c r="BG27" i="38" s="1"/>
  <c r="AO29" i="38"/>
  <c r="AS29" i="38" s="1"/>
  <c r="BC30" i="38"/>
  <c r="BG30" i="38" s="1"/>
  <c r="BC33" i="38"/>
  <c r="BG33" i="38" s="1"/>
  <c r="BC35" i="38"/>
  <c r="BG35" i="38" s="1"/>
  <c r="AO36" i="38"/>
  <c r="AS36" i="38" s="1"/>
  <c r="BC37" i="38"/>
  <c r="BG37" i="38" s="1"/>
  <c r="AN38" i="38"/>
  <c r="AR38" i="38" s="1"/>
  <c r="AO40" i="38"/>
  <c r="AS40" i="38" s="1"/>
  <c r="AN41" i="38"/>
  <c r="AR41" i="38" s="1"/>
  <c r="BD42" i="38"/>
  <c r="BH42" i="38" s="1"/>
  <c r="L43" i="38" a="1"/>
  <c r="L43" i="38" s="1"/>
  <c r="P43" i="38" s="1"/>
  <c r="Y43" i="38" s="1"/>
  <c r="BD43" i="38"/>
  <c r="BH43" i="38" s="1"/>
  <c r="BC44" i="38"/>
  <c r="BG44" i="38" s="1"/>
  <c r="AN45" i="38"/>
  <c r="AR45" i="38" s="1"/>
  <c r="BD47" i="38"/>
  <c r="BH47" i="38" s="1"/>
  <c r="AO48" i="38"/>
  <c r="AS48" i="38" s="1"/>
  <c r="BC51" i="38"/>
  <c r="BG51" i="38" s="1"/>
  <c r="BC52" i="38"/>
  <c r="BG52" i="38" s="1"/>
  <c r="AO53" i="38"/>
  <c r="AS53" i="38" s="1"/>
  <c r="BD54" i="38"/>
  <c r="BH54" i="38" s="1"/>
  <c r="BD55" i="38"/>
  <c r="BH55" i="38" s="1"/>
  <c r="BC56" i="38"/>
  <c r="BG56" i="38" s="1"/>
  <c r="AO57" i="38"/>
  <c r="AS57" i="38" s="1"/>
  <c r="BC59" i="38"/>
  <c r="BG59" i="38" s="1"/>
  <c r="AO61" i="38"/>
  <c r="AS61" i="38" s="1"/>
  <c r="AO63" i="38"/>
  <c r="AS63" i="38" s="1"/>
  <c r="BC76" i="38"/>
  <c r="BG76" i="38" s="1"/>
  <c r="AN81" i="38"/>
  <c r="AR81" i="38" s="1"/>
  <c r="L85" i="38" a="1"/>
  <c r="L85" i="38" s="1"/>
  <c r="P85" i="38" s="1"/>
  <c r="Y85" i="38" s="1"/>
  <c r="K85" i="38" a="1"/>
  <c r="K85" i="38" s="1"/>
  <c r="BD87" i="38"/>
  <c r="BH87" i="38" s="1"/>
  <c r="BD89" i="38"/>
  <c r="BH89" i="38" s="1"/>
  <c r="BC102" i="38"/>
  <c r="BG102" i="38" s="1"/>
  <c r="BD105" i="38"/>
  <c r="BH105" i="38" s="1"/>
  <c r="BD107" i="38"/>
  <c r="BH107" i="38" s="1"/>
  <c r="AN112" i="38"/>
  <c r="AR112" i="38" s="1"/>
  <c r="BS101" i="38"/>
  <c r="BW101" i="38" s="1"/>
  <c r="BS85" i="38"/>
  <c r="BW85" i="38" s="1"/>
  <c r="BS69" i="38"/>
  <c r="BW69" i="38" s="1"/>
  <c r="BS53" i="38"/>
  <c r="BW53" i="38" s="1"/>
  <c r="BS37" i="38"/>
  <c r="BW37" i="38" s="1"/>
  <c r="BS21" i="38"/>
  <c r="BW21" i="38" s="1"/>
  <c r="AO15" i="38"/>
  <c r="AO16" i="38"/>
  <c r="AS16" i="38" s="1"/>
  <c r="BS16" i="38"/>
  <c r="BW16" i="38" s="1"/>
  <c r="BR17" i="38"/>
  <c r="BV17" i="38" s="1"/>
  <c r="BC19" i="38"/>
  <c r="BG19" i="38" s="1"/>
  <c r="AN21" i="38"/>
  <c r="AR21" i="38" s="1"/>
  <c r="BD22" i="38"/>
  <c r="BH22" i="38" s="1"/>
  <c r="BC23" i="38"/>
  <c r="BG23" i="38" s="1"/>
  <c r="AO24" i="38"/>
  <c r="AS24" i="38" s="1"/>
  <c r="BD26" i="38"/>
  <c r="BH26" i="38" s="1"/>
  <c r="BD27" i="38"/>
  <c r="BH27" i="38" s="1"/>
  <c r="BC28" i="38"/>
  <c r="BG28" i="38" s="1"/>
  <c r="BD30" i="38"/>
  <c r="BH30" i="38" s="1"/>
  <c r="AN32" i="38"/>
  <c r="AR32" i="38" s="1"/>
  <c r="BD33" i="38"/>
  <c r="BH33" i="38" s="1"/>
  <c r="BC34" i="38"/>
  <c r="BG34" i="38" s="1"/>
  <c r="BD35" i="38"/>
  <c r="BH35" i="38" s="1"/>
  <c r="BD37" i="38"/>
  <c r="BH37" i="38" s="1"/>
  <c r="AO38" i="38"/>
  <c r="AS38" i="38" s="1"/>
  <c r="BC39" i="38"/>
  <c r="BG39" i="38" s="1"/>
  <c r="AO41" i="38"/>
  <c r="AS41" i="38" s="1"/>
  <c r="BD44" i="38"/>
  <c r="BH44" i="38" s="1"/>
  <c r="AO45" i="38"/>
  <c r="AS45" i="38" s="1"/>
  <c r="AN49" i="38"/>
  <c r="AR49" i="38" s="1"/>
  <c r="BD51" i="38"/>
  <c r="BH51" i="38" s="1"/>
  <c r="BD52" i="38"/>
  <c r="BH52" i="38" s="1"/>
  <c r="BD56" i="38"/>
  <c r="BH56" i="38" s="1"/>
  <c r="BD59" i="38"/>
  <c r="BH59" i="38" s="1"/>
  <c r="BC60" i="38"/>
  <c r="BG60" i="38" s="1"/>
  <c r="AN62" i="38"/>
  <c r="AR62" i="38" s="1"/>
  <c r="AN67" i="38"/>
  <c r="AR67" i="38" s="1"/>
  <c r="BC73" i="38"/>
  <c r="BG73" i="38" s="1"/>
  <c r="L81" i="38" a="1"/>
  <c r="L81" i="38" s="1"/>
  <c r="P81" i="38" s="1"/>
  <c r="Y81" i="38" s="1"/>
  <c r="K81" i="38" a="1"/>
  <c r="K81" i="38" s="1"/>
  <c r="O81" i="38" s="1"/>
  <c r="X81" i="38" s="1"/>
  <c r="BC83" i="38"/>
  <c r="BG83" i="38" s="1"/>
  <c r="AN92" i="38"/>
  <c r="AR92" i="38" s="1"/>
  <c r="BD97" i="38"/>
  <c r="BH97" i="38" s="1"/>
  <c r="BR114" i="38"/>
  <c r="BV114" i="38" s="1"/>
  <c r="BR98" i="38"/>
  <c r="BV98" i="38" s="1"/>
  <c r="BR82" i="38"/>
  <c r="BV82" i="38" s="1"/>
  <c r="BR66" i="38"/>
  <c r="BV66" i="38" s="1"/>
  <c r="BR50" i="38"/>
  <c r="BV50" i="38" s="1"/>
  <c r="P28" i="38"/>
  <c r="Y28" i="38" s="1"/>
  <c r="BS22" i="38"/>
  <c r="BW22" i="38" s="1"/>
  <c r="BS26" i="38"/>
  <c r="BW26" i="38" s="1"/>
  <c r="BS30" i="38"/>
  <c r="BW30" i="38" s="1"/>
  <c r="BS34" i="38"/>
  <c r="BW34" i="38" s="1"/>
  <c r="BS38" i="38"/>
  <c r="BW38" i="38" s="1"/>
  <c r="BS42" i="38"/>
  <c r="BW42" i="38" s="1"/>
  <c r="BS46" i="38"/>
  <c r="BW46" i="38" s="1"/>
  <c r="BS50" i="38"/>
  <c r="BW50" i="38" s="1"/>
  <c r="BS54" i="38"/>
  <c r="BW54" i="38" s="1"/>
  <c r="BS58" i="38"/>
  <c r="BW58" i="38" s="1"/>
  <c r="BS62" i="38"/>
  <c r="BW62" i="38" s="1"/>
  <c r="BS66" i="38"/>
  <c r="BW66" i="38" s="1"/>
  <c r="BS70" i="38"/>
  <c r="BW70" i="38" s="1"/>
  <c r="BS74" i="38"/>
  <c r="BW74" i="38" s="1"/>
  <c r="BS78" i="38"/>
  <c r="BW78" i="38" s="1"/>
  <c r="BS82" i="38"/>
  <c r="BW82" i="38" s="1"/>
  <c r="BS86" i="38"/>
  <c r="BW86" i="38" s="1"/>
  <c r="BS90" i="38"/>
  <c r="BW90" i="38" s="1"/>
  <c r="BS94" i="38"/>
  <c r="BW94" i="38" s="1"/>
  <c r="BS98" i="38"/>
  <c r="BW98" i="38" s="1"/>
  <c r="BS102" i="38"/>
  <c r="BW102" i="38" s="1"/>
  <c r="BS106" i="38"/>
  <c r="BW106" i="38" s="1"/>
  <c r="BS110" i="38"/>
  <c r="BW110" i="38" s="1"/>
  <c r="BS114" i="38"/>
  <c r="BW114" i="38" s="1"/>
  <c r="BC113" i="38"/>
  <c r="BG113" i="38" s="1"/>
  <c r="AN111" i="38"/>
  <c r="AR111" i="38" s="1"/>
  <c r="BC109" i="38"/>
  <c r="BG109" i="38" s="1"/>
  <c r="AO108" i="38"/>
  <c r="AS108" i="38" s="1"/>
  <c r="BD101" i="38"/>
  <c r="BH101" i="38" s="1"/>
  <c r="AO99" i="38"/>
  <c r="AS99" i="38" s="1"/>
  <c r="BC97" i="38"/>
  <c r="BG97" i="38" s="1"/>
  <c r="AN95" i="38"/>
  <c r="AR95" i="38" s="1"/>
  <c r="BC94" i="38"/>
  <c r="BG94" i="38" s="1"/>
  <c r="AO91" i="38"/>
  <c r="AS91" i="38" s="1"/>
  <c r="AO90" i="38"/>
  <c r="AS90" i="38" s="1"/>
  <c r="BC89" i="38"/>
  <c r="BG89" i="38" s="1"/>
  <c r="AO88" i="38"/>
  <c r="AS88" i="38" s="1"/>
  <c r="BD86" i="38"/>
  <c r="BH86" i="38" s="1"/>
  <c r="AN84" i="38"/>
  <c r="AR84" i="38" s="1"/>
  <c r="AO83" i="38"/>
  <c r="AS83" i="38" s="1"/>
  <c r="BD81" i="38"/>
  <c r="BH81" i="38" s="1"/>
  <c r="BC79" i="38"/>
  <c r="BG79" i="38" s="1"/>
  <c r="BC78" i="38"/>
  <c r="BG78" i="38" s="1"/>
  <c r="BC77" i="38"/>
  <c r="BG77" i="38" s="1"/>
  <c r="BD76" i="38"/>
  <c r="BH76" i="38" s="1"/>
  <c r="BC74" i="38"/>
  <c r="BG74" i="38" s="1"/>
  <c r="BD73" i="38"/>
  <c r="BH73" i="38" s="1"/>
  <c r="AN70" i="38"/>
  <c r="AR70" i="38" s="1"/>
  <c r="BC69" i="38"/>
  <c r="BG69" i="38" s="1"/>
  <c r="AO67" i="38"/>
  <c r="AS67" i="38" s="1"/>
  <c r="BC66" i="38"/>
  <c r="BG66" i="38" s="1"/>
  <c r="AO64" i="38"/>
  <c r="AS64" i="38" s="1"/>
  <c r="BR19" i="38"/>
  <c r="BV19" i="38" s="1"/>
  <c r="BR23" i="38"/>
  <c r="BV23" i="38" s="1"/>
  <c r="BR27" i="38"/>
  <c r="BV27" i="38" s="1"/>
  <c r="BR31" i="38"/>
  <c r="BV31" i="38" s="1"/>
  <c r="BR35" i="38"/>
  <c r="BV35" i="38" s="1"/>
  <c r="BR39" i="38"/>
  <c r="BV39" i="38" s="1"/>
  <c r="BR43" i="38"/>
  <c r="BV43" i="38" s="1"/>
  <c r="BR47" i="38"/>
  <c r="BV47" i="38" s="1"/>
  <c r="BR51" i="38"/>
  <c r="BV51" i="38" s="1"/>
  <c r="BR55" i="38"/>
  <c r="BV55" i="38" s="1"/>
  <c r="BR59" i="38"/>
  <c r="BV59" i="38" s="1"/>
  <c r="BR63" i="38"/>
  <c r="BV63" i="38" s="1"/>
  <c r="BR67" i="38"/>
  <c r="BV67" i="38" s="1"/>
  <c r="BR71" i="38"/>
  <c r="BV71" i="38" s="1"/>
  <c r="BR75" i="38"/>
  <c r="BV75" i="38" s="1"/>
  <c r="BR79" i="38"/>
  <c r="BV79" i="38" s="1"/>
  <c r="BR83" i="38"/>
  <c r="BV83" i="38" s="1"/>
  <c r="BR87" i="38"/>
  <c r="BV87" i="38" s="1"/>
  <c r="BR91" i="38"/>
  <c r="BV91" i="38" s="1"/>
  <c r="BR95" i="38"/>
  <c r="BV95" i="38" s="1"/>
  <c r="BR99" i="38"/>
  <c r="BV99" i="38" s="1"/>
  <c r="BR103" i="38"/>
  <c r="BV103" i="38" s="1"/>
  <c r="BR107" i="38"/>
  <c r="BV107" i="38" s="1"/>
  <c r="BR111" i="38"/>
  <c r="BV111" i="38" s="1"/>
  <c r="BR115" i="38"/>
  <c r="BV115" i="38" s="1"/>
  <c r="AO115" i="38"/>
  <c r="AS115" i="38" s="1"/>
  <c r="AO110" i="38"/>
  <c r="AS110" i="38" s="1"/>
  <c r="AN108" i="38"/>
  <c r="AR108" i="38" s="1"/>
  <c r="AO106" i="38"/>
  <c r="AS106" i="38" s="1"/>
  <c r="AO105" i="38"/>
  <c r="AS105" i="38" s="1"/>
  <c r="BD103" i="38"/>
  <c r="BH103" i="38" s="1"/>
  <c r="BC101" i="38"/>
  <c r="BG101" i="38" s="1"/>
  <c r="AN99" i="38"/>
  <c r="AR99" i="38" s="1"/>
  <c r="AO98" i="38"/>
  <c r="AS98" i="38" s="1"/>
  <c r="BD96" i="38"/>
  <c r="BH96" i="38" s="1"/>
  <c r="BD93" i="38"/>
  <c r="BH93" i="38" s="1"/>
  <c r="AN91" i="38"/>
  <c r="AR91" i="38" s="1"/>
  <c r="AN90" i="38"/>
  <c r="AR90" i="38" s="1"/>
  <c r="AN88" i="38"/>
  <c r="AR88" i="38" s="1"/>
  <c r="BC86" i="38"/>
  <c r="BG86" i="38" s="1"/>
  <c r="AN83" i="38"/>
  <c r="AR83" i="38" s="1"/>
  <c r="AO82" i="38"/>
  <c r="AS82" i="38" s="1"/>
  <c r="BC81" i="38"/>
  <c r="BG81" i="38" s="1"/>
  <c r="BS19" i="38"/>
  <c r="BW19" i="38" s="1"/>
  <c r="BS23" i="38"/>
  <c r="BW23" i="38" s="1"/>
  <c r="BS27" i="38"/>
  <c r="BW27" i="38" s="1"/>
  <c r="BS31" i="38"/>
  <c r="BW31" i="38" s="1"/>
  <c r="BS35" i="38"/>
  <c r="BW35" i="38" s="1"/>
  <c r="BS39" i="38"/>
  <c r="BW39" i="38" s="1"/>
  <c r="BS43" i="38"/>
  <c r="BW43" i="38" s="1"/>
  <c r="BS47" i="38"/>
  <c r="BW47" i="38" s="1"/>
  <c r="BS51" i="38"/>
  <c r="BW51" i="38" s="1"/>
  <c r="BS55" i="38"/>
  <c r="BW55" i="38" s="1"/>
  <c r="BS59" i="38"/>
  <c r="BW59" i="38" s="1"/>
  <c r="BS63" i="38"/>
  <c r="BW63" i="38" s="1"/>
  <c r="BS67" i="38"/>
  <c r="BW67" i="38" s="1"/>
  <c r="BS71" i="38"/>
  <c r="BW71" i="38" s="1"/>
  <c r="BS75" i="38"/>
  <c r="BW75" i="38" s="1"/>
  <c r="BS79" i="38"/>
  <c r="BW79" i="38" s="1"/>
  <c r="BS83" i="38"/>
  <c r="BW83" i="38" s="1"/>
  <c r="BS87" i="38"/>
  <c r="BW87" i="38" s="1"/>
  <c r="BS91" i="38"/>
  <c r="BW91" i="38" s="1"/>
  <c r="BS95" i="38"/>
  <c r="BW95" i="38" s="1"/>
  <c r="BS99" i="38"/>
  <c r="BW99" i="38" s="1"/>
  <c r="BS103" i="38"/>
  <c r="BW103" i="38" s="1"/>
  <c r="BS107" i="38"/>
  <c r="BW107" i="38" s="1"/>
  <c r="BS111" i="38"/>
  <c r="BW111" i="38" s="1"/>
  <c r="BS115" i="38"/>
  <c r="BW115" i="38" s="1"/>
  <c r="AN115" i="38"/>
  <c r="AR115" i="38" s="1"/>
  <c r="AO114" i="38"/>
  <c r="AS114" i="38" s="1"/>
  <c r="AO113" i="38"/>
  <c r="AS113" i="38" s="1"/>
  <c r="BD112" i="38"/>
  <c r="BH112" i="38" s="1"/>
  <c r="AN110" i="38"/>
  <c r="AR110" i="38" s="1"/>
  <c r="AO107" i="38"/>
  <c r="AS107" i="38" s="1"/>
  <c r="AN106" i="38"/>
  <c r="AR106" i="38" s="1"/>
  <c r="AN105" i="38"/>
  <c r="AR105" i="38" s="1"/>
  <c r="AO104" i="38"/>
  <c r="AS104" i="38" s="1"/>
  <c r="BC103" i="38"/>
  <c r="BG103" i="38" s="1"/>
  <c r="AO102" i="38"/>
  <c r="AS102" i="38" s="1"/>
  <c r="AN98" i="38"/>
  <c r="AR98" i="38" s="1"/>
  <c r="AO97" i="38"/>
  <c r="AS97" i="38" s="1"/>
  <c r="BC96" i="38"/>
  <c r="BG96" i="38" s="1"/>
  <c r="BC93" i="38"/>
  <c r="BG93" i="38" s="1"/>
  <c r="BD92" i="38"/>
  <c r="BH92" i="38" s="1"/>
  <c r="BD85" i="38"/>
  <c r="BH85" i="38" s="1"/>
  <c r="AN82" i="38"/>
  <c r="AR82" i="38" s="1"/>
  <c r="AO80" i="38"/>
  <c r="AS80" i="38" s="1"/>
  <c r="AO79" i="38"/>
  <c r="AS79" i="38" s="1"/>
  <c r="AO78" i="38"/>
  <c r="AS78" i="38" s="1"/>
  <c r="AO77" i="38"/>
  <c r="AS77" i="38" s="1"/>
  <c r="AO75" i="38"/>
  <c r="AS75" i="38" s="1"/>
  <c r="AO74" i="38"/>
  <c r="AS74" i="38" s="1"/>
  <c r="BD72" i="38"/>
  <c r="BH72" i="38" s="1"/>
  <c r="BD71" i="38"/>
  <c r="BH71" i="38" s="1"/>
  <c r="AO69" i="38"/>
  <c r="AS69" i="38" s="1"/>
  <c r="BD68" i="38"/>
  <c r="BH68" i="38" s="1"/>
  <c r="BD65" i="38"/>
  <c r="BH65" i="38" s="1"/>
  <c r="AN63" i="38"/>
  <c r="AR63" i="38" s="1"/>
  <c r="BR20" i="38"/>
  <c r="BV20" i="38" s="1"/>
  <c r="BR24" i="38"/>
  <c r="BV24" i="38" s="1"/>
  <c r="BR28" i="38"/>
  <c r="BV28" i="38" s="1"/>
  <c r="BR32" i="38"/>
  <c r="BV32" i="38" s="1"/>
  <c r="BR36" i="38"/>
  <c r="BV36" i="38" s="1"/>
  <c r="BR40" i="38"/>
  <c r="BV40" i="38" s="1"/>
  <c r="BR44" i="38"/>
  <c r="BV44" i="38" s="1"/>
  <c r="BR48" i="38"/>
  <c r="BV48" i="38" s="1"/>
  <c r="BR52" i="38"/>
  <c r="BV52" i="38" s="1"/>
  <c r="BR56" i="38"/>
  <c r="BV56" i="38" s="1"/>
  <c r="BR60" i="38"/>
  <c r="BV60" i="38" s="1"/>
  <c r="BR64" i="38"/>
  <c r="BV64" i="38" s="1"/>
  <c r="BR68" i="38"/>
  <c r="BV68" i="38" s="1"/>
  <c r="BR72" i="38"/>
  <c r="BV72" i="38" s="1"/>
  <c r="BR76" i="38"/>
  <c r="BV76" i="38" s="1"/>
  <c r="BR80" i="38"/>
  <c r="BV80" i="38" s="1"/>
  <c r="BR84" i="38"/>
  <c r="BV84" i="38" s="1"/>
  <c r="BR88" i="38"/>
  <c r="BV88" i="38" s="1"/>
  <c r="BR92" i="38"/>
  <c r="BV92" i="38" s="1"/>
  <c r="BR96" i="38"/>
  <c r="BV96" i="38" s="1"/>
  <c r="BR100" i="38"/>
  <c r="BV100" i="38" s="1"/>
  <c r="BR104" i="38"/>
  <c r="BV104" i="38" s="1"/>
  <c r="BR108" i="38"/>
  <c r="BV108" i="38" s="1"/>
  <c r="BR112" i="38"/>
  <c r="BV112" i="38" s="1"/>
  <c r="AN114" i="38"/>
  <c r="AR114" i="38" s="1"/>
  <c r="AN113" i="38"/>
  <c r="AR113" i="38" s="1"/>
  <c r="BC112" i="38"/>
  <c r="BG112" i="38" s="1"/>
  <c r="BD108" i="38"/>
  <c r="BH108" i="38" s="1"/>
  <c r="AN107" i="38"/>
  <c r="AR107" i="38" s="1"/>
  <c r="AN104" i="38"/>
  <c r="AR104" i="38" s="1"/>
  <c r="AN102" i="38"/>
  <c r="AR102" i="38" s="1"/>
  <c r="BD100" i="38"/>
  <c r="BH100" i="38" s="1"/>
  <c r="AN97" i="38"/>
  <c r="AR97" i="38" s="1"/>
  <c r="BD95" i="38"/>
  <c r="BH95" i="38" s="1"/>
  <c r="AO94" i="38"/>
  <c r="AS94" i="38" s="1"/>
  <c r="BC92" i="38"/>
  <c r="BG92" i="38" s="1"/>
  <c r="AO89" i="38"/>
  <c r="AS89" i="38" s="1"/>
  <c r="AO87" i="38"/>
  <c r="AS87" i="38" s="1"/>
  <c r="AO86" i="38"/>
  <c r="AS86" i="38" s="1"/>
  <c r="BC85" i="38"/>
  <c r="BG85" i="38" s="1"/>
  <c r="AN80" i="38"/>
  <c r="AR80" i="38" s="1"/>
  <c r="AN79" i="38"/>
  <c r="AR79" i="38" s="1"/>
  <c r="AN78" i="38"/>
  <c r="AR78" i="38" s="1"/>
  <c r="AN77" i="38"/>
  <c r="AR77" i="38" s="1"/>
  <c r="AN75" i="38"/>
  <c r="AR75" i="38" s="1"/>
  <c r="AN74" i="38"/>
  <c r="AR74" i="38" s="1"/>
  <c r="AO73" i="38"/>
  <c r="AS73" i="38" s="1"/>
  <c r="BC72" i="38"/>
  <c r="BG72" i="38" s="1"/>
  <c r="BC71" i="38"/>
  <c r="BG71" i="38" s="1"/>
  <c r="AN69" i="38"/>
  <c r="AR69" i="38" s="1"/>
  <c r="BC68" i="38"/>
  <c r="BG68" i="38" s="1"/>
  <c r="BD67" i="38"/>
  <c r="BH67" i="38" s="1"/>
  <c r="BC65" i="38"/>
  <c r="BG65" i="38" s="1"/>
  <c r="BS20" i="38"/>
  <c r="BW20" i="38" s="1"/>
  <c r="BS24" i="38"/>
  <c r="BW24" i="38" s="1"/>
  <c r="BS28" i="38"/>
  <c r="BW28" i="38" s="1"/>
  <c r="BS32" i="38"/>
  <c r="BW32" i="38" s="1"/>
  <c r="BS36" i="38"/>
  <c r="BW36" i="38" s="1"/>
  <c r="BS40" i="38"/>
  <c r="BW40" i="38" s="1"/>
  <c r="BS44" i="38"/>
  <c r="BW44" i="38" s="1"/>
  <c r="BS48" i="38"/>
  <c r="BW48" i="38" s="1"/>
  <c r="BS52" i="38"/>
  <c r="BW52" i="38" s="1"/>
  <c r="BS56" i="38"/>
  <c r="BW56" i="38" s="1"/>
  <c r="BS60" i="38"/>
  <c r="BW60" i="38" s="1"/>
  <c r="BS64" i="38"/>
  <c r="BW64" i="38" s="1"/>
  <c r="BS68" i="38"/>
  <c r="BW68" i="38" s="1"/>
  <c r="BS72" i="38"/>
  <c r="BW72" i="38" s="1"/>
  <c r="BS76" i="38"/>
  <c r="BW76" i="38" s="1"/>
  <c r="BS80" i="38"/>
  <c r="BW80" i="38" s="1"/>
  <c r="BS84" i="38"/>
  <c r="BW84" i="38" s="1"/>
  <c r="BS88" i="38"/>
  <c r="BW88" i="38" s="1"/>
  <c r="BS92" i="38"/>
  <c r="BW92" i="38" s="1"/>
  <c r="BS96" i="38"/>
  <c r="BW96" i="38" s="1"/>
  <c r="BS100" i="38"/>
  <c r="BW100" i="38" s="1"/>
  <c r="BS104" i="38"/>
  <c r="BW104" i="38" s="1"/>
  <c r="BS108" i="38"/>
  <c r="BW108" i="38" s="1"/>
  <c r="BS112" i="38"/>
  <c r="BW112" i="38" s="1"/>
  <c r="BD111" i="38"/>
  <c r="BH111" i="38" s="1"/>
  <c r="AO109" i="38"/>
  <c r="AS109" i="38" s="1"/>
  <c r="BC108" i="38"/>
  <c r="BG108" i="38" s="1"/>
  <c r="AO101" i="38"/>
  <c r="AS101" i="38" s="1"/>
  <c r="BC100" i="38"/>
  <c r="BG100" i="38" s="1"/>
  <c r="BC95" i="38"/>
  <c r="BG95" i="38" s="1"/>
  <c r="AN94" i="38"/>
  <c r="AR94" i="38" s="1"/>
  <c r="AO93" i="38"/>
  <c r="AS93" i="38" s="1"/>
  <c r="AN89" i="38"/>
  <c r="AR89" i="38" s="1"/>
  <c r="BD88" i="38"/>
  <c r="BH88" i="38" s="1"/>
  <c r="AN87" i="38"/>
  <c r="AR87" i="38" s="1"/>
  <c r="AN86" i="38"/>
  <c r="AR86" i="38" s="1"/>
  <c r="BD84" i="38"/>
  <c r="BH84" i="38" s="1"/>
  <c r="AN73" i="38"/>
  <c r="AR73" i="38" s="1"/>
  <c r="BD70" i="38"/>
  <c r="BH70" i="38" s="1"/>
  <c r="BC67" i="38"/>
  <c r="BG67" i="38" s="1"/>
  <c r="AO66" i="38"/>
  <c r="AS66" i="38" s="1"/>
  <c r="BD64" i="38"/>
  <c r="BH64" i="38" s="1"/>
  <c r="BR21" i="38"/>
  <c r="BV21" i="38" s="1"/>
  <c r="BR25" i="38"/>
  <c r="BV25" i="38" s="1"/>
  <c r="BR29" i="38"/>
  <c r="BV29" i="38" s="1"/>
  <c r="BR33" i="38"/>
  <c r="BV33" i="38" s="1"/>
  <c r="BR37" i="38"/>
  <c r="BV37" i="38" s="1"/>
  <c r="BR41" i="38"/>
  <c r="BV41" i="38" s="1"/>
  <c r="BR45" i="38"/>
  <c r="BV45" i="38" s="1"/>
  <c r="BR49" i="38"/>
  <c r="BV49" i="38" s="1"/>
  <c r="BR53" i="38"/>
  <c r="BV53" i="38" s="1"/>
  <c r="BR57" i="38"/>
  <c r="BV57" i="38" s="1"/>
  <c r="BR61" i="38"/>
  <c r="BV61" i="38" s="1"/>
  <c r="BR65" i="38"/>
  <c r="BV65" i="38" s="1"/>
  <c r="BR69" i="38"/>
  <c r="BV69" i="38" s="1"/>
  <c r="BR73" i="38"/>
  <c r="BV73" i="38" s="1"/>
  <c r="BR77" i="38"/>
  <c r="BV77" i="38" s="1"/>
  <c r="BR81" i="38"/>
  <c r="BV81" i="38" s="1"/>
  <c r="BR85" i="38"/>
  <c r="BV85" i="38" s="1"/>
  <c r="BR89" i="38"/>
  <c r="BV89" i="38" s="1"/>
  <c r="BR93" i="38"/>
  <c r="BV93" i="38" s="1"/>
  <c r="BR97" i="38"/>
  <c r="BV97" i="38" s="1"/>
  <c r="BR101" i="38"/>
  <c r="BV101" i="38" s="1"/>
  <c r="BR105" i="38"/>
  <c r="BV105" i="38" s="1"/>
  <c r="BR109" i="38"/>
  <c r="BV109" i="38" s="1"/>
  <c r="BR113" i="38"/>
  <c r="BV113" i="38" s="1"/>
  <c r="BD115" i="38"/>
  <c r="BH115" i="38" s="1"/>
  <c r="AO112" i="38"/>
  <c r="AS112" i="38" s="1"/>
  <c r="BC111" i="38"/>
  <c r="BG111" i="38" s="1"/>
  <c r="BD110" i="38"/>
  <c r="BH110" i="38" s="1"/>
  <c r="AN109" i="38"/>
  <c r="AR109" i="38" s="1"/>
  <c r="BD102" i="38"/>
  <c r="BH102" i="38" s="1"/>
  <c r="AN101" i="38"/>
  <c r="AR101" i="38" s="1"/>
  <c r="BD99" i="38"/>
  <c r="BH99" i="38" s="1"/>
  <c r="AO96" i="38"/>
  <c r="AS96" i="38" s="1"/>
  <c r="AN93" i="38"/>
  <c r="AR93" i="38" s="1"/>
  <c r="AO92" i="38"/>
  <c r="AS92" i="38" s="1"/>
  <c r="BD91" i="38"/>
  <c r="BH91" i="38" s="1"/>
  <c r="BD90" i="38"/>
  <c r="BH90" i="38" s="1"/>
  <c r="BC88" i="38"/>
  <c r="BG88" i="38" s="1"/>
  <c r="AO85" i="38"/>
  <c r="AS85" i="38" s="1"/>
  <c r="BC84" i="38"/>
  <c r="BG84" i="38" s="1"/>
  <c r="BD83" i="38"/>
  <c r="BH83" i="38" s="1"/>
  <c r="BD82" i="38"/>
  <c r="BH82" i="38" s="1"/>
  <c r="AO81" i="38"/>
  <c r="AS81" i="38" s="1"/>
  <c r="BD80" i="38"/>
  <c r="BH80" i="38" s="1"/>
  <c r="AO76" i="38"/>
  <c r="AS76" i="38" s="1"/>
  <c r="BD75" i="38"/>
  <c r="BH75" i="38" s="1"/>
  <c r="AO72" i="38"/>
  <c r="AS72" i="38" s="1"/>
  <c r="AO71" i="38"/>
  <c r="AS71" i="38" s="1"/>
  <c r="BC70" i="38"/>
  <c r="BG70" i="38" s="1"/>
  <c r="AO68" i="38"/>
  <c r="AS68" i="38" s="1"/>
  <c r="AN66" i="38"/>
  <c r="AR66" i="38" s="1"/>
  <c r="AO65" i="38"/>
  <c r="AS65" i="38" s="1"/>
  <c r="AO14" i="38"/>
  <c r="BR15" i="38"/>
  <c r="AN17" i="38"/>
  <c r="AR17" i="38" s="1"/>
  <c r="BS17" i="38"/>
  <c r="BW17" i="38" s="1"/>
  <c r="BD19" i="38"/>
  <c r="BH19" i="38" s="1"/>
  <c r="BC20" i="38"/>
  <c r="BG20" i="38" s="1"/>
  <c r="AO21" i="38"/>
  <c r="AS21" i="38" s="1"/>
  <c r="BD23" i="38"/>
  <c r="BH23" i="38" s="1"/>
  <c r="AN25" i="38"/>
  <c r="AR25" i="38" s="1"/>
  <c r="BD28" i="38"/>
  <c r="BH28" i="38" s="1"/>
  <c r="BC31" i="38"/>
  <c r="BG31" i="38" s="1"/>
  <c r="AO32" i="38"/>
  <c r="AS32" i="38" s="1"/>
  <c r="BD34" i="38"/>
  <c r="BH34" i="38" s="1"/>
  <c r="BD39" i="38"/>
  <c r="BH39" i="38" s="1"/>
  <c r="BC40" i="38"/>
  <c r="BG40" i="38" s="1"/>
  <c r="AN47" i="38"/>
  <c r="AR47" i="38" s="1"/>
  <c r="AO49" i="38"/>
  <c r="AS49" i="38" s="1"/>
  <c r="AN58" i="38"/>
  <c r="AR58" i="38" s="1"/>
  <c r="BD60" i="38"/>
  <c r="BH60" i="38" s="1"/>
  <c r="AO62" i="38"/>
  <c r="AS62" i="38" s="1"/>
  <c r="BC63" i="38"/>
  <c r="BG63" i="38" s="1"/>
  <c r="BC64" i="38"/>
  <c r="BG64" i="38" s="1"/>
  <c r="AO70" i="38"/>
  <c r="AS70" i="38" s="1"/>
  <c r="AN72" i="38"/>
  <c r="AR72" i="38" s="1"/>
  <c r="BC114" i="38"/>
  <c r="BG114" i="38" s="1"/>
  <c r="BS113" i="38"/>
  <c r="BW113" i="38" s="1"/>
  <c r="BS97" i="38"/>
  <c r="BW97" i="38" s="1"/>
  <c r="BS81" i="38"/>
  <c r="BW81" i="38" s="1"/>
  <c r="BS65" i="38"/>
  <c r="BW65" i="38" s="1"/>
  <c r="BS49" i="38"/>
  <c r="BW49" i="38" s="1"/>
  <c r="BS33" i="38"/>
  <c r="BW33" i="38" s="1"/>
  <c r="K95" i="38" a="1"/>
  <c r="K95" i="38" s="1"/>
  <c r="K117" i="38" a="1"/>
  <c r="K117" i="38" s="1"/>
  <c r="O117" i="38" s="1"/>
  <c r="K121" i="38" a="1"/>
  <c r="K121" i="38" s="1"/>
  <c r="K125" i="38" a="1"/>
  <c r="K125" i="38" s="1"/>
  <c r="O125" i="38" s="1"/>
  <c r="K73" i="38" a="1"/>
  <c r="K73" i="38" s="1"/>
  <c r="O73" i="38" s="1"/>
  <c r="X73" i="38" s="1"/>
  <c r="K94" i="38" a="1"/>
  <c r="K94" i="38" s="1"/>
  <c r="O94" i="38" s="1"/>
  <c r="X94" i="38" s="1"/>
  <c r="AN15" i="37"/>
  <c r="AO16" i="37"/>
  <c r="AS16" i="37" s="1"/>
  <c r="BC19" i="37"/>
  <c r="BG19" i="37" s="1"/>
  <c r="BC23" i="37"/>
  <c r="BG23" i="37" s="1"/>
  <c r="BC27" i="37"/>
  <c r="BG27" i="37" s="1"/>
  <c r="BC31" i="37"/>
  <c r="BG31" i="37" s="1"/>
  <c r="BC35" i="37"/>
  <c r="BG35" i="37" s="1"/>
  <c r="AO38" i="37"/>
  <c r="K107" i="37" a="1"/>
  <c r="K107" i="37" s="1"/>
  <c r="O107" i="37" s="1"/>
  <c r="X107" i="37" s="1"/>
  <c r="AO15" i="37"/>
  <c r="BS39" i="37"/>
  <c r="BW39" i="37" s="1"/>
  <c r="K60" i="37" a="1"/>
  <c r="K60" i="37" s="1"/>
  <c r="O60" i="37" s="1"/>
  <c r="X60" i="37" s="1"/>
  <c r="K87" i="37" a="1"/>
  <c r="K87" i="37" s="1"/>
  <c r="K98" i="37" a="1"/>
  <c r="K98" i="37" s="1"/>
  <c r="BR15" i="37"/>
  <c r="BC16" i="37"/>
  <c r="BG16" i="37" s="1"/>
  <c r="BC18" i="37"/>
  <c r="BG18" i="37" s="1"/>
  <c r="BC22" i="37"/>
  <c r="BG22" i="37" s="1"/>
  <c r="BC26" i="37"/>
  <c r="BG26" i="37" s="1"/>
  <c r="BC30" i="37"/>
  <c r="BG30" i="37" s="1"/>
  <c r="BC34" i="37"/>
  <c r="BG34" i="37" s="1"/>
  <c r="AN44" i="37"/>
  <c r="K16" i="37" a="1"/>
  <c r="K16" i="37" s="1"/>
  <c r="O16" i="37" s="1"/>
  <c r="X16" i="37" s="1"/>
  <c r="X15" i="37" s="1"/>
  <c r="K43" i="37" a="1"/>
  <c r="K43" i="37" s="1"/>
  <c r="O43" i="37" s="1"/>
  <c r="X43" i="37" s="1"/>
  <c r="K58" i="37" a="1"/>
  <c r="K58" i="37" s="1"/>
  <c r="O58" i="37" s="1"/>
  <c r="X58" i="37" s="1"/>
  <c r="K66" i="37" a="1"/>
  <c r="K66" i="37" s="1"/>
  <c r="O66" i="37" s="1"/>
  <c r="X66" i="37" s="1"/>
  <c r="K77" i="37" a="1"/>
  <c r="K77" i="37" s="1"/>
  <c r="K79" i="37" a="1"/>
  <c r="K79" i="37" s="1"/>
  <c r="O79" i="37" s="1"/>
  <c r="X79" i="37" s="1"/>
  <c r="K93" i="37" a="1"/>
  <c r="K93" i="37" s="1"/>
  <c r="L105" i="37" a="1"/>
  <c r="L105" i="37" s="1"/>
  <c r="P105" i="37" s="1"/>
  <c r="Y105" i="37" s="1"/>
  <c r="K111" i="37" a="1"/>
  <c r="K111" i="37" s="1"/>
  <c r="O111" i="37" s="1"/>
  <c r="X111" i="37" s="1"/>
  <c r="L117" i="37" a="1"/>
  <c r="L117" i="37" s="1"/>
  <c r="P117" i="37" s="1"/>
  <c r="K123" i="37" a="1"/>
  <c r="K123" i="37" s="1"/>
  <c r="O123" i="37" s="1"/>
  <c r="BR16" i="37"/>
  <c r="BV16" i="37" s="1"/>
  <c r="BC15" i="37"/>
  <c r="BS16" i="37"/>
  <c r="BW16" i="37" s="1"/>
  <c r="BR42" i="37"/>
  <c r="BV42" i="37" s="1"/>
  <c r="AN45" i="37"/>
  <c r="K46" i="37" a="1"/>
  <c r="K46" i="37" s="1"/>
  <c r="O46" i="37" s="1"/>
  <c r="X46" i="37" s="1"/>
  <c r="K51" i="37" a="1"/>
  <c r="K51" i="37" s="1"/>
  <c r="K54" i="37" a="1"/>
  <c r="K54" i="37" s="1"/>
  <c r="O54" i="37" s="1"/>
  <c r="X54" i="37" s="1"/>
  <c r="K103" i="37" a="1"/>
  <c r="K103" i="37" s="1"/>
  <c r="O103" i="37" s="1"/>
  <c r="X103" i="37" s="1"/>
  <c r="K114" i="37" a="1"/>
  <c r="K114" i="37" s="1"/>
  <c r="K124" i="37" a="1"/>
  <c r="K124" i="37" s="1"/>
  <c r="O124" i="37" s="1"/>
  <c r="BD15" i="37"/>
  <c r="AN41" i="37"/>
  <c r="BR15" i="36"/>
  <c r="AO15" i="36"/>
  <c r="L31" i="36" a="1"/>
  <c r="L31" i="36" s="1"/>
  <c r="P31" i="36" s="1"/>
  <c r="Y31" i="36" s="1"/>
  <c r="L66" i="36" a="1"/>
  <c r="L66" i="36" s="1"/>
  <c r="P66" i="36" s="1"/>
  <c r="Y66" i="36" s="1"/>
  <c r="L97" i="36" a="1"/>
  <c r="L97" i="36" s="1"/>
  <c r="L108" i="36" a="1"/>
  <c r="L108" i="36" s="1"/>
  <c r="P108" i="36" s="1"/>
  <c r="Y108" i="36" s="1"/>
  <c r="J14" i="36"/>
  <c r="BS15" i="36"/>
  <c r="L21" i="36" a="1"/>
  <c r="L21" i="36" s="1"/>
  <c r="P21" i="36" s="1"/>
  <c r="Y21" i="36" s="1"/>
  <c r="L29" i="36" a="1"/>
  <c r="L29" i="36" s="1"/>
  <c r="P29" i="36" s="1"/>
  <c r="Y29" i="36" s="1"/>
  <c r="BC15" i="36"/>
  <c r="BD15" i="36"/>
  <c r="K38" i="36" a="1"/>
  <c r="K38" i="36" s="1"/>
  <c r="O38" i="36" s="1"/>
  <c r="X38" i="36" s="1"/>
  <c r="K47" i="36" a="1"/>
  <c r="K47" i="36" s="1"/>
  <c r="K81" i="36" a="1"/>
  <c r="K81" i="36" s="1"/>
  <c r="L33" i="36" a="1"/>
  <c r="L33" i="36" s="1"/>
  <c r="P33" i="36" s="1"/>
  <c r="Y33" i="36" s="1"/>
  <c r="BV14" i="40"/>
  <c r="BD14" i="40"/>
  <c r="BH14" i="40" s="1"/>
  <c r="BG14" i="40"/>
  <c r="AR14" i="40"/>
  <c r="AO14" i="40"/>
  <c r="J14" i="40"/>
  <c r="BS14" i="46"/>
  <c r="BW14" i="46" s="1"/>
  <c r="BC14" i="46"/>
  <c r="BG14" i="46" s="1"/>
  <c r="AS14" i="46"/>
  <c r="AN14" i="46"/>
  <c r="AR14" i="46" s="1"/>
  <c r="BW14" i="45"/>
  <c r="BD14" i="45"/>
  <c r="BG14" i="45"/>
  <c r="AO14" i="45"/>
  <c r="AS14" i="45" s="1"/>
  <c r="AN14" i="45"/>
  <c r="J14" i="45"/>
  <c r="BS14" i="44"/>
  <c r="BW14" i="44" s="1"/>
  <c r="BC14" i="44"/>
  <c r="BG14" i="44" s="1"/>
  <c r="BD14" i="44"/>
  <c r="BH14" i="44" s="1"/>
  <c r="AO14" i="44"/>
  <c r="I14" i="44"/>
  <c r="J14" i="44"/>
  <c r="BS14" i="43"/>
  <c r="BG14" i="43"/>
  <c r="BH14" i="43"/>
  <c r="AS14" i="43"/>
  <c r="I14" i="43"/>
  <c r="BR14" i="42"/>
  <c r="BV14" i="42" s="1"/>
  <c r="BC14" i="42"/>
  <c r="BH14" i="42"/>
  <c r="AN14" i="42"/>
  <c r="AR14" i="42" s="1"/>
  <c r="BS14" i="41"/>
  <c r="BW14" i="41" s="1"/>
  <c r="BG14" i="41"/>
  <c r="AS14" i="41"/>
  <c r="BS14" i="39"/>
  <c r="BW14" i="39" s="1"/>
  <c r="BG14" i="39"/>
  <c r="AR14" i="39"/>
  <c r="BV14" i="38"/>
  <c r="BR14" i="38"/>
  <c r="BS14" i="38"/>
  <c r="BW14" i="38" s="1"/>
  <c r="AS14" i="38"/>
  <c r="AN14" i="38"/>
  <c r="AR14" i="38" s="1"/>
  <c r="J14" i="38"/>
  <c r="P35" i="43"/>
  <c r="Y35" i="43" s="1"/>
  <c r="I14" i="49"/>
  <c r="L15" i="49" a="1"/>
  <c r="L15" i="49" s="1"/>
  <c r="P15" i="49" s="1"/>
  <c r="K15" i="49" a="1"/>
  <c r="K15" i="49" s="1"/>
  <c r="O15" i="49" s="1"/>
  <c r="L23" i="49" a="1"/>
  <c r="L23" i="49" s="1"/>
  <c r="P23" i="49" s="1"/>
  <c r="K23" i="49" a="1"/>
  <c r="K23" i="49" s="1"/>
  <c r="O23" i="49" s="1"/>
  <c r="L42" i="49" a="1"/>
  <c r="L42" i="49" s="1"/>
  <c r="P42" i="49" s="1"/>
  <c r="K42" i="49" a="1"/>
  <c r="K42" i="49" s="1"/>
  <c r="O42" i="49" s="1"/>
  <c r="L19" i="49" a="1"/>
  <c r="L19" i="49" s="1"/>
  <c r="P19" i="49" s="1"/>
  <c r="K19" i="49" a="1"/>
  <c r="K19" i="49" s="1"/>
  <c r="O19" i="49" s="1"/>
  <c r="L27" i="49" a="1"/>
  <c r="L27" i="49" s="1"/>
  <c r="P27" i="49" s="1"/>
  <c r="K27" i="49" a="1"/>
  <c r="K27" i="49" s="1"/>
  <c r="O27" i="49" s="1"/>
  <c r="L34" i="49" a="1"/>
  <c r="L34" i="49" s="1"/>
  <c r="P34" i="49" s="1"/>
  <c r="K34" i="49" a="1"/>
  <c r="K34" i="49" s="1"/>
  <c r="O34" i="49" s="1"/>
  <c r="BC14" i="49"/>
  <c r="O31" i="49"/>
  <c r="O46" i="49"/>
  <c r="K47" i="49" a="1"/>
  <c r="K47" i="49" s="1"/>
  <c r="O47" i="49" s="1"/>
  <c r="L47" i="49" a="1"/>
  <c r="L47" i="49" s="1"/>
  <c r="P47" i="49" s="1"/>
  <c r="P18" i="46"/>
  <c r="N6" i="49" a="1"/>
  <c r="N6" i="49" s="1"/>
  <c r="BD14" i="49"/>
  <c r="L17" i="49" a="1"/>
  <c r="L17" i="49" s="1"/>
  <c r="P17" i="49" s="1"/>
  <c r="O20" i="49"/>
  <c r="L21" i="49" a="1"/>
  <c r="L21" i="49" s="1"/>
  <c r="P21" i="49" s="1"/>
  <c r="K24" i="49" a="1"/>
  <c r="K24" i="49" s="1"/>
  <c r="O24" i="49" s="1"/>
  <c r="L25" i="49" a="1"/>
  <c r="L25" i="49" s="1"/>
  <c r="P25" i="49" s="1"/>
  <c r="K28" i="49" a="1"/>
  <c r="K28" i="49" s="1"/>
  <c r="O28" i="49" s="1"/>
  <c r="L29" i="49" a="1"/>
  <c r="L29" i="49" s="1"/>
  <c r="P29" i="49" s="1"/>
  <c r="P31" i="49"/>
  <c r="P37" i="49"/>
  <c r="L44" i="49" a="1"/>
  <c r="L44" i="49" s="1"/>
  <c r="P44" i="49" s="1"/>
  <c r="K44" i="49" a="1"/>
  <c r="K44" i="49" s="1"/>
  <c r="O44" i="49" s="1"/>
  <c r="L50" i="49" a="1"/>
  <c r="L50" i="49" s="1"/>
  <c r="P50" i="49" s="1"/>
  <c r="K50" i="49" a="1"/>
  <c r="K50" i="49" s="1"/>
  <c r="O50" i="49" s="1"/>
  <c r="L33" i="49" a="1"/>
  <c r="L33" i="49" s="1"/>
  <c r="P33" i="49" s="1"/>
  <c r="L38" i="49" a="1"/>
  <c r="L38" i="49" s="1"/>
  <c r="P38" i="49" s="1"/>
  <c r="K38" i="49" a="1"/>
  <c r="K38" i="49" s="1"/>
  <c r="O38" i="49" s="1"/>
  <c r="P17" i="48"/>
  <c r="P125" i="49"/>
  <c r="P121" i="49"/>
  <c r="P117" i="49"/>
  <c r="P113" i="49"/>
  <c r="P109" i="49"/>
  <c r="O125" i="49"/>
  <c r="O121" i="49"/>
  <c r="O117" i="49"/>
  <c r="O113" i="49"/>
  <c r="O109" i="49"/>
  <c r="P110" i="49"/>
  <c r="P106" i="49"/>
  <c r="P123" i="49"/>
  <c r="P119" i="49"/>
  <c r="P115" i="49"/>
  <c r="P111" i="49"/>
  <c r="P107" i="49"/>
  <c r="O123" i="49"/>
  <c r="O119" i="49"/>
  <c r="O115" i="49"/>
  <c r="P124" i="49"/>
  <c r="P120" i="49"/>
  <c r="P116" i="49"/>
  <c r="P112" i="49"/>
  <c r="P104" i="49"/>
  <c r="O120" i="49"/>
  <c r="P101" i="49"/>
  <c r="P97" i="49"/>
  <c r="P93" i="49"/>
  <c r="O107" i="49"/>
  <c r="O106" i="49"/>
  <c r="O101" i="49"/>
  <c r="O97" i="49"/>
  <c r="O93" i="49"/>
  <c r="O94" i="49"/>
  <c r="O124" i="49"/>
  <c r="O111" i="49"/>
  <c r="O103" i="49"/>
  <c r="O99" i="49"/>
  <c r="O95" i="49"/>
  <c r="O100" i="49"/>
  <c r="P95" i="49"/>
  <c r="O90" i="49"/>
  <c r="P87" i="49"/>
  <c r="P83" i="49"/>
  <c r="O96" i="49"/>
  <c r="P103" i="49"/>
  <c r="P91" i="49"/>
  <c r="P99" i="49"/>
  <c r="O89" i="49"/>
  <c r="O85" i="49"/>
  <c r="O81" i="49"/>
  <c r="P78" i="49"/>
  <c r="P75" i="49"/>
  <c r="P71" i="49"/>
  <c r="P67" i="49"/>
  <c r="P63" i="49"/>
  <c r="P86" i="49"/>
  <c r="O76" i="49"/>
  <c r="O75" i="49"/>
  <c r="O71" i="49"/>
  <c r="O63" i="49"/>
  <c r="O77" i="49"/>
  <c r="P60" i="49"/>
  <c r="P90" i="49"/>
  <c r="P61" i="49"/>
  <c r="P82" i="49"/>
  <c r="O59" i="49"/>
  <c r="P55" i="49"/>
  <c r="P51" i="49"/>
  <c r="O55" i="49"/>
  <c r="O51" i="49"/>
  <c r="O43" i="49"/>
  <c r="O66" i="49"/>
  <c r="P57" i="49"/>
  <c r="P53" i="49"/>
  <c r="P49" i="49"/>
  <c r="P62" i="49"/>
  <c r="O57" i="49"/>
  <c r="O53" i="49"/>
  <c r="O49" i="49"/>
  <c r="O41" i="49"/>
  <c r="O37" i="49"/>
  <c r="O33" i="49"/>
  <c r="O62" i="49"/>
  <c r="O54" i="49"/>
  <c r="O52" i="49"/>
  <c r="P30" i="49"/>
  <c r="O70" i="49"/>
  <c r="P66" i="49"/>
  <c r="O58" i="49"/>
  <c r="O56" i="49"/>
  <c r="P45" i="49"/>
  <c r="P39" i="49"/>
  <c r="P35" i="49"/>
  <c r="O74" i="49"/>
  <c r="O45" i="49"/>
  <c r="O39" i="49"/>
  <c r="O35" i="49"/>
  <c r="P46" i="49"/>
  <c r="P43" i="49"/>
  <c r="P40" i="49"/>
  <c r="P36" i="49"/>
  <c r="P32" i="49"/>
  <c r="B4" i="49" a="1"/>
  <c r="B4" i="49" s="1"/>
  <c r="CJ12" i="49" s="1"/>
  <c r="B5" i="49" a="1"/>
  <c r="B5" i="49" s="1"/>
  <c r="CJ13" i="49" s="1"/>
  <c r="B6" i="49" a="1"/>
  <c r="B6" i="49" s="1"/>
  <c r="CJ14" i="49" s="1"/>
  <c r="O18" i="49"/>
  <c r="O22" i="49"/>
  <c r="O26" i="49"/>
  <c r="P41" i="49"/>
  <c r="O23" i="47"/>
  <c r="O40" i="49"/>
  <c r="L72" i="49" a="1"/>
  <c r="L72" i="49" s="1"/>
  <c r="P72" i="49" s="1"/>
  <c r="K72" i="49" a="1"/>
  <c r="K72" i="49" s="1"/>
  <c r="O72" i="49" s="1"/>
  <c r="L56" i="49" a="1"/>
  <c r="L56" i="49" s="1"/>
  <c r="P56" i="49" s="1"/>
  <c r="L58" i="49" a="1"/>
  <c r="L58" i="49" s="1"/>
  <c r="P58" i="49" s="1"/>
  <c r="L52" i="49" a="1"/>
  <c r="L52" i="49" s="1"/>
  <c r="P52" i="49" s="1"/>
  <c r="L54" i="49" a="1"/>
  <c r="L54" i="49" s="1"/>
  <c r="P54" i="49" s="1"/>
  <c r="K60" i="49" a="1"/>
  <c r="K60" i="49" s="1"/>
  <c r="O60" i="49" s="1"/>
  <c r="K61" i="49" a="1"/>
  <c r="K61" i="49" s="1"/>
  <c r="O61" i="49" s="1"/>
  <c r="L64" i="49" a="1"/>
  <c r="L64" i="49" s="1"/>
  <c r="P64" i="49" s="1"/>
  <c r="K64" i="49" a="1"/>
  <c r="K64" i="49" s="1"/>
  <c r="O64" i="49" s="1"/>
  <c r="L68" i="49" a="1"/>
  <c r="L68" i="49" s="1"/>
  <c r="P68" i="49" s="1"/>
  <c r="K68" i="49" a="1"/>
  <c r="K68" i="49" s="1"/>
  <c r="O68" i="49" s="1"/>
  <c r="K65" i="49" a="1"/>
  <c r="K65" i="49" s="1"/>
  <c r="O65" i="49" s="1"/>
  <c r="K69" i="49" a="1"/>
  <c r="K69" i="49" s="1"/>
  <c r="O69" i="49" s="1"/>
  <c r="K73" i="49" a="1"/>
  <c r="K73" i="49" s="1"/>
  <c r="O73" i="49" s="1"/>
  <c r="L74" i="49" a="1"/>
  <c r="L74" i="49" s="1"/>
  <c r="P74" i="49" s="1"/>
  <c r="L76" i="49" a="1"/>
  <c r="L76" i="49" s="1"/>
  <c r="P76" i="49" s="1"/>
  <c r="L65" i="49" a="1"/>
  <c r="L65" i="49" s="1"/>
  <c r="P65" i="49" s="1"/>
  <c r="L69" i="49" a="1"/>
  <c r="L69" i="49" s="1"/>
  <c r="P69" i="49" s="1"/>
  <c r="L73" i="49" a="1"/>
  <c r="L73" i="49" s="1"/>
  <c r="P73" i="49" s="1"/>
  <c r="L79" i="49" a="1"/>
  <c r="L79" i="49" s="1"/>
  <c r="P79" i="49" s="1"/>
  <c r="K79" i="49" a="1"/>
  <c r="K79" i="49" s="1"/>
  <c r="O79" i="49" s="1"/>
  <c r="L98" i="49" a="1"/>
  <c r="L98" i="49" s="1"/>
  <c r="P98" i="49" s="1"/>
  <c r="K98" i="49" a="1"/>
  <c r="K98" i="49" s="1"/>
  <c r="O98" i="49" s="1"/>
  <c r="L77" i="49" a="1"/>
  <c r="L77" i="49" s="1"/>
  <c r="P77" i="49" s="1"/>
  <c r="L102" i="49" a="1"/>
  <c r="L102" i="49" s="1"/>
  <c r="P102" i="49" s="1"/>
  <c r="K102" i="49" a="1"/>
  <c r="K102" i="49" s="1"/>
  <c r="O102" i="49" s="1"/>
  <c r="K80" i="49" a="1"/>
  <c r="K80" i="49" s="1"/>
  <c r="O80" i="49" s="1"/>
  <c r="L81" i="49" a="1"/>
  <c r="L81" i="49" s="1"/>
  <c r="P81" i="49" s="1"/>
  <c r="K84" i="49" a="1"/>
  <c r="K84" i="49" s="1"/>
  <c r="O84" i="49" s="1"/>
  <c r="L85" i="49" a="1"/>
  <c r="L85" i="49" s="1"/>
  <c r="P85" i="49" s="1"/>
  <c r="K88" i="49" a="1"/>
  <c r="K88" i="49" s="1"/>
  <c r="O88" i="49" s="1"/>
  <c r="L89" i="49" a="1"/>
  <c r="L89" i="49" s="1"/>
  <c r="P89" i="49" s="1"/>
  <c r="K91" i="49" a="1"/>
  <c r="K91" i="49" s="1"/>
  <c r="O91" i="49" s="1"/>
  <c r="L80" i="49" a="1"/>
  <c r="L80" i="49" s="1"/>
  <c r="P80" i="49" s="1"/>
  <c r="K83" i="49" a="1"/>
  <c r="K83" i="49" s="1"/>
  <c r="O83" i="49" s="1"/>
  <c r="L84" i="49" a="1"/>
  <c r="L84" i="49" s="1"/>
  <c r="P84" i="49" s="1"/>
  <c r="K87" i="49" a="1"/>
  <c r="K87" i="49" s="1"/>
  <c r="O87" i="49" s="1"/>
  <c r="L88" i="49" a="1"/>
  <c r="L88" i="49" s="1"/>
  <c r="P88" i="49" s="1"/>
  <c r="L94" i="49" a="1"/>
  <c r="L94" i="49" s="1"/>
  <c r="P94" i="49" s="1"/>
  <c r="K92" i="49" a="1"/>
  <c r="K92" i="49" s="1"/>
  <c r="O92" i="49" s="1"/>
  <c r="L92" i="49" a="1"/>
  <c r="L92" i="49" s="1"/>
  <c r="P92" i="49" s="1"/>
  <c r="K105" i="49" a="1"/>
  <c r="K105" i="49" s="1"/>
  <c r="O105" i="49" s="1"/>
  <c r="L105" i="49" a="1"/>
  <c r="L105" i="49" s="1"/>
  <c r="P105" i="49" s="1"/>
  <c r="L96" i="49" a="1"/>
  <c r="L96" i="49" s="1"/>
  <c r="P96" i="49" s="1"/>
  <c r="L100" i="49" a="1"/>
  <c r="L100" i="49" s="1"/>
  <c r="P100" i="49" s="1"/>
  <c r="L114" i="49" a="1"/>
  <c r="L114" i="49" s="1"/>
  <c r="P114" i="49" s="1"/>
  <c r="K114" i="49" a="1"/>
  <c r="K114" i="49" s="1"/>
  <c r="O114" i="49" s="1"/>
  <c r="L122" i="49" a="1"/>
  <c r="L122" i="49" s="1"/>
  <c r="P122" i="49" s="1"/>
  <c r="K122" i="49" a="1"/>
  <c r="K122" i="49" s="1"/>
  <c r="O122" i="49" s="1"/>
  <c r="K104" i="49" a="1"/>
  <c r="K104" i="49" s="1"/>
  <c r="O104" i="49" s="1"/>
  <c r="K108" i="49" a="1"/>
  <c r="K108" i="49" s="1"/>
  <c r="O108" i="49" s="1"/>
  <c r="L108" i="49" a="1"/>
  <c r="L108" i="49" s="1"/>
  <c r="P108" i="49" s="1"/>
  <c r="K110" i="49" a="1"/>
  <c r="K110" i="49" s="1"/>
  <c r="O110" i="49" s="1"/>
  <c r="L118" i="49" a="1"/>
  <c r="L118" i="49" s="1"/>
  <c r="P118" i="49" s="1"/>
  <c r="K118" i="49" a="1"/>
  <c r="K118" i="49" s="1"/>
  <c r="O118" i="49" s="1"/>
  <c r="B6" i="48" a="1"/>
  <c r="B6" i="48" s="1"/>
  <c r="CJ14" i="48" s="1"/>
  <c r="B5" i="48" a="1"/>
  <c r="B5" i="48" s="1"/>
  <c r="CJ13" i="48" s="1"/>
  <c r="B4" i="48" a="1"/>
  <c r="B4" i="48" s="1"/>
  <c r="CJ12" i="48" s="1"/>
  <c r="N6" i="48" a="1"/>
  <c r="N6" i="48" s="1"/>
  <c r="O17" i="48"/>
  <c r="L18" i="48" a="1"/>
  <c r="L18" i="48" s="1"/>
  <c r="P18" i="48" s="1"/>
  <c r="O25" i="48"/>
  <c r="O16" i="48"/>
  <c r="O20" i="48"/>
  <c r="P35" i="47"/>
  <c r="AN14" i="48"/>
  <c r="BV14" i="48"/>
  <c r="P16" i="48"/>
  <c r="K15" i="48" a="1"/>
  <c r="K15" i="48" s="1"/>
  <c r="O15" i="48" s="1"/>
  <c r="K19" i="48" a="1"/>
  <c r="K19" i="48" s="1"/>
  <c r="O19" i="48" s="1"/>
  <c r="L20" i="48" a="1"/>
  <c r="L20" i="48" s="1"/>
  <c r="P20" i="48" s="1"/>
  <c r="P121" i="48"/>
  <c r="P117" i="48"/>
  <c r="P113" i="48"/>
  <c r="P109" i="48"/>
  <c r="O125" i="48"/>
  <c r="O121" i="48"/>
  <c r="O117" i="48"/>
  <c r="O113" i="48"/>
  <c r="P123" i="48"/>
  <c r="P119" i="48"/>
  <c r="P115" i="48"/>
  <c r="P111" i="48"/>
  <c r="P107" i="48"/>
  <c r="O123" i="48"/>
  <c r="O119" i="48"/>
  <c r="O115" i="48"/>
  <c r="P124" i="48"/>
  <c r="P120" i="48"/>
  <c r="P116" i="48"/>
  <c r="P112" i="48"/>
  <c r="P108" i="48"/>
  <c r="P103" i="48"/>
  <c r="P99" i="48"/>
  <c r="P95" i="48"/>
  <c r="P91" i="48"/>
  <c r="O103" i="48"/>
  <c r="O99" i="48"/>
  <c r="O91" i="48"/>
  <c r="O124" i="48"/>
  <c r="O107" i="48"/>
  <c r="O108" i="48"/>
  <c r="P101" i="48"/>
  <c r="P97" i="48"/>
  <c r="P93" i="48"/>
  <c r="O101" i="48"/>
  <c r="O93" i="48"/>
  <c r="P87" i="48"/>
  <c r="P83" i="48"/>
  <c r="P79" i="48"/>
  <c r="O87" i="48"/>
  <c r="O112" i="48"/>
  <c r="P76" i="48"/>
  <c r="P102" i="48"/>
  <c r="O104" i="48"/>
  <c r="O102" i="48"/>
  <c r="P77" i="48"/>
  <c r="P98" i="48"/>
  <c r="O77" i="48"/>
  <c r="O86" i="48"/>
  <c r="O82" i="48"/>
  <c r="O73" i="48"/>
  <c r="O98" i="48"/>
  <c r="O74" i="48"/>
  <c r="O70" i="48"/>
  <c r="P94" i="48"/>
  <c r="O76" i="48"/>
  <c r="P67" i="48"/>
  <c r="P63" i="48"/>
  <c r="O94" i="48"/>
  <c r="O90" i="48"/>
  <c r="O64" i="48"/>
  <c r="O78" i="48"/>
  <c r="O62" i="48"/>
  <c r="O59" i="48"/>
  <c r="O55" i="48"/>
  <c r="O51" i="48"/>
  <c r="O47" i="48"/>
  <c r="P74" i="48"/>
  <c r="O67" i="48"/>
  <c r="P64" i="48"/>
  <c r="P61" i="48"/>
  <c r="P57" i="48"/>
  <c r="P53" i="48"/>
  <c r="P70" i="48"/>
  <c r="O69" i="48"/>
  <c r="O57" i="48"/>
  <c r="O53" i="48"/>
  <c r="P66" i="48"/>
  <c r="O65" i="48"/>
  <c r="P65" i="48"/>
  <c r="P59" i="48"/>
  <c r="P55" i="48"/>
  <c r="O46" i="48"/>
  <c r="O42" i="48"/>
  <c r="O63" i="48"/>
  <c r="P62" i="48"/>
  <c r="P60" i="48"/>
  <c r="P56" i="48"/>
  <c r="P52" i="48"/>
  <c r="O56" i="48"/>
  <c r="O52" i="48"/>
  <c r="P44" i="48"/>
  <c r="P40" i="48"/>
  <c r="P49" i="48"/>
  <c r="P47" i="48"/>
  <c r="O44" i="48"/>
  <c r="O48" i="48"/>
  <c r="P41" i="48"/>
  <c r="P46" i="48"/>
  <c r="P42" i="48"/>
  <c r="P36" i="48"/>
  <c r="P34" i="48"/>
  <c r="P30" i="48"/>
  <c r="P26" i="48"/>
  <c r="P22" i="48"/>
  <c r="O41" i="48"/>
  <c r="O36" i="48"/>
  <c r="O34" i="48"/>
  <c r="O30" i="48"/>
  <c r="O26" i="48"/>
  <c r="O66" i="48"/>
  <c r="O43" i="48"/>
  <c r="P35" i="48"/>
  <c r="P31" i="48"/>
  <c r="P27" i="48"/>
  <c r="O40" i="48"/>
  <c r="P32" i="48"/>
  <c r="P28" i="48"/>
  <c r="P24" i="48"/>
  <c r="O33" i="48"/>
  <c r="O29" i="48"/>
  <c r="P15" i="48"/>
  <c r="P19" i="48"/>
  <c r="O23" i="48"/>
  <c r="L39" i="48" a="1"/>
  <c r="L39" i="48" s="1"/>
  <c r="P39" i="48" s="1"/>
  <c r="K39" i="48" a="1"/>
  <c r="K39" i="48" s="1"/>
  <c r="O39" i="48" s="1"/>
  <c r="O17" i="47"/>
  <c r="O18" i="48"/>
  <c r="K22" i="48" a="1"/>
  <c r="K22" i="48" s="1"/>
  <c r="O22" i="48" s="1"/>
  <c r="L23" i="48" a="1"/>
  <c r="L23" i="48" s="1"/>
  <c r="P23" i="48" s="1"/>
  <c r="O45" i="48"/>
  <c r="K38" i="48" a="1"/>
  <c r="K38" i="48" s="1"/>
  <c r="O38" i="48" s="1"/>
  <c r="L38" i="48" a="1"/>
  <c r="L38" i="48" s="1"/>
  <c r="P38" i="48" s="1"/>
  <c r="L37" i="48" a="1"/>
  <c r="L37" i="48" s="1"/>
  <c r="P37" i="48" s="1"/>
  <c r="K24" i="48" a="1"/>
  <c r="K24" i="48" s="1"/>
  <c r="O24" i="48" s="1"/>
  <c r="L25" i="48" a="1"/>
  <c r="L25" i="48" s="1"/>
  <c r="P25" i="48" s="1"/>
  <c r="K28" i="48" a="1"/>
  <c r="K28" i="48" s="1"/>
  <c r="O28" i="48" s="1"/>
  <c r="L29" i="48" a="1"/>
  <c r="L29" i="48" s="1"/>
  <c r="P29" i="48" s="1"/>
  <c r="K32" i="48" a="1"/>
  <c r="K32" i="48" s="1"/>
  <c r="O32" i="48" s="1"/>
  <c r="L33" i="48" a="1"/>
  <c r="L33" i="48" s="1"/>
  <c r="P33" i="48" s="1"/>
  <c r="K27" i="48" a="1"/>
  <c r="K27" i="48" s="1"/>
  <c r="O27" i="48" s="1"/>
  <c r="K31" i="48" a="1"/>
  <c r="K31" i="48" s="1"/>
  <c r="O31" i="48" s="1"/>
  <c r="K35" i="48" a="1"/>
  <c r="K35" i="48" s="1"/>
  <c r="O35" i="48" s="1"/>
  <c r="K37" i="48" a="1"/>
  <c r="K37" i="48" s="1"/>
  <c r="O37" i="48" s="1"/>
  <c r="L43" i="48" a="1"/>
  <c r="L43" i="48" s="1"/>
  <c r="P43" i="48" s="1"/>
  <c r="L48" i="48" a="1"/>
  <c r="L48" i="48" s="1"/>
  <c r="P48" i="48" s="1"/>
  <c r="K50" i="48" a="1"/>
  <c r="K50" i="48" s="1"/>
  <c r="O50" i="48" s="1"/>
  <c r="L45" i="48" a="1"/>
  <c r="L45" i="48" s="1"/>
  <c r="P45" i="48" s="1"/>
  <c r="L50" i="48" a="1"/>
  <c r="L50" i="48" s="1"/>
  <c r="P50" i="48" s="1"/>
  <c r="L54" i="48" a="1"/>
  <c r="L54" i="48" s="1"/>
  <c r="P54" i="48" s="1"/>
  <c r="K54" i="48" a="1"/>
  <c r="K54" i="48" s="1"/>
  <c r="O54" i="48" s="1"/>
  <c r="L58" i="48" a="1"/>
  <c r="L58" i="48" s="1"/>
  <c r="P58" i="48" s="1"/>
  <c r="K58" i="48" a="1"/>
  <c r="K58" i="48" s="1"/>
  <c r="O58" i="48" s="1"/>
  <c r="L78" i="48" a="1"/>
  <c r="L78" i="48" s="1"/>
  <c r="P78" i="48" s="1"/>
  <c r="L68" i="48" a="1"/>
  <c r="L68" i="48" s="1"/>
  <c r="P68" i="48" s="1"/>
  <c r="K68" i="48" a="1"/>
  <c r="K68" i="48" s="1"/>
  <c r="O68" i="48" s="1"/>
  <c r="L92" i="48" a="1"/>
  <c r="L92" i="48" s="1"/>
  <c r="P92" i="48" s="1"/>
  <c r="K92" i="48" a="1"/>
  <c r="K92" i="48" s="1"/>
  <c r="O92" i="48" s="1"/>
  <c r="L69" i="48" a="1"/>
  <c r="L69" i="48" s="1"/>
  <c r="P69" i="48" s="1"/>
  <c r="K72" i="48" a="1"/>
  <c r="K72" i="48" s="1"/>
  <c r="O72" i="48" s="1"/>
  <c r="L73" i="48" a="1"/>
  <c r="L73" i="48" s="1"/>
  <c r="P73" i="48" s="1"/>
  <c r="K71" i="48" a="1"/>
  <c r="K71" i="48" s="1"/>
  <c r="O71" i="48" s="1"/>
  <c r="L72" i="48" a="1"/>
  <c r="L72" i="48" s="1"/>
  <c r="P72" i="48" s="1"/>
  <c r="K75" i="48" a="1"/>
  <c r="K75" i="48" s="1"/>
  <c r="O75" i="48" s="1"/>
  <c r="L80" i="48" a="1"/>
  <c r="L80" i="48" s="1"/>
  <c r="P80" i="48" s="1"/>
  <c r="K80" i="48" a="1"/>
  <c r="K80" i="48" s="1"/>
  <c r="O80" i="48" s="1"/>
  <c r="L84" i="48" a="1"/>
  <c r="L84" i="48" s="1"/>
  <c r="P84" i="48" s="1"/>
  <c r="K84" i="48" a="1"/>
  <c r="K84" i="48" s="1"/>
  <c r="O84" i="48" s="1"/>
  <c r="L71" i="48" a="1"/>
  <c r="L71" i="48" s="1"/>
  <c r="P71" i="48" s="1"/>
  <c r="L75" i="48" a="1"/>
  <c r="L75" i="48" s="1"/>
  <c r="P75" i="48" s="1"/>
  <c r="L88" i="48" a="1"/>
  <c r="L88" i="48" s="1"/>
  <c r="P88" i="48" s="1"/>
  <c r="K88" i="48" a="1"/>
  <c r="K88" i="48" s="1"/>
  <c r="O88" i="48" s="1"/>
  <c r="L118" i="48" a="1"/>
  <c r="L118" i="48" s="1"/>
  <c r="P118" i="48" s="1"/>
  <c r="K118" i="48" a="1"/>
  <c r="K118" i="48" s="1"/>
  <c r="O118" i="48" s="1"/>
  <c r="K81" i="48" a="1"/>
  <c r="K81" i="48" s="1"/>
  <c r="O81" i="48" s="1"/>
  <c r="L82" i="48" a="1"/>
  <c r="L82" i="48" s="1"/>
  <c r="P82" i="48" s="1"/>
  <c r="K85" i="48" a="1"/>
  <c r="K85" i="48" s="1"/>
  <c r="O85" i="48" s="1"/>
  <c r="L86" i="48" a="1"/>
  <c r="L86" i="48" s="1"/>
  <c r="P86" i="48" s="1"/>
  <c r="K89" i="48" a="1"/>
  <c r="K89" i="48" s="1"/>
  <c r="O89" i="48" s="1"/>
  <c r="L90" i="48" a="1"/>
  <c r="L90" i="48" s="1"/>
  <c r="P90" i="48" s="1"/>
  <c r="L96" i="48" a="1"/>
  <c r="L96" i="48" s="1"/>
  <c r="P96" i="48" s="1"/>
  <c r="K96" i="48" a="1"/>
  <c r="K96" i="48" s="1"/>
  <c r="O96" i="48" s="1"/>
  <c r="L106" i="48" a="1"/>
  <c r="L106" i="48" s="1"/>
  <c r="P106" i="48" s="1"/>
  <c r="K106" i="48" a="1"/>
  <c r="K106" i="48" s="1"/>
  <c r="O106" i="48" s="1"/>
  <c r="L81" i="48" a="1"/>
  <c r="L81" i="48" s="1"/>
  <c r="P81" i="48" s="1"/>
  <c r="L85" i="48" a="1"/>
  <c r="L85" i="48" s="1"/>
  <c r="P85" i="48" s="1"/>
  <c r="L89" i="48" a="1"/>
  <c r="L89" i="48" s="1"/>
  <c r="P89" i="48" s="1"/>
  <c r="K95" i="48" a="1"/>
  <c r="K95" i="48" s="1"/>
  <c r="O95" i="48" s="1"/>
  <c r="L100" i="48" a="1"/>
  <c r="L100" i="48" s="1"/>
  <c r="P100" i="48" s="1"/>
  <c r="K100" i="48" a="1"/>
  <c r="K100" i="48" s="1"/>
  <c r="O100" i="48" s="1"/>
  <c r="L105" i="48" a="1"/>
  <c r="L105" i="48" s="1"/>
  <c r="P105" i="48" s="1"/>
  <c r="K105" i="48" a="1"/>
  <c r="K105" i="48" s="1"/>
  <c r="O105" i="48" s="1"/>
  <c r="L104" i="48" a="1"/>
  <c r="L104" i="48" s="1"/>
  <c r="P104" i="48" s="1"/>
  <c r="L114" i="48" a="1"/>
  <c r="L114" i="48" s="1"/>
  <c r="P114" i="48" s="1"/>
  <c r="K114" i="48" a="1"/>
  <c r="K114" i="48" s="1"/>
  <c r="O114" i="48" s="1"/>
  <c r="L122" i="48" a="1"/>
  <c r="L122" i="48" s="1"/>
  <c r="P122" i="48" s="1"/>
  <c r="K122" i="48" a="1"/>
  <c r="K122" i="48" s="1"/>
  <c r="O122" i="48" s="1"/>
  <c r="K109" i="48" a="1"/>
  <c r="K109" i="48" s="1"/>
  <c r="O109" i="48" s="1"/>
  <c r="L110" i="48" a="1"/>
  <c r="L110" i="48" s="1"/>
  <c r="P110" i="48" s="1"/>
  <c r="K110" i="48" a="1"/>
  <c r="K110" i="48" s="1"/>
  <c r="O110" i="48" s="1"/>
  <c r="B6" i="47" a="1"/>
  <c r="B6" i="47" s="1"/>
  <c r="CJ14" i="47" s="1"/>
  <c r="B5" i="47" a="1"/>
  <c r="B5" i="47" s="1"/>
  <c r="CJ13" i="47" s="1"/>
  <c r="B4" i="47" a="1"/>
  <c r="B4" i="47" s="1"/>
  <c r="CJ12" i="47" s="1"/>
  <c r="N6" i="47" a="1"/>
  <c r="N6" i="47" s="1"/>
  <c r="BC14" i="47"/>
  <c r="O24" i="47"/>
  <c r="K16" i="47" a="1"/>
  <c r="K16" i="47" s="1"/>
  <c r="O16" i="47" s="1"/>
  <c r="L17" i="47" a="1"/>
  <c r="L17" i="47" s="1"/>
  <c r="P17" i="47" s="1"/>
  <c r="AN14" i="47"/>
  <c r="BV14" i="47"/>
  <c r="K22" i="47" a="1"/>
  <c r="K22" i="47" s="1"/>
  <c r="O22" i="47" s="1"/>
  <c r="L22" i="47" a="1"/>
  <c r="L22" i="47" s="1"/>
  <c r="P22" i="47" s="1"/>
  <c r="K15" i="47" a="1"/>
  <c r="K15" i="47" s="1"/>
  <c r="O15" i="47" s="1"/>
  <c r="L16" i="47" a="1"/>
  <c r="L16" i="47" s="1"/>
  <c r="P16" i="47" s="1"/>
  <c r="K19" i="47" a="1"/>
  <c r="K19" i="47" s="1"/>
  <c r="O19" i="47" s="1"/>
  <c r="P121" i="47"/>
  <c r="P113" i="47"/>
  <c r="P105" i="47"/>
  <c r="O125" i="47"/>
  <c r="O121" i="47"/>
  <c r="O117" i="47"/>
  <c r="O113" i="47"/>
  <c r="O123" i="47"/>
  <c r="O119" i="47"/>
  <c r="P112" i="47"/>
  <c r="P123" i="47"/>
  <c r="O107" i="47"/>
  <c r="P102" i="47"/>
  <c r="P98" i="47"/>
  <c r="P94" i="47"/>
  <c r="P111" i="47"/>
  <c r="O108" i="47"/>
  <c r="P103" i="47"/>
  <c r="O111" i="47"/>
  <c r="O120" i="47"/>
  <c r="O118" i="47"/>
  <c r="O116" i="47"/>
  <c r="O114" i="47"/>
  <c r="O104" i="47"/>
  <c r="O100" i="47"/>
  <c r="O96" i="47"/>
  <c r="P119" i="47"/>
  <c r="O94" i="47"/>
  <c r="P92" i="47"/>
  <c r="P88" i="47"/>
  <c r="P84" i="47"/>
  <c r="P115" i="47"/>
  <c r="O92" i="47"/>
  <c r="O88" i="47"/>
  <c r="O93" i="47"/>
  <c r="O105" i="47"/>
  <c r="P90" i="47"/>
  <c r="P86" i="47"/>
  <c r="P107" i="47"/>
  <c r="P97" i="47"/>
  <c r="P95" i="47"/>
  <c r="O95" i="47"/>
  <c r="O79" i="47"/>
  <c r="O75" i="47"/>
  <c r="O71" i="47"/>
  <c r="O83" i="47"/>
  <c r="P80" i="47"/>
  <c r="P76" i="47"/>
  <c r="P72" i="47"/>
  <c r="O68" i="47"/>
  <c r="O85" i="47"/>
  <c r="O84" i="47"/>
  <c r="P69" i="47"/>
  <c r="O97" i="47"/>
  <c r="P82" i="47"/>
  <c r="P78" i="47"/>
  <c r="P74" i="47"/>
  <c r="P70" i="47"/>
  <c r="P66" i="47"/>
  <c r="O89" i="47"/>
  <c r="O82" i="47"/>
  <c r="O78" i="47"/>
  <c r="O74" i="47"/>
  <c r="O70" i="47"/>
  <c r="P53" i="47"/>
  <c r="P71" i="47"/>
  <c r="O66" i="47"/>
  <c r="O65" i="47"/>
  <c r="O61" i="47"/>
  <c r="O57" i="47"/>
  <c r="O53" i="47"/>
  <c r="P75" i="47"/>
  <c r="P62" i="47"/>
  <c r="P58" i="47"/>
  <c r="P59" i="47"/>
  <c r="P55" i="47"/>
  <c r="O63" i="47"/>
  <c r="O59" i="47"/>
  <c r="O67" i="47"/>
  <c r="O64" i="47"/>
  <c r="O60" i="47"/>
  <c r="O56" i="47"/>
  <c r="P48" i="47"/>
  <c r="P44" i="47"/>
  <c r="P40" i="47"/>
  <c r="P36" i="47"/>
  <c r="P56" i="47"/>
  <c r="O55" i="47"/>
  <c r="O48" i="47"/>
  <c r="O44" i="47"/>
  <c r="O40" i="47"/>
  <c r="P52" i="47"/>
  <c r="P37" i="47"/>
  <c r="O37" i="47"/>
  <c r="P60" i="47"/>
  <c r="O46" i="47"/>
  <c r="O42" i="47"/>
  <c r="P67" i="47"/>
  <c r="P64" i="47"/>
  <c r="P51" i="47"/>
  <c r="P47" i="47"/>
  <c r="P43" i="47"/>
  <c r="P39" i="47"/>
  <c r="O51" i="47"/>
  <c r="O39" i="47"/>
  <c r="O30" i="47"/>
  <c r="O26" i="47"/>
  <c r="P38" i="47"/>
  <c r="P31" i="47"/>
  <c r="P27" i="47"/>
  <c r="P23" i="47"/>
  <c r="O31" i="47"/>
  <c r="O27" i="47"/>
  <c r="P34" i="47"/>
  <c r="P32" i="47"/>
  <c r="P28" i="47"/>
  <c r="P24" i="47"/>
  <c r="P20" i="47"/>
  <c r="O47" i="47"/>
  <c r="O34" i="47"/>
  <c r="O32" i="47"/>
  <c r="O28" i="47"/>
  <c r="O35" i="47"/>
  <c r="O21" i="47"/>
  <c r="P15" i="47"/>
  <c r="P19" i="47"/>
  <c r="O20" i="47"/>
  <c r="P21" i="47"/>
  <c r="P33" i="47"/>
  <c r="O18" i="47"/>
  <c r="P29" i="47"/>
  <c r="P29" i="45"/>
  <c r="Y29" i="45" s="1"/>
  <c r="P18" i="47"/>
  <c r="P25" i="47"/>
  <c r="K25" i="47" a="1"/>
  <c r="K25" i="47" s="1"/>
  <c r="O25" i="47" s="1"/>
  <c r="L26" i="47" a="1"/>
  <c r="L26" i="47" s="1"/>
  <c r="P26" i="47" s="1"/>
  <c r="K29" i="47" a="1"/>
  <c r="K29" i="47" s="1"/>
  <c r="O29" i="47" s="1"/>
  <c r="L30" i="47" a="1"/>
  <c r="L30" i="47" s="1"/>
  <c r="P30" i="47" s="1"/>
  <c r="K33" i="47" a="1"/>
  <c r="K33" i="47" s="1"/>
  <c r="O33" i="47" s="1"/>
  <c r="K38" i="47" a="1"/>
  <c r="K38" i="47" s="1"/>
  <c r="O38" i="47" s="1"/>
  <c r="L45" i="47" a="1"/>
  <c r="L45" i="47" s="1"/>
  <c r="P45" i="47" s="1"/>
  <c r="K45" i="47" a="1"/>
  <c r="K45" i="47" s="1"/>
  <c r="O45" i="47" s="1"/>
  <c r="L41" i="47" a="1"/>
  <c r="L41" i="47" s="1"/>
  <c r="P41" i="47" s="1"/>
  <c r="K41" i="47" a="1"/>
  <c r="K41" i="47" s="1"/>
  <c r="O41" i="47" s="1"/>
  <c r="K36" i="47" a="1"/>
  <c r="K36" i="47" s="1"/>
  <c r="O36" i="47" s="1"/>
  <c r="L49" i="47" a="1"/>
  <c r="L49" i="47" s="1"/>
  <c r="P49" i="47" s="1"/>
  <c r="K49" i="47" a="1"/>
  <c r="K49" i="47" s="1"/>
  <c r="O49" i="47" s="1"/>
  <c r="K50" i="47" a="1"/>
  <c r="K50" i="47" s="1"/>
  <c r="O50" i="47" s="1"/>
  <c r="L42" i="47" a="1"/>
  <c r="L42" i="47" s="1"/>
  <c r="P42" i="47" s="1"/>
  <c r="L46" i="47" a="1"/>
  <c r="L46" i="47" s="1"/>
  <c r="P46" i="47" s="1"/>
  <c r="L50" i="47" a="1"/>
  <c r="L50" i="47" s="1"/>
  <c r="P50" i="47" s="1"/>
  <c r="K52" i="47" a="1"/>
  <c r="K52" i="47" s="1"/>
  <c r="O52" i="47" s="1"/>
  <c r="L54" i="47" a="1"/>
  <c r="L54" i="47" s="1"/>
  <c r="P54" i="47" s="1"/>
  <c r="K54" i="47" a="1"/>
  <c r="K54" i="47" s="1"/>
  <c r="O54" i="47" s="1"/>
  <c r="L57" i="47" a="1"/>
  <c r="L57" i="47" s="1"/>
  <c r="P57" i="47" s="1"/>
  <c r="L61" i="47" a="1"/>
  <c r="L61" i="47" s="1"/>
  <c r="P61" i="47" s="1"/>
  <c r="L65" i="47" a="1"/>
  <c r="L65" i="47" s="1"/>
  <c r="P65" i="47" s="1"/>
  <c r="K58" i="47" a="1"/>
  <c r="K58" i="47" s="1"/>
  <c r="O58" i="47" s="1"/>
  <c r="K62" i="47" a="1"/>
  <c r="K62" i="47" s="1"/>
  <c r="O62" i="47" s="1"/>
  <c r="L63" i="47" a="1"/>
  <c r="L63" i="47" s="1"/>
  <c r="P63" i="47" s="1"/>
  <c r="K87" i="47" a="1"/>
  <c r="K87" i="47" s="1"/>
  <c r="O87" i="47" s="1"/>
  <c r="L87" i="47" a="1"/>
  <c r="L87" i="47" s="1"/>
  <c r="P87" i="47" s="1"/>
  <c r="L68" i="47" a="1"/>
  <c r="L68" i="47" s="1"/>
  <c r="P68" i="47" s="1"/>
  <c r="K69" i="47" a="1"/>
  <c r="K69" i="47" s="1"/>
  <c r="O69" i="47" s="1"/>
  <c r="L79" i="47" a="1"/>
  <c r="L79" i="47" s="1"/>
  <c r="P79" i="47" s="1"/>
  <c r="L83" i="47" a="1"/>
  <c r="L83" i="47" s="1"/>
  <c r="P83" i="47" s="1"/>
  <c r="K91" i="47" a="1"/>
  <c r="K91" i="47" s="1"/>
  <c r="O91" i="47" s="1"/>
  <c r="L91" i="47" a="1"/>
  <c r="L91" i="47" s="1"/>
  <c r="P91" i="47" s="1"/>
  <c r="K73" i="47" a="1"/>
  <c r="K73" i="47" s="1"/>
  <c r="O73" i="47" s="1"/>
  <c r="K77" i="47" a="1"/>
  <c r="K77" i="47" s="1"/>
  <c r="O77" i="47" s="1"/>
  <c r="K81" i="47" a="1"/>
  <c r="K81" i="47" s="1"/>
  <c r="O81" i="47" s="1"/>
  <c r="L85" i="47" a="1"/>
  <c r="L85" i="47" s="1"/>
  <c r="P85" i="47" s="1"/>
  <c r="K72" i="47" a="1"/>
  <c r="K72" i="47" s="1"/>
  <c r="O72" i="47" s="1"/>
  <c r="L73" i="47" a="1"/>
  <c r="L73" i="47" s="1"/>
  <c r="P73" i="47" s="1"/>
  <c r="K76" i="47" a="1"/>
  <c r="K76" i="47" s="1"/>
  <c r="O76" i="47" s="1"/>
  <c r="L77" i="47" a="1"/>
  <c r="L77" i="47" s="1"/>
  <c r="P77" i="47" s="1"/>
  <c r="K80" i="47" a="1"/>
  <c r="K80" i="47" s="1"/>
  <c r="O80" i="47" s="1"/>
  <c r="L81" i="47" a="1"/>
  <c r="L81" i="47" s="1"/>
  <c r="P81" i="47" s="1"/>
  <c r="L101" i="47" a="1"/>
  <c r="L101" i="47" s="1"/>
  <c r="P101" i="47" s="1"/>
  <c r="K101" i="47" a="1"/>
  <c r="K101" i="47" s="1"/>
  <c r="O101" i="47" s="1"/>
  <c r="L99" i="47" a="1"/>
  <c r="L99" i="47" s="1"/>
  <c r="P99" i="47" s="1"/>
  <c r="K99" i="47" a="1"/>
  <c r="K99" i="47" s="1"/>
  <c r="O99" i="47" s="1"/>
  <c r="K86" i="47" a="1"/>
  <c r="K86" i="47" s="1"/>
  <c r="O86" i="47" s="1"/>
  <c r="K90" i="47" a="1"/>
  <c r="K90" i="47" s="1"/>
  <c r="O90" i="47" s="1"/>
  <c r="L106" i="47" a="1"/>
  <c r="L106" i="47" s="1"/>
  <c r="P106" i="47" s="1"/>
  <c r="K106" i="47" a="1"/>
  <c r="K106" i="47" s="1"/>
  <c r="O106" i="47" s="1"/>
  <c r="K109" i="47" a="1"/>
  <c r="K109" i="47" s="1"/>
  <c r="O109" i="47" s="1"/>
  <c r="L109" i="47" a="1"/>
  <c r="L109" i="47" s="1"/>
  <c r="P109" i="47" s="1"/>
  <c r="L96" i="47" a="1"/>
  <c r="L96" i="47" s="1"/>
  <c r="P96" i="47" s="1"/>
  <c r="L89" i="47" a="1"/>
  <c r="L89" i="47" s="1"/>
  <c r="P89" i="47" s="1"/>
  <c r="L93" i="47" a="1"/>
  <c r="L93" i="47" s="1"/>
  <c r="P93" i="47" s="1"/>
  <c r="K103" i="47" a="1"/>
  <c r="K103" i="47" s="1"/>
  <c r="O103" i="47" s="1"/>
  <c r="L100" i="47" a="1"/>
  <c r="L100" i="47" s="1"/>
  <c r="P100" i="47" s="1"/>
  <c r="L110" i="47" a="1"/>
  <c r="L110" i="47" s="1"/>
  <c r="P110" i="47" s="1"/>
  <c r="K110" i="47" a="1"/>
  <c r="K110" i="47" s="1"/>
  <c r="O110" i="47" s="1"/>
  <c r="L108" i="47" a="1"/>
  <c r="L108" i="47" s="1"/>
  <c r="P108" i="47" s="1"/>
  <c r="L124" i="47" a="1"/>
  <c r="L124" i="47" s="1"/>
  <c r="P124" i="47" s="1"/>
  <c r="L122" i="47" a="1"/>
  <c r="L122" i="47" s="1"/>
  <c r="P122" i="47" s="1"/>
  <c r="L114" i="47" a="1"/>
  <c r="L114" i="47" s="1"/>
  <c r="P114" i="47" s="1"/>
  <c r="L116" i="47" a="1"/>
  <c r="L116" i="47" s="1"/>
  <c r="P116" i="47" s="1"/>
  <c r="L118" i="47" a="1"/>
  <c r="L118" i="47" s="1"/>
  <c r="P118" i="47" s="1"/>
  <c r="L120" i="47" a="1"/>
  <c r="L120" i="47" s="1"/>
  <c r="P120" i="47" s="1"/>
  <c r="K124" i="47" a="1"/>
  <c r="K124" i="47" s="1"/>
  <c r="O124" i="47" s="1"/>
  <c r="K112" i="47" a="1"/>
  <c r="K112" i="47" s="1"/>
  <c r="O112" i="47" s="1"/>
  <c r="K122" i="47" a="1"/>
  <c r="K122" i="47" s="1"/>
  <c r="O122" i="47" s="1"/>
  <c r="O29" i="44"/>
  <c r="X29" i="44" s="1"/>
  <c r="P109" i="46"/>
  <c r="P105" i="46"/>
  <c r="O125" i="46"/>
  <c r="O121" i="46"/>
  <c r="O117" i="46"/>
  <c r="O113" i="46"/>
  <c r="O109" i="46"/>
  <c r="P122" i="46"/>
  <c r="P118" i="46"/>
  <c r="P114" i="46"/>
  <c r="P110" i="46"/>
  <c r="O114" i="46"/>
  <c r="P115" i="46"/>
  <c r="P111" i="46"/>
  <c r="P107" i="46"/>
  <c r="O123" i="46"/>
  <c r="O119" i="46"/>
  <c r="O115" i="46"/>
  <c r="O111" i="46"/>
  <c r="O120" i="46"/>
  <c r="O116" i="46"/>
  <c r="P120" i="46"/>
  <c r="O93" i="46"/>
  <c r="O107" i="46"/>
  <c r="P94" i="46"/>
  <c r="P90" i="46"/>
  <c r="P124" i="46"/>
  <c r="P112" i="46"/>
  <c r="P108" i="46"/>
  <c r="P116" i="46"/>
  <c r="O106" i="46"/>
  <c r="P103" i="46"/>
  <c r="P100" i="46"/>
  <c r="O100" i="46"/>
  <c r="P86" i="46"/>
  <c r="P82" i="46"/>
  <c r="P83" i="46"/>
  <c r="P99" i="46"/>
  <c r="P95" i="46"/>
  <c r="O99" i="46"/>
  <c r="P89" i="46"/>
  <c r="P85" i="46"/>
  <c r="P84" i="46"/>
  <c r="P80" i="46"/>
  <c r="Y80" i="46" s="1"/>
  <c r="P71" i="46"/>
  <c r="Y71" i="46" s="1"/>
  <c r="O95" i="46"/>
  <c r="O85" i="46"/>
  <c r="O84" i="46"/>
  <c r="O80" i="46"/>
  <c r="X80" i="46" s="1"/>
  <c r="O79" i="46"/>
  <c r="X79" i="46" s="1"/>
  <c r="O75" i="46"/>
  <c r="X75" i="46" s="1"/>
  <c r="O71" i="46"/>
  <c r="X71" i="46" s="1"/>
  <c r="O88" i="46"/>
  <c r="O69" i="46"/>
  <c r="X69" i="46" s="1"/>
  <c r="O74" i="46"/>
  <c r="X74" i="46" s="1"/>
  <c r="P60" i="46"/>
  <c r="Y60" i="46" s="1"/>
  <c r="O89" i="46"/>
  <c r="O76" i="46"/>
  <c r="X76" i="46" s="1"/>
  <c r="P73" i="46"/>
  <c r="Y73" i="46" s="1"/>
  <c r="O103" i="46"/>
  <c r="P69" i="46"/>
  <c r="Y69" i="46" s="1"/>
  <c r="P67" i="46"/>
  <c r="Y67" i="46" s="1"/>
  <c r="P63" i="46"/>
  <c r="Y63" i="46" s="1"/>
  <c r="O66" i="46"/>
  <c r="X66" i="46" s="1"/>
  <c r="P59" i="46"/>
  <c r="Y59" i="46" s="1"/>
  <c r="O60" i="46"/>
  <c r="X60" i="46" s="1"/>
  <c r="O59" i="46"/>
  <c r="X59" i="46" s="1"/>
  <c r="O57" i="46"/>
  <c r="X57" i="46" s="1"/>
  <c r="O53" i="46"/>
  <c r="X53" i="46" s="1"/>
  <c r="O49" i="46"/>
  <c r="X49" i="46" s="1"/>
  <c r="O29" i="46"/>
  <c r="P54" i="46"/>
  <c r="Y54" i="46" s="1"/>
  <c r="P50" i="46"/>
  <c r="Y50" i="46" s="1"/>
  <c r="P46" i="46"/>
  <c r="Y46" i="46" s="1"/>
  <c r="P42" i="46"/>
  <c r="Y42" i="46" s="1"/>
  <c r="P38" i="46"/>
  <c r="Y38" i="46" s="1"/>
  <c r="P34" i="46"/>
  <c r="P81" i="46"/>
  <c r="P55" i="46"/>
  <c r="Y55" i="46" s="1"/>
  <c r="P51" i="46"/>
  <c r="Y51" i="46" s="1"/>
  <c r="P47" i="46"/>
  <c r="Y47" i="46" s="1"/>
  <c r="P43" i="46"/>
  <c r="Y43" i="46" s="1"/>
  <c r="P39" i="46"/>
  <c r="Y39" i="46" s="1"/>
  <c r="P35" i="46"/>
  <c r="P31" i="46"/>
  <c r="P27" i="46"/>
  <c r="O81" i="46"/>
  <c r="O51" i="46"/>
  <c r="X51" i="46" s="1"/>
  <c r="O94" i="46"/>
  <c r="O58" i="46"/>
  <c r="X58" i="46" s="1"/>
  <c r="O56" i="46"/>
  <c r="X56" i="46" s="1"/>
  <c r="O52" i="46"/>
  <c r="X52" i="46" s="1"/>
  <c r="O48" i="46"/>
  <c r="X48" i="46" s="1"/>
  <c r="O44" i="46"/>
  <c r="X44" i="46" s="1"/>
  <c r="O40" i="46"/>
  <c r="X40" i="46" s="1"/>
  <c r="O36" i="46"/>
  <c r="X36" i="46" s="1"/>
  <c r="O47" i="46"/>
  <c r="X47" i="46" s="1"/>
  <c r="O62" i="46"/>
  <c r="X62" i="46" s="1"/>
  <c r="P48" i="46"/>
  <c r="Y48" i="46" s="1"/>
  <c r="P40" i="46"/>
  <c r="Y40" i="46" s="1"/>
  <c r="P36" i="46"/>
  <c r="P32" i="46"/>
  <c r="O23" i="46"/>
  <c r="P52" i="46"/>
  <c r="Y52" i="46" s="1"/>
  <c r="P24" i="46"/>
  <c r="P20" i="46"/>
  <c r="P77" i="46"/>
  <c r="Y77" i="46" s="1"/>
  <c r="P56" i="46"/>
  <c r="Y56" i="46" s="1"/>
  <c r="P44" i="46"/>
  <c r="Y44" i="46" s="1"/>
  <c r="O43" i="46"/>
  <c r="X43" i="46" s="1"/>
  <c r="P28" i="46"/>
  <c r="O24" i="46"/>
  <c r="O20" i="46"/>
  <c r="O16" i="46"/>
  <c r="O39" i="46"/>
  <c r="X39" i="46" s="1"/>
  <c r="O27" i="46"/>
  <c r="P58" i="46"/>
  <c r="Y58" i="46" s="1"/>
  <c r="O31" i="46"/>
  <c r="O22" i="46"/>
  <c r="O18" i="46"/>
  <c r="BR14" i="46"/>
  <c r="BV14" i="46" s="1"/>
  <c r="O15" i="46"/>
  <c r="P22" i="46"/>
  <c r="K17" i="46" a="1"/>
  <c r="K17" i="46" s="1"/>
  <c r="O17" i="46" s="1"/>
  <c r="O19" i="46"/>
  <c r="L17" i="46" a="1"/>
  <c r="L17" i="46" s="1"/>
  <c r="P17" i="46" s="1"/>
  <c r="N6" i="46" a="1"/>
  <c r="N6" i="46" s="1"/>
  <c r="B6" i="46" a="1"/>
  <c r="B6" i="46" s="1"/>
  <c r="CJ14" i="46" s="1"/>
  <c r="B5" i="46" a="1"/>
  <c r="B5" i="46" s="1"/>
  <c r="CJ13" i="46" s="1"/>
  <c r="B4" i="46" a="1"/>
  <c r="B4" i="46" s="1"/>
  <c r="CJ12" i="46" s="1"/>
  <c r="BD14" i="46"/>
  <c r="BH14" i="46" s="1"/>
  <c r="L15" i="46" a="1"/>
  <c r="L15" i="46" s="1"/>
  <c r="P15" i="46" s="1"/>
  <c r="L21" i="46" a="1"/>
  <c r="L21" i="46" s="1"/>
  <c r="P21" i="46" s="1"/>
  <c r="K21" i="46" a="1"/>
  <c r="K21" i="46" s="1"/>
  <c r="O21" i="46" s="1"/>
  <c r="L19" i="46" a="1"/>
  <c r="L19" i="46" s="1"/>
  <c r="P19" i="46" s="1"/>
  <c r="L23" i="46" a="1"/>
  <c r="L23" i="46" s="1"/>
  <c r="P23" i="46" s="1"/>
  <c r="K45" i="46" a="1"/>
  <c r="K45" i="46" s="1"/>
  <c r="O45" i="46" s="1"/>
  <c r="X45" i="46" s="1"/>
  <c r="L45" i="46" a="1"/>
  <c r="L45" i="46" s="1"/>
  <c r="P45" i="46" s="1"/>
  <c r="Y45" i="46" s="1"/>
  <c r="K25" i="46" a="1"/>
  <c r="K25" i="46" s="1"/>
  <c r="O25" i="46" s="1"/>
  <c r="K26" i="46" a="1"/>
  <c r="K26" i="46" s="1"/>
  <c r="O26" i="46" s="1"/>
  <c r="L30" i="46" a="1"/>
  <c r="L30" i="46" s="1"/>
  <c r="P30" i="46" s="1"/>
  <c r="K30" i="46" a="1"/>
  <c r="K30" i="46" s="1"/>
  <c r="O30" i="46" s="1"/>
  <c r="L26" i="46" a="1"/>
  <c r="L26" i="46" s="1"/>
  <c r="P26" i="46" s="1"/>
  <c r="L29" i="46" a="1"/>
  <c r="L29" i="46" s="1"/>
  <c r="P29" i="46" s="1"/>
  <c r="K33" i="46" a="1"/>
  <c r="K33" i="46" s="1"/>
  <c r="O33" i="46" s="1"/>
  <c r="L33" i="46" a="1"/>
  <c r="L33" i="46" s="1"/>
  <c r="P33" i="46" s="1"/>
  <c r="K37" i="46" a="1"/>
  <c r="K37" i="46" s="1"/>
  <c r="O37" i="46" s="1"/>
  <c r="L37" i="46" a="1"/>
  <c r="L37" i="46" s="1"/>
  <c r="P37" i="46" s="1"/>
  <c r="K41" i="46" a="1"/>
  <c r="K41" i="46" s="1"/>
  <c r="O41" i="46" s="1"/>
  <c r="X41" i="46" s="1"/>
  <c r="L41" i="46" a="1"/>
  <c r="L41" i="46" s="1"/>
  <c r="P41" i="46" s="1"/>
  <c r="L25" i="46" a="1"/>
  <c r="L25" i="46" s="1"/>
  <c r="P25" i="46" s="1"/>
  <c r="L68" i="46" a="1"/>
  <c r="L68" i="46" s="1"/>
  <c r="P68" i="46" s="1"/>
  <c r="Y68" i="46" s="1"/>
  <c r="K68" i="46" a="1"/>
  <c r="K68" i="46" s="1"/>
  <c r="O68" i="46" s="1"/>
  <c r="X68" i="46" s="1"/>
  <c r="L49" i="46" a="1"/>
  <c r="L49" i="46" s="1"/>
  <c r="P49" i="46" s="1"/>
  <c r="Y49" i="46" s="1"/>
  <c r="L53" i="46" a="1"/>
  <c r="L53" i="46" s="1"/>
  <c r="P53" i="46" s="1"/>
  <c r="Y53" i="46" s="1"/>
  <c r="L57" i="46" a="1"/>
  <c r="L57" i="46" s="1"/>
  <c r="P57" i="46" s="1"/>
  <c r="Y57" i="46" s="1"/>
  <c r="L61" i="46" a="1"/>
  <c r="L61" i="46" s="1"/>
  <c r="P61" i="46" s="1"/>
  <c r="Y61" i="46" s="1"/>
  <c r="K61" i="46" a="1"/>
  <c r="K61" i="46" s="1"/>
  <c r="O61" i="46" s="1"/>
  <c r="X61" i="46" s="1"/>
  <c r="K64" i="46" a="1"/>
  <c r="K64" i="46" s="1"/>
  <c r="O64" i="46" s="1"/>
  <c r="X64" i="46" s="1"/>
  <c r="L70" i="46" a="1"/>
  <c r="L70" i="46" s="1"/>
  <c r="P70" i="46" s="1"/>
  <c r="Y70" i="46" s="1"/>
  <c r="K70" i="46" a="1"/>
  <c r="K70" i="46" s="1"/>
  <c r="O70" i="46" s="1"/>
  <c r="X70" i="46" s="1"/>
  <c r="L72" i="46" a="1"/>
  <c r="L72" i="46" s="1"/>
  <c r="P72" i="46" s="1"/>
  <c r="Y72" i="46" s="1"/>
  <c r="K72" i="46" a="1"/>
  <c r="K72" i="46" s="1"/>
  <c r="O72" i="46" s="1"/>
  <c r="X72" i="46" s="1"/>
  <c r="K34" i="46" a="1"/>
  <c r="K34" i="46" s="1"/>
  <c r="O34" i="46" s="1"/>
  <c r="K38" i="46" a="1"/>
  <c r="K38" i="46" s="1"/>
  <c r="O38" i="46" s="1"/>
  <c r="X38" i="46" s="1"/>
  <c r="K42" i="46" a="1"/>
  <c r="K42" i="46" s="1"/>
  <c r="O42" i="46" s="1"/>
  <c r="X42" i="46" s="1"/>
  <c r="K46" i="46" a="1"/>
  <c r="K46" i="46" s="1"/>
  <c r="O46" i="46" s="1"/>
  <c r="X46" i="46" s="1"/>
  <c r="K50" i="46" a="1"/>
  <c r="K50" i="46" s="1"/>
  <c r="O50" i="46" s="1"/>
  <c r="X50" i="46" s="1"/>
  <c r="K54" i="46" a="1"/>
  <c r="K54" i="46" s="1"/>
  <c r="O54" i="46" s="1"/>
  <c r="X54" i="46" s="1"/>
  <c r="L64" i="46" a="1"/>
  <c r="L64" i="46" s="1"/>
  <c r="P64" i="46" s="1"/>
  <c r="Y64" i="46" s="1"/>
  <c r="L65" i="46" a="1"/>
  <c r="L65" i="46" s="1"/>
  <c r="P65" i="46" s="1"/>
  <c r="Y65" i="46" s="1"/>
  <c r="K65" i="46" a="1"/>
  <c r="K65" i="46" s="1"/>
  <c r="O65" i="46" s="1"/>
  <c r="X65" i="46" s="1"/>
  <c r="L78" i="46" a="1"/>
  <c r="L78" i="46" s="1"/>
  <c r="P78" i="46" s="1"/>
  <c r="Y78" i="46" s="1"/>
  <c r="K91" i="46" a="1"/>
  <c r="K91" i="46" s="1"/>
  <c r="O91" i="46" s="1"/>
  <c r="L91" i="46" a="1"/>
  <c r="L91" i="46" s="1"/>
  <c r="P91" i="46" s="1"/>
  <c r="L62" i="46" a="1"/>
  <c r="L62" i="46" s="1"/>
  <c r="P62" i="46" s="1"/>
  <c r="Y62" i="46" s="1"/>
  <c r="L66" i="46" a="1"/>
  <c r="L66" i="46" s="1"/>
  <c r="P66" i="46" s="1"/>
  <c r="Y66" i="46" s="1"/>
  <c r="L76" i="46" a="1"/>
  <c r="L76" i="46" s="1"/>
  <c r="P76" i="46" s="1"/>
  <c r="Y76" i="46" s="1"/>
  <c r="K78" i="46" a="1"/>
  <c r="K78" i="46" s="1"/>
  <c r="O78" i="46" s="1"/>
  <c r="X78" i="46" s="1"/>
  <c r="K83" i="46" a="1"/>
  <c r="K83" i="46" s="1"/>
  <c r="O83" i="46" s="1"/>
  <c r="L74" i="46" a="1"/>
  <c r="L74" i="46" s="1"/>
  <c r="P74" i="46" s="1"/>
  <c r="Y74" i="46" s="1"/>
  <c r="K86" i="46" a="1"/>
  <c r="K86" i="46" s="1"/>
  <c r="O86" i="46" s="1"/>
  <c r="L87" i="46" a="1"/>
  <c r="L87" i="46" s="1"/>
  <c r="P87" i="46" s="1"/>
  <c r="K87" i="46" a="1"/>
  <c r="K87" i="46" s="1"/>
  <c r="O87" i="46" s="1"/>
  <c r="L92" i="46" a="1"/>
  <c r="L92" i="46" s="1"/>
  <c r="P92" i="46" s="1"/>
  <c r="K92" i="46" a="1"/>
  <c r="K92" i="46" s="1"/>
  <c r="O92" i="46" s="1"/>
  <c r="K77" i="46" a="1"/>
  <c r="K77" i="46" s="1"/>
  <c r="O77" i="46" s="1"/>
  <c r="X77" i="46" s="1"/>
  <c r="K82" i="46" a="1"/>
  <c r="K82" i="46" s="1"/>
  <c r="O82" i="46" s="1"/>
  <c r="K97" i="46" a="1"/>
  <c r="K97" i="46" s="1"/>
  <c r="O97" i="46" s="1"/>
  <c r="L98" i="46" a="1"/>
  <c r="L98" i="46" s="1"/>
  <c r="P98" i="46" s="1"/>
  <c r="K98" i="46" a="1"/>
  <c r="K98" i="46" s="1"/>
  <c r="O98" i="46" s="1"/>
  <c r="K104" i="46" a="1"/>
  <c r="K104" i="46" s="1"/>
  <c r="O104" i="46" s="1"/>
  <c r="L88" i="46" a="1"/>
  <c r="L88" i="46" s="1"/>
  <c r="P88" i="46" s="1"/>
  <c r="L101" i="46" a="1"/>
  <c r="L101" i="46" s="1"/>
  <c r="P101" i="46" s="1"/>
  <c r="L102" i="46" a="1"/>
  <c r="L102" i="46" s="1"/>
  <c r="P102" i="46" s="1"/>
  <c r="K102" i="46" a="1"/>
  <c r="K102" i="46" s="1"/>
  <c r="O102" i="46" s="1"/>
  <c r="K105" i="46" a="1"/>
  <c r="K105" i="46" s="1"/>
  <c r="O105" i="46" s="1"/>
  <c r="K96" i="46" a="1"/>
  <c r="K96" i="46" s="1"/>
  <c r="O96" i="46" s="1"/>
  <c r="L96" i="46" a="1"/>
  <c r="L96" i="46" s="1"/>
  <c r="P96" i="46" s="1"/>
  <c r="L97" i="46" a="1"/>
  <c r="L97" i="46" s="1"/>
  <c r="P97" i="46" s="1"/>
  <c r="K101" i="46" a="1"/>
  <c r="K101" i="46" s="1"/>
  <c r="O101" i="46" s="1"/>
  <c r="L104" i="46" a="1"/>
  <c r="L104" i="46" s="1"/>
  <c r="P104" i="46" s="1"/>
  <c r="K112" i="46" a="1"/>
  <c r="K112" i="46" s="1"/>
  <c r="O112" i="46" s="1"/>
  <c r="L113" i="46" a="1"/>
  <c r="L113" i="46" s="1"/>
  <c r="P113" i="46" s="1"/>
  <c r="L117" i="46" a="1"/>
  <c r="L117" i="46" s="1"/>
  <c r="P117" i="46" s="1"/>
  <c r="L121" i="46" a="1"/>
  <c r="L121" i="46" s="1"/>
  <c r="P121" i="46" s="1"/>
  <c r="K124" i="46" a="1"/>
  <c r="K124" i="46" s="1"/>
  <c r="O124" i="46" s="1"/>
  <c r="L125" i="46" a="1"/>
  <c r="L125" i="46" s="1"/>
  <c r="P125" i="46" s="1"/>
  <c r="K118" i="46" a="1"/>
  <c r="K118" i="46" s="1"/>
  <c r="O118" i="46" s="1"/>
  <c r="L119" i="46" a="1"/>
  <c r="L119" i="46" s="1"/>
  <c r="P119" i="46" s="1"/>
  <c r="K122" i="46" a="1"/>
  <c r="K122" i="46" s="1"/>
  <c r="O122" i="46" s="1"/>
  <c r="L123" i="46" a="1"/>
  <c r="L123" i="46" s="1"/>
  <c r="P123" i="46" s="1"/>
  <c r="O15" i="45"/>
  <c r="P21" i="45"/>
  <c r="Y21" i="45" s="1"/>
  <c r="L31" i="45" a="1"/>
  <c r="L31" i="45" s="1"/>
  <c r="P31" i="45" s="1"/>
  <c r="Y31" i="45" s="1"/>
  <c r="K31" i="45" a="1"/>
  <c r="K31" i="45" s="1"/>
  <c r="O31" i="45" s="1"/>
  <c r="X31" i="45" s="1"/>
  <c r="O45" i="44"/>
  <c r="X45" i="44" s="1"/>
  <c r="B4" i="45" a="1"/>
  <c r="B4" i="45" s="1"/>
  <c r="CJ12" i="45" s="1"/>
  <c r="B5" i="45" a="1"/>
  <c r="B5" i="45" s="1"/>
  <c r="CJ13" i="45" s="1"/>
  <c r="B6" i="45" a="1"/>
  <c r="B6" i="45" s="1"/>
  <c r="CJ14" i="45" s="1"/>
  <c r="BH14" i="45"/>
  <c r="L15" i="45" a="1"/>
  <c r="L15" i="45" s="1"/>
  <c r="P15" i="45" s="1"/>
  <c r="O18" i="45"/>
  <c r="P25" i="45"/>
  <c r="Y25" i="45" s="1"/>
  <c r="L35" i="45" a="1"/>
  <c r="L35" i="45" s="1"/>
  <c r="P35" i="45" s="1"/>
  <c r="Y35" i="45" s="1"/>
  <c r="K35" i="45" a="1"/>
  <c r="K35" i="45" s="1"/>
  <c r="O35" i="45" s="1"/>
  <c r="X35" i="45" s="1"/>
  <c r="O40" i="45"/>
  <c r="X40" i="45" s="1"/>
  <c r="AR14" i="45"/>
  <c r="BR14" i="45"/>
  <c r="BV14" i="45" s="1"/>
  <c r="P18" i="45"/>
  <c r="O29" i="45"/>
  <c r="X29" i="45" s="1"/>
  <c r="K17" i="45" a="1"/>
  <c r="K17" i="45" s="1"/>
  <c r="O17" i="45" s="1"/>
  <c r="L23" i="45" a="1"/>
  <c r="L23" i="45" s="1"/>
  <c r="P23" i="45" s="1"/>
  <c r="Y23" i="45" s="1"/>
  <c r="K23" i="45" a="1"/>
  <c r="K23" i="45" s="1"/>
  <c r="O23" i="45" s="1"/>
  <c r="X23" i="45" s="1"/>
  <c r="P125" i="45"/>
  <c r="P121" i="45"/>
  <c r="P113" i="45"/>
  <c r="Y113" i="45" s="1"/>
  <c r="P109" i="45"/>
  <c r="Y109" i="45" s="1"/>
  <c r="O125" i="45"/>
  <c r="O121" i="45"/>
  <c r="O117" i="45"/>
  <c r="P123" i="45"/>
  <c r="P119" i="45"/>
  <c r="P115" i="45"/>
  <c r="Y115" i="45" s="1"/>
  <c r="P111" i="45"/>
  <c r="Y111" i="45" s="1"/>
  <c r="O107" i="45"/>
  <c r="X107" i="45" s="1"/>
  <c r="P108" i="45"/>
  <c r="Y108" i="45" s="1"/>
  <c r="O116" i="45"/>
  <c r="O105" i="45"/>
  <c r="X105" i="45" s="1"/>
  <c r="P104" i="45"/>
  <c r="Y104" i="45" s="1"/>
  <c r="O94" i="45"/>
  <c r="X94" i="45" s="1"/>
  <c r="O124" i="45"/>
  <c r="O104" i="45"/>
  <c r="X104" i="45" s="1"/>
  <c r="P99" i="45"/>
  <c r="Y99" i="45" s="1"/>
  <c r="P95" i="45"/>
  <c r="Y95" i="45" s="1"/>
  <c r="O112" i="45"/>
  <c r="X112" i="45" s="1"/>
  <c r="P100" i="45"/>
  <c r="Y100" i="45" s="1"/>
  <c r="P96" i="45"/>
  <c r="Y96" i="45" s="1"/>
  <c r="P92" i="45"/>
  <c r="Y92" i="45" s="1"/>
  <c r="O108" i="45"/>
  <c r="X108" i="45" s="1"/>
  <c r="O96" i="45"/>
  <c r="X96" i="45" s="1"/>
  <c r="P90" i="45"/>
  <c r="Y90" i="45" s="1"/>
  <c r="P85" i="45"/>
  <c r="Y85" i="45" s="1"/>
  <c r="O99" i="45"/>
  <c r="X99" i="45" s="1"/>
  <c r="P97" i="45"/>
  <c r="Y97" i="45" s="1"/>
  <c r="P86" i="45"/>
  <c r="Y86" i="45" s="1"/>
  <c r="P82" i="45"/>
  <c r="Y82" i="45" s="1"/>
  <c r="O100" i="45"/>
  <c r="X100" i="45" s="1"/>
  <c r="O86" i="45"/>
  <c r="X86" i="45" s="1"/>
  <c r="O82" i="45"/>
  <c r="X82" i="45" s="1"/>
  <c r="O120" i="45"/>
  <c r="P88" i="45"/>
  <c r="Y88" i="45" s="1"/>
  <c r="P84" i="45"/>
  <c r="Y84" i="45" s="1"/>
  <c r="O77" i="45"/>
  <c r="X77" i="45" s="1"/>
  <c r="O90" i="45"/>
  <c r="X90" i="45" s="1"/>
  <c r="P70" i="45"/>
  <c r="Y70" i="45" s="1"/>
  <c r="O70" i="45"/>
  <c r="X70" i="45" s="1"/>
  <c r="P83" i="45"/>
  <c r="Y83" i="45" s="1"/>
  <c r="O84" i="45"/>
  <c r="X84" i="45" s="1"/>
  <c r="O83" i="45"/>
  <c r="X83" i="45" s="1"/>
  <c r="P80" i="45"/>
  <c r="Y80" i="45" s="1"/>
  <c r="P76" i="45"/>
  <c r="Y76" i="45" s="1"/>
  <c r="P72" i="45"/>
  <c r="Y72" i="45" s="1"/>
  <c r="P77" i="45"/>
  <c r="Y77" i="45" s="1"/>
  <c r="P73" i="45"/>
  <c r="Y73" i="45" s="1"/>
  <c r="P69" i="45"/>
  <c r="Y69" i="45" s="1"/>
  <c r="O72" i="45"/>
  <c r="X72" i="45" s="1"/>
  <c r="O88" i="45"/>
  <c r="X88" i="45" s="1"/>
  <c r="O69" i="45"/>
  <c r="X69" i="45" s="1"/>
  <c r="P65" i="45"/>
  <c r="Y65" i="45" s="1"/>
  <c r="P61" i="45"/>
  <c r="Y61" i="45" s="1"/>
  <c r="P53" i="45"/>
  <c r="Y53" i="45" s="1"/>
  <c r="O92" i="45"/>
  <c r="X92" i="45" s="1"/>
  <c r="P54" i="45"/>
  <c r="Y54" i="45" s="1"/>
  <c r="O67" i="45"/>
  <c r="X67" i="45" s="1"/>
  <c r="O63" i="45"/>
  <c r="X63" i="45" s="1"/>
  <c r="O59" i="45"/>
  <c r="X59" i="45" s="1"/>
  <c r="O49" i="45"/>
  <c r="X49" i="45" s="1"/>
  <c r="O45" i="45"/>
  <c r="X45" i="45" s="1"/>
  <c r="O41" i="45"/>
  <c r="X41" i="45" s="1"/>
  <c r="P59" i="45"/>
  <c r="Y59" i="45" s="1"/>
  <c r="O58" i="45"/>
  <c r="X58" i="45" s="1"/>
  <c r="P55" i="45"/>
  <c r="Y55" i="45" s="1"/>
  <c r="O55" i="45"/>
  <c r="X55" i="45" s="1"/>
  <c r="O47" i="45"/>
  <c r="X47" i="45" s="1"/>
  <c r="O43" i="45"/>
  <c r="X43" i="45" s="1"/>
  <c r="O39" i="45"/>
  <c r="X39" i="45" s="1"/>
  <c r="P48" i="45"/>
  <c r="Y48" i="45" s="1"/>
  <c r="P44" i="45"/>
  <c r="Y44" i="45" s="1"/>
  <c r="P40" i="45"/>
  <c r="Y40" i="45" s="1"/>
  <c r="P63" i="45"/>
  <c r="Y63" i="45" s="1"/>
  <c r="O62" i="45"/>
  <c r="X62" i="45" s="1"/>
  <c r="O52" i="45"/>
  <c r="X52" i="45" s="1"/>
  <c r="O51" i="45"/>
  <c r="X51" i="45" s="1"/>
  <c r="P41" i="45"/>
  <c r="Y41" i="45" s="1"/>
  <c r="O48" i="45"/>
  <c r="X48" i="45" s="1"/>
  <c r="O34" i="45"/>
  <c r="X34" i="45" s="1"/>
  <c r="O30" i="45"/>
  <c r="X30" i="45" s="1"/>
  <c r="O26" i="45"/>
  <c r="X26" i="45" s="1"/>
  <c r="O66" i="45"/>
  <c r="X66" i="45" s="1"/>
  <c r="P67" i="45"/>
  <c r="Y67" i="45" s="1"/>
  <c r="O44" i="45"/>
  <c r="X44" i="45" s="1"/>
  <c r="P20" i="45"/>
  <c r="O36" i="45"/>
  <c r="X36" i="45" s="1"/>
  <c r="O32" i="45"/>
  <c r="X32" i="45" s="1"/>
  <c r="O28" i="45"/>
  <c r="X28" i="45" s="1"/>
  <c r="O24" i="45"/>
  <c r="X24" i="45" s="1"/>
  <c r="P30" i="45"/>
  <c r="Y30" i="45" s="1"/>
  <c r="P26" i="45"/>
  <c r="Y26" i="45" s="1"/>
  <c r="P22" i="45"/>
  <c r="Y22" i="45" s="1"/>
  <c r="O25" i="45"/>
  <c r="X25" i="45" s="1"/>
  <c r="L37" i="45" a="1"/>
  <c r="L37" i="45" s="1"/>
  <c r="P37" i="45" s="1"/>
  <c r="Y37" i="45" s="1"/>
  <c r="K37" i="45" a="1"/>
  <c r="K37" i="45" s="1"/>
  <c r="O37" i="45" s="1"/>
  <c r="X37" i="45" s="1"/>
  <c r="P32" i="44"/>
  <c r="Y32" i="44" s="1"/>
  <c r="P17" i="45"/>
  <c r="O19" i="45"/>
  <c r="K22" i="45" a="1"/>
  <c r="K22" i="45" s="1"/>
  <c r="O22" i="45" s="1"/>
  <c r="X22" i="45" s="1"/>
  <c r="O33" i="45"/>
  <c r="X33" i="45" s="1"/>
  <c r="L46" i="45" a="1"/>
  <c r="L46" i="45" s="1"/>
  <c r="P46" i="45" s="1"/>
  <c r="Y46" i="45" s="1"/>
  <c r="K46" i="45" a="1"/>
  <c r="K46" i="45" s="1"/>
  <c r="O46" i="45" s="1"/>
  <c r="X46" i="45" s="1"/>
  <c r="O22" i="44"/>
  <c r="X22" i="44" s="1"/>
  <c r="O16" i="45"/>
  <c r="P19" i="45"/>
  <c r="L27" i="45" a="1"/>
  <c r="L27" i="45" s="1"/>
  <c r="P27" i="45" s="1"/>
  <c r="Y27" i="45" s="1"/>
  <c r="K27" i="45" a="1"/>
  <c r="K27" i="45" s="1"/>
  <c r="O27" i="45" s="1"/>
  <c r="X27" i="45" s="1"/>
  <c r="P33" i="45"/>
  <c r="Y33" i="45" s="1"/>
  <c r="O18" i="44"/>
  <c r="X18" i="44" s="1"/>
  <c r="P16" i="45"/>
  <c r="O21" i="45"/>
  <c r="X21" i="45" s="1"/>
  <c r="L38" i="45" a="1"/>
  <c r="L38" i="45" s="1"/>
  <c r="P38" i="45" s="1"/>
  <c r="Y38" i="45" s="1"/>
  <c r="K38" i="45" a="1"/>
  <c r="K38" i="45" s="1"/>
  <c r="O38" i="45" s="1"/>
  <c r="X38" i="45" s="1"/>
  <c r="L24" i="45" a="1"/>
  <c r="L24" i="45" s="1"/>
  <c r="P24" i="45" s="1"/>
  <c r="Y24" i="45" s="1"/>
  <c r="L28" i="45" a="1"/>
  <c r="L28" i="45" s="1"/>
  <c r="P28" i="45" s="1"/>
  <c r="Y28" i="45" s="1"/>
  <c r="L32" i="45" a="1"/>
  <c r="L32" i="45" s="1"/>
  <c r="P32" i="45" s="1"/>
  <c r="Y32" i="45" s="1"/>
  <c r="L36" i="45" a="1"/>
  <c r="L36" i="45" s="1"/>
  <c r="P36" i="45" s="1"/>
  <c r="Y36" i="45" s="1"/>
  <c r="L50" i="45" a="1"/>
  <c r="L50" i="45" s="1"/>
  <c r="P50" i="45" s="1"/>
  <c r="Y50" i="45" s="1"/>
  <c r="K50" i="45" a="1"/>
  <c r="K50" i="45" s="1"/>
  <c r="O50" i="45" s="1"/>
  <c r="X50" i="45" s="1"/>
  <c r="L42" i="45" a="1"/>
  <c r="L42" i="45" s="1"/>
  <c r="P42" i="45" s="1"/>
  <c r="Y42" i="45" s="1"/>
  <c r="K42" i="45" a="1"/>
  <c r="K42" i="45" s="1"/>
  <c r="O42" i="45" s="1"/>
  <c r="X42" i="45" s="1"/>
  <c r="K56" i="45" a="1"/>
  <c r="K56" i="45" s="1"/>
  <c r="O56" i="45" s="1"/>
  <c r="X56" i="45" s="1"/>
  <c r="L56" i="45" a="1"/>
  <c r="L56" i="45" s="1"/>
  <c r="P56" i="45" s="1"/>
  <c r="Y56" i="45" s="1"/>
  <c r="L57" i="45" a="1"/>
  <c r="L57" i="45" s="1"/>
  <c r="P57" i="45" s="1"/>
  <c r="Y57" i="45" s="1"/>
  <c r="K57" i="45" a="1"/>
  <c r="K57" i="45" s="1"/>
  <c r="O57" i="45" s="1"/>
  <c r="X57" i="45" s="1"/>
  <c r="L78" i="45" a="1"/>
  <c r="L78" i="45" s="1"/>
  <c r="P78" i="45" s="1"/>
  <c r="Y78" i="45" s="1"/>
  <c r="K78" i="45" a="1"/>
  <c r="K78" i="45" s="1"/>
  <c r="O78" i="45" s="1"/>
  <c r="X78" i="45" s="1"/>
  <c r="K60" i="45" a="1"/>
  <c r="K60" i="45" s="1"/>
  <c r="O60" i="45" s="1"/>
  <c r="X60" i="45" s="1"/>
  <c r="L60" i="45" a="1"/>
  <c r="L60" i="45" s="1"/>
  <c r="P60" i="45" s="1"/>
  <c r="Y60" i="45" s="1"/>
  <c r="L52" i="45" a="1"/>
  <c r="L52" i="45" s="1"/>
  <c r="P52" i="45" s="1"/>
  <c r="Y52" i="45" s="1"/>
  <c r="K64" i="45" a="1"/>
  <c r="K64" i="45" s="1"/>
  <c r="O64" i="45" s="1"/>
  <c r="X64" i="45" s="1"/>
  <c r="L64" i="45" a="1"/>
  <c r="L64" i="45" s="1"/>
  <c r="P64" i="45" s="1"/>
  <c r="Y64" i="45" s="1"/>
  <c r="L51" i="45" a="1"/>
  <c r="L51" i="45" s="1"/>
  <c r="P51" i="45" s="1"/>
  <c r="Y51" i="45" s="1"/>
  <c r="K54" i="45" a="1"/>
  <c r="K54" i="45" s="1"/>
  <c r="O54" i="45" s="1"/>
  <c r="X54" i="45" s="1"/>
  <c r="K68" i="45" a="1"/>
  <c r="K68" i="45" s="1"/>
  <c r="O68" i="45" s="1"/>
  <c r="X68" i="45" s="1"/>
  <c r="L68" i="45" a="1"/>
  <c r="L68" i="45" s="1"/>
  <c r="P68" i="45" s="1"/>
  <c r="Y68" i="45" s="1"/>
  <c r="L39" i="45" a="1"/>
  <c r="L39" i="45" s="1"/>
  <c r="P39" i="45" s="1"/>
  <c r="Y39" i="45" s="1"/>
  <c r="L43" i="45" a="1"/>
  <c r="L43" i="45" s="1"/>
  <c r="P43" i="45" s="1"/>
  <c r="Y43" i="45" s="1"/>
  <c r="L47" i="45" a="1"/>
  <c r="L47" i="45" s="1"/>
  <c r="P47" i="45" s="1"/>
  <c r="Y47" i="45" s="1"/>
  <c r="L58" i="45" a="1"/>
  <c r="L58" i="45" s="1"/>
  <c r="P58" i="45" s="1"/>
  <c r="Y58" i="45" s="1"/>
  <c r="K61" i="45" a="1"/>
  <c r="K61" i="45" s="1"/>
  <c r="O61" i="45" s="1"/>
  <c r="X61" i="45" s="1"/>
  <c r="L62" i="45" a="1"/>
  <c r="L62" i="45" s="1"/>
  <c r="P62" i="45" s="1"/>
  <c r="Y62" i="45" s="1"/>
  <c r="K65" i="45" a="1"/>
  <c r="K65" i="45" s="1"/>
  <c r="O65" i="45" s="1"/>
  <c r="X65" i="45" s="1"/>
  <c r="L66" i="45" a="1"/>
  <c r="L66" i="45" s="1"/>
  <c r="P66" i="45" s="1"/>
  <c r="Y66" i="45" s="1"/>
  <c r="L74" i="45" a="1"/>
  <c r="L74" i="45" s="1"/>
  <c r="P74" i="45" s="1"/>
  <c r="Y74" i="45" s="1"/>
  <c r="K74" i="45" a="1"/>
  <c r="K74" i="45" s="1"/>
  <c r="O74" i="45" s="1"/>
  <c r="X74" i="45" s="1"/>
  <c r="L87" i="45" a="1"/>
  <c r="L87" i="45" s="1"/>
  <c r="P87" i="45" s="1"/>
  <c r="Y87" i="45" s="1"/>
  <c r="K87" i="45" a="1"/>
  <c r="K87" i="45" s="1"/>
  <c r="O87" i="45" s="1"/>
  <c r="X87" i="45" s="1"/>
  <c r="L89" i="45" a="1"/>
  <c r="L89" i="45" s="1"/>
  <c r="P89" i="45" s="1"/>
  <c r="Y89" i="45" s="1"/>
  <c r="K89" i="45" a="1"/>
  <c r="K89" i="45" s="1"/>
  <c r="O89" i="45" s="1"/>
  <c r="X89" i="45" s="1"/>
  <c r="L71" i="45" a="1"/>
  <c r="L71" i="45" s="1"/>
  <c r="P71" i="45" s="1"/>
  <c r="Y71" i="45" s="1"/>
  <c r="K71" i="45" a="1"/>
  <c r="K71" i="45" s="1"/>
  <c r="O71" i="45" s="1"/>
  <c r="X71" i="45" s="1"/>
  <c r="L91" i="45" a="1"/>
  <c r="L91" i="45" s="1"/>
  <c r="P91" i="45" s="1"/>
  <c r="Y91" i="45" s="1"/>
  <c r="K91" i="45" a="1"/>
  <c r="K91" i="45" s="1"/>
  <c r="O91" i="45" s="1"/>
  <c r="X91" i="45" s="1"/>
  <c r="L103" i="45" a="1"/>
  <c r="L103" i="45" s="1"/>
  <c r="P103" i="45" s="1"/>
  <c r="Y103" i="45" s="1"/>
  <c r="K103" i="45" a="1"/>
  <c r="K103" i="45" s="1"/>
  <c r="O103" i="45" s="1"/>
  <c r="X103" i="45" s="1"/>
  <c r="K75" i="45" a="1"/>
  <c r="K75" i="45" s="1"/>
  <c r="O75" i="45" s="1"/>
  <c r="X75" i="45" s="1"/>
  <c r="K79" i="45" a="1"/>
  <c r="K79" i="45" s="1"/>
  <c r="O79" i="45" s="1"/>
  <c r="X79" i="45" s="1"/>
  <c r="K98" i="45" a="1"/>
  <c r="K98" i="45" s="1"/>
  <c r="O98" i="45" s="1"/>
  <c r="X98" i="45" s="1"/>
  <c r="K80" i="45" a="1"/>
  <c r="K80" i="45" s="1"/>
  <c r="O80" i="45" s="1"/>
  <c r="X80" i="45" s="1"/>
  <c r="K81" i="45" a="1"/>
  <c r="K81" i="45" s="1"/>
  <c r="O81" i="45" s="1"/>
  <c r="X81" i="45" s="1"/>
  <c r="L75" i="45" a="1"/>
  <c r="L75" i="45" s="1"/>
  <c r="P75" i="45" s="1"/>
  <c r="Y75" i="45" s="1"/>
  <c r="L79" i="45" a="1"/>
  <c r="L79" i="45" s="1"/>
  <c r="P79" i="45" s="1"/>
  <c r="Y79" i="45" s="1"/>
  <c r="L81" i="45" a="1"/>
  <c r="L81" i="45" s="1"/>
  <c r="P81" i="45" s="1"/>
  <c r="Y81" i="45" s="1"/>
  <c r="K102" i="45" a="1"/>
  <c r="K102" i="45" s="1"/>
  <c r="O102" i="45" s="1"/>
  <c r="X102" i="45" s="1"/>
  <c r="L102" i="45" a="1"/>
  <c r="L102" i="45" s="1"/>
  <c r="P102" i="45" s="1"/>
  <c r="Y102" i="45" s="1"/>
  <c r="K85" i="45" a="1"/>
  <c r="K85" i="45" s="1"/>
  <c r="O85" i="45" s="1"/>
  <c r="X85" i="45" s="1"/>
  <c r="L98" i="45" a="1"/>
  <c r="L98" i="45" s="1"/>
  <c r="P98" i="45" s="1"/>
  <c r="Y98" i="45" s="1"/>
  <c r="L94" i="45" a="1"/>
  <c r="L94" i="45" s="1"/>
  <c r="P94" i="45" s="1"/>
  <c r="Y94" i="45" s="1"/>
  <c r="K95" i="45" a="1"/>
  <c r="K95" i="45" s="1"/>
  <c r="O95" i="45" s="1"/>
  <c r="X95" i="45" s="1"/>
  <c r="K101" i="45" a="1"/>
  <c r="K101" i="45" s="1"/>
  <c r="O101" i="45" s="1"/>
  <c r="X101" i="45" s="1"/>
  <c r="L106" i="45" a="1"/>
  <c r="L106" i="45" s="1"/>
  <c r="P106" i="45" s="1"/>
  <c r="K106" i="45" a="1"/>
  <c r="K106" i="45" s="1"/>
  <c r="O106" i="45" s="1"/>
  <c r="L101" i="45" a="1"/>
  <c r="L101" i="45" s="1"/>
  <c r="P101" i="45" s="1"/>
  <c r="Y101" i="45" s="1"/>
  <c r="L110" i="45" a="1"/>
  <c r="L110" i="45" s="1"/>
  <c r="P110" i="45" s="1"/>
  <c r="Y110" i="45" s="1"/>
  <c r="K110" i="45" a="1"/>
  <c r="K110" i="45" s="1"/>
  <c r="O110" i="45" s="1"/>
  <c r="X110" i="45" s="1"/>
  <c r="L105" i="45" a="1"/>
  <c r="L105" i="45" s="1"/>
  <c r="P105" i="45" s="1"/>
  <c r="Y105" i="45" s="1"/>
  <c r="L107" i="45" a="1"/>
  <c r="L107" i="45" s="1"/>
  <c r="P107" i="45" s="1"/>
  <c r="Y107" i="45" s="1"/>
  <c r="L118" i="45" a="1"/>
  <c r="L118" i="45" s="1"/>
  <c r="P118" i="45" s="1"/>
  <c r="K118" i="45" a="1"/>
  <c r="K118" i="45" s="1"/>
  <c r="O118" i="45" s="1"/>
  <c r="L122" i="45" a="1"/>
  <c r="L122" i="45" s="1"/>
  <c r="P122" i="45" s="1"/>
  <c r="K122" i="45" a="1"/>
  <c r="K122" i="45" s="1"/>
  <c r="O122" i="45" s="1"/>
  <c r="L114" i="45" a="1"/>
  <c r="L114" i="45" s="1"/>
  <c r="P114" i="45" s="1"/>
  <c r="Y114" i="45" s="1"/>
  <c r="K114" i="45" a="1"/>
  <c r="K114" i="45" s="1"/>
  <c r="O114" i="45" s="1"/>
  <c r="X114" i="45" s="1"/>
  <c r="K111" i="45" a="1"/>
  <c r="K111" i="45" s="1"/>
  <c r="O111" i="45" s="1"/>
  <c r="X111" i="45" s="1"/>
  <c r="L112" i="45" a="1"/>
  <c r="L112" i="45" s="1"/>
  <c r="P112" i="45" s="1"/>
  <c r="Y112" i="45" s="1"/>
  <c r="K115" i="45" a="1"/>
  <c r="K115" i="45" s="1"/>
  <c r="O115" i="45" s="1"/>
  <c r="X115" i="45" s="1"/>
  <c r="L116" i="45" a="1"/>
  <c r="L116" i="45" s="1"/>
  <c r="P116" i="45" s="1"/>
  <c r="K119" i="45" a="1"/>
  <c r="K119" i="45" s="1"/>
  <c r="O119" i="45" s="1"/>
  <c r="L120" i="45" a="1"/>
  <c r="L120" i="45" s="1"/>
  <c r="P120" i="45" s="1"/>
  <c r="K123" i="45" a="1"/>
  <c r="K123" i="45" s="1"/>
  <c r="O123" i="45" s="1"/>
  <c r="L124" i="45" a="1"/>
  <c r="L124" i="45" s="1"/>
  <c r="P124" i="45" s="1"/>
  <c r="B6" i="44" a="1"/>
  <c r="B6" i="44" s="1"/>
  <c r="CJ14" i="44" s="1"/>
  <c r="N6" i="44" a="1"/>
  <c r="N6" i="44" s="1"/>
  <c r="B5" i="44" a="1"/>
  <c r="B5" i="44" s="1"/>
  <c r="CJ13" i="44" s="1"/>
  <c r="B4" i="44" a="1"/>
  <c r="B4" i="44" s="1"/>
  <c r="CJ12" i="44" s="1"/>
  <c r="AR14" i="44"/>
  <c r="BR14" i="44"/>
  <c r="BV14" i="44" s="1"/>
  <c r="P18" i="44"/>
  <c r="Y18" i="44" s="1"/>
  <c r="P22" i="44"/>
  <c r="Y22" i="44" s="1"/>
  <c r="K25" i="44" a="1"/>
  <c r="K25" i="44" s="1"/>
  <c r="O25" i="44" s="1"/>
  <c r="X25" i="44" s="1"/>
  <c r="O33" i="44"/>
  <c r="X33" i="44" s="1"/>
  <c r="O33" i="40"/>
  <c r="X33" i="40" s="1"/>
  <c r="AS14" i="44"/>
  <c r="O17" i="44"/>
  <c r="X17" i="44" s="1"/>
  <c r="O21" i="44"/>
  <c r="X21" i="44" s="1"/>
  <c r="O36" i="44"/>
  <c r="X36" i="44" s="1"/>
  <c r="K24" i="44" a="1"/>
  <c r="K24" i="44" s="1"/>
  <c r="O24" i="44" s="1"/>
  <c r="X24" i="44" s="1"/>
  <c r="K30" i="44" a="1"/>
  <c r="K30" i="44" s="1"/>
  <c r="O30" i="44" s="1"/>
  <c r="X30" i="44" s="1"/>
  <c r="P36" i="44"/>
  <c r="Y36" i="44" s="1"/>
  <c r="K16" i="44" a="1"/>
  <c r="K16" i="44" s="1"/>
  <c r="O16" i="44" s="1"/>
  <c r="X16" i="44" s="1"/>
  <c r="X15" i="44" s="1"/>
  <c r="L17" i="44" a="1"/>
  <c r="L17" i="44" s="1"/>
  <c r="P17" i="44" s="1"/>
  <c r="Y17" i="44" s="1"/>
  <c r="K20" i="44" a="1"/>
  <c r="K20" i="44" s="1"/>
  <c r="O20" i="44" s="1"/>
  <c r="X20" i="44" s="1"/>
  <c r="L21" i="44" a="1"/>
  <c r="L21" i="44" s="1"/>
  <c r="P21" i="44" s="1"/>
  <c r="Y21" i="44" s="1"/>
  <c r="L27" i="44" a="1"/>
  <c r="L27" i="44" s="1"/>
  <c r="P27" i="44" s="1"/>
  <c r="Y27" i="44" s="1"/>
  <c r="O28" i="44"/>
  <c r="X28" i="44" s="1"/>
  <c r="P34" i="44"/>
  <c r="Y34" i="44" s="1"/>
  <c r="O37" i="44"/>
  <c r="X37" i="44" s="1"/>
  <c r="P21" i="43"/>
  <c r="Y21" i="43" s="1"/>
  <c r="P25" i="43"/>
  <c r="Y25" i="43" s="1"/>
  <c r="P16" i="44"/>
  <c r="Y16" i="44" s="1"/>
  <c r="Y15" i="44" s="1"/>
  <c r="P20" i="44"/>
  <c r="Y20" i="44" s="1"/>
  <c r="L24" i="44" a="1"/>
  <c r="L24" i="44" s="1"/>
  <c r="P24" i="44" s="1"/>
  <c r="Y24" i="44" s="1"/>
  <c r="O26" i="44"/>
  <c r="X26" i="44" s="1"/>
  <c r="P28" i="44"/>
  <c r="Y28" i="44" s="1"/>
  <c r="L30" i="44" a="1"/>
  <c r="L30" i="44" s="1"/>
  <c r="P30" i="44" s="1"/>
  <c r="Y30" i="44" s="1"/>
  <c r="O15" i="44"/>
  <c r="O19" i="44"/>
  <c r="X19" i="44" s="1"/>
  <c r="O23" i="44"/>
  <c r="X23" i="44" s="1"/>
  <c r="P26" i="44"/>
  <c r="Y26" i="44" s="1"/>
  <c r="K34" i="44" a="1"/>
  <c r="K34" i="44" s="1"/>
  <c r="O34" i="44" s="1"/>
  <c r="X34" i="44" s="1"/>
  <c r="O125" i="44"/>
  <c r="O105" i="44"/>
  <c r="X105" i="44" s="1"/>
  <c r="P123" i="44"/>
  <c r="P119" i="44"/>
  <c r="O120" i="44"/>
  <c r="P121" i="44"/>
  <c r="P102" i="44"/>
  <c r="Y102" i="44" s="1"/>
  <c r="P124" i="44"/>
  <c r="P112" i="44"/>
  <c r="Y112" i="44" s="1"/>
  <c r="P111" i="44"/>
  <c r="Y111" i="44" s="1"/>
  <c r="O102" i="44"/>
  <c r="X102" i="44" s="1"/>
  <c r="O98" i="44"/>
  <c r="X98" i="44" s="1"/>
  <c r="P100" i="44"/>
  <c r="Y100" i="44" s="1"/>
  <c r="O104" i="44"/>
  <c r="X104" i="44" s="1"/>
  <c r="O100" i="44"/>
  <c r="X100" i="44" s="1"/>
  <c r="O96" i="44"/>
  <c r="X96" i="44" s="1"/>
  <c r="P94" i="44"/>
  <c r="Y94" i="44" s="1"/>
  <c r="P120" i="44"/>
  <c r="O119" i="44"/>
  <c r="P115" i="44"/>
  <c r="Y115" i="44" s="1"/>
  <c r="P108" i="44"/>
  <c r="Y108" i="44" s="1"/>
  <c r="O108" i="44"/>
  <c r="X108" i="44" s="1"/>
  <c r="P87" i="44"/>
  <c r="Y87" i="44" s="1"/>
  <c r="O91" i="44"/>
  <c r="X91" i="44" s="1"/>
  <c r="O123" i="44"/>
  <c r="O107" i="44"/>
  <c r="X107" i="44" s="1"/>
  <c r="P89" i="44"/>
  <c r="Y89" i="44" s="1"/>
  <c r="P82" i="44"/>
  <c r="Y82" i="44" s="1"/>
  <c r="P78" i="44"/>
  <c r="Y78" i="44" s="1"/>
  <c r="P116" i="44"/>
  <c r="O94" i="44"/>
  <c r="X94" i="44" s="1"/>
  <c r="O89" i="44"/>
  <c r="X89" i="44" s="1"/>
  <c r="O116" i="44"/>
  <c r="O97" i="44"/>
  <c r="X97" i="44" s="1"/>
  <c r="P88" i="44"/>
  <c r="Y88" i="44" s="1"/>
  <c r="P75" i="44"/>
  <c r="Y75" i="44" s="1"/>
  <c r="O124" i="44"/>
  <c r="O88" i="44"/>
  <c r="X88" i="44" s="1"/>
  <c r="P107" i="44"/>
  <c r="Y107" i="44" s="1"/>
  <c r="P99" i="44"/>
  <c r="Y99" i="44" s="1"/>
  <c r="P93" i="44"/>
  <c r="Y93" i="44" s="1"/>
  <c r="P80" i="44"/>
  <c r="Y80" i="44" s="1"/>
  <c r="P77" i="44"/>
  <c r="Y77" i="44" s="1"/>
  <c r="O75" i="44"/>
  <c r="X75" i="44" s="1"/>
  <c r="O67" i="44"/>
  <c r="X67" i="44" s="1"/>
  <c r="P104" i="44"/>
  <c r="Y104" i="44" s="1"/>
  <c r="O80" i="44"/>
  <c r="X80" i="44" s="1"/>
  <c r="O77" i="44"/>
  <c r="X77" i="44" s="1"/>
  <c r="P105" i="44"/>
  <c r="Y105" i="44" s="1"/>
  <c r="O93" i="44"/>
  <c r="X93" i="44" s="1"/>
  <c r="P84" i="44"/>
  <c r="Y84" i="44" s="1"/>
  <c r="O112" i="44"/>
  <c r="X112" i="44" s="1"/>
  <c r="O73" i="44"/>
  <c r="X73" i="44" s="1"/>
  <c r="O69" i="44"/>
  <c r="X69" i="44" s="1"/>
  <c r="O65" i="44"/>
  <c r="X65" i="44" s="1"/>
  <c r="O61" i="44"/>
  <c r="X61" i="44" s="1"/>
  <c r="O99" i="44"/>
  <c r="X99" i="44" s="1"/>
  <c r="O92" i="44"/>
  <c r="X92" i="44" s="1"/>
  <c r="P85" i="44"/>
  <c r="Y85" i="44" s="1"/>
  <c r="P74" i="44"/>
  <c r="Y74" i="44" s="1"/>
  <c r="P70" i="44"/>
  <c r="Y70" i="44" s="1"/>
  <c r="P58" i="44"/>
  <c r="Y58" i="44" s="1"/>
  <c r="P54" i="44"/>
  <c r="Y54" i="44" s="1"/>
  <c r="O85" i="44"/>
  <c r="X85" i="44" s="1"/>
  <c r="O66" i="44"/>
  <c r="X66" i="44" s="1"/>
  <c r="O57" i="44"/>
  <c r="X57" i="44" s="1"/>
  <c r="O53" i="44"/>
  <c r="X53" i="44" s="1"/>
  <c r="P67" i="44"/>
  <c r="Y67" i="44" s="1"/>
  <c r="P76" i="44"/>
  <c r="Y76" i="44" s="1"/>
  <c r="O76" i="44"/>
  <c r="X76" i="44" s="1"/>
  <c r="P63" i="44"/>
  <c r="Y63" i="44" s="1"/>
  <c r="P51" i="44"/>
  <c r="Y51" i="44" s="1"/>
  <c r="O74" i="44"/>
  <c r="X74" i="44" s="1"/>
  <c r="P59" i="44"/>
  <c r="Y59" i="44" s="1"/>
  <c r="P55" i="44"/>
  <c r="Y55" i="44" s="1"/>
  <c r="P113" i="44"/>
  <c r="Y113" i="44" s="1"/>
  <c r="O70" i="44"/>
  <c r="X70" i="44" s="1"/>
  <c r="O50" i="44"/>
  <c r="X50" i="44" s="1"/>
  <c r="P46" i="44"/>
  <c r="Y46" i="44" s="1"/>
  <c r="P42" i="44"/>
  <c r="Y42" i="44" s="1"/>
  <c r="P43" i="44"/>
  <c r="Y43" i="44" s="1"/>
  <c r="O49" i="44"/>
  <c r="X49" i="44" s="1"/>
  <c r="P38" i="44"/>
  <c r="Y38" i="44" s="1"/>
  <c r="O54" i="44"/>
  <c r="X54" i="44" s="1"/>
  <c r="P39" i="44"/>
  <c r="Y39" i="44" s="1"/>
  <c r="P31" i="44"/>
  <c r="Y31" i="44" s="1"/>
  <c r="O58" i="44"/>
  <c r="X58" i="44" s="1"/>
  <c r="O41" i="44"/>
  <c r="X41" i="44" s="1"/>
  <c r="O35" i="44"/>
  <c r="X35" i="44" s="1"/>
  <c r="O31" i="44"/>
  <c r="X31" i="44" s="1"/>
  <c r="O27" i="44"/>
  <c r="X27" i="44" s="1"/>
  <c r="O46" i="44"/>
  <c r="X46" i="44" s="1"/>
  <c r="P37" i="44"/>
  <c r="Y37" i="44" s="1"/>
  <c r="P33" i="44"/>
  <c r="Y33" i="44" s="1"/>
  <c r="P29" i="44"/>
  <c r="Y29" i="44" s="1"/>
  <c r="P25" i="44"/>
  <c r="Y25" i="44" s="1"/>
  <c r="P19" i="44"/>
  <c r="Y19" i="44" s="1"/>
  <c r="P23" i="44"/>
  <c r="Y23" i="44" s="1"/>
  <c r="O32" i="44"/>
  <c r="X32" i="44" s="1"/>
  <c r="K43" i="44" a="1"/>
  <c r="K43" i="44" s="1"/>
  <c r="O43" i="44" s="1"/>
  <c r="X43" i="44" s="1"/>
  <c r="K39" i="44" a="1"/>
  <c r="K39" i="44" s="1"/>
  <c r="O39" i="44" s="1"/>
  <c r="X39" i="44" s="1"/>
  <c r="L47" i="44" a="1"/>
  <c r="L47" i="44" s="1"/>
  <c r="P47" i="44" s="1"/>
  <c r="Y47" i="44" s="1"/>
  <c r="L44" i="44" a="1"/>
  <c r="L44" i="44" s="1"/>
  <c r="P44" i="44" s="1"/>
  <c r="Y44" i="44" s="1"/>
  <c r="K44" i="44" a="1"/>
  <c r="K44" i="44" s="1"/>
  <c r="O44" i="44" s="1"/>
  <c r="X44" i="44" s="1"/>
  <c r="K47" i="44" a="1"/>
  <c r="K47" i="44" s="1"/>
  <c r="O47" i="44" s="1"/>
  <c r="X47" i="44" s="1"/>
  <c r="L40" i="44" a="1"/>
  <c r="L40" i="44" s="1"/>
  <c r="P40" i="44" s="1"/>
  <c r="Y40" i="44" s="1"/>
  <c r="K40" i="44" a="1"/>
  <c r="K40" i="44" s="1"/>
  <c r="O40" i="44" s="1"/>
  <c r="X40" i="44" s="1"/>
  <c r="L68" i="44" a="1"/>
  <c r="L68" i="44" s="1"/>
  <c r="P68" i="44" s="1"/>
  <c r="Y68" i="44" s="1"/>
  <c r="K68" i="44" a="1"/>
  <c r="K68" i="44" s="1"/>
  <c r="O68" i="44" s="1"/>
  <c r="X68" i="44" s="1"/>
  <c r="L52" i="44" a="1"/>
  <c r="L52" i="44" s="1"/>
  <c r="P52" i="44" s="1"/>
  <c r="Y52" i="44" s="1"/>
  <c r="K52" i="44" a="1"/>
  <c r="K52" i="44" s="1"/>
  <c r="O52" i="44" s="1"/>
  <c r="X52" i="44" s="1"/>
  <c r="L56" i="44" a="1"/>
  <c r="L56" i="44" s="1"/>
  <c r="P56" i="44" s="1"/>
  <c r="Y56" i="44" s="1"/>
  <c r="K56" i="44" a="1"/>
  <c r="K56" i="44" s="1"/>
  <c r="O56" i="44" s="1"/>
  <c r="X56" i="44" s="1"/>
  <c r="L60" i="44" a="1"/>
  <c r="L60" i="44" s="1"/>
  <c r="P60" i="44" s="1"/>
  <c r="Y60" i="44" s="1"/>
  <c r="K60" i="44" a="1"/>
  <c r="K60" i="44" s="1"/>
  <c r="O60" i="44" s="1"/>
  <c r="X60" i="44" s="1"/>
  <c r="L72" i="44" a="1"/>
  <c r="L72" i="44" s="1"/>
  <c r="P72" i="44" s="1"/>
  <c r="Y72" i="44" s="1"/>
  <c r="K72" i="44" a="1"/>
  <c r="K72" i="44" s="1"/>
  <c r="O72" i="44" s="1"/>
  <c r="X72" i="44" s="1"/>
  <c r="L41" i="44" a="1"/>
  <c r="L41" i="44" s="1"/>
  <c r="P41" i="44" s="1"/>
  <c r="Y41" i="44" s="1"/>
  <c r="L45" i="44" a="1"/>
  <c r="L45" i="44" s="1"/>
  <c r="P45" i="44" s="1"/>
  <c r="Y45" i="44" s="1"/>
  <c r="K55" i="44" a="1"/>
  <c r="K55" i="44" s="1"/>
  <c r="O55" i="44" s="1"/>
  <c r="X55" i="44" s="1"/>
  <c r="K59" i="44" a="1"/>
  <c r="K59" i="44" s="1"/>
  <c r="O59" i="44" s="1"/>
  <c r="X59" i="44" s="1"/>
  <c r="K51" i="44" a="1"/>
  <c r="K51" i="44" s="1"/>
  <c r="O51" i="44" s="1"/>
  <c r="X51" i="44" s="1"/>
  <c r="L79" i="44" a="1"/>
  <c r="L79" i="44" s="1"/>
  <c r="P79" i="44" s="1"/>
  <c r="Y79" i="44" s="1"/>
  <c r="K79" i="44" a="1"/>
  <c r="K79" i="44" s="1"/>
  <c r="O79" i="44" s="1"/>
  <c r="X79" i="44" s="1"/>
  <c r="L64" i="44" a="1"/>
  <c r="L64" i="44" s="1"/>
  <c r="P64" i="44" s="1"/>
  <c r="Y64" i="44" s="1"/>
  <c r="K64" i="44" a="1"/>
  <c r="K64" i="44" s="1"/>
  <c r="O64" i="44" s="1"/>
  <c r="X64" i="44" s="1"/>
  <c r="L86" i="44" a="1"/>
  <c r="L86" i="44" s="1"/>
  <c r="P86" i="44" s="1"/>
  <c r="Y86" i="44" s="1"/>
  <c r="K86" i="44" a="1"/>
  <c r="K86" i="44" s="1"/>
  <c r="O86" i="44" s="1"/>
  <c r="X86" i="44" s="1"/>
  <c r="L95" i="44" a="1"/>
  <c r="L95" i="44" s="1"/>
  <c r="P95" i="44" s="1"/>
  <c r="Y95" i="44" s="1"/>
  <c r="K95" i="44" a="1"/>
  <c r="K95" i="44" s="1"/>
  <c r="O95" i="44" s="1"/>
  <c r="X95" i="44" s="1"/>
  <c r="L90" i="44" a="1"/>
  <c r="L90" i="44" s="1"/>
  <c r="P90" i="44" s="1"/>
  <c r="Y90" i="44" s="1"/>
  <c r="K90" i="44" a="1"/>
  <c r="K90" i="44" s="1"/>
  <c r="O90" i="44" s="1"/>
  <c r="X90" i="44" s="1"/>
  <c r="L49" i="44" a="1"/>
  <c r="L49" i="44" s="1"/>
  <c r="P49" i="44" s="1"/>
  <c r="Y49" i="44" s="1"/>
  <c r="L53" i="44" a="1"/>
  <c r="L53" i="44" s="1"/>
  <c r="P53" i="44" s="1"/>
  <c r="Y53" i="44" s="1"/>
  <c r="L57" i="44" a="1"/>
  <c r="L57" i="44" s="1"/>
  <c r="P57" i="44" s="1"/>
  <c r="Y57" i="44" s="1"/>
  <c r="L61" i="44" a="1"/>
  <c r="L61" i="44" s="1"/>
  <c r="P61" i="44" s="1"/>
  <c r="Y61" i="44" s="1"/>
  <c r="L65" i="44" a="1"/>
  <c r="L65" i="44" s="1"/>
  <c r="P65" i="44" s="1"/>
  <c r="Y65" i="44" s="1"/>
  <c r="L69" i="44" a="1"/>
  <c r="L69" i="44" s="1"/>
  <c r="P69" i="44" s="1"/>
  <c r="Y69" i="44" s="1"/>
  <c r="L73" i="44" a="1"/>
  <c r="L73" i="44" s="1"/>
  <c r="P73" i="44" s="1"/>
  <c r="Y73" i="44" s="1"/>
  <c r="K82" i="44" a="1"/>
  <c r="K82" i="44" s="1"/>
  <c r="O82" i="44" s="1"/>
  <c r="X82" i="44" s="1"/>
  <c r="L110" i="44" a="1"/>
  <c r="L110" i="44" s="1"/>
  <c r="P110" i="44" s="1"/>
  <c r="Y110" i="44" s="1"/>
  <c r="K110" i="44" a="1"/>
  <c r="K110" i="44" s="1"/>
  <c r="O110" i="44" s="1"/>
  <c r="X110" i="44" s="1"/>
  <c r="L83" i="44" a="1"/>
  <c r="L83" i="44" s="1"/>
  <c r="P83" i="44" s="1"/>
  <c r="Y83" i="44" s="1"/>
  <c r="K83" i="44" a="1"/>
  <c r="K83" i="44" s="1"/>
  <c r="O83" i="44" s="1"/>
  <c r="X83" i="44" s="1"/>
  <c r="K78" i="44" a="1"/>
  <c r="K78" i="44" s="1"/>
  <c r="O78" i="44" s="1"/>
  <c r="X78" i="44" s="1"/>
  <c r="K109" i="44" a="1"/>
  <c r="K109" i="44" s="1"/>
  <c r="O109" i="44" s="1"/>
  <c r="X109" i="44" s="1"/>
  <c r="L103" i="44" a="1"/>
  <c r="L103" i="44" s="1"/>
  <c r="P103" i="44" s="1"/>
  <c r="Y103" i="44" s="1"/>
  <c r="K103" i="44" a="1"/>
  <c r="K103" i="44" s="1"/>
  <c r="O103" i="44" s="1"/>
  <c r="X103" i="44" s="1"/>
  <c r="L114" i="44" a="1"/>
  <c r="L114" i="44" s="1"/>
  <c r="P114" i="44" s="1"/>
  <c r="Y114" i="44" s="1"/>
  <c r="K114" i="44" a="1"/>
  <c r="K114" i="44" s="1"/>
  <c r="O114" i="44" s="1"/>
  <c r="X114" i="44" s="1"/>
  <c r="L118" i="44" a="1"/>
  <c r="L118" i="44" s="1"/>
  <c r="P118" i="44" s="1"/>
  <c r="K118" i="44" a="1"/>
  <c r="K118" i="44" s="1"/>
  <c r="O118" i="44" s="1"/>
  <c r="L106" i="44" a="1"/>
  <c r="L106" i="44" s="1"/>
  <c r="P106" i="44" s="1"/>
  <c r="K106" i="44" a="1"/>
  <c r="K106" i="44" s="1"/>
  <c r="O106" i="44" s="1"/>
  <c r="L101" i="44" a="1"/>
  <c r="L101" i="44" s="1"/>
  <c r="P101" i="44" s="1"/>
  <c r="Y101" i="44" s="1"/>
  <c r="K101" i="44" a="1"/>
  <c r="K101" i="44" s="1"/>
  <c r="O101" i="44" s="1"/>
  <c r="X101" i="44" s="1"/>
  <c r="L109" i="44" a="1"/>
  <c r="L109" i="44" s="1"/>
  <c r="P109" i="44" s="1"/>
  <c r="Y109" i="44" s="1"/>
  <c r="L122" i="44" a="1"/>
  <c r="L122" i="44" s="1"/>
  <c r="P122" i="44" s="1"/>
  <c r="K122" i="44" a="1"/>
  <c r="K122" i="44" s="1"/>
  <c r="O122" i="44" s="1"/>
  <c r="L97" i="44" a="1"/>
  <c r="L97" i="44" s="1"/>
  <c r="P97" i="44" s="1"/>
  <c r="Y97" i="44" s="1"/>
  <c r="L98" i="44" a="1"/>
  <c r="L98" i="44" s="1"/>
  <c r="P98" i="44" s="1"/>
  <c r="Y98" i="44" s="1"/>
  <c r="K113" i="44" a="1"/>
  <c r="K113" i="44" s="1"/>
  <c r="O113" i="44" s="1"/>
  <c r="X113" i="44" s="1"/>
  <c r="K117" i="44" a="1"/>
  <c r="K117" i="44" s="1"/>
  <c r="O117" i="44" s="1"/>
  <c r="L117" i="44" a="1"/>
  <c r="L117" i="44" s="1"/>
  <c r="P117" i="44" s="1"/>
  <c r="K121" i="44" a="1"/>
  <c r="K121" i="44" s="1"/>
  <c r="O121" i="44" s="1"/>
  <c r="N6" i="43" a="1"/>
  <c r="N6" i="43" s="1"/>
  <c r="BR14" i="43"/>
  <c r="BV14" i="43" s="1"/>
  <c r="J14" i="43"/>
  <c r="O15" i="41"/>
  <c r="P121" i="43"/>
  <c r="P113" i="43"/>
  <c r="Y113" i="43" s="1"/>
  <c r="P105" i="43"/>
  <c r="Y105" i="43" s="1"/>
  <c r="O117" i="43"/>
  <c r="O113" i="43"/>
  <c r="X113" i="43" s="1"/>
  <c r="P106" i="43"/>
  <c r="P123" i="43"/>
  <c r="P119" i="43"/>
  <c r="P111" i="43"/>
  <c r="Y111" i="43" s="1"/>
  <c r="P107" i="43"/>
  <c r="Y107" i="43" s="1"/>
  <c r="O119" i="43"/>
  <c r="O115" i="43"/>
  <c r="X115" i="43" s="1"/>
  <c r="O111" i="43"/>
  <c r="X111" i="43" s="1"/>
  <c r="O100" i="43"/>
  <c r="X100" i="43" s="1"/>
  <c r="O96" i="43"/>
  <c r="X96" i="43" s="1"/>
  <c r="O92" i="43"/>
  <c r="X92" i="43" s="1"/>
  <c r="P101" i="43"/>
  <c r="Y101" i="43" s="1"/>
  <c r="P97" i="43"/>
  <c r="Y97" i="43" s="1"/>
  <c r="P89" i="43"/>
  <c r="Y89" i="43" s="1"/>
  <c r="O124" i="43"/>
  <c r="O116" i="43"/>
  <c r="O108" i="43"/>
  <c r="X108" i="43" s="1"/>
  <c r="O107" i="43"/>
  <c r="X107" i="43" s="1"/>
  <c r="P102" i="43"/>
  <c r="Y102" i="43" s="1"/>
  <c r="P98" i="43"/>
  <c r="Y98" i="43" s="1"/>
  <c r="P94" i="43"/>
  <c r="Y94" i="43" s="1"/>
  <c r="P90" i="43"/>
  <c r="Y90" i="43" s="1"/>
  <c r="P103" i="43"/>
  <c r="Y103" i="43" s="1"/>
  <c r="P99" i="43"/>
  <c r="Y99" i="43" s="1"/>
  <c r="P95" i="43"/>
  <c r="Y95" i="43" s="1"/>
  <c r="P91" i="43"/>
  <c r="Y91" i="43" s="1"/>
  <c r="P87" i="43"/>
  <c r="Y87" i="43" s="1"/>
  <c r="O120" i="43"/>
  <c r="O112" i="43"/>
  <c r="X112" i="43" s="1"/>
  <c r="O103" i="43"/>
  <c r="X103" i="43" s="1"/>
  <c r="O99" i="43"/>
  <c r="X99" i="43" s="1"/>
  <c r="O95" i="43"/>
  <c r="X95" i="43" s="1"/>
  <c r="P83" i="43"/>
  <c r="Y83" i="43" s="1"/>
  <c r="P79" i="43"/>
  <c r="Y79" i="43" s="1"/>
  <c r="O83" i="43"/>
  <c r="X83" i="43" s="1"/>
  <c r="O79" i="43"/>
  <c r="X79" i="43" s="1"/>
  <c r="O75" i="43"/>
  <c r="X75" i="43" s="1"/>
  <c r="O91" i="43"/>
  <c r="X91" i="43" s="1"/>
  <c r="P76" i="43"/>
  <c r="Y76" i="43" s="1"/>
  <c r="P85" i="43"/>
  <c r="Y85" i="43" s="1"/>
  <c r="P81" i="43"/>
  <c r="Y81" i="43" s="1"/>
  <c r="P77" i="43"/>
  <c r="Y77" i="43" s="1"/>
  <c r="P73" i="43"/>
  <c r="Y73" i="43" s="1"/>
  <c r="O85" i="43"/>
  <c r="X85" i="43" s="1"/>
  <c r="P86" i="43"/>
  <c r="Y86" i="43" s="1"/>
  <c r="P82" i="43"/>
  <c r="Y82" i="43" s="1"/>
  <c r="P71" i="43"/>
  <c r="Y71" i="43" s="1"/>
  <c r="P67" i="43"/>
  <c r="Y67" i="43" s="1"/>
  <c r="P63" i="43"/>
  <c r="Y63" i="43" s="1"/>
  <c r="P59" i="43"/>
  <c r="Y59" i="43" s="1"/>
  <c r="O86" i="43"/>
  <c r="X86" i="43" s="1"/>
  <c r="O77" i="43"/>
  <c r="X77" i="43" s="1"/>
  <c r="O71" i="43"/>
  <c r="X71" i="43" s="1"/>
  <c r="O67" i="43"/>
  <c r="X67" i="43" s="1"/>
  <c r="O63" i="43"/>
  <c r="X63" i="43" s="1"/>
  <c r="O76" i="43"/>
  <c r="X76" i="43" s="1"/>
  <c r="O73" i="43"/>
  <c r="X73" i="43" s="1"/>
  <c r="O74" i="43"/>
  <c r="X74" i="43" s="1"/>
  <c r="O69" i="43"/>
  <c r="X69" i="43" s="1"/>
  <c r="O65" i="43"/>
  <c r="X65" i="43" s="1"/>
  <c r="O82" i="43"/>
  <c r="X82" i="43" s="1"/>
  <c r="P70" i="43"/>
  <c r="Y70" i="43" s="1"/>
  <c r="P66" i="43"/>
  <c r="Y66" i="43" s="1"/>
  <c r="P62" i="43"/>
  <c r="Y62" i="43" s="1"/>
  <c r="P58" i="43"/>
  <c r="Y58" i="43" s="1"/>
  <c r="O90" i="43"/>
  <c r="X90" i="43" s="1"/>
  <c r="O52" i="43"/>
  <c r="X52" i="43" s="1"/>
  <c r="O48" i="43"/>
  <c r="X48" i="43" s="1"/>
  <c r="O44" i="43"/>
  <c r="X44" i="43" s="1"/>
  <c r="O61" i="43"/>
  <c r="X61" i="43" s="1"/>
  <c r="P53" i="43"/>
  <c r="Y53" i="43" s="1"/>
  <c r="P49" i="43"/>
  <c r="Y49" i="43" s="1"/>
  <c r="P45" i="43"/>
  <c r="Y45" i="43" s="1"/>
  <c r="P41" i="43"/>
  <c r="Y41" i="43" s="1"/>
  <c r="O53" i="43"/>
  <c r="X53" i="43" s="1"/>
  <c r="O49" i="43"/>
  <c r="X49" i="43" s="1"/>
  <c r="O45" i="43"/>
  <c r="X45" i="43" s="1"/>
  <c r="O41" i="43"/>
  <c r="X41" i="43" s="1"/>
  <c r="O37" i="43"/>
  <c r="X37" i="43" s="1"/>
  <c r="O70" i="43"/>
  <c r="X70" i="43" s="1"/>
  <c r="O62" i="43"/>
  <c r="X62" i="43" s="1"/>
  <c r="O58" i="43"/>
  <c r="X58" i="43" s="1"/>
  <c r="P38" i="43"/>
  <c r="Y38" i="43" s="1"/>
  <c r="P34" i="43"/>
  <c r="Y34" i="43" s="1"/>
  <c r="O94" i="43"/>
  <c r="X94" i="43" s="1"/>
  <c r="P55" i="43"/>
  <c r="Y55" i="43" s="1"/>
  <c r="P47" i="43"/>
  <c r="Y47" i="43" s="1"/>
  <c r="P43" i="43"/>
  <c r="Y43" i="43" s="1"/>
  <c r="P39" i="43"/>
  <c r="Y39" i="43" s="1"/>
  <c r="O39" i="43"/>
  <c r="X39" i="43" s="1"/>
  <c r="O35" i="43"/>
  <c r="X35" i="43" s="1"/>
  <c r="O33" i="43"/>
  <c r="X33" i="43" s="1"/>
  <c r="O29" i="43"/>
  <c r="X29" i="43" s="1"/>
  <c r="O25" i="43"/>
  <c r="X25" i="43" s="1"/>
  <c r="O21" i="43"/>
  <c r="X21" i="43" s="1"/>
  <c r="O17" i="43"/>
  <c r="X17" i="43" s="1"/>
  <c r="O38" i="43"/>
  <c r="X38" i="43" s="1"/>
  <c r="P30" i="43"/>
  <c r="Y30" i="43" s="1"/>
  <c r="P26" i="43"/>
  <c r="Y26" i="43" s="1"/>
  <c r="P22" i="43"/>
  <c r="Y22" i="43" s="1"/>
  <c r="P18" i="43"/>
  <c r="Y18" i="43" s="1"/>
  <c r="O36" i="43"/>
  <c r="X36" i="43" s="1"/>
  <c r="P57" i="43"/>
  <c r="Y57" i="43" s="1"/>
  <c r="P31" i="43"/>
  <c r="Y31" i="43" s="1"/>
  <c r="P27" i="43"/>
  <c r="Y27" i="43" s="1"/>
  <c r="P23" i="43"/>
  <c r="Y23" i="43" s="1"/>
  <c r="P19" i="43"/>
  <c r="Y19" i="43" s="1"/>
  <c r="P15" i="43"/>
  <c r="O40" i="43"/>
  <c r="X40" i="43" s="1"/>
  <c r="O31" i="43"/>
  <c r="X31" i="43" s="1"/>
  <c r="O27" i="43"/>
  <c r="X27" i="43" s="1"/>
  <c r="O23" i="43"/>
  <c r="X23" i="43" s="1"/>
  <c r="O19" i="43"/>
  <c r="X19" i="43" s="1"/>
  <c r="O15" i="43"/>
  <c r="O66" i="43"/>
  <c r="X66" i="43" s="1"/>
  <c r="O34" i="43"/>
  <c r="X34" i="43" s="1"/>
  <c r="P32" i="43"/>
  <c r="Y32" i="43" s="1"/>
  <c r="P28" i="43"/>
  <c r="Y28" i="43" s="1"/>
  <c r="P24" i="43"/>
  <c r="Y24" i="43" s="1"/>
  <c r="P20" i="43"/>
  <c r="Y20" i="43" s="1"/>
  <c r="P16" i="43"/>
  <c r="Y16" i="43" s="1"/>
  <c r="Y15" i="43" s="1"/>
  <c r="O32" i="43"/>
  <c r="X32" i="43" s="1"/>
  <c r="O28" i="43"/>
  <c r="X28" i="43" s="1"/>
  <c r="O24" i="43"/>
  <c r="X24" i="43" s="1"/>
  <c r="O20" i="43"/>
  <c r="X20" i="43" s="1"/>
  <c r="O16" i="43"/>
  <c r="X16" i="43" s="1"/>
  <c r="X15" i="43" s="1"/>
  <c r="P29" i="43"/>
  <c r="Y29" i="43" s="1"/>
  <c r="B4" i="43" a="1"/>
  <c r="B4" i="43" s="1"/>
  <c r="CJ12" i="43" s="1"/>
  <c r="B5" i="43" a="1"/>
  <c r="B5" i="43" s="1"/>
  <c r="CJ13" i="43" s="1"/>
  <c r="B6" i="43" a="1"/>
  <c r="B6" i="43" s="1"/>
  <c r="CJ14" i="43" s="1"/>
  <c r="L64" i="43" a="1"/>
  <c r="L64" i="43" s="1"/>
  <c r="P64" i="43" s="1"/>
  <c r="Y64" i="43" s="1"/>
  <c r="K64" i="43" a="1"/>
  <c r="K64" i="43" s="1"/>
  <c r="O64" i="43" s="1"/>
  <c r="X64" i="43" s="1"/>
  <c r="AN14" i="43"/>
  <c r="AR14" i="43" s="1"/>
  <c r="BW14" i="43"/>
  <c r="L56" i="43" a="1"/>
  <c r="L56" i="43" s="1"/>
  <c r="P56" i="43" s="1"/>
  <c r="Y56" i="43" s="1"/>
  <c r="K56" i="43" a="1"/>
  <c r="K56" i="43" s="1"/>
  <c r="O56" i="43" s="1"/>
  <c r="X56" i="43" s="1"/>
  <c r="L72" i="43" a="1"/>
  <c r="L72" i="43" s="1"/>
  <c r="P72" i="43" s="1"/>
  <c r="Y72" i="43" s="1"/>
  <c r="K72" i="43" a="1"/>
  <c r="K72" i="43" s="1"/>
  <c r="O72" i="43" s="1"/>
  <c r="X72" i="43" s="1"/>
  <c r="K18" i="43" a="1"/>
  <c r="K18" i="43" s="1"/>
  <c r="O18" i="43" s="1"/>
  <c r="X18" i="43" s="1"/>
  <c r="K22" i="43" a="1"/>
  <c r="K22" i="43" s="1"/>
  <c r="O22" i="43" s="1"/>
  <c r="X22" i="43" s="1"/>
  <c r="K26" i="43" a="1"/>
  <c r="K26" i="43" s="1"/>
  <c r="O26" i="43" s="1"/>
  <c r="X26" i="43" s="1"/>
  <c r="K30" i="43" a="1"/>
  <c r="K30" i="43" s="1"/>
  <c r="O30" i="43" s="1"/>
  <c r="X30" i="43" s="1"/>
  <c r="L37" i="43" a="1"/>
  <c r="L37" i="43" s="1"/>
  <c r="P37" i="43" s="1"/>
  <c r="Y37" i="43" s="1"/>
  <c r="L60" i="43" a="1"/>
  <c r="L60" i="43" s="1"/>
  <c r="P60" i="43" s="1"/>
  <c r="Y60" i="43" s="1"/>
  <c r="K60" i="43" a="1"/>
  <c r="K60" i="43" s="1"/>
  <c r="O60" i="43" s="1"/>
  <c r="X60" i="43" s="1"/>
  <c r="L40" i="43" a="1"/>
  <c r="L40" i="43" s="1"/>
  <c r="P40" i="43" s="1"/>
  <c r="Y40" i="43" s="1"/>
  <c r="L44" i="43" a="1"/>
  <c r="L44" i="43" s="1"/>
  <c r="P44" i="43" s="1"/>
  <c r="Y44" i="43" s="1"/>
  <c r="L48" i="43" a="1"/>
  <c r="L48" i="43" s="1"/>
  <c r="P48" i="43" s="1"/>
  <c r="Y48" i="43" s="1"/>
  <c r="L52" i="43" a="1"/>
  <c r="L52" i="43" s="1"/>
  <c r="P52" i="43" s="1"/>
  <c r="Y52" i="43" s="1"/>
  <c r="K55" i="43" a="1"/>
  <c r="K55" i="43" s="1"/>
  <c r="O55" i="43" s="1"/>
  <c r="X55" i="43" s="1"/>
  <c r="K42" i="43" a="1"/>
  <c r="K42" i="43" s="1"/>
  <c r="O42" i="43" s="1"/>
  <c r="X42" i="43" s="1"/>
  <c r="K46" i="43" a="1"/>
  <c r="K46" i="43" s="1"/>
  <c r="O46" i="43" s="1"/>
  <c r="X46" i="43" s="1"/>
  <c r="K50" i="43" a="1"/>
  <c r="K50" i="43" s="1"/>
  <c r="O50" i="43" s="1"/>
  <c r="X50" i="43" s="1"/>
  <c r="K54" i="43" a="1"/>
  <c r="K54" i="43" s="1"/>
  <c r="O54" i="43" s="1"/>
  <c r="X54" i="43" s="1"/>
  <c r="L88" i="43" a="1"/>
  <c r="L88" i="43" s="1"/>
  <c r="P88" i="43" s="1"/>
  <c r="Y88" i="43" s="1"/>
  <c r="K88" i="43" a="1"/>
  <c r="K88" i="43" s="1"/>
  <c r="O88" i="43" s="1"/>
  <c r="X88" i="43" s="1"/>
  <c r="L68" i="43" a="1"/>
  <c r="L68" i="43" s="1"/>
  <c r="P68" i="43" s="1"/>
  <c r="Y68" i="43" s="1"/>
  <c r="K68" i="43" a="1"/>
  <c r="K68" i="43" s="1"/>
  <c r="O68" i="43" s="1"/>
  <c r="X68" i="43" s="1"/>
  <c r="L42" i="43" a="1"/>
  <c r="L42" i="43" s="1"/>
  <c r="P42" i="43" s="1"/>
  <c r="Y42" i="43" s="1"/>
  <c r="L46" i="43" a="1"/>
  <c r="L46" i="43" s="1"/>
  <c r="P46" i="43" s="1"/>
  <c r="Y46" i="43" s="1"/>
  <c r="L50" i="43" a="1"/>
  <c r="L50" i="43" s="1"/>
  <c r="P50" i="43" s="1"/>
  <c r="Y50" i="43" s="1"/>
  <c r="L54" i="43" a="1"/>
  <c r="L54" i="43" s="1"/>
  <c r="P54" i="43" s="1"/>
  <c r="Y54" i="43" s="1"/>
  <c r="K59" i="43" a="1"/>
  <c r="K59" i="43" s="1"/>
  <c r="O59" i="43" s="1"/>
  <c r="X59" i="43" s="1"/>
  <c r="L80" i="43" a="1"/>
  <c r="L80" i="43" s="1"/>
  <c r="P80" i="43" s="1"/>
  <c r="Y80" i="43" s="1"/>
  <c r="K80" i="43" a="1"/>
  <c r="K80" i="43" s="1"/>
  <c r="O80" i="43" s="1"/>
  <c r="X80" i="43" s="1"/>
  <c r="L61" i="43" a="1"/>
  <c r="L61" i="43" s="1"/>
  <c r="P61" i="43" s="1"/>
  <c r="Y61" i="43" s="1"/>
  <c r="L65" i="43" a="1"/>
  <c r="L65" i="43" s="1"/>
  <c r="P65" i="43" s="1"/>
  <c r="Y65" i="43" s="1"/>
  <c r="L69" i="43" a="1"/>
  <c r="L69" i="43" s="1"/>
  <c r="P69" i="43" s="1"/>
  <c r="Y69" i="43" s="1"/>
  <c r="L84" i="43" a="1"/>
  <c r="L84" i="43" s="1"/>
  <c r="P84" i="43" s="1"/>
  <c r="Y84" i="43" s="1"/>
  <c r="K84" i="43" a="1"/>
  <c r="K84" i="43" s="1"/>
  <c r="O84" i="43" s="1"/>
  <c r="X84" i="43" s="1"/>
  <c r="L75" i="43" a="1"/>
  <c r="L75" i="43" s="1"/>
  <c r="P75" i="43" s="1"/>
  <c r="Y75" i="43" s="1"/>
  <c r="L104" i="43" a="1"/>
  <c r="L104" i="43" s="1"/>
  <c r="P104" i="43" s="1"/>
  <c r="Y104" i="43" s="1"/>
  <c r="K104" i="43" a="1"/>
  <c r="K104" i="43" s="1"/>
  <c r="O104" i="43" s="1"/>
  <c r="X104" i="43" s="1"/>
  <c r="L93" i="43" a="1"/>
  <c r="L93" i="43" s="1"/>
  <c r="P93" i="43" s="1"/>
  <c r="Y93" i="43" s="1"/>
  <c r="K93" i="43" a="1"/>
  <c r="K93" i="43" s="1"/>
  <c r="O93" i="43" s="1"/>
  <c r="X93" i="43" s="1"/>
  <c r="K87" i="43" a="1"/>
  <c r="K87" i="43" s="1"/>
  <c r="O87" i="43" s="1"/>
  <c r="X87" i="43" s="1"/>
  <c r="L110" i="43" a="1"/>
  <c r="L110" i="43" s="1"/>
  <c r="P110" i="43" s="1"/>
  <c r="Y110" i="43" s="1"/>
  <c r="K110" i="43" a="1"/>
  <c r="K110" i="43" s="1"/>
  <c r="O110" i="43" s="1"/>
  <c r="X110" i="43" s="1"/>
  <c r="L96" i="43" a="1"/>
  <c r="L96" i="43" s="1"/>
  <c r="P96" i="43" s="1"/>
  <c r="Y96" i="43" s="1"/>
  <c r="L100" i="43" a="1"/>
  <c r="L100" i="43" s="1"/>
  <c r="P100" i="43" s="1"/>
  <c r="Y100" i="43" s="1"/>
  <c r="L118" i="43" a="1"/>
  <c r="L118" i="43" s="1"/>
  <c r="P118" i="43" s="1"/>
  <c r="K118" i="43" a="1"/>
  <c r="K118" i="43" s="1"/>
  <c r="O118" i="43" s="1"/>
  <c r="K97" i="43" a="1"/>
  <c r="K97" i="43" s="1"/>
  <c r="O97" i="43" s="1"/>
  <c r="X97" i="43" s="1"/>
  <c r="K101" i="43" a="1"/>
  <c r="K101" i="43" s="1"/>
  <c r="O101" i="43" s="1"/>
  <c r="X101" i="43" s="1"/>
  <c r="L114" i="43" a="1"/>
  <c r="L114" i="43" s="1"/>
  <c r="P114" i="43" s="1"/>
  <c r="Y114" i="43" s="1"/>
  <c r="K114" i="43" a="1"/>
  <c r="K114" i="43" s="1"/>
  <c r="O114" i="43" s="1"/>
  <c r="X114" i="43" s="1"/>
  <c r="K106" i="43" a="1"/>
  <c r="K106" i="43" s="1"/>
  <c r="O106" i="43" s="1"/>
  <c r="L122" i="43" a="1"/>
  <c r="L122" i="43" s="1"/>
  <c r="P122" i="43" s="1"/>
  <c r="K122" i="43" a="1"/>
  <c r="K122" i="43" s="1"/>
  <c r="O122" i="43" s="1"/>
  <c r="L108" i="43" a="1"/>
  <c r="L108" i="43" s="1"/>
  <c r="P108" i="43" s="1"/>
  <c r="Y108" i="43" s="1"/>
  <c r="L112" i="43" a="1"/>
  <c r="L112" i="43" s="1"/>
  <c r="P112" i="43" s="1"/>
  <c r="Y112" i="43" s="1"/>
  <c r="L116" i="43" a="1"/>
  <c r="L116" i="43" s="1"/>
  <c r="P116" i="43" s="1"/>
  <c r="L120" i="43" a="1"/>
  <c r="L120" i="43" s="1"/>
  <c r="P120" i="43" s="1"/>
  <c r="K123" i="43" a="1"/>
  <c r="K123" i="43" s="1"/>
  <c r="O123" i="43" s="1"/>
  <c r="L124" i="43" a="1"/>
  <c r="L124" i="43" s="1"/>
  <c r="P124" i="43" s="1"/>
  <c r="B6" i="42" a="1"/>
  <c r="B6" i="42" s="1"/>
  <c r="CJ14" i="42" s="1"/>
  <c r="B5" i="42" a="1"/>
  <c r="B5" i="42" s="1"/>
  <c r="CJ13" i="42" s="1"/>
  <c r="B4" i="42" a="1"/>
  <c r="B4" i="42" s="1"/>
  <c r="CJ12" i="42" s="1"/>
  <c r="N6" i="42" a="1"/>
  <c r="N6" i="42" s="1"/>
  <c r="K16" i="42" a="1"/>
  <c r="K16" i="42" s="1"/>
  <c r="O16" i="42" s="1"/>
  <c r="L17" i="42" a="1"/>
  <c r="L17" i="42" s="1"/>
  <c r="P17" i="42" s="1"/>
  <c r="K18" i="42" a="1"/>
  <c r="K18" i="42" s="1"/>
  <c r="O18" i="42" s="1"/>
  <c r="L22" i="42" a="1"/>
  <c r="L22" i="42" s="1"/>
  <c r="P22" i="42" s="1"/>
  <c r="Y22" i="42" s="1"/>
  <c r="AO14" i="42"/>
  <c r="AS14" i="42" s="1"/>
  <c r="O15" i="42"/>
  <c r="L16" i="42" a="1"/>
  <c r="L16" i="42" s="1"/>
  <c r="P16" i="42" s="1"/>
  <c r="L18" i="42" a="1"/>
  <c r="L18" i="42" s="1"/>
  <c r="P18" i="42" s="1"/>
  <c r="P121" i="42"/>
  <c r="P117" i="42"/>
  <c r="P113" i="42"/>
  <c r="Y113" i="42" s="1"/>
  <c r="O121" i="42"/>
  <c r="O117" i="42"/>
  <c r="O113" i="42"/>
  <c r="X113" i="42" s="1"/>
  <c r="P123" i="42"/>
  <c r="P119" i="42"/>
  <c r="P115" i="42"/>
  <c r="Y115" i="42" s="1"/>
  <c r="O123" i="42"/>
  <c r="O119" i="42"/>
  <c r="O115" i="42"/>
  <c r="P120" i="42"/>
  <c r="P116" i="42"/>
  <c r="P112" i="42"/>
  <c r="Y112" i="42" s="1"/>
  <c r="P108" i="42"/>
  <c r="Y108" i="42" s="1"/>
  <c r="O120" i="42"/>
  <c r="P111" i="42"/>
  <c r="Y111" i="42" s="1"/>
  <c r="O108" i="42"/>
  <c r="X108" i="42" s="1"/>
  <c r="O101" i="42"/>
  <c r="X101" i="42" s="1"/>
  <c r="O97" i="42"/>
  <c r="X97" i="42" s="1"/>
  <c r="O93" i="42"/>
  <c r="X93" i="42" s="1"/>
  <c r="O111" i="42"/>
  <c r="X111" i="42" s="1"/>
  <c r="P105" i="42"/>
  <c r="Y105" i="42" s="1"/>
  <c r="O105" i="42"/>
  <c r="X105" i="42" s="1"/>
  <c r="O103" i="42"/>
  <c r="X103" i="42" s="1"/>
  <c r="O99" i="42"/>
  <c r="X99" i="42" s="1"/>
  <c r="O95" i="42"/>
  <c r="X95" i="42" s="1"/>
  <c r="P90" i="42"/>
  <c r="Y90" i="42" s="1"/>
  <c r="P86" i="42"/>
  <c r="Y86" i="42" s="1"/>
  <c r="P82" i="42"/>
  <c r="Y82" i="42" s="1"/>
  <c r="P101" i="42"/>
  <c r="Y101" i="42" s="1"/>
  <c r="O100" i="42"/>
  <c r="X100" i="42" s="1"/>
  <c r="O90" i="42"/>
  <c r="X90" i="42" s="1"/>
  <c r="O86" i="42"/>
  <c r="X86" i="42" s="1"/>
  <c r="O94" i="42"/>
  <c r="X94" i="42" s="1"/>
  <c r="P91" i="42"/>
  <c r="Y91" i="42" s="1"/>
  <c r="P87" i="42"/>
  <c r="Y87" i="42" s="1"/>
  <c r="O107" i="42"/>
  <c r="X107" i="42" s="1"/>
  <c r="P99" i="42"/>
  <c r="Y99" i="42" s="1"/>
  <c r="P95" i="42"/>
  <c r="Y95" i="42" s="1"/>
  <c r="P92" i="42"/>
  <c r="Y92" i="42" s="1"/>
  <c r="P69" i="42"/>
  <c r="Y69" i="42" s="1"/>
  <c r="P65" i="42"/>
  <c r="Y65" i="42" s="1"/>
  <c r="P103" i="42"/>
  <c r="Y103" i="42" s="1"/>
  <c r="O82" i="42"/>
  <c r="X82" i="42" s="1"/>
  <c r="O77" i="42"/>
  <c r="X77" i="42" s="1"/>
  <c r="O73" i="42"/>
  <c r="X73" i="42" s="1"/>
  <c r="O69" i="42"/>
  <c r="X69" i="42" s="1"/>
  <c r="P74" i="42"/>
  <c r="Y74" i="42" s="1"/>
  <c r="P70" i="42"/>
  <c r="Y70" i="42" s="1"/>
  <c r="O74" i="42"/>
  <c r="X74" i="42" s="1"/>
  <c r="O85" i="42"/>
  <c r="X85" i="42" s="1"/>
  <c r="P79" i="42"/>
  <c r="Y79" i="42" s="1"/>
  <c r="P75" i="42"/>
  <c r="Y75" i="42" s="1"/>
  <c r="P81" i="42"/>
  <c r="Y81" i="42" s="1"/>
  <c r="O79" i="42"/>
  <c r="X79" i="42" s="1"/>
  <c r="O75" i="42"/>
  <c r="X75" i="42" s="1"/>
  <c r="O64" i="42"/>
  <c r="X64" i="42" s="1"/>
  <c r="O60" i="42"/>
  <c r="X60" i="42" s="1"/>
  <c r="O56" i="42"/>
  <c r="X56" i="42" s="1"/>
  <c r="P61" i="42"/>
  <c r="Y61" i="42" s="1"/>
  <c r="P57" i="42"/>
  <c r="Y57" i="42" s="1"/>
  <c r="O67" i="42"/>
  <c r="X67" i="42" s="1"/>
  <c r="P66" i="42"/>
  <c r="Y66" i="42" s="1"/>
  <c r="P68" i="42"/>
  <c r="Y68" i="42" s="1"/>
  <c r="O68" i="42"/>
  <c r="X68" i="42" s="1"/>
  <c r="O63" i="42"/>
  <c r="X63" i="42" s="1"/>
  <c r="O59" i="42"/>
  <c r="X59" i="42" s="1"/>
  <c r="O55" i="42"/>
  <c r="X55" i="42" s="1"/>
  <c r="O43" i="42"/>
  <c r="X43" i="42" s="1"/>
  <c r="O39" i="42"/>
  <c r="X39" i="42" s="1"/>
  <c r="O35" i="42"/>
  <c r="X35" i="42" s="1"/>
  <c r="P36" i="42"/>
  <c r="Y36" i="42" s="1"/>
  <c r="P60" i="42"/>
  <c r="Y60" i="42" s="1"/>
  <c r="P49" i="42"/>
  <c r="Y49" i="42" s="1"/>
  <c r="P41" i="42"/>
  <c r="Y41" i="42" s="1"/>
  <c r="P37" i="42"/>
  <c r="Y37" i="42" s="1"/>
  <c r="P33" i="42"/>
  <c r="Y33" i="42" s="1"/>
  <c r="P64" i="42"/>
  <c r="Y64" i="42" s="1"/>
  <c r="O49" i="42"/>
  <c r="X49" i="42" s="1"/>
  <c r="O45" i="42"/>
  <c r="X45" i="42" s="1"/>
  <c r="O41" i="42"/>
  <c r="X41" i="42" s="1"/>
  <c r="O70" i="42"/>
  <c r="X70" i="42" s="1"/>
  <c r="P52" i="42"/>
  <c r="Y52" i="42" s="1"/>
  <c r="P46" i="42"/>
  <c r="Y46" i="42" s="1"/>
  <c r="P42" i="42"/>
  <c r="Y42" i="42" s="1"/>
  <c r="P38" i="42"/>
  <c r="Y38" i="42" s="1"/>
  <c r="P34" i="42"/>
  <c r="Y34" i="42" s="1"/>
  <c r="P56" i="42"/>
  <c r="Y56" i="42" s="1"/>
  <c r="P47" i="42"/>
  <c r="Y47" i="42" s="1"/>
  <c r="P43" i="42"/>
  <c r="Y43" i="42" s="1"/>
  <c r="P39" i="42"/>
  <c r="Y39" i="42" s="1"/>
  <c r="O33" i="42"/>
  <c r="X33" i="42" s="1"/>
  <c r="P27" i="42"/>
  <c r="Y27" i="42" s="1"/>
  <c r="P23" i="42"/>
  <c r="Y23" i="42" s="1"/>
  <c r="P19" i="42"/>
  <c r="O52" i="42"/>
  <c r="X52" i="42" s="1"/>
  <c r="O38" i="42"/>
  <c r="X38" i="42" s="1"/>
  <c r="O31" i="42"/>
  <c r="X31" i="42" s="1"/>
  <c r="O27" i="42"/>
  <c r="X27" i="42" s="1"/>
  <c r="O23" i="42"/>
  <c r="X23" i="42" s="1"/>
  <c r="O19" i="42"/>
  <c r="O36" i="42"/>
  <c r="X36" i="42" s="1"/>
  <c r="P28" i="42"/>
  <c r="Y28" i="42" s="1"/>
  <c r="P24" i="42"/>
  <c r="Y24" i="42" s="1"/>
  <c r="P20" i="42"/>
  <c r="O46" i="42"/>
  <c r="X46" i="42" s="1"/>
  <c r="O24" i="42"/>
  <c r="X24" i="42" s="1"/>
  <c r="O32" i="42"/>
  <c r="X32" i="42" s="1"/>
  <c r="P29" i="42"/>
  <c r="Y29" i="42" s="1"/>
  <c r="P25" i="42"/>
  <c r="Y25" i="42" s="1"/>
  <c r="P21" i="42"/>
  <c r="Y21" i="42" s="1"/>
  <c r="O29" i="42"/>
  <c r="X29" i="42" s="1"/>
  <c r="O25" i="42"/>
  <c r="X25" i="42" s="1"/>
  <c r="BG14" i="42"/>
  <c r="P15" i="42"/>
  <c r="O17" i="42"/>
  <c r="O21" i="42"/>
  <c r="X21" i="42" s="1"/>
  <c r="O20" i="42"/>
  <c r="O22" i="42"/>
  <c r="X22" i="42" s="1"/>
  <c r="O42" i="42"/>
  <c r="X42" i="42" s="1"/>
  <c r="K26" i="42" a="1"/>
  <c r="K26" i="42" s="1"/>
  <c r="O26" i="42" s="1"/>
  <c r="X26" i="42" s="1"/>
  <c r="K30" i="42" a="1"/>
  <c r="K30" i="42" s="1"/>
  <c r="O30" i="42" s="1"/>
  <c r="X30" i="42" s="1"/>
  <c r="K34" i="42" a="1"/>
  <c r="K34" i="42" s="1"/>
  <c r="O34" i="42" s="1"/>
  <c r="X34" i="42" s="1"/>
  <c r="L48" i="42" a="1"/>
  <c r="L48" i="42" s="1"/>
  <c r="P48" i="42" s="1"/>
  <c r="Y48" i="42" s="1"/>
  <c r="K48" i="42" a="1"/>
  <c r="K48" i="42" s="1"/>
  <c r="O48" i="42" s="1"/>
  <c r="X48" i="42" s="1"/>
  <c r="L26" i="42" a="1"/>
  <c r="L26" i="42" s="1"/>
  <c r="P26" i="42" s="1"/>
  <c r="Y26" i="42" s="1"/>
  <c r="L30" i="42" a="1"/>
  <c r="L30" i="42" s="1"/>
  <c r="P30" i="42" s="1"/>
  <c r="Y30" i="42" s="1"/>
  <c r="L40" i="42" a="1"/>
  <c r="L40" i="42" s="1"/>
  <c r="P40" i="42" s="1"/>
  <c r="Y40" i="42" s="1"/>
  <c r="K40" i="42" a="1"/>
  <c r="K40" i="42" s="1"/>
  <c r="O40" i="42" s="1"/>
  <c r="X40" i="42" s="1"/>
  <c r="L32" i="42" a="1"/>
  <c r="L32" i="42" s="1"/>
  <c r="P32" i="42" s="1"/>
  <c r="Y32" i="42" s="1"/>
  <c r="L44" i="42" a="1"/>
  <c r="L44" i="42" s="1"/>
  <c r="P44" i="42" s="1"/>
  <c r="Y44" i="42" s="1"/>
  <c r="K44" i="42" a="1"/>
  <c r="K44" i="42" s="1"/>
  <c r="O44" i="42" s="1"/>
  <c r="X44" i="42" s="1"/>
  <c r="L35" i="42" a="1"/>
  <c r="L35" i="42" s="1"/>
  <c r="P35" i="42" s="1"/>
  <c r="Y35" i="42" s="1"/>
  <c r="L51" i="42" a="1"/>
  <c r="L51" i="42" s="1"/>
  <c r="P51" i="42" s="1"/>
  <c r="Y51" i="42" s="1"/>
  <c r="K51" i="42" a="1"/>
  <c r="K51" i="42" s="1"/>
  <c r="O51" i="42" s="1"/>
  <c r="X51" i="42" s="1"/>
  <c r="L53" i="42" a="1"/>
  <c r="L53" i="42" s="1"/>
  <c r="P53" i="42" s="1"/>
  <c r="Y53" i="42" s="1"/>
  <c r="K53" i="42" a="1"/>
  <c r="K53" i="42" s="1"/>
  <c r="O53" i="42" s="1"/>
  <c r="X53" i="42" s="1"/>
  <c r="K83" i="42" a="1"/>
  <c r="K83" i="42" s="1"/>
  <c r="O83" i="42" s="1"/>
  <c r="X83" i="42" s="1"/>
  <c r="L83" i="42" a="1"/>
  <c r="L83" i="42" s="1"/>
  <c r="P83" i="42" s="1"/>
  <c r="Y83" i="42" s="1"/>
  <c r="L72" i="42" a="1"/>
  <c r="L72" i="42" s="1"/>
  <c r="P72" i="42" s="1"/>
  <c r="Y72" i="42" s="1"/>
  <c r="K72" i="42" a="1"/>
  <c r="K72" i="42" s="1"/>
  <c r="O72" i="42" s="1"/>
  <c r="X72" i="42" s="1"/>
  <c r="L96" i="42" a="1"/>
  <c r="L96" i="42" s="1"/>
  <c r="P96" i="42" s="1"/>
  <c r="Y96" i="42" s="1"/>
  <c r="K96" i="42" a="1"/>
  <c r="K96" i="42" s="1"/>
  <c r="O96" i="42" s="1"/>
  <c r="X96" i="42" s="1"/>
  <c r="K54" i="42" a="1"/>
  <c r="K54" i="42" s="1"/>
  <c r="O54" i="42" s="1"/>
  <c r="X54" i="42" s="1"/>
  <c r="L55" i="42" a="1"/>
  <c r="L55" i="42" s="1"/>
  <c r="P55" i="42" s="1"/>
  <c r="Y55" i="42" s="1"/>
  <c r="K58" i="42" a="1"/>
  <c r="K58" i="42" s="1"/>
  <c r="O58" i="42" s="1"/>
  <c r="X58" i="42" s="1"/>
  <c r="L59" i="42" a="1"/>
  <c r="L59" i="42" s="1"/>
  <c r="P59" i="42" s="1"/>
  <c r="Y59" i="42" s="1"/>
  <c r="K62" i="42" a="1"/>
  <c r="K62" i="42" s="1"/>
  <c r="O62" i="42" s="1"/>
  <c r="X62" i="42" s="1"/>
  <c r="L63" i="42" a="1"/>
  <c r="L63" i="42" s="1"/>
  <c r="P63" i="42" s="1"/>
  <c r="Y63" i="42" s="1"/>
  <c r="L54" i="42" a="1"/>
  <c r="L54" i="42" s="1"/>
  <c r="P54" i="42" s="1"/>
  <c r="Y54" i="42" s="1"/>
  <c r="K57" i="42" a="1"/>
  <c r="K57" i="42" s="1"/>
  <c r="O57" i="42" s="1"/>
  <c r="X57" i="42" s="1"/>
  <c r="L58" i="42" a="1"/>
  <c r="L58" i="42" s="1"/>
  <c r="P58" i="42" s="1"/>
  <c r="Y58" i="42" s="1"/>
  <c r="K61" i="42" a="1"/>
  <c r="K61" i="42" s="1"/>
  <c r="O61" i="42" s="1"/>
  <c r="X61" i="42" s="1"/>
  <c r="L62" i="42" a="1"/>
  <c r="L62" i="42" s="1"/>
  <c r="P62" i="42" s="1"/>
  <c r="Y62" i="42" s="1"/>
  <c r="K65" i="42" a="1"/>
  <c r="K65" i="42" s="1"/>
  <c r="O65" i="42" s="1"/>
  <c r="X65" i="42" s="1"/>
  <c r="K66" i="42" a="1"/>
  <c r="K66" i="42" s="1"/>
  <c r="O66" i="42" s="1"/>
  <c r="X66" i="42" s="1"/>
  <c r="L73" i="42" a="1"/>
  <c r="L73" i="42" s="1"/>
  <c r="P73" i="42" s="1"/>
  <c r="Y73" i="42" s="1"/>
  <c r="K76" i="42" a="1"/>
  <c r="K76" i="42" s="1"/>
  <c r="O76" i="42" s="1"/>
  <c r="X76" i="42" s="1"/>
  <c r="L77" i="42" a="1"/>
  <c r="L77" i="42" s="1"/>
  <c r="P77" i="42" s="1"/>
  <c r="Y77" i="42" s="1"/>
  <c r="K80" i="42" a="1"/>
  <c r="K80" i="42" s="1"/>
  <c r="O80" i="42" s="1"/>
  <c r="X80" i="42" s="1"/>
  <c r="L76" i="42" a="1"/>
  <c r="L76" i="42" s="1"/>
  <c r="P76" i="42" s="1"/>
  <c r="Y76" i="42" s="1"/>
  <c r="L80" i="42" a="1"/>
  <c r="L80" i="42" s="1"/>
  <c r="P80" i="42" s="1"/>
  <c r="Y80" i="42" s="1"/>
  <c r="L106" i="42" a="1"/>
  <c r="L106" i="42" s="1"/>
  <c r="P106" i="42" s="1"/>
  <c r="K106" i="42" a="1"/>
  <c r="K106" i="42" s="1"/>
  <c r="O106" i="42" s="1"/>
  <c r="L84" i="42" a="1"/>
  <c r="L84" i="42" s="1"/>
  <c r="P84" i="42" s="1"/>
  <c r="Y84" i="42" s="1"/>
  <c r="K84" i="42" a="1"/>
  <c r="K84" i="42" s="1"/>
  <c r="O84" i="42" s="1"/>
  <c r="X84" i="42" s="1"/>
  <c r="K88" i="42" a="1"/>
  <c r="K88" i="42" s="1"/>
  <c r="O88" i="42" s="1"/>
  <c r="X88" i="42" s="1"/>
  <c r="K92" i="42" a="1"/>
  <c r="K92" i="42" s="1"/>
  <c r="O92" i="42" s="1"/>
  <c r="X92" i="42" s="1"/>
  <c r="L118" i="42" a="1"/>
  <c r="L118" i="42" s="1"/>
  <c r="P118" i="42" s="1"/>
  <c r="K118" i="42" a="1"/>
  <c r="K118" i="42" s="1"/>
  <c r="O118" i="42" s="1"/>
  <c r="K104" i="42" a="1"/>
  <c r="K104" i="42" s="1"/>
  <c r="O104" i="42" s="1"/>
  <c r="X104" i="42" s="1"/>
  <c r="K87" i="42" a="1"/>
  <c r="K87" i="42" s="1"/>
  <c r="O87" i="42" s="1"/>
  <c r="X87" i="42" s="1"/>
  <c r="L88" i="42" a="1"/>
  <c r="L88" i="42" s="1"/>
  <c r="P88" i="42" s="1"/>
  <c r="Y88" i="42" s="1"/>
  <c r="K91" i="42" a="1"/>
  <c r="K91" i="42" s="1"/>
  <c r="O91" i="42" s="1"/>
  <c r="X91" i="42" s="1"/>
  <c r="L94" i="42" a="1"/>
  <c r="L94" i="42" s="1"/>
  <c r="P94" i="42" s="1"/>
  <c r="Y94" i="42" s="1"/>
  <c r="L93" i="42" a="1"/>
  <c r="L93" i="42" s="1"/>
  <c r="P93" i="42" s="1"/>
  <c r="Y93" i="42" s="1"/>
  <c r="K109" i="42" a="1"/>
  <c r="K109" i="42" s="1"/>
  <c r="O109" i="42" s="1"/>
  <c r="X109" i="42" s="1"/>
  <c r="L109" i="42" a="1"/>
  <c r="L109" i="42" s="1"/>
  <c r="P109" i="42" s="1"/>
  <c r="Y109" i="42" s="1"/>
  <c r="L102" i="42" a="1"/>
  <c r="L102" i="42" s="1"/>
  <c r="P102" i="42" s="1"/>
  <c r="Y102" i="42" s="1"/>
  <c r="K102" i="42" a="1"/>
  <c r="K102" i="42" s="1"/>
  <c r="O102" i="42" s="1"/>
  <c r="X102" i="42" s="1"/>
  <c r="L98" i="42" a="1"/>
  <c r="L98" i="42" s="1"/>
  <c r="P98" i="42" s="1"/>
  <c r="Y98" i="42" s="1"/>
  <c r="K98" i="42" a="1"/>
  <c r="K98" i="42" s="1"/>
  <c r="O98" i="42" s="1"/>
  <c r="X98" i="42" s="1"/>
  <c r="L104" i="42" a="1"/>
  <c r="L104" i="42" s="1"/>
  <c r="P104" i="42" s="1"/>
  <c r="Y104" i="42" s="1"/>
  <c r="L100" i="42" a="1"/>
  <c r="L100" i="42" s="1"/>
  <c r="P100" i="42" s="1"/>
  <c r="Y100" i="42" s="1"/>
  <c r="L114" i="42" a="1"/>
  <c r="L114" i="42" s="1"/>
  <c r="P114" i="42" s="1"/>
  <c r="Y114" i="42" s="1"/>
  <c r="K114" i="42" a="1"/>
  <c r="K114" i="42" s="1"/>
  <c r="O114" i="42" s="1"/>
  <c r="L122" i="42" a="1"/>
  <c r="L122" i="42" s="1"/>
  <c r="P122" i="42" s="1"/>
  <c r="K122" i="42" a="1"/>
  <c r="K122" i="42" s="1"/>
  <c r="O122" i="42" s="1"/>
  <c r="BD14" i="41"/>
  <c r="BH14" i="41" s="1"/>
  <c r="N6" i="41" a="1"/>
  <c r="N6" i="41" s="1"/>
  <c r="B6" i="41" a="1"/>
  <c r="B6" i="41" s="1"/>
  <c r="CJ14" i="41" s="1"/>
  <c r="B5" i="41" a="1"/>
  <c r="B5" i="41" s="1"/>
  <c r="CJ13" i="41" s="1"/>
  <c r="B4" i="41" a="1"/>
  <c r="B4" i="41" s="1"/>
  <c r="CJ12" i="41" s="1"/>
  <c r="I14" i="41"/>
  <c r="P117" i="41"/>
  <c r="O121" i="41"/>
  <c r="O117" i="41"/>
  <c r="P122" i="41"/>
  <c r="P118" i="41"/>
  <c r="P110" i="41"/>
  <c r="Y110" i="41" s="1"/>
  <c r="P106" i="41"/>
  <c r="P123" i="41"/>
  <c r="P119" i="41"/>
  <c r="P115" i="41"/>
  <c r="Y115" i="41" s="1"/>
  <c r="P107" i="41"/>
  <c r="Y107" i="41" s="1"/>
  <c r="P124" i="41"/>
  <c r="O115" i="41"/>
  <c r="X115" i="41" s="1"/>
  <c r="O105" i="41"/>
  <c r="X105" i="41" s="1"/>
  <c r="O118" i="41"/>
  <c r="O107" i="41"/>
  <c r="X107" i="41" s="1"/>
  <c r="P116" i="41"/>
  <c r="O116" i="41"/>
  <c r="O106" i="41"/>
  <c r="P103" i="41"/>
  <c r="Y103" i="41" s="1"/>
  <c r="P95" i="41"/>
  <c r="Y95" i="41" s="1"/>
  <c r="P108" i="41"/>
  <c r="Y108" i="41" s="1"/>
  <c r="P100" i="41"/>
  <c r="Y100" i="41" s="1"/>
  <c r="O123" i="41"/>
  <c r="O100" i="41"/>
  <c r="X100" i="41" s="1"/>
  <c r="P96" i="41"/>
  <c r="Y96" i="41" s="1"/>
  <c r="P94" i="41"/>
  <c r="Y94" i="41" s="1"/>
  <c r="O92" i="41"/>
  <c r="X92" i="41" s="1"/>
  <c r="P101" i="41"/>
  <c r="Y101" i="41" s="1"/>
  <c r="O96" i="41"/>
  <c r="X96" i="41" s="1"/>
  <c r="P89" i="41"/>
  <c r="Y89" i="41" s="1"/>
  <c r="O95" i="41"/>
  <c r="X95" i="41" s="1"/>
  <c r="P93" i="41"/>
  <c r="Y93" i="41" s="1"/>
  <c r="O93" i="41"/>
  <c r="X93" i="41" s="1"/>
  <c r="P90" i="41"/>
  <c r="Y90" i="41" s="1"/>
  <c r="O90" i="41"/>
  <c r="X90" i="41" s="1"/>
  <c r="O85" i="41"/>
  <c r="X85" i="41" s="1"/>
  <c r="O69" i="41"/>
  <c r="X69" i="41" s="1"/>
  <c r="P87" i="41"/>
  <c r="Y87" i="41" s="1"/>
  <c r="O83" i="41"/>
  <c r="X83" i="41" s="1"/>
  <c r="P80" i="41"/>
  <c r="Y80" i="41" s="1"/>
  <c r="P76" i="41"/>
  <c r="Y76" i="41" s="1"/>
  <c r="P72" i="41"/>
  <c r="Y72" i="41" s="1"/>
  <c r="P71" i="41"/>
  <c r="Y71" i="41" s="1"/>
  <c r="O71" i="41"/>
  <c r="X71" i="41" s="1"/>
  <c r="P83" i="41"/>
  <c r="Y83" i="41" s="1"/>
  <c r="P91" i="41"/>
  <c r="Y91" i="41" s="1"/>
  <c r="P86" i="41"/>
  <c r="Y86" i="41" s="1"/>
  <c r="P75" i="41"/>
  <c r="Y75" i="41" s="1"/>
  <c r="O86" i="41"/>
  <c r="X86" i="41" s="1"/>
  <c r="O80" i="41"/>
  <c r="X80" i="41" s="1"/>
  <c r="O75" i="41"/>
  <c r="X75" i="41" s="1"/>
  <c r="P73" i="41"/>
  <c r="Y73" i="41" s="1"/>
  <c r="O76" i="41"/>
  <c r="X76" i="41" s="1"/>
  <c r="P65" i="41"/>
  <c r="Y65" i="41" s="1"/>
  <c r="P61" i="41"/>
  <c r="Y61" i="41" s="1"/>
  <c r="P57" i="41"/>
  <c r="Y57" i="41" s="1"/>
  <c r="O51" i="41"/>
  <c r="X51" i="41" s="1"/>
  <c r="O47" i="41"/>
  <c r="X47" i="41" s="1"/>
  <c r="O43" i="41"/>
  <c r="X43" i="41" s="1"/>
  <c r="O39" i="41"/>
  <c r="X39" i="41" s="1"/>
  <c r="O35" i="41"/>
  <c r="X35" i="41" s="1"/>
  <c r="O27" i="41"/>
  <c r="X27" i="41" s="1"/>
  <c r="P79" i="41"/>
  <c r="Y79" i="41" s="1"/>
  <c r="P54" i="41"/>
  <c r="Y54" i="41" s="1"/>
  <c r="P20" i="41"/>
  <c r="O60" i="41"/>
  <c r="X60" i="41" s="1"/>
  <c r="P58" i="41"/>
  <c r="Y58" i="41" s="1"/>
  <c r="O57" i="41"/>
  <c r="X57" i="41" s="1"/>
  <c r="O54" i="41"/>
  <c r="X54" i="41" s="1"/>
  <c r="O56" i="41"/>
  <c r="X56" i="41" s="1"/>
  <c r="P51" i="41"/>
  <c r="Y51" i="41" s="1"/>
  <c r="P47" i="41"/>
  <c r="Y47" i="41" s="1"/>
  <c r="P43" i="41"/>
  <c r="Y43" i="41" s="1"/>
  <c r="P39" i="41"/>
  <c r="Y39" i="41" s="1"/>
  <c r="P35" i="41"/>
  <c r="Y35" i="41" s="1"/>
  <c r="P31" i="41"/>
  <c r="Y31" i="41" s="1"/>
  <c r="P27" i="41"/>
  <c r="Y27" i="41" s="1"/>
  <c r="P23" i="41"/>
  <c r="O64" i="41"/>
  <c r="X64" i="41" s="1"/>
  <c r="O30" i="41"/>
  <c r="X30" i="41" s="1"/>
  <c r="O20" i="41"/>
  <c r="O16" i="41"/>
  <c r="O26" i="41"/>
  <c r="X26" i="41" s="1"/>
  <c r="O50" i="41"/>
  <c r="X50" i="41" s="1"/>
  <c r="O22" i="41"/>
  <c r="X22" i="41" s="1"/>
  <c r="P18" i="41"/>
  <c r="O46" i="41"/>
  <c r="X46" i="41" s="1"/>
  <c r="O18" i="41"/>
  <c r="O42" i="41"/>
  <c r="X42" i="41" s="1"/>
  <c r="P19" i="41"/>
  <c r="O61" i="41"/>
  <c r="X61" i="41" s="1"/>
  <c r="O34" i="41"/>
  <c r="X34" i="41" s="1"/>
  <c r="P30" i="41"/>
  <c r="Y30" i="41" s="1"/>
  <c r="O38" i="41"/>
  <c r="X38" i="41" s="1"/>
  <c r="L48" i="41" a="1"/>
  <c r="L48" i="41" s="1"/>
  <c r="P48" i="41" s="1"/>
  <c r="Y48" i="41" s="1"/>
  <c r="K48" i="41" a="1"/>
  <c r="K48" i="41" s="1"/>
  <c r="O48" i="41" s="1"/>
  <c r="X48" i="41" s="1"/>
  <c r="L17" i="41" a="1"/>
  <c r="L17" i="41" s="1"/>
  <c r="P17" i="41" s="1"/>
  <c r="K17" i="41" a="1"/>
  <c r="K17" i="41" s="1"/>
  <c r="O17" i="41" s="1"/>
  <c r="O19" i="41"/>
  <c r="AN14" i="41"/>
  <c r="AR14" i="41" s="1"/>
  <c r="BV14" i="41"/>
  <c r="L44" i="41" a="1"/>
  <c r="L44" i="41" s="1"/>
  <c r="P44" i="41" s="1"/>
  <c r="Y44" i="41" s="1"/>
  <c r="K44" i="41" a="1"/>
  <c r="K44" i="41" s="1"/>
  <c r="O44" i="41" s="1"/>
  <c r="X44" i="41" s="1"/>
  <c r="K62" i="41" a="1"/>
  <c r="K62" i="41" s="1"/>
  <c r="O62" i="41" s="1"/>
  <c r="X62" i="41" s="1"/>
  <c r="L62" i="41" a="1"/>
  <c r="L62" i="41" s="1"/>
  <c r="P62" i="41" s="1"/>
  <c r="Y62" i="41" s="1"/>
  <c r="L120" i="41" a="1"/>
  <c r="L120" i="41" s="1"/>
  <c r="P120" i="41" s="1"/>
  <c r="K120" i="41" a="1"/>
  <c r="K120" i="41" s="1"/>
  <c r="O120" i="41" s="1"/>
  <c r="L15" i="41" a="1"/>
  <c r="L15" i="41" s="1"/>
  <c r="P15" i="41" s="1"/>
  <c r="L24" i="41" a="1"/>
  <c r="L24" i="41" s="1"/>
  <c r="P24" i="41" s="1"/>
  <c r="Y24" i="41" s="1"/>
  <c r="K24" i="41" a="1"/>
  <c r="K24" i="41" s="1"/>
  <c r="O24" i="41" s="1"/>
  <c r="X24" i="41" s="1"/>
  <c r="L28" i="41" a="1"/>
  <c r="L28" i="41" s="1"/>
  <c r="P28" i="41" s="1"/>
  <c r="Y28" i="41" s="1"/>
  <c r="K28" i="41" a="1"/>
  <c r="K28" i="41" s="1"/>
  <c r="O28" i="41" s="1"/>
  <c r="X28" i="41" s="1"/>
  <c r="L52" i="41" a="1"/>
  <c r="L52" i="41" s="1"/>
  <c r="P52" i="41" s="1"/>
  <c r="Y52" i="41" s="1"/>
  <c r="K52" i="41" a="1"/>
  <c r="K52" i="41" s="1"/>
  <c r="O52" i="41" s="1"/>
  <c r="X52" i="41" s="1"/>
  <c r="L32" i="41" a="1"/>
  <c r="L32" i="41" s="1"/>
  <c r="P32" i="41" s="1"/>
  <c r="Y32" i="41" s="1"/>
  <c r="K32" i="41" a="1"/>
  <c r="K32" i="41" s="1"/>
  <c r="O32" i="41" s="1"/>
  <c r="X32" i="41" s="1"/>
  <c r="L36" i="41" a="1"/>
  <c r="L36" i="41" s="1"/>
  <c r="P36" i="41" s="1"/>
  <c r="Y36" i="41" s="1"/>
  <c r="K36" i="41" a="1"/>
  <c r="K36" i="41" s="1"/>
  <c r="O36" i="41" s="1"/>
  <c r="X36" i="41" s="1"/>
  <c r="L55" i="41" a="1"/>
  <c r="L55" i="41" s="1"/>
  <c r="P55" i="41" s="1"/>
  <c r="Y55" i="41" s="1"/>
  <c r="K55" i="41" a="1"/>
  <c r="K55" i="41" s="1"/>
  <c r="O55" i="41" s="1"/>
  <c r="X55" i="41" s="1"/>
  <c r="L21" i="41" a="1"/>
  <c r="L21" i="41" s="1"/>
  <c r="P21" i="41" s="1"/>
  <c r="Y21" i="41" s="1"/>
  <c r="K21" i="41" a="1"/>
  <c r="K21" i="41" s="1"/>
  <c r="O21" i="41" s="1"/>
  <c r="X21" i="41" s="1"/>
  <c r="L40" i="41" a="1"/>
  <c r="L40" i="41" s="1"/>
  <c r="P40" i="41" s="1"/>
  <c r="Y40" i="41" s="1"/>
  <c r="K40" i="41" a="1"/>
  <c r="K40" i="41" s="1"/>
  <c r="O40" i="41" s="1"/>
  <c r="X40" i="41" s="1"/>
  <c r="L67" i="41" a="1"/>
  <c r="L67" i="41" s="1"/>
  <c r="P67" i="41" s="1"/>
  <c r="Y67" i="41" s="1"/>
  <c r="K67" i="41" a="1"/>
  <c r="K67" i="41" s="1"/>
  <c r="O67" i="41" s="1"/>
  <c r="X67" i="41" s="1"/>
  <c r="L22" i="41" a="1"/>
  <c r="L22" i="41" s="1"/>
  <c r="P22" i="41" s="1"/>
  <c r="Y22" i="41" s="1"/>
  <c r="K25" i="41" a="1"/>
  <c r="K25" i="41" s="1"/>
  <c r="O25" i="41" s="1"/>
  <c r="X25" i="41" s="1"/>
  <c r="L26" i="41" a="1"/>
  <c r="L26" i="41" s="1"/>
  <c r="P26" i="41" s="1"/>
  <c r="Y26" i="41" s="1"/>
  <c r="K29" i="41" a="1"/>
  <c r="K29" i="41" s="1"/>
  <c r="O29" i="41" s="1"/>
  <c r="X29" i="41" s="1"/>
  <c r="K33" i="41" a="1"/>
  <c r="K33" i="41" s="1"/>
  <c r="O33" i="41" s="1"/>
  <c r="X33" i="41" s="1"/>
  <c r="L34" i="41" a="1"/>
  <c r="L34" i="41" s="1"/>
  <c r="P34" i="41" s="1"/>
  <c r="Y34" i="41" s="1"/>
  <c r="K37" i="41" a="1"/>
  <c r="K37" i="41" s="1"/>
  <c r="O37" i="41" s="1"/>
  <c r="X37" i="41" s="1"/>
  <c r="L38" i="41" a="1"/>
  <c r="L38" i="41" s="1"/>
  <c r="P38" i="41" s="1"/>
  <c r="Y38" i="41" s="1"/>
  <c r="K41" i="41" a="1"/>
  <c r="K41" i="41" s="1"/>
  <c r="O41" i="41" s="1"/>
  <c r="X41" i="41" s="1"/>
  <c r="L42" i="41" a="1"/>
  <c r="L42" i="41" s="1"/>
  <c r="P42" i="41" s="1"/>
  <c r="Y42" i="41" s="1"/>
  <c r="K45" i="41" a="1"/>
  <c r="K45" i="41" s="1"/>
  <c r="O45" i="41" s="1"/>
  <c r="X45" i="41" s="1"/>
  <c r="L46" i="41" a="1"/>
  <c r="L46" i="41" s="1"/>
  <c r="P46" i="41" s="1"/>
  <c r="Y46" i="41" s="1"/>
  <c r="K49" i="41" a="1"/>
  <c r="K49" i="41" s="1"/>
  <c r="O49" i="41" s="1"/>
  <c r="X49" i="41" s="1"/>
  <c r="L50" i="41" a="1"/>
  <c r="L50" i="41" s="1"/>
  <c r="P50" i="41" s="1"/>
  <c r="Y50" i="41" s="1"/>
  <c r="K53" i="41" a="1"/>
  <c r="K53" i="41" s="1"/>
  <c r="O53" i="41" s="1"/>
  <c r="X53" i="41" s="1"/>
  <c r="L63" i="41" a="1"/>
  <c r="L63" i="41" s="1"/>
  <c r="P63" i="41" s="1"/>
  <c r="Y63" i="41" s="1"/>
  <c r="K63" i="41" a="1"/>
  <c r="K63" i="41" s="1"/>
  <c r="O63" i="41" s="1"/>
  <c r="X63" i="41" s="1"/>
  <c r="L66" i="41" a="1"/>
  <c r="L66" i="41" s="1"/>
  <c r="P66" i="41" s="1"/>
  <c r="Y66" i="41" s="1"/>
  <c r="L81" i="41" a="1"/>
  <c r="L81" i="41" s="1"/>
  <c r="P81" i="41" s="1"/>
  <c r="Y81" i="41" s="1"/>
  <c r="K81" i="41" a="1"/>
  <c r="K81" i="41" s="1"/>
  <c r="O81" i="41" s="1"/>
  <c r="X81" i="41" s="1"/>
  <c r="L25" i="41" a="1"/>
  <c r="L25" i="41" s="1"/>
  <c r="P25" i="41" s="1"/>
  <c r="Y25" i="41" s="1"/>
  <c r="L29" i="41" a="1"/>
  <c r="L29" i="41" s="1"/>
  <c r="P29" i="41" s="1"/>
  <c r="Y29" i="41" s="1"/>
  <c r="L33" i="41" a="1"/>
  <c r="L33" i="41" s="1"/>
  <c r="P33" i="41" s="1"/>
  <c r="Y33" i="41" s="1"/>
  <c r="L37" i="41" a="1"/>
  <c r="L37" i="41" s="1"/>
  <c r="P37" i="41" s="1"/>
  <c r="Y37" i="41" s="1"/>
  <c r="L41" i="41" a="1"/>
  <c r="L41" i="41" s="1"/>
  <c r="P41" i="41" s="1"/>
  <c r="Y41" i="41" s="1"/>
  <c r="L45" i="41" a="1"/>
  <c r="L45" i="41" s="1"/>
  <c r="P45" i="41" s="1"/>
  <c r="Y45" i="41" s="1"/>
  <c r="L49" i="41" a="1"/>
  <c r="L49" i="41" s="1"/>
  <c r="P49" i="41" s="1"/>
  <c r="Y49" i="41" s="1"/>
  <c r="L53" i="41" a="1"/>
  <c r="L53" i="41" s="1"/>
  <c r="P53" i="41" s="1"/>
  <c r="Y53" i="41" s="1"/>
  <c r="K58" i="41" a="1"/>
  <c r="K58" i="41" s="1"/>
  <c r="O58" i="41" s="1"/>
  <c r="X58" i="41" s="1"/>
  <c r="L59" i="41" a="1"/>
  <c r="L59" i="41" s="1"/>
  <c r="P59" i="41" s="1"/>
  <c r="Y59" i="41" s="1"/>
  <c r="K59" i="41" a="1"/>
  <c r="K59" i="41" s="1"/>
  <c r="O59" i="41" s="1"/>
  <c r="X59" i="41" s="1"/>
  <c r="K66" i="41" a="1"/>
  <c r="K66" i="41" s="1"/>
  <c r="O66" i="41" s="1"/>
  <c r="X66" i="41" s="1"/>
  <c r="K77" i="41" a="1"/>
  <c r="K77" i="41" s="1"/>
  <c r="O77" i="41" s="1"/>
  <c r="X77" i="41" s="1"/>
  <c r="L78" i="41" a="1"/>
  <c r="L78" i="41" s="1"/>
  <c r="P78" i="41" s="1"/>
  <c r="Y78" i="41" s="1"/>
  <c r="K78" i="41" a="1"/>
  <c r="K78" i="41" s="1"/>
  <c r="O78" i="41" s="1"/>
  <c r="X78" i="41" s="1"/>
  <c r="L56" i="41" a="1"/>
  <c r="L56" i="41" s="1"/>
  <c r="P56" i="41" s="1"/>
  <c r="Y56" i="41" s="1"/>
  <c r="L60" i="41" a="1"/>
  <c r="L60" i="41" s="1"/>
  <c r="P60" i="41" s="1"/>
  <c r="Y60" i="41" s="1"/>
  <c r="L64" i="41" a="1"/>
  <c r="L64" i="41" s="1"/>
  <c r="P64" i="41" s="1"/>
  <c r="Y64" i="41" s="1"/>
  <c r="K73" i="41" a="1"/>
  <c r="K73" i="41" s="1"/>
  <c r="O73" i="41" s="1"/>
  <c r="X73" i="41" s="1"/>
  <c r="L74" i="41" a="1"/>
  <c r="L74" i="41" s="1"/>
  <c r="P74" i="41" s="1"/>
  <c r="Y74" i="41" s="1"/>
  <c r="K74" i="41" a="1"/>
  <c r="K74" i="41" s="1"/>
  <c r="O74" i="41" s="1"/>
  <c r="X74" i="41" s="1"/>
  <c r="K68" i="41" a="1"/>
  <c r="K68" i="41" s="1"/>
  <c r="O68" i="41" s="1"/>
  <c r="X68" i="41" s="1"/>
  <c r="L68" i="41" a="1"/>
  <c r="L68" i="41" s="1"/>
  <c r="P68" i="41" s="1"/>
  <c r="Y68" i="41" s="1"/>
  <c r="L77" i="41" a="1"/>
  <c r="L77" i="41" s="1"/>
  <c r="P77" i="41" s="1"/>
  <c r="Y77" i="41" s="1"/>
  <c r="L70" i="41" a="1"/>
  <c r="L70" i="41" s="1"/>
  <c r="P70" i="41" s="1"/>
  <c r="Y70" i="41" s="1"/>
  <c r="K70" i="41" a="1"/>
  <c r="K70" i="41" s="1"/>
  <c r="O70" i="41" s="1"/>
  <c r="X70" i="41" s="1"/>
  <c r="K82" i="41" a="1"/>
  <c r="K82" i="41" s="1"/>
  <c r="O82" i="41" s="1"/>
  <c r="X82" i="41" s="1"/>
  <c r="K84" i="41" a="1"/>
  <c r="K84" i="41" s="1"/>
  <c r="O84" i="41" s="1"/>
  <c r="X84" i="41" s="1"/>
  <c r="L84" i="41" a="1"/>
  <c r="L84" i="41" s="1"/>
  <c r="P84" i="41" s="1"/>
  <c r="Y84" i="41" s="1"/>
  <c r="K88" i="41" a="1"/>
  <c r="K88" i="41" s="1"/>
  <c r="O88" i="41" s="1"/>
  <c r="X88" i="41" s="1"/>
  <c r="L88" i="41" a="1"/>
  <c r="L88" i="41" s="1"/>
  <c r="P88" i="41" s="1"/>
  <c r="Y88" i="41" s="1"/>
  <c r="L109" i="41" a="1"/>
  <c r="L109" i="41" s="1"/>
  <c r="P109" i="41" s="1"/>
  <c r="Y109" i="41" s="1"/>
  <c r="K109" i="41" a="1"/>
  <c r="K109" i="41" s="1"/>
  <c r="O109" i="41" s="1"/>
  <c r="X109" i="41" s="1"/>
  <c r="L82" i="41" a="1"/>
  <c r="L82" i="41" s="1"/>
  <c r="P82" i="41" s="1"/>
  <c r="Y82" i="41" s="1"/>
  <c r="L85" i="41" a="1"/>
  <c r="L85" i="41" s="1"/>
  <c r="P85" i="41" s="1"/>
  <c r="Y85" i="41" s="1"/>
  <c r="K87" i="41" a="1"/>
  <c r="K87" i="41" s="1"/>
  <c r="O87" i="41" s="1"/>
  <c r="X87" i="41" s="1"/>
  <c r="K91" i="41" a="1"/>
  <c r="K91" i="41" s="1"/>
  <c r="O91" i="41" s="1"/>
  <c r="X91" i="41" s="1"/>
  <c r="L92" i="41" a="1"/>
  <c r="L92" i="41" s="1"/>
  <c r="P92" i="41" s="1"/>
  <c r="Y92" i="41" s="1"/>
  <c r="L102" i="41" a="1"/>
  <c r="L102" i="41" s="1"/>
  <c r="P102" i="41" s="1"/>
  <c r="Y102" i="41" s="1"/>
  <c r="K102" i="41" a="1"/>
  <c r="K102" i="41" s="1"/>
  <c r="O102" i="41" s="1"/>
  <c r="X102" i="41" s="1"/>
  <c r="L104" i="41" a="1"/>
  <c r="L104" i="41" s="1"/>
  <c r="P104" i="41" s="1"/>
  <c r="Y104" i="41" s="1"/>
  <c r="K104" i="41" a="1"/>
  <c r="K104" i="41" s="1"/>
  <c r="O104" i="41" s="1"/>
  <c r="X104" i="41" s="1"/>
  <c r="L114" i="41" a="1"/>
  <c r="L114" i="41" s="1"/>
  <c r="P114" i="41" s="1"/>
  <c r="Y114" i="41" s="1"/>
  <c r="K114" i="41" a="1"/>
  <c r="K114" i="41" s="1"/>
  <c r="O114" i="41" s="1"/>
  <c r="X114" i="41" s="1"/>
  <c r="L98" i="41" a="1"/>
  <c r="L98" i="41" s="1"/>
  <c r="P98" i="41" s="1"/>
  <c r="Y98" i="41" s="1"/>
  <c r="K98" i="41" a="1"/>
  <c r="K98" i="41" s="1"/>
  <c r="O98" i="41" s="1"/>
  <c r="X98" i="41" s="1"/>
  <c r="K113" i="41" a="1"/>
  <c r="K113" i="41" s="1"/>
  <c r="O113" i="41" s="1"/>
  <c r="X113" i="41" s="1"/>
  <c r="L113" i="41" a="1"/>
  <c r="L113" i="41" s="1"/>
  <c r="P113" i="41" s="1"/>
  <c r="Y113" i="41" s="1"/>
  <c r="L97" i="41" a="1"/>
  <c r="L97" i="41" s="1"/>
  <c r="P97" i="41" s="1"/>
  <c r="Y97" i="41" s="1"/>
  <c r="L112" i="41" a="1"/>
  <c r="L112" i="41" s="1"/>
  <c r="P112" i="41" s="1"/>
  <c r="Y112" i="41" s="1"/>
  <c r="K112" i="41" a="1"/>
  <c r="K112" i="41" s="1"/>
  <c r="O112" i="41" s="1"/>
  <c r="X112" i="41" s="1"/>
  <c r="K101" i="41" a="1"/>
  <c r="K101" i="41" s="1"/>
  <c r="O101" i="41" s="1"/>
  <c r="X101" i="41" s="1"/>
  <c r="K125" i="41" a="1"/>
  <c r="K125" i="41" s="1"/>
  <c r="O125" i="41" s="1"/>
  <c r="L125" i="41" a="1"/>
  <c r="L125" i="41" s="1"/>
  <c r="P125" i="41" s="1"/>
  <c r="K94" i="41" a="1"/>
  <c r="K94" i="41" s="1"/>
  <c r="O94" i="41" s="1"/>
  <c r="X94" i="41" s="1"/>
  <c r="K97" i="41" a="1"/>
  <c r="K97" i="41" s="1"/>
  <c r="O97" i="41" s="1"/>
  <c r="X97" i="41" s="1"/>
  <c r="L105" i="41" a="1"/>
  <c r="L105" i="41" s="1"/>
  <c r="P105" i="41" s="1"/>
  <c r="Y105" i="41" s="1"/>
  <c r="K108" i="41" a="1"/>
  <c r="K108" i="41" s="1"/>
  <c r="O108" i="41" s="1"/>
  <c r="X108" i="41" s="1"/>
  <c r="N6" i="40" a="1"/>
  <c r="N6" i="40" s="1"/>
  <c r="B6" i="40" a="1"/>
  <c r="B6" i="40" s="1"/>
  <c r="CJ14" i="40" s="1"/>
  <c r="P24" i="38"/>
  <c r="Y24" i="38" s="1"/>
  <c r="B4" i="40" a="1"/>
  <c r="B4" i="40" s="1"/>
  <c r="CJ12" i="40" s="1"/>
  <c r="O19" i="38"/>
  <c r="X19" i="38" s="1"/>
  <c r="B5" i="40" a="1"/>
  <c r="B5" i="40" s="1"/>
  <c r="CJ13" i="40" s="1"/>
  <c r="O18" i="40"/>
  <c r="O22" i="40"/>
  <c r="X22" i="40" s="1"/>
  <c r="O26" i="40"/>
  <c r="X26" i="40" s="1"/>
  <c r="O62" i="40"/>
  <c r="X62" i="40" s="1"/>
  <c r="AS14" i="40"/>
  <c r="BS14" i="40"/>
  <c r="BW14" i="40" s="1"/>
  <c r="O17" i="40"/>
  <c r="L18" i="40" a="1"/>
  <c r="L18" i="40" s="1"/>
  <c r="P18" i="40" s="1"/>
  <c r="O21" i="40"/>
  <c r="X21" i="40" s="1"/>
  <c r="L22" i="40" a="1"/>
  <c r="L22" i="40" s="1"/>
  <c r="P22" i="40" s="1"/>
  <c r="Y22" i="40" s="1"/>
  <c r="O25" i="40"/>
  <c r="X25" i="40" s="1"/>
  <c r="L26" i="40" a="1"/>
  <c r="L26" i="40" s="1"/>
  <c r="P26" i="40" s="1"/>
  <c r="Y26" i="40" s="1"/>
  <c r="O29" i="40"/>
  <c r="X29" i="40" s="1"/>
  <c r="P17" i="40"/>
  <c r="P21" i="40"/>
  <c r="Y21" i="40" s="1"/>
  <c r="P25" i="40"/>
  <c r="Y25" i="40" s="1"/>
  <c r="P29" i="40"/>
  <c r="Y29" i="40" s="1"/>
  <c r="O32" i="40"/>
  <c r="X32" i="40" s="1"/>
  <c r="O36" i="40"/>
  <c r="X36" i="40" s="1"/>
  <c r="O40" i="40"/>
  <c r="X40" i="40" s="1"/>
  <c r="K16" i="40" a="1"/>
  <c r="K16" i="40" s="1"/>
  <c r="O16" i="40" s="1"/>
  <c r="K20" i="40" a="1"/>
  <c r="K20" i="40" s="1"/>
  <c r="O20" i="40" s="1"/>
  <c r="K24" i="40" a="1"/>
  <c r="K24" i="40" s="1"/>
  <c r="O24" i="40" s="1"/>
  <c r="X24" i="40" s="1"/>
  <c r="K28" i="40" a="1"/>
  <c r="K28" i="40" s="1"/>
  <c r="O28" i="40" s="1"/>
  <c r="X28" i="40" s="1"/>
  <c r="K31" i="40" a="1"/>
  <c r="K31" i="40" s="1"/>
  <c r="O31" i="40" s="1"/>
  <c r="X31" i="40" s="1"/>
  <c r="K35" i="40" a="1"/>
  <c r="K35" i="40" s="1"/>
  <c r="O35" i="40" s="1"/>
  <c r="X35" i="40" s="1"/>
  <c r="K39" i="40" a="1"/>
  <c r="K39" i="40" s="1"/>
  <c r="O39" i="40" s="1"/>
  <c r="X39" i="40" s="1"/>
  <c r="K43" i="40" a="1"/>
  <c r="K43" i="40" s="1"/>
  <c r="O43" i="40" s="1"/>
  <c r="X43" i="40" s="1"/>
  <c r="P16" i="40"/>
  <c r="P20" i="40"/>
  <c r="P24" i="40"/>
  <c r="Y24" i="40" s="1"/>
  <c r="P28" i="40"/>
  <c r="Y28" i="40" s="1"/>
  <c r="P30" i="40"/>
  <c r="Y30" i="40" s="1"/>
  <c r="O37" i="40"/>
  <c r="X37" i="40" s="1"/>
  <c r="O41" i="40"/>
  <c r="X41" i="40" s="1"/>
  <c r="L50" i="40" a="1"/>
  <c r="L50" i="40" s="1"/>
  <c r="P50" i="40" s="1"/>
  <c r="Y50" i="40" s="1"/>
  <c r="K50" i="40" a="1"/>
  <c r="K50" i="40" s="1"/>
  <c r="O50" i="40" s="1"/>
  <c r="X50" i="40" s="1"/>
  <c r="P70" i="40"/>
  <c r="Y70" i="40" s="1"/>
  <c r="O15" i="40"/>
  <c r="O19" i="40"/>
  <c r="O23" i="40"/>
  <c r="X23" i="40" s="1"/>
  <c r="O27" i="40"/>
  <c r="X27" i="40" s="1"/>
  <c r="P125" i="40"/>
  <c r="P121" i="40"/>
  <c r="P109" i="40"/>
  <c r="Y109" i="40" s="1"/>
  <c r="O125" i="40"/>
  <c r="O121" i="40"/>
  <c r="O117" i="40"/>
  <c r="O113" i="40"/>
  <c r="X113" i="40" s="1"/>
  <c r="O123" i="40"/>
  <c r="O119" i="40"/>
  <c r="O115" i="40"/>
  <c r="X115" i="40" s="1"/>
  <c r="P124" i="40"/>
  <c r="P116" i="40"/>
  <c r="P112" i="40"/>
  <c r="Y112" i="40" s="1"/>
  <c r="P108" i="40"/>
  <c r="Y108" i="40" s="1"/>
  <c r="O100" i="40"/>
  <c r="X100" i="40" s="1"/>
  <c r="O96" i="40"/>
  <c r="X96" i="40" s="1"/>
  <c r="O92" i="40"/>
  <c r="X92" i="40" s="1"/>
  <c r="O116" i="40"/>
  <c r="O111" i="40"/>
  <c r="X111" i="40" s="1"/>
  <c r="O107" i="40"/>
  <c r="X107" i="40" s="1"/>
  <c r="O124" i="40"/>
  <c r="O108" i="40"/>
  <c r="X108" i="40" s="1"/>
  <c r="P102" i="40"/>
  <c r="Y102" i="40" s="1"/>
  <c r="P98" i="40"/>
  <c r="Y98" i="40" s="1"/>
  <c r="O112" i="40"/>
  <c r="X112" i="40" s="1"/>
  <c r="O102" i="40"/>
  <c r="X102" i="40" s="1"/>
  <c r="P96" i="40"/>
  <c r="Y96" i="40" s="1"/>
  <c r="P91" i="40"/>
  <c r="Y91" i="40" s="1"/>
  <c r="P87" i="40"/>
  <c r="Y87" i="40" s="1"/>
  <c r="P83" i="40"/>
  <c r="Y83" i="40" s="1"/>
  <c r="P79" i="40"/>
  <c r="Y79" i="40" s="1"/>
  <c r="O91" i="40"/>
  <c r="X91" i="40" s="1"/>
  <c r="P90" i="40"/>
  <c r="Y90" i="40" s="1"/>
  <c r="O87" i="40"/>
  <c r="X87" i="40" s="1"/>
  <c r="O90" i="40"/>
  <c r="X90" i="40" s="1"/>
  <c r="P88" i="40"/>
  <c r="Y88" i="40" s="1"/>
  <c r="O88" i="40"/>
  <c r="X88" i="40" s="1"/>
  <c r="O84" i="40"/>
  <c r="X84" i="40" s="1"/>
  <c r="O103" i="40"/>
  <c r="X103" i="40" s="1"/>
  <c r="P92" i="40"/>
  <c r="Y92" i="40" s="1"/>
  <c r="P100" i="40"/>
  <c r="Y100" i="40" s="1"/>
  <c r="O95" i="40"/>
  <c r="X95" i="40" s="1"/>
  <c r="O86" i="40"/>
  <c r="X86" i="40" s="1"/>
  <c r="O82" i="40"/>
  <c r="X82" i="40" s="1"/>
  <c r="P78" i="40"/>
  <c r="Y78" i="40" s="1"/>
  <c r="P71" i="40"/>
  <c r="Y71" i="40" s="1"/>
  <c r="P67" i="40"/>
  <c r="Y67" i="40" s="1"/>
  <c r="O78" i="40"/>
  <c r="X78" i="40" s="1"/>
  <c r="O71" i="40"/>
  <c r="X71" i="40" s="1"/>
  <c r="O67" i="40"/>
  <c r="X67" i="40" s="1"/>
  <c r="O99" i="40"/>
  <c r="X99" i="40" s="1"/>
  <c r="P72" i="40"/>
  <c r="Y72" i="40" s="1"/>
  <c r="P68" i="40"/>
  <c r="Y68" i="40" s="1"/>
  <c r="O75" i="40"/>
  <c r="X75" i="40" s="1"/>
  <c r="P82" i="40"/>
  <c r="Y82" i="40" s="1"/>
  <c r="O73" i="40"/>
  <c r="X73" i="40" s="1"/>
  <c r="O69" i="40"/>
  <c r="X69" i="40" s="1"/>
  <c r="O65" i="40"/>
  <c r="X65" i="40" s="1"/>
  <c r="O74" i="40"/>
  <c r="X74" i="40" s="1"/>
  <c r="P56" i="40"/>
  <c r="Y56" i="40" s="1"/>
  <c r="P48" i="40"/>
  <c r="Y48" i="40" s="1"/>
  <c r="P44" i="40"/>
  <c r="Y44" i="40" s="1"/>
  <c r="O79" i="40"/>
  <c r="X79" i="40" s="1"/>
  <c r="P86" i="40"/>
  <c r="Y86" i="40" s="1"/>
  <c r="P74" i="40"/>
  <c r="Y74" i="40" s="1"/>
  <c r="O57" i="40"/>
  <c r="X57" i="40" s="1"/>
  <c r="O53" i="40"/>
  <c r="X53" i="40" s="1"/>
  <c r="O49" i="40"/>
  <c r="X49" i="40" s="1"/>
  <c r="P66" i="40"/>
  <c r="Y66" i="40" s="1"/>
  <c r="P58" i="40"/>
  <c r="Y58" i="40" s="1"/>
  <c r="P54" i="40"/>
  <c r="Y54" i="40" s="1"/>
  <c r="P46" i="40"/>
  <c r="Y46" i="40" s="1"/>
  <c r="P62" i="40"/>
  <c r="Y62" i="40" s="1"/>
  <c r="P59" i="40"/>
  <c r="Y59" i="40" s="1"/>
  <c r="P51" i="40"/>
  <c r="Y51" i="40" s="1"/>
  <c r="P47" i="40"/>
  <c r="Y47" i="40" s="1"/>
  <c r="O48" i="40"/>
  <c r="X48" i="40" s="1"/>
  <c r="P41" i="40"/>
  <c r="Y41" i="40" s="1"/>
  <c r="P37" i="40"/>
  <c r="Y37" i="40" s="1"/>
  <c r="P33" i="40"/>
  <c r="Y33" i="40" s="1"/>
  <c r="O56" i="40"/>
  <c r="X56" i="40" s="1"/>
  <c r="O45" i="40"/>
  <c r="X45" i="40" s="1"/>
  <c r="O44" i="40"/>
  <c r="X44" i="40" s="1"/>
  <c r="O51" i="40"/>
  <c r="X51" i="40" s="1"/>
  <c r="P42" i="40"/>
  <c r="Y42" i="40" s="1"/>
  <c r="P38" i="40"/>
  <c r="Y38" i="40" s="1"/>
  <c r="P34" i="40"/>
  <c r="Y34" i="40" s="1"/>
  <c r="O59" i="40"/>
  <c r="X59" i="40" s="1"/>
  <c r="O42" i="40"/>
  <c r="X42" i="40" s="1"/>
  <c r="O34" i="40"/>
  <c r="X34" i="40" s="1"/>
  <c r="O30" i="40"/>
  <c r="X30" i="40" s="1"/>
  <c r="P43" i="40"/>
  <c r="Y43" i="40" s="1"/>
  <c r="P39" i="40"/>
  <c r="Y39" i="40" s="1"/>
  <c r="P35" i="40"/>
  <c r="Y35" i="40" s="1"/>
  <c r="P31" i="40"/>
  <c r="Y31" i="40" s="1"/>
  <c r="P36" i="40"/>
  <c r="Y36" i="40" s="1"/>
  <c r="P32" i="40"/>
  <c r="Y32" i="40" s="1"/>
  <c r="P15" i="40"/>
  <c r="P19" i="40"/>
  <c r="P23" i="40"/>
  <c r="Y23" i="40" s="1"/>
  <c r="K46" i="40" a="1"/>
  <c r="K46" i="40" s="1"/>
  <c r="O46" i="40" s="1"/>
  <c r="X46" i="40" s="1"/>
  <c r="K47" i="40" a="1"/>
  <c r="K47" i="40" s="1"/>
  <c r="O47" i="40" s="1"/>
  <c r="X47" i="40" s="1"/>
  <c r="L53" i="40" a="1"/>
  <c r="L53" i="40" s="1"/>
  <c r="P53" i="40" s="1"/>
  <c r="Y53" i="40" s="1"/>
  <c r="L57" i="40" a="1"/>
  <c r="L57" i="40" s="1"/>
  <c r="P57" i="40" s="1"/>
  <c r="Y57" i="40" s="1"/>
  <c r="L45" i="40" a="1"/>
  <c r="L45" i="40" s="1"/>
  <c r="P45" i="40" s="1"/>
  <c r="Y45" i="40" s="1"/>
  <c r="L61" i="40" a="1"/>
  <c r="L61" i="40" s="1"/>
  <c r="P61" i="40" s="1"/>
  <c r="Y61" i="40" s="1"/>
  <c r="K52" i="40" a="1"/>
  <c r="K52" i="40" s="1"/>
  <c r="O52" i="40" s="1"/>
  <c r="X52" i="40" s="1"/>
  <c r="L52" i="40" a="1"/>
  <c r="L52" i="40" s="1"/>
  <c r="P52" i="40" s="1"/>
  <c r="Y52" i="40" s="1"/>
  <c r="L60" i="40" a="1"/>
  <c r="L60" i="40" s="1"/>
  <c r="P60" i="40" s="1"/>
  <c r="Y60" i="40" s="1"/>
  <c r="K60" i="40" a="1"/>
  <c r="K60" i="40" s="1"/>
  <c r="O60" i="40" s="1"/>
  <c r="X60" i="40" s="1"/>
  <c r="K61" i="40" a="1"/>
  <c r="K61" i="40" s="1"/>
  <c r="O61" i="40" s="1"/>
  <c r="X61" i="40" s="1"/>
  <c r="L63" i="40" a="1"/>
  <c r="L63" i="40" s="1"/>
  <c r="P63" i="40" s="1"/>
  <c r="Y63" i="40" s="1"/>
  <c r="L64" i="40" a="1"/>
  <c r="L64" i="40" s="1"/>
  <c r="P64" i="40" s="1"/>
  <c r="Y64" i="40" s="1"/>
  <c r="K64" i="40" a="1"/>
  <c r="K64" i="40" s="1"/>
  <c r="O64" i="40" s="1"/>
  <c r="X64" i="40" s="1"/>
  <c r="K63" i="40" a="1"/>
  <c r="K63" i="40" s="1"/>
  <c r="O63" i="40" s="1"/>
  <c r="X63" i="40" s="1"/>
  <c r="K76" i="40" a="1"/>
  <c r="K76" i="40" s="1"/>
  <c r="O76" i="40" s="1"/>
  <c r="X76" i="40" s="1"/>
  <c r="L76" i="40" a="1"/>
  <c r="L76" i="40" s="1"/>
  <c r="P76" i="40" s="1"/>
  <c r="Y76" i="40" s="1"/>
  <c r="L77" i="40" a="1"/>
  <c r="L77" i="40" s="1"/>
  <c r="P77" i="40" s="1"/>
  <c r="Y77" i="40" s="1"/>
  <c r="K77" i="40" a="1"/>
  <c r="K77" i="40" s="1"/>
  <c r="O77" i="40" s="1"/>
  <c r="X77" i="40" s="1"/>
  <c r="L75" i="40" a="1"/>
  <c r="L75" i="40" s="1"/>
  <c r="P75" i="40" s="1"/>
  <c r="Y75" i="40" s="1"/>
  <c r="L104" i="40" a="1"/>
  <c r="L104" i="40" s="1"/>
  <c r="P104" i="40" s="1"/>
  <c r="Y104" i="40" s="1"/>
  <c r="K104" i="40" a="1"/>
  <c r="K104" i="40" s="1"/>
  <c r="O104" i="40" s="1"/>
  <c r="X104" i="40" s="1"/>
  <c r="L93" i="40" a="1"/>
  <c r="L93" i="40" s="1"/>
  <c r="P93" i="40" s="1"/>
  <c r="Y93" i="40" s="1"/>
  <c r="K93" i="40" a="1"/>
  <c r="K93" i="40" s="1"/>
  <c r="O93" i="40" s="1"/>
  <c r="X93" i="40" s="1"/>
  <c r="L97" i="40" a="1"/>
  <c r="L97" i="40" s="1"/>
  <c r="P97" i="40" s="1"/>
  <c r="Y97" i="40" s="1"/>
  <c r="K97" i="40" a="1"/>
  <c r="K97" i="40" s="1"/>
  <c r="O97" i="40" s="1"/>
  <c r="X97" i="40" s="1"/>
  <c r="L106" i="40" a="1"/>
  <c r="L106" i="40" s="1"/>
  <c r="P106" i="40" s="1"/>
  <c r="K106" i="40" a="1"/>
  <c r="K106" i="40" s="1"/>
  <c r="O106" i="40" s="1"/>
  <c r="L65" i="40" a="1"/>
  <c r="L65" i="40" s="1"/>
  <c r="P65" i="40" s="1"/>
  <c r="Y65" i="40" s="1"/>
  <c r="K68" i="40" a="1"/>
  <c r="K68" i="40" s="1"/>
  <c r="O68" i="40" s="1"/>
  <c r="X68" i="40" s="1"/>
  <c r="L69" i="40" a="1"/>
  <c r="L69" i="40" s="1"/>
  <c r="P69" i="40" s="1"/>
  <c r="Y69" i="40" s="1"/>
  <c r="K72" i="40" a="1"/>
  <c r="K72" i="40" s="1"/>
  <c r="O72" i="40" s="1"/>
  <c r="X72" i="40" s="1"/>
  <c r="L73" i="40" a="1"/>
  <c r="L73" i="40" s="1"/>
  <c r="P73" i="40" s="1"/>
  <c r="Y73" i="40" s="1"/>
  <c r="K81" i="40" a="1"/>
  <c r="K81" i="40" s="1"/>
  <c r="O81" i="40" s="1"/>
  <c r="X81" i="40" s="1"/>
  <c r="K85" i="40" a="1"/>
  <c r="K85" i="40" s="1"/>
  <c r="O85" i="40" s="1"/>
  <c r="X85" i="40" s="1"/>
  <c r="K89" i="40" a="1"/>
  <c r="K89" i="40" s="1"/>
  <c r="O89" i="40" s="1"/>
  <c r="X89" i="40" s="1"/>
  <c r="L101" i="40" a="1"/>
  <c r="L101" i="40" s="1"/>
  <c r="P101" i="40" s="1"/>
  <c r="Y101" i="40" s="1"/>
  <c r="K101" i="40" a="1"/>
  <c r="K101" i="40" s="1"/>
  <c r="O101" i="40" s="1"/>
  <c r="X101" i="40" s="1"/>
  <c r="L110" i="40" a="1"/>
  <c r="L110" i="40" s="1"/>
  <c r="P110" i="40" s="1"/>
  <c r="Y110" i="40" s="1"/>
  <c r="K110" i="40" a="1"/>
  <c r="K110" i="40" s="1"/>
  <c r="O110" i="40" s="1"/>
  <c r="X110" i="40" s="1"/>
  <c r="L81" i="40" a="1"/>
  <c r="L81" i="40" s="1"/>
  <c r="P81" i="40" s="1"/>
  <c r="Y81" i="40" s="1"/>
  <c r="L85" i="40" a="1"/>
  <c r="L85" i="40" s="1"/>
  <c r="P85" i="40" s="1"/>
  <c r="Y85" i="40" s="1"/>
  <c r="L89" i="40" a="1"/>
  <c r="L89" i="40" s="1"/>
  <c r="P89" i="40" s="1"/>
  <c r="Y89" i="40" s="1"/>
  <c r="L105" i="40" a="1"/>
  <c r="L105" i="40" s="1"/>
  <c r="P105" i="40" s="1"/>
  <c r="Y105" i="40" s="1"/>
  <c r="K105" i="40" a="1"/>
  <c r="K105" i="40" s="1"/>
  <c r="O105" i="40" s="1"/>
  <c r="X105" i="40" s="1"/>
  <c r="L118" i="40" a="1"/>
  <c r="L118" i="40" s="1"/>
  <c r="P118" i="40" s="1"/>
  <c r="K118" i="40" a="1"/>
  <c r="K118" i="40" s="1"/>
  <c r="O118" i="40" s="1"/>
  <c r="L95" i="40" a="1"/>
  <c r="L95" i="40" s="1"/>
  <c r="P95" i="40" s="1"/>
  <c r="Y95" i="40" s="1"/>
  <c r="L99" i="40" a="1"/>
  <c r="L99" i="40" s="1"/>
  <c r="P99" i="40" s="1"/>
  <c r="Y99" i="40" s="1"/>
  <c r="L103" i="40" a="1"/>
  <c r="L103" i="40" s="1"/>
  <c r="P103" i="40" s="1"/>
  <c r="Y103" i="40" s="1"/>
  <c r="L122" i="40" a="1"/>
  <c r="L122" i="40" s="1"/>
  <c r="P122" i="40" s="1"/>
  <c r="K122" i="40" a="1"/>
  <c r="K122" i="40" s="1"/>
  <c r="O122" i="40" s="1"/>
  <c r="K109" i="40" a="1"/>
  <c r="K109" i="40" s="1"/>
  <c r="O109" i="40" s="1"/>
  <c r="X109" i="40" s="1"/>
  <c r="L114" i="40" a="1"/>
  <c r="L114" i="40" s="1"/>
  <c r="P114" i="40" s="1"/>
  <c r="Y114" i="40" s="1"/>
  <c r="K114" i="40" a="1"/>
  <c r="K114" i="40" s="1"/>
  <c r="O114" i="40" s="1"/>
  <c r="X114" i="40" s="1"/>
  <c r="L107" i="40" a="1"/>
  <c r="L107" i="40" s="1"/>
  <c r="P107" i="40" s="1"/>
  <c r="Y107" i="40" s="1"/>
  <c r="L111" i="40" a="1"/>
  <c r="L111" i="40" s="1"/>
  <c r="P111" i="40" s="1"/>
  <c r="Y111" i="40" s="1"/>
  <c r="L115" i="40" a="1"/>
  <c r="L115" i="40" s="1"/>
  <c r="P115" i="40" s="1"/>
  <c r="Y115" i="40" s="1"/>
  <c r="L119" i="40" a="1"/>
  <c r="L119" i="40" s="1"/>
  <c r="P119" i="40" s="1"/>
  <c r="L123" i="40" a="1"/>
  <c r="L123" i="40" s="1"/>
  <c r="P123" i="40" s="1"/>
  <c r="N6" i="39" a="1"/>
  <c r="N6" i="39" s="1"/>
  <c r="B6" i="39" a="1"/>
  <c r="B6" i="39" s="1"/>
  <c r="CJ14" i="39" s="1"/>
  <c r="B5" i="39" a="1"/>
  <c r="B5" i="39" s="1"/>
  <c r="CJ13" i="39" s="1"/>
  <c r="B4" i="39" a="1"/>
  <c r="B4" i="39" s="1"/>
  <c r="CJ12" i="39" s="1"/>
  <c r="P125" i="39"/>
  <c r="P121" i="39"/>
  <c r="P117" i="39"/>
  <c r="P110" i="39"/>
  <c r="P106" i="39"/>
  <c r="O118" i="39"/>
  <c r="O110" i="39"/>
  <c r="P123" i="39"/>
  <c r="P119" i="39"/>
  <c r="P115" i="39"/>
  <c r="P124" i="39"/>
  <c r="P120" i="39"/>
  <c r="P116" i="39"/>
  <c r="P112" i="39"/>
  <c r="O124" i="39"/>
  <c r="P113" i="39"/>
  <c r="P107" i="39"/>
  <c r="O106" i="39"/>
  <c r="O117" i="39"/>
  <c r="O113" i="39"/>
  <c r="O107" i="39"/>
  <c r="O121" i="39"/>
  <c r="O112" i="39"/>
  <c r="O94" i="39"/>
  <c r="O100" i="39"/>
  <c r="P96" i="39"/>
  <c r="O96" i="39"/>
  <c r="O85" i="39"/>
  <c r="P105" i="39"/>
  <c r="O99" i="39"/>
  <c r="O103" i="39"/>
  <c r="O90" i="39"/>
  <c r="P79" i="39"/>
  <c r="Y79" i="39" s="1"/>
  <c r="P76" i="39"/>
  <c r="Y76" i="39" s="1"/>
  <c r="P91" i="39"/>
  <c r="P88" i="39"/>
  <c r="O76" i="39"/>
  <c r="X76" i="39" s="1"/>
  <c r="P100" i="39"/>
  <c r="P94" i="39"/>
  <c r="P87" i="39"/>
  <c r="O87" i="39"/>
  <c r="O75" i="39"/>
  <c r="X75" i="39" s="1"/>
  <c r="O91" i="39"/>
  <c r="O77" i="39"/>
  <c r="X77" i="39" s="1"/>
  <c r="O65" i="39"/>
  <c r="X65" i="39" s="1"/>
  <c r="O81" i="39"/>
  <c r="P78" i="39"/>
  <c r="Y78" i="39" s="1"/>
  <c r="P66" i="39"/>
  <c r="Y66" i="39" s="1"/>
  <c r="P82" i="39"/>
  <c r="P71" i="39"/>
  <c r="Y71" i="39" s="1"/>
  <c r="P67" i="39"/>
  <c r="Y67" i="39" s="1"/>
  <c r="P63" i="39"/>
  <c r="Y63" i="39" s="1"/>
  <c r="P64" i="39"/>
  <c r="Y64" i="39" s="1"/>
  <c r="O71" i="39"/>
  <c r="X71" i="39" s="1"/>
  <c r="O64" i="39"/>
  <c r="X64" i="39" s="1"/>
  <c r="O78" i="39"/>
  <c r="X78" i="39" s="1"/>
  <c r="O74" i="39"/>
  <c r="X74" i="39" s="1"/>
  <c r="O70" i="39"/>
  <c r="X70" i="39" s="1"/>
  <c r="P61" i="39"/>
  <c r="Y61" i="39" s="1"/>
  <c r="P57" i="39"/>
  <c r="Y57" i="39" s="1"/>
  <c r="P53" i="39"/>
  <c r="Y53" i="39" s="1"/>
  <c r="P45" i="39"/>
  <c r="O61" i="39"/>
  <c r="X61" i="39" s="1"/>
  <c r="O57" i="39"/>
  <c r="X57" i="39" s="1"/>
  <c r="O53" i="39"/>
  <c r="X53" i="39" s="1"/>
  <c r="O49" i="39"/>
  <c r="X49" i="39" s="1"/>
  <c r="O67" i="39"/>
  <c r="X67" i="39" s="1"/>
  <c r="P50" i="39"/>
  <c r="Y50" i="39" s="1"/>
  <c r="P46" i="39"/>
  <c r="O59" i="39"/>
  <c r="X59" i="39" s="1"/>
  <c r="O55" i="39"/>
  <c r="X55" i="39" s="1"/>
  <c r="P60" i="39"/>
  <c r="Y60" i="39" s="1"/>
  <c r="P56" i="39"/>
  <c r="Y56" i="39" s="1"/>
  <c r="O48" i="39"/>
  <c r="P41" i="39"/>
  <c r="P37" i="39"/>
  <c r="O60" i="39"/>
  <c r="X60" i="39" s="1"/>
  <c r="P52" i="39"/>
  <c r="Y52" i="39" s="1"/>
  <c r="O41" i="39"/>
  <c r="O37" i="39"/>
  <c r="O52" i="39"/>
  <c r="X52" i="39" s="1"/>
  <c r="O44" i="39"/>
  <c r="X44" i="39" s="1"/>
  <c r="P38" i="39"/>
  <c r="P34" i="39"/>
  <c r="P30" i="39"/>
  <c r="P26" i="39"/>
  <c r="P22" i="39"/>
  <c r="P18" i="39"/>
  <c r="P68" i="39"/>
  <c r="Y68" i="39" s="1"/>
  <c r="P59" i="39"/>
  <c r="P55" i="39"/>
  <c r="Y55" i="39" s="1"/>
  <c r="O34" i="39"/>
  <c r="O30" i="39"/>
  <c r="O22" i="39"/>
  <c r="P72" i="39"/>
  <c r="Y72" i="39" s="1"/>
  <c r="O15" i="39"/>
  <c r="O51" i="39"/>
  <c r="X51" i="39" s="1"/>
  <c r="P33" i="39"/>
  <c r="P29" i="39"/>
  <c r="P25" i="39"/>
  <c r="P21" i="39"/>
  <c r="P17" i="39"/>
  <c r="P16" i="39"/>
  <c r="O33" i="39"/>
  <c r="O29" i="39"/>
  <c r="O25" i="39"/>
  <c r="O21" i="39"/>
  <c r="O17" i="39"/>
  <c r="P51" i="39"/>
  <c r="Y51" i="39" s="1"/>
  <c r="BR14" i="39"/>
  <c r="BV14" i="39" s="1"/>
  <c r="BD26" i="36"/>
  <c r="BH26" i="36" s="1"/>
  <c r="AN22" i="36"/>
  <c r="AR22" i="36" s="1"/>
  <c r="P20" i="38"/>
  <c r="Y20" i="38" s="1"/>
  <c r="L15" i="39" a="1"/>
  <c r="L15" i="39" s="1"/>
  <c r="P15" i="39" s="1"/>
  <c r="AS14" i="39"/>
  <c r="L19" i="39" a="1"/>
  <c r="L19" i="39" s="1"/>
  <c r="P19" i="39" s="1"/>
  <c r="K19" i="39" a="1"/>
  <c r="K19" i="39" s="1"/>
  <c r="O19" i="39" s="1"/>
  <c r="L23" i="39" a="1"/>
  <c r="L23" i="39" s="1"/>
  <c r="P23" i="39" s="1"/>
  <c r="K23" i="39" a="1"/>
  <c r="K23" i="39" s="1"/>
  <c r="O23" i="39" s="1"/>
  <c r="L27" i="39" a="1"/>
  <c r="L27" i="39" s="1"/>
  <c r="P27" i="39" s="1"/>
  <c r="K27" i="39" a="1"/>
  <c r="K27" i="39" s="1"/>
  <c r="O27" i="39" s="1"/>
  <c r="L31" i="39" a="1"/>
  <c r="L31" i="39" s="1"/>
  <c r="P31" i="39" s="1"/>
  <c r="K31" i="39" a="1"/>
  <c r="K31" i="39" s="1"/>
  <c r="O31" i="39" s="1"/>
  <c r="L35" i="39" a="1"/>
  <c r="L35" i="39" s="1"/>
  <c r="P35" i="39" s="1"/>
  <c r="K35" i="39" a="1"/>
  <c r="K35" i="39" s="1"/>
  <c r="O35" i="39" s="1"/>
  <c r="O25" i="38"/>
  <c r="X25" i="38" s="1"/>
  <c r="P46" i="37"/>
  <c r="Y46" i="37" s="1"/>
  <c r="O41" i="37"/>
  <c r="X41" i="37" s="1"/>
  <c r="K20" i="39" a="1"/>
  <c r="K20" i="39" s="1"/>
  <c r="O20" i="39" s="1"/>
  <c r="K24" i="39" a="1"/>
  <c r="K24" i="39" s="1"/>
  <c r="O24" i="39" s="1"/>
  <c r="K28" i="39" a="1"/>
  <c r="K28" i="39" s="1"/>
  <c r="O28" i="39" s="1"/>
  <c r="K32" i="39" a="1"/>
  <c r="K32" i="39" s="1"/>
  <c r="O32" i="39" s="1"/>
  <c r="K36" i="39" a="1"/>
  <c r="K36" i="39" s="1"/>
  <c r="O36" i="39" s="1"/>
  <c r="K40" i="39" a="1"/>
  <c r="K40" i="39" s="1"/>
  <c r="O40" i="39" s="1"/>
  <c r="L44" i="39" a="1"/>
  <c r="L44" i="39" s="1"/>
  <c r="P44" i="39" s="1"/>
  <c r="L49" i="39" a="1"/>
  <c r="L49" i="39" s="1"/>
  <c r="P49" i="39" s="1"/>
  <c r="L54" i="39" a="1"/>
  <c r="L54" i="39" s="1"/>
  <c r="P54" i="39" s="1"/>
  <c r="K54" i="39" a="1"/>
  <c r="K54" i="39" s="1"/>
  <c r="O54" i="39" s="1"/>
  <c r="X54" i="39" s="1"/>
  <c r="L58" i="39" a="1"/>
  <c r="L58" i="39" s="1"/>
  <c r="P58" i="39" s="1"/>
  <c r="Y58" i="39" s="1"/>
  <c r="K58" i="39" a="1"/>
  <c r="K58" i="39" s="1"/>
  <c r="O58" i="39" s="1"/>
  <c r="X58" i="39" s="1"/>
  <c r="L20" i="39" a="1"/>
  <c r="L20" i="39" s="1"/>
  <c r="P20" i="39" s="1"/>
  <c r="L24" i="39" a="1"/>
  <c r="L24" i="39" s="1"/>
  <c r="P24" i="39" s="1"/>
  <c r="L28" i="39" a="1"/>
  <c r="L28" i="39" s="1"/>
  <c r="P28" i="39" s="1"/>
  <c r="L32" i="39" a="1"/>
  <c r="L32" i="39" s="1"/>
  <c r="P32" i="39" s="1"/>
  <c r="L36" i="39" a="1"/>
  <c r="L36" i="39" s="1"/>
  <c r="P36" i="39" s="1"/>
  <c r="K39" i="39" a="1"/>
  <c r="K39" i="39" s="1"/>
  <c r="O39" i="39" s="1"/>
  <c r="L40" i="39" a="1"/>
  <c r="L40" i="39" s="1"/>
  <c r="P40" i="39" s="1"/>
  <c r="K42" i="39" a="1"/>
  <c r="K42" i="39" s="1"/>
  <c r="O42" i="39" s="1"/>
  <c r="L73" i="39" a="1"/>
  <c r="L73" i="39" s="1"/>
  <c r="P73" i="39" s="1"/>
  <c r="Y73" i="39" s="1"/>
  <c r="K73" i="39" a="1"/>
  <c r="K73" i="39" s="1"/>
  <c r="O73" i="39" s="1"/>
  <c r="X73" i="39" s="1"/>
  <c r="K43" i="39" a="1"/>
  <c r="K43" i="39" s="1"/>
  <c r="O43" i="39" s="1"/>
  <c r="K47" i="39" a="1"/>
  <c r="K47" i="39" s="1"/>
  <c r="O47" i="39" s="1"/>
  <c r="X47" i="39" s="1"/>
  <c r="L48" i="39" a="1"/>
  <c r="L48" i="39" s="1"/>
  <c r="P48" i="39" s="1"/>
  <c r="Y48" i="39" s="1"/>
  <c r="K50" i="39" a="1"/>
  <c r="K50" i="39" s="1"/>
  <c r="O50" i="39" s="1"/>
  <c r="X50" i="39" s="1"/>
  <c r="L39" i="39" a="1"/>
  <c r="L39" i="39" s="1"/>
  <c r="P39" i="39" s="1"/>
  <c r="L42" i="39" a="1"/>
  <c r="L42" i="39" s="1"/>
  <c r="P42" i="39" s="1"/>
  <c r="L69" i="39" a="1"/>
  <c r="L69" i="39" s="1"/>
  <c r="P69" i="39" s="1"/>
  <c r="Y69" i="39" s="1"/>
  <c r="K69" i="39" a="1"/>
  <c r="K69" i="39" s="1"/>
  <c r="O69" i="39" s="1"/>
  <c r="X69" i="39" s="1"/>
  <c r="L43" i="39" a="1"/>
  <c r="L43" i="39" s="1"/>
  <c r="P43" i="39" s="1"/>
  <c r="L47" i="39" a="1"/>
  <c r="L47" i="39" s="1"/>
  <c r="P47" i="39" s="1"/>
  <c r="K62" i="39" a="1"/>
  <c r="K62" i="39" s="1"/>
  <c r="O62" i="39" s="1"/>
  <c r="X62" i="39" s="1"/>
  <c r="K72" i="39" a="1"/>
  <c r="K72" i="39" s="1"/>
  <c r="O72" i="39" s="1"/>
  <c r="X72" i="39" s="1"/>
  <c r="K66" i="39" a="1"/>
  <c r="K66" i="39" s="1"/>
  <c r="O66" i="39" s="1"/>
  <c r="X66" i="39" s="1"/>
  <c r="K83" i="39" a="1"/>
  <c r="K83" i="39" s="1"/>
  <c r="O83" i="39" s="1"/>
  <c r="L83" i="39" a="1"/>
  <c r="L83" i="39" s="1"/>
  <c r="P83" i="39" s="1"/>
  <c r="L62" i="39" a="1"/>
  <c r="L62" i="39" s="1"/>
  <c r="P62" i="39" s="1"/>
  <c r="Y62" i="39" s="1"/>
  <c r="K68" i="39" a="1"/>
  <c r="K68" i="39" s="1"/>
  <c r="O68" i="39" s="1"/>
  <c r="X68" i="39" s="1"/>
  <c r="L75" i="39" a="1"/>
  <c r="L75" i="39" s="1"/>
  <c r="P75" i="39" s="1"/>
  <c r="Y75" i="39" s="1"/>
  <c r="K97" i="39" a="1"/>
  <c r="K97" i="39" s="1"/>
  <c r="O97" i="39" s="1"/>
  <c r="L97" i="39" a="1"/>
  <c r="L97" i="39" s="1"/>
  <c r="P97" i="39" s="1"/>
  <c r="L84" i="39" a="1"/>
  <c r="L84" i="39" s="1"/>
  <c r="P84" i="39" s="1"/>
  <c r="K84" i="39" a="1"/>
  <c r="K84" i="39" s="1"/>
  <c r="O84" i="39" s="1"/>
  <c r="K88" i="39" a="1"/>
  <c r="K88" i="39" s="1"/>
  <c r="O88" i="39" s="1"/>
  <c r="L70" i="39" a="1"/>
  <c r="L70" i="39" s="1"/>
  <c r="P70" i="39" s="1"/>
  <c r="Y70" i="39" s="1"/>
  <c r="L74" i="39" a="1"/>
  <c r="L74" i="39" s="1"/>
  <c r="P74" i="39" s="1"/>
  <c r="Y74" i="39" s="1"/>
  <c r="K79" i="39" a="1"/>
  <c r="K79" i="39" s="1"/>
  <c r="O79" i="39" s="1"/>
  <c r="X79" i="39" s="1"/>
  <c r="L80" i="39" a="1"/>
  <c r="L80" i="39" s="1"/>
  <c r="P80" i="39" s="1"/>
  <c r="K80" i="39" a="1"/>
  <c r="K80" i="39" s="1"/>
  <c r="O80" i="39" s="1"/>
  <c r="X80" i="39" s="1"/>
  <c r="L86" i="39" a="1"/>
  <c r="L86" i="39" s="1"/>
  <c r="P86" i="39" s="1"/>
  <c r="K86" i="39" a="1"/>
  <c r="K86" i="39" s="1"/>
  <c r="O86" i="39" s="1"/>
  <c r="L89" i="39" a="1"/>
  <c r="L89" i="39" s="1"/>
  <c r="P89" i="39" s="1"/>
  <c r="K89" i="39" a="1"/>
  <c r="K89" i="39" s="1"/>
  <c r="O89" i="39" s="1"/>
  <c r="L95" i="39" a="1"/>
  <c r="L95" i="39" s="1"/>
  <c r="P95" i="39" s="1"/>
  <c r="K95" i="39" a="1"/>
  <c r="K95" i="39" s="1"/>
  <c r="O95" i="39" s="1"/>
  <c r="K92" i="39" a="1"/>
  <c r="K92" i="39" s="1"/>
  <c r="O92" i="39" s="1"/>
  <c r="L108" i="39" a="1"/>
  <c r="L108" i="39" s="1"/>
  <c r="P108" i="39" s="1"/>
  <c r="K108" i="39" a="1"/>
  <c r="K108" i="39" s="1"/>
  <c r="O108" i="39" s="1"/>
  <c r="L77" i="39" a="1"/>
  <c r="L77" i="39" s="1"/>
  <c r="P77" i="39" s="1"/>
  <c r="Y77" i="39" s="1"/>
  <c r="L81" i="39" a="1"/>
  <c r="L81" i="39" s="1"/>
  <c r="P81" i="39" s="1"/>
  <c r="L93" i="39" a="1"/>
  <c r="L93" i="39" s="1"/>
  <c r="P93" i="39" s="1"/>
  <c r="K93" i="39" a="1"/>
  <c r="K93" i="39" s="1"/>
  <c r="O93" i="39" s="1"/>
  <c r="K104" i="39" a="1"/>
  <c r="K104" i="39" s="1"/>
  <c r="O104" i="39" s="1"/>
  <c r="L104" i="39" a="1"/>
  <c r="L104" i="39" s="1"/>
  <c r="P104" i="39" s="1"/>
  <c r="K101" i="39" a="1"/>
  <c r="K101" i="39" s="1"/>
  <c r="O101" i="39" s="1"/>
  <c r="L101" i="39" a="1"/>
  <c r="L101" i="39" s="1"/>
  <c r="P101" i="39" s="1"/>
  <c r="L109" i="39" a="1"/>
  <c r="L109" i="39" s="1"/>
  <c r="P109" i="39" s="1"/>
  <c r="K109" i="39" a="1"/>
  <c r="K109" i="39" s="1"/>
  <c r="O109" i="39" s="1"/>
  <c r="L92" i="39" a="1"/>
  <c r="L92" i="39" s="1"/>
  <c r="P92" i="39" s="1"/>
  <c r="L111" i="39" a="1"/>
  <c r="L111" i="39" s="1"/>
  <c r="P111" i="39" s="1"/>
  <c r="K111" i="39" a="1"/>
  <c r="K111" i="39" s="1"/>
  <c r="O111" i="39" s="1"/>
  <c r="K105" i="39" a="1"/>
  <c r="K105" i="39" s="1"/>
  <c r="O105" i="39" s="1"/>
  <c r="K114" i="39" a="1"/>
  <c r="K114" i="39" s="1"/>
  <c r="O114" i="39" s="1"/>
  <c r="L114" i="39" a="1"/>
  <c r="L114" i="39" s="1"/>
  <c r="P114" i="39" s="1"/>
  <c r="L98" i="39" a="1"/>
  <c r="L98" i="39" s="1"/>
  <c r="P98" i="39" s="1"/>
  <c r="K98" i="39" a="1"/>
  <c r="K98" i="39" s="1"/>
  <c r="O98" i="39" s="1"/>
  <c r="L90" i="39" a="1"/>
  <c r="L90" i="39" s="1"/>
  <c r="P90" i="39" s="1"/>
  <c r="L102" i="39" a="1"/>
  <c r="L102" i="39" s="1"/>
  <c r="P102" i="39" s="1"/>
  <c r="K102" i="39" a="1"/>
  <c r="K102" i="39" s="1"/>
  <c r="O102" i="39" s="1"/>
  <c r="K122" i="39" a="1"/>
  <c r="K122" i="39" s="1"/>
  <c r="O122" i="39" s="1"/>
  <c r="L122" i="39" a="1"/>
  <c r="L122" i="39" s="1"/>
  <c r="P122" i="39" s="1"/>
  <c r="L99" i="39" a="1"/>
  <c r="L99" i="39" s="1"/>
  <c r="P99" i="39" s="1"/>
  <c r="L103" i="39" a="1"/>
  <c r="L103" i="39" s="1"/>
  <c r="P103" i="39" s="1"/>
  <c r="K119" i="39" a="1"/>
  <c r="K119" i="39" s="1"/>
  <c r="O119" i="39" s="1"/>
  <c r="K115" i="39" a="1"/>
  <c r="K115" i="39" s="1"/>
  <c r="O115" i="39" s="1"/>
  <c r="L17" i="38" a="1"/>
  <c r="L17" i="38" s="1"/>
  <c r="P17" i="38" s="1"/>
  <c r="Y17" i="38" s="1"/>
  <c r="K17" i="38" a="1"/>
  <c r="K17" i="38" s="1"/>
  <c r="O17" i="38" s="1"/>
  <c r="X17" i="38" s="1"/>
  <c r="AO20" i="36"/>
  <c r="AS20" i="36" s="1"/>
  <c r="O38" i="37"/>
  <c r="X38" i="37" s="1"/>
  <c r="B4" i="38" a="1"/>
  <c r="B4" i="38" s="1"/>
  <c r="CJ12" i="38" s="1"/>
  <c r="B5" i="38" a="1"/>
  <c r="B5" i="38" s="1"/>
  <c r="CJ13" i="38" s="1"/>
  <c r="B6" i="38" a="1"/>
  <c r="B6" i="38" s="1"/>
  <c r="CJ14" i="38" s="1"/>
  <c r="K15" i="38" a="1"/>
  <c r="K15" i="38" s="1"/>
  <c r="O15" i="38" s="1"/>
  <c r="L19" i="38" a="1"/>
  <c r="L19" i="38" s="1"/>
  <c r="P19" i="38" s="1"/>
  <c r="Y19" i="38" s="1"/>
  <c r="K21" i="38" a="1"/>
  <c r="K21" i="38" s="1"/>
  <c r="O21" i="38" s="1"/>
  <c r="X21" i="38" s="1"/>
  <c r="P30" i="38"/>
  <c r="Y30" i="38" s="1"/>
  <c r="AN19" i="36"/>
  <c r="AR19" i="36" s="1"/>
  <c r="AN23" i="36"/>
  <c r="AR23" i="36" s="1"/>
  <c r="BC14" i="38"/>
  <c r="BG14" i="38" s="1"/>
  <c r="P16" i="38"/>
  <c r="Y16" i="38" s="1"/>
  <c r="Y15" i="38" s="1"/>
  <c r="P26" i="38"/>
  <c r="Y26" i="38" s="1"/>
  <c r="L27" i="38" a="1"/>
  <c r="L27" i="38" s="1"/>
  <c r="P27" i="38" s="1"/>
  <c r="Y27" i="38" s="1"/>
  <c r="K27" i="38" a="1"/>
  <c r="K27" i="38" s="1"/>
  <c r="O27" i="38" s="1"/>
  <c r="X27" i="38" s="1"/>
  <c r="P22" i="38"/>
  <c r="Y22" i="38" s="1"/>
  <c r="L23" i="38" a="1"/>
  <c r="L23" i="38" s="1"/>
  <c r="P23" i="38" s="1"/>
  <c r="Y23" i="38" s="1"/>
  <c r="K23" i="38" a="1"/>
  <c r="K23" i="38" s="1"/>
  <c r="O23" i="38" s="1"/>
  <c r="X23" i="38" s="1"/>
  <c r="L15" i="38" a="1"/>
  <c r="L15" i="38" s="1"/>
  <c r="P15" i="38" s="1"/>
  <c r="L21" i="38" a="1"/>
  <c r="L21" i="38" s="1"/>
  <c r="P21" i="38" s="1"/>
  <c r="Y21" i="38" s="1"/>
  <c r="P58" i="37"/>
  <c r="Y58" i="37" s="1"/>
  <c r="BD14" i="38"/>
  <c r="BH14" i="38" s="1"/>
  <c r="L47" i="38" a="1"/>
  <c r="L47" i="38" s="1"/>
  <c r="P47" i="38" s="1"/>
  <c r="Y47" i="38" s="1"/>
  <c r="K47" i="38" a="1"/>
  <c r="K47" i="38" s="1"/>
  <c r="O47" i="38" s="1"/>
  <c r="X47" i="38" s="1"/>
  <c r="P125" i="38"/>
  <c r="P121" i="38"/>
  <c r="P117" i="38"/>
  <c r="P113" i="38"/>
  <c r="Y113" i="38" s="1"/>
  <c r="O121" i="38"/>
  <c r="P104" i="38"/>
  <c r="Y104" i="38" s="1"/>
  <c r="O103" i="38"/>
  <c r="X103" i="38" s="1"/>
  <c r="O120" i="38"/>
  <c r="O110" i="38"/>
  <c r="X110" i="38" s="1"/>
  <c r="P100" i="38"/>
  <c r="Y100" i="38" s="1"/>
  <c r="P97" i="38"/>
  <c r="Y97" i="38" s="1"/>
  <c r="P93" i="38"/>
  <c r="Y93" i="38" s="1"/>
  <c r="O104" i="38"/>
  <c r="X104" i="38" s="1"/>
  <c r="O93" i="38"/>
  <c r="X93" i="38" s="1"/>
  <c r="O124" i="38"/>
  <c r="O116" i="38"/>
  <c r="O113" i="38"/>
  <c r="X113" i="38" s="1"/>
  <c r="P103" i="38"/>
  <c r="Y103" i="38" s="1"/>
  <c r="P99" i="38"/>
  <c r="Y99" i="38" s="1"/>
  <c r="P95" i="38"/>
  <c r="Y95" i="38" s="1"/>
  <c r="O102" i="38"/>
  <c r="X102" i="38" s="1"/>
  <c r="P98" i="38"/>
  <c r="Y98" i="38" s="1"/>
  <c r="O112" i="38"/>
  <c r="X112" i="38" s="1"/>
  <c r="O79" i="38"/>
  <c r="X79" i="38" s="1"/>
  <c r="O92" i="38"/>
  <c r="X92" i="38" s="1"/>
  <c r="O84" i="38"/>
  <c r="X84" i="38" s="1"/>
  <c r="P78" i="38"/>
  <c r="Y78" i="38" s="1"/>
  <c r="P74" i="38"/>
  <c r="Y74" i="38" s="1"/>
  <c r="P90" i="38"/>
  <c r="Y90" i="38" s="1"/>
  <c r="P82" i="38"/>
  <c r="Y82" i="38" s="1"/>
  <c r="O74" i="38"/>
  <c r="X74" i="38" s="1"/>
  <c r="O88" i="38"/>
  <c r="X88" i="38" s="1"/>
  <c r="O95" i="38"/>
  <c r="X95" i="38" s="1"/>
  <c r="P94" i="38"/>
  <c r="Y94" i="38" s="1"/>
  <c r="O89" i="38"/>
  <c r="X89" i="38" s="1"/>
  <c r="O67" i="38"/>
  <c r="X67" i="38" s="1"/>
  <c r="O99" i="38"/>
  <c r="X99" i="38" s="1"/>
  <c r="O85" i="38"/>
  <c r="X85" i="38" s="1"/>
  <c r="P59" i="38"/>
  <c r="Y59" i="38" s="1"/>
  <c r="O68" i="38"/>
  <c r="X68" i="38" s="1"/>
  <c r="P65" i="38"/>
  <c r="Y65" i="38" s="1"/>
  <c r="P44" i="38"/>
  <c r="Y44" i="38" s="1"/>
  <c r="P89" i="38"/>
  <c r="Y89" i="38" s="1"/>
  <c r="P67" i="38"/>
  <c r="Y67" i="38" s="1"/>
  <c r="O48" i="38"/>
  <c r="X48" i="38" s="1"/>
  <c r="O44" i="38"/>
  <c r="X44" i="38" s="1"/>
  <c r="O40" i="38"/>
  <c r="X40" i="38" s="1"/>
  <c r="P69" i="38"/>
  <c r="Y69" i="38" s="1"/>
  <c r="P73" i="38"/>
  <c r="Y73" i="38" s="1"/>
  <c r="O69" i="38"/>
  <c r="X69" i="38" s="1"/>
  <c r="P63" i="38"/>
  <c r="Y63" i="38" s="1"/>
  <c r="P58" i="38"/>
  <c r="Y58" i="38" s="1"/>
  <c r="P54" i="38"/>
  <c r="Y54" i="38" s="1"/>
  <c r="P50" i="38"/>
  <c r="Y50" i="38" s="1"/>
  <c r="P46" i="38"/>
  <c r="Y46" i="38" s="1"/>
  <c r="P42" i="38"/>
  <c r="Y42" i="38" s="1"/>
  <c r="P38" i="38"/>
  <c r="Y38" i="38" s="1"/>
  <c r="O58" i="38"/>
  <c r="X58" i="38" s="1"/>
  <c r="O46" i="38"/>
  <c r="X46" i="38" s="1"/>
  <c r="O29" i="38"/>
  <c r="X29" i="38" s="1"/>
  <c r="O57" i="38"/>
  <c r="X57" i="38" s="1"/>
  <c r="P45" i="38"/>
  <c r="Y45" i="38" s="1"/>
  <c r="O43" i="38"/>
  <c r="X43" i="38" s="1"/>
  <c r="O36" i="38"/>
  <c r="X36" i="38" s="1"/>
  <c r="O53" i="38"/>
  <c r="X53" i="38" s="1"/>
  <c r="P51" i="38"/>
  <c r="Y51" i="38" s="1"/>
  <c r="O45" i="38"/>
  <c r="X45" i="38" s="1"/>
  <c r="O37" i="38"/>
  <c r="X37" i="38" s="1"/>
  <c r="O30" i="38"/>
  <c r="X30" i="38" s="1"/>
  <c r="O26" i="38"/>
  <c r="X26" i="38" s="1"/>
  <c r="O22" i="38"/>
  <c r="X22" i="38" s="1"/>
  <c r="O18" i="38"/>
  <c r="X18" i="38" s="1"/>
  <c r="O51" i="38"/>
  <c r="X51" i="38" s="1"/>
  <c r="O42" i="38"/>
  <c r="X42" i="38" s="1"/>
  <c r="P39" i="38"/>
  <c r="Y39" i="38" s="1"/>
  <c r="P33" i="38"/>
  <c r="Y33" i="38" s="1"/>
  <c r="O32" i="38"/>
  <c r="X32" i="38" s="1"/>
  <c r="P41" i="38"/>
  <c r="Y41" i="38" s="1"/>
  <c r="O39" i="38"/>
  <c r="X39" i="38" s="1"/>
  <c r="O33" i="38"/>
  <c r="X33" i="38" s="1"/>
  <c r="O61" i="38"/>
  <c r="X61" i="38" s="1"/>
  <c r="O54" i="38"/>
  <c r="X54" i="38" s="1"/>
  <c r="O50" i="38"/>
  <c r="X50" i="38" s="1"/>
  <c r="O41" i="38"/>
  <c r="X41" i="38" s="1"/>
  <c r="P49" i="38"/>
  <c r="Y49" i="38" s="1"/>
  <c r="O38" i="38"/>
  <c r="X38" i="38" s="1"/>
  <c r="O16" i="38"/>
  <c r="X16" i="38" s="1"/>
  <c r="X15" i="38" s="1"/>
  <c r="L32" i="38" a="1"/>
  <c r="L32" i="38" s="1"/>
  <c r="P32" i="38" s="1"/>
  <c r="Y32" i="38" s="1"/>
  <c r="K20" i="38" a="1"/>
  <c r="K20" i="38" s="1"/>
  <c r="O20" i="38" s="1"/>
  <c r="X20" i="38" s="1"/>
  <c r="K24" i="38" a="1"/>
  <c r="K24" i="38" s="1"/>
  <c r="O24" i="38" s="1"/>
  <c r="X24" i="38" s="1"/>
  <c r="L25" i="38" a="1"/>
  <c r="L25" i="38" s="1"/>
  <c r="P25" i="38" s="1"/>
  <c r="Y25" i="38" s="1"/>
  <c r="K28" i="38" a="1"/>
  <c r="K28" i="38" s="1"/>
  <c r="O28" i="38" s="1"/>
  <c r="X28" i="38" s="1"/>
  <c r="L29" i="38" a="1"/>
  <c r="L29" i="38" s="1"/>
  <c r="P29" i="38" s="1"/>
  <c r="Y29" i="38" s="1"/>
  <c r="L36" i="38" a="1"/>
  <c r="L36" i="38" s="1"/>
  <c r="P36" i="38" s="1"/>
  <c r="Y36" i="38" s="1"/>
  <c r="L37" i="38" a="1"/>
  <c r="L37" i="38" s="1"/>
  <c r="P37" i="38" s="1"/>
  <c r="Y37" i="38" s="1"/>
  <c r="K35" i="38" a="1"/>
  <c r="K35" i="38" s="1"/>
  <c r="O35" i="38" s="1"/>
  <c r="X35" i="38" s="1"/>
  <c r="L40" i="38" a="1"/>
  <c r="L40" i="38" s="1"/>
  <c r="P40" i="38" s="1"/>
  <c r="Y40" i="38" s="1"/>
  <c r="K55" i="38" a="1"/>
  <c r="K55" i="38" s="1"/>
  <c r="O55" i="38" s="1"/>
  <c r="X55" i="38" s="1"/>
  <c r="L56" i="38" a="1"/>
  <c r="L56" i="38" s="1"/>
  <c r="P56" i="38" s="1"/>
  <c r="Y56" i="38" s="1"/>
  <c r="K56" i="38" a="1"/>
  <c r="K56" i="38" s="1"/>
  <c r="O56" i="38" s="1"/>
  <c r="X56" i="38" s="1"/>
  <c r="K59" i="38" a="1"/>
  <c r="K59" i="38" s="1"/>
  <c r="O59" i="38" s="1"/>
  <c r="X59" i="38" s="1"/>
  <c r="K62" i="38" a="1"/>
  <c r="K62" i="38" s="1"/>
  <c r="O62" i="38" s="1"/>
  <c r="X62" i="38" s="1"/>
  <c r="K31" i="38" a="1"/>
  <c r="K31" i="38" s="1"/>
  <c r="O31" i="38" s="1"/>
  <c r="X31" i="38" s="1"/>
  <c r="K34" i="38" a="1"/>
  <c r="K34" i="38" s="1"/>
  <c r="O34" i="38" s="1"/>
  <c r="X34" i="38" s="1"/>
  <c r="K49" i="38" a="1"/>
  <c r="K49" i="38" s="1"/>
  <c r="O49" i="38" s="1"/>
  <c r="X49" i="38" s="1"/>
  <c r="L34" i="38" a="1"/>
  <c r="L34" i="38" s="1"/>
  <c r="P34" i="38" s="1"/>
  <c r="Y34" i="38" s="1"/>
  <c r="L35" i="38" a="1"/>
  <c r="L35" i="38" s="1"/>
  <c r="P35" i="38" s="1"/>
  <c r="Y35" i="38" s="1"/>
  <c r="L60" i="38" a="1"/>
  <c r="L60" i="38" s="1"/>
  <c r="P60" i="38" s="1"/>
  <c r="Y60" i="38" s="1"/>
  <c r="K60" i="38" a="1"/>
  <c r="K60" i="38" s="1"/>
  <c r="O60" i="38" s="1"/>
  <c r="X60" i="38" s="1"/>
  <c r="L31" i="38" a="1"/>
  <c r="L31" i="38" s="1"/>
  <c r="P31" i="38" s="1"/>
  <c r="Y31" i="38" s="1"/>
  <c r="L75" i="38" a="1"/>
  <c r="L75" i="38" s="1"/>
  <c r="P75" i="38" s="1"/>
  <c r="Y75" i="38" s="1"/>
  <c r="K75" i="38" a="1"/>
  <c r="K75" i="38" s="1"/>
  <c r="O75" i="38" s="1"/>
  <c r="X75" i="38" s="1"/>
  <c r="L52" i="38" a="1"/>
  <c r="L52" i="38" s="1"/>
  <c r="P52" i="38" s="1"/>
  <c r="Y52" i="38" s="1"/>
  <c r="K52" i="38" a="1"/>
  <c r="K52" i="38" s="1"/>
  <c r="O52" i="38" s="1"/>
  <c r="X52" i="38" s="1"/>
  <c r="L62" i="38" a="1"/>
  <c r="L62" i="38" s="1"/>
  <c r="P62" i="38" s="1"/>
  <c r="Y62" i="38" s="1"/>
  <c r="L55" i="38" a="1"/>
  <c r="L55" i="38" s="1"/>
  <c r="P55" i="38" s="1"/>
  <c r="Y55" i="38" s="1"/>
  <c r="K63" i="38" a="1"/>
  <c r="K63" i="38" s="1"/>
  <c r="O63" i="38" s="1"/>
  <c r="X63" i="38" s="1"/>
  <c r="K66" i="38" a="1"/>
  <c r="K66" i="38" s="1"/>
  <c r="O66" i="38" s="1"/>
  <c r="X66" i="38" s="1"/>
  <c r="L77" i="38" a="1"/>
  <c r="L77" i="38" s="1"/>
  <c r="P77" i="38" s="1"/>
  <c r="Y77" i="38" s="1"/>
  <c r="K64" i="38" a="1"/>
  <c r="K64" i="38" s="1"/>
  <c r="O64" i="38" s="1"/>
  <c r="X64" i="38" s="1"/>
  <c r="L53" i="38" a="1"/>
  <c r="L53" i="38" s="1"/>
  <c r="P53" i="38" s="1"/>
  <c r="Y53" i="38" s="1"/>
  <c r="L57" i="38" a="1"/>
  <c r="L57" i="38" s="1"/>
  <c r="P57" i="38" s="1"/>
  <c r="Y57" i="38" s="1"/>
  <c r="L61" i="38" a="1"/>
  <c r="L61" i="38" s="1"/>
  <c r="P61" i="38" s="1"/>
  <c r="Y61" i="38" s="1"/>
  <c r="L64" i="38" a="1"/>
  <c r="L64" i="38" s="1"/>
  <c r="P64" i="38" s="1"/>
  <c r="Y64" i="38" s="1"/>
  <c r="L66" i="38" a="1"/>
  <c r="L66" i="38" s="1"/>
  <c r="P66" i="38" s="1"/>
  <c r="Y66" i="38" s="1"/>
  <c r="L68" i="38" a="1"/>
  <c r="L68" i="38" s="1"/>
  <c r="P68" i="38" s="1"/>
  <c r="Y68" i="38" s="1"/>
  <c r="K78" i="38" a="1"/>
  <c r="K78" i="38" s="1"/>
  <c r="O78" i="38" s="1"/>
  <c r="X78" i="38" s="1"/>
  <c r="L80" i="38" a="1"/>
  <c r="L80" i="38" s="1"/>
  <c r="P80" i="38" s="1"/>
  <c r="Y80" i="38" s="1"/>
  <c r="K80" i="38" a="1"/>
  <c r="K80" i="38" s="1"/>
  <c r="O80" i="38" s="1"/>
  <c r="X80" i="38" s="1"/>
  <c r="L72" i="38" a="1"/>
  <c r="L72" i="38" s="1"/>
  <c r="P72" i="38" s="1"/>
  <c r="Y72" i="38" s="1"/>
  <c r="K72" i="38" a="1"/>
  <c r="K72" i="38" s="1"/>
  <c r="O72" i="38" s="1"/>
  <c r="X72" i="38" s="1"/>
  <c r="K77" i="38" a="1"/>
  <c r="K77" i="38" s="1"/>
  <c r="O77" i="38" s="1"/>
  <c r="X77" i="38" s="1"/>
  <c r="K86" i="38" a="1"/>
  <c r="K86" i="38" s="1"/>
  <c r="O86" i="38" s="1"/>
  <c r="X86" i="38" s="1"/>
  <c r="L86" i="38" a="1"/>
  <c r="L86" i="38" s="1"/>
  <c r="P86" i="38" s="1"/>
  <c r="Y86" i="38" s="1"/>
  <c r="K65" i="38" a="1"/>
  <c r="K65" i="38" s="1"/>
  <c r="O65" i="38" s="1"/>
  <c r="X65" i="38" s="1"/>
  <c r="K90" i="38" a="1"/>
  <c r="K90" i="38" s="1"/>
  <c r="O90" i="38" s="1"/>
  <c r="X90" i="38" s="1"/>
  <c r="K82" i="38" a="1"/>
  <c r="K82" i="38" s="1"/>
  <c r="O82" i="38" s="1"/>
  <c r="X82" i="38" s="1"/>
  <c r="L96" i="38" a="1"/>
  <c r="L96" i="38" s="1"/>
  <c r="P96" i="38" s="1"/>
  <c r="Y96" i="38" s="1"/>
  <c r="K96" i="38" a="1"/>
  <c r="K96" i="38" s="1"/>
  <c r="O96" i="38" s="1"/>
  <c r="X96" i="38" s="1"/>
  <c r="L79" i="38" a="1"/>
  <c r="L79" i="38" s="1"/>
  <c r="P79" i="38" s="1"/>
  <c r="Y79" i="38" s="1"/>
  <c r="L83" i="38" a="1"/>
  <c r="L83" i="38" s="1"/>
  <c r="P83" i="38" s="1"/>
  <c r="Y83" i="38" s="1"/>
  <c r="K83" i="38" a="1"/>
  <c r="K83" i="38" s="1"/>
  <c r="O83" i="38" s="1"/>
  <c r="X83" i="38" s="1"/>
  <c r="L91" i="38" a="1"/>
  <c r="L91" i="38" s="1"/>
  <c r="P91" i="38" s="1"/>
  <c r="Y91" i="38" s="1"/>
  <c r="K91" i="38" a="1"/>
  <c r="K91" i="38" s="1"/>
  <c r="O91" i="38" s="1"/>
  <c r="X91" i="38" s="1"/>
  <c r="L101" i="38" a="1"/>
  <c r="L101" i="38" s="1"/>
  <c r="P101" i="38" s="1"/>
  <c r="Y101" i="38" s="1"/>
  <c r="K101" i="38" a="1"/>
  <c r="K101" i="38" s="1"/>
  <c r="O101" i="38" s="1"/>
  <c r="X101" i="38" s="1"/>
  <c r="L87" i="38" a="1"/>
  <c r="L87" i="38" s="1"/>
  <c r="P87" i="38" s="1"/>
  <c r="Y87" i="38" s="1"/>
  <c r="K87" i="38" a="1"/>
  <c r="K87" i="38" s="1"/>
  <c r="O87" i="38" s="1"/>
  <c r="X87" i="38" s="1"/>
  <c r="K97" i="38" a="1"/>
  <c r="K97" i="38" s="1"/>
  <c r="O97" i="38" s="1"/>
  <c r="X97" i="38" s="1"/>
  <c r="K98" i="38" a="1"/>
  <c r="K98" i="38" s="1"/>
  <c r="O98" i="38" s="1"/>
  <c r="X98" i="38" s="1"/>
  <c r="L107" i="38" a="1"/>
  <c r="L107" i="38" s="1"/>
  <c r="P107" i="38" s="1"/>
  <c r="Y107" i="38" s="1"/>
  <c r="K107" i="38" a="1"/>
  <c r="K107" i="38" s="1"/>
  <c r="O107" i="38" s="1"/>
  <c r="X107" i="38" s="1"/>
  <c r="L84" i="38" a="1"/>
  <c r="L84" i="38" s="1"/>
  <c r="P84" i="38" s="1"/>
  <c r="Y84" i="38" s="1"/>
  <c r="L88" i="38" a="1"/>
  <c r="L88" i="38" s="1"/>
  <c r="P88" i="38" s="1"/>
  <c r="Y88" i="38" s="1"/>
  <c r="L92" i="38" a="1"/>
  <c r="L92" i="38" s="1"/>
  <c r="P92" i="38" s="1"/>
  <c r="Y92" i="38" s="1"/>
  <c r="K100" i="38" a="1"/>
  <c r="K100" i="38" s="1"/>
  <c r="O100" i="38" s="1"/>
  <c r="X100" i="38" s="1"/>
  <c r="K105" i="38" a="1"/>
  <c r="K105" i="38" s="1"/>
  <c r="O105" i="38" s="1"/>
  <c r="X105" i="38" s="1"/>
  <c r="L105" i="38" a="1"/>
  <c r="L105" i="38" s="1"/>
  <c r="P105" i="38" s="1"/>
  <c r="Y105" i="38" s="1"/>
  <c r="L106" i="38" a="1"/>
  <c r="L106" i="38" s="1"/>
  <c r="P106" i="38" s="1"/>
  <c r="K106" i="38" a="1"/>
  <c r="K106" i="38" s="1"/>
  <c r="O106" i="38" s="1"/>
  <c r="L118" i="38" a="1"/>
  <c r="L118" i="38" s="1"/>
  <c r="P118" i="38" s="1"/>
  <c r="K118" i="38" a="1"/>
  <c r="K118" i="38" s="1"/>
  <c r="O118" i="38" s="1"/>
  <c r="K114" i="38" a="1"/>
  <c r="K114" i="38" s="1"/>
  <c r="O114" i="38" s="1"/>
  <c r="X114" i="38" s="1"/>
  <c r="L102" i="38" a="1"/>
  <c r="L102" i="38" s="1"/>
  <c r="P102" i="38" s="1"/>
  <c r="Y102" i="38" s="1"/>
  <c r="K108" i="38" a="1"/>
  <c r="K108" i="38" s="1"/>
  <c r="O108" i="38" s="1"/>
  <c r="X108" i="38" s="1"/>
  <c r="L110" i="38" a="1"/>
  <c r="L110" i="38" s="1"/>
  <c r="P110" i="38" s="1"/>
  <c r="Y110" i="38" s="1"/>
  <c r="L108" i="38" a="1"/>
  <c r="L108" i="38" s="1"/>
  <c r="P108" i="38" s="1"/>
  <c r="Y108" i="38" s="1"/>
  <c r="L111" i="38" a="1"/>
  <c r="L111" i="38" s="1"/>
  <c r="P111" i="38" s="1"/>
  <c r="Y111" i="38" s="1"/>
  <c r="K111" i="38" a="1"/>
  <c r="K111" i="38" s="1"/>
  <c r="O111" i="38" s="1"/>
  <c r="X111" i="38" s="1"/>
  <c r="L122" i="38" a="1"/>
  <c r="L122" i="38" s="1"/>
  <c r="P122" i="38" s="1"/>
  <c r="K122" i="38" a="1"/>
  <c r="K122" i="38" s="1"/>
  <c r="O122" i="38" s="1"/>
  <c r="L115" i="38" a="1"/>
  <c r="L115" i="38" s="1"/>
  <c r="P115" i="38" s="1"/>
  <c r="Y115" i="38" s="1"/>
  <c r="K115" i="38" a="1"/>
  <c r="K115" i="38" s="1"/>
  <c r="O115" i="38" s="1"/>
  <c r="X115" i="38" s="1"/>
  <c r="L114" i="38" a="1"/>
  <c r="L114" i="38" s="1"/>
  <c r="P114" i="38" s="1"/>
  <c r="Y114" i="38" s="1"/>
  <c r="L112" i="38" a="1"/>
  <c r="L112" i="38" s="1"/>
  <c r="P112" i="38" s="1"/>
  <c r="Y112" i="38" s="1"/>
  <c r="L116" i="38" a="1"/>
  <c r="L116" i="38" s="1"/>
  <c r="P116" i="38" s="1"/>
  <c r="K119" i="38" a="1"/>
  <c r="K119" i="38" s="1"/>
  <c r="O119" i="38" s="1"/>
  <c r="L120" i="38" a="1"/>
  <c r="L120" i="38" s="1"/>
  <c r="P120" i="38" s="1"/>
  <c r="K123" i="38" a="1"/>
  <c r="K123" i="38" s="1"/>
  <c r="O123" i="38" s="1"/>
  <c r="L124" i="38" a="1"/>
  <c r="L124" i="38" s="1"/>
  <c r="P124" i="38" s="1"/>
  <c r="L119" i="38" a="1"/>
  <c r="L119" i="38" s="1"/>
  <c r="P119" i="38" s="1"/>
  <c r="L123" i="38" a="1"/>
  <c r="L123" i="38" s="1"/>
  <c r="P123" i="38" s="1"/>
  <c r="BR14" i="37"/>
  <c r="BV14" i="37" s="1"/>
  <c r="BS14" i="37"/>
  <c r="BW14" i="37" s="1"/>
  <c r="BD14" i="37"/>
  <c r="BH14" i="37" s="1"/>
  <c r="AO14" i="37"/>
  <c r="J14" i="37"/>
  <c r="I14" i="37"/>
  <c r="B6" i="37" a="1"/>
  <c r="B6" i="37" s="1"/>
  <c r="CJ14" i="37" s="1"/>
  <c r="B5" i="37" a="1"/>
  <c r="B5" i="37" s="1"/>
  <c r="CJ13" i="37" s="1"/>
  <c r="B4" i="37" a="1"/>
  <c r="B4" i="37" s="1"/>
  <c r="CJ12" i="37" s="1"/>
  <c r="N6" i="37" a="1"/>
  <c r="N6" i="37" s="1"/>
  <c r="AR44" i="37"/>
  <c r="BR21" i="36"/>
  <c r="BV21" i="36" s="1"/>
  <c r="BD23" i="36"/>
  <c r="BH23" i="36" s="1"/>
  <c r="BC14" i="37"/>
  <c r="BG14" i="37" s="1"/>
  <c r="AN16" i="37"/>
  <c r="BD16" i="37"/>
  <c r="BH16" i="37" s="1"/>
  <c r="L17" i="37" a="1"/>
  <c r="L17" i="37" s="1"/>
  <c r="P17" i="37" s="1"/>
  <c r="Y17" i="37" s="1"/>
  <c r="K18" i="37" a="1"/>
  <c r="K18" i="37" s="1"/>
  <c r="O18" i="37" s="1"/>
  <c r="X18" i="37" s="1"/>
  <c r="L20" i="37" a="1"/>
  <c r="L20" i="37" s="1"/>
  <c r="P20" i="37" s="1"/>
  <c r="Y20" i="37" s="1"/>
  <c r="L24" i="37" a="1"/>
  <c r="L24" i="37" s="1"/>
  <c r="P24" i="37" s="1"/>
  <c r="Y24" i="37" s="1"/>
  <c r="L28" i="37" a="1"/>
  <c r="L28" i="37" s="1"/>
  <c r="P28" i="37" s="1"/>
  <c r="Y28" i="37" s="1"/>
  <c r="L32" i="37" a="1"/>
  <c r="L32" i="37" s="1"/>
  <c r="P32" i="37" s="1"/>
  <c r="Y32" i="37" s="1"/>
  <c r="L36" i="37" a="1"/>
  <c r="L36" i="37" s="1"/>
  <c r="P36" i="37" s="1"/>
  <c r="Y36" i="37" s="1"/>
  <c r="AN38" i="37"/>
  <c r="L40" i="37" a="1"/>
  <c r="L40" i="37" s="1"/>
  <c r="P40" i="37" s="1"/>
  <c r="Y40" i="37" s="1"/>
  <c r="K40" i="37" a="1"/>
  <c r="K40" i="37" s="1"/>
  <c r="O40" i="37" s="1"/>
  <c r="X40" i="37" s="1"/>
  <c r="AR41" i="37"/>
  <c r="L37" i="37" a="1"/>
  <c r="L37" i="37" s="1"/>
  <c r="P37" i="37" s="1"/>
  <c r="Y37" i="37" s="1"/>
  <c r="K37" i="37" a="1"/>
  <c r="K37" i="37" s="1"/>
  <c r="O37" i="37" s="1"/>
  <c r="X37" i="37" s="1"/>
  <c r="AN14" i="37"/>
  <c r="P16" i="37"/>
  <c r="Y16" i="37" s="1"/>
  <c r="Y15" i="37" s="1"/>
  <c r="AN18" i="37"/>
  <c r="BS18" i="37"/>
  <c r="BW18" i="37" s="1"/>
  <c r="O19" i="37"/>
  <c r="X19" i="37" s="1"/>
  <c r="AO19" i="37"/>
  <c r="BR21" i="37"/>
  <c r="BV21" i="37" s="1"/>
  <c r="AN22" i="37"/>
  <c r="BS22" i="37"/>
  <c r="BW22" i="37" s="1"/>
  <c r="O23" i="37"/>
  <c r="X23" i="37" s="1"/>
  <c r="AO23" i="37"/>
  <c r="BR25" i="37"/>
  <c r="BV25" i="37" s="1"/>
  <c r="AN26" i="37"/>
  <c r="BS26" i="37"/>
  <c r="BW26" i="37" s="1"/>
  <c r="O27" i="37"/>
  <c r="X27" i="37" s="1"/>
  <c r="AO27" i="37"/>
  <c r="BR29" i="37"/>
  <c r="BV29" i="37" s="1"/>
  <c r="AN30" i="37"/>
  <c r="BS30" i="37"/>
  <c r="BW30" i="37" s="1"/>
  <c r="O31" i="37"/>
  <c r="X31" i="37" s="1"/>
  <c r="AO31" i="37"/>
  <c r="BR33" i="37"/>
  <c r="BV33" i="37" s="1"/>
  <c r="AN34" i="37"/>
  <c r="BS34" i="37"/>
  <c r="BW34" i="37" s="1"/>
  <c r="O35" i="37"/>
  <c r="X35" i="37" s="1"/>
  <c r="AO35" i="37"/>
  <c r="BC37" i="37"/>
  <c r="BG37" i="37" s="1"/>
  <c r="P43" i="37"/>
  <c r="Y43" i="37" s="1"/>
  <c r="K44" i="37" a="1"/>
  <c r="K44" i="37" s="1"/>
  <c r="O44" i="37" s="1"/>
  <c r="X44" i="37" s="1"/>
  <c r="L44" i="37" a="1"/>
  <c r="L44" i="37" s="1"/>
  <c r="P44" i="37" s="1"/>
  <c r="Y44" i="37" s="1"/>
  <c r="AR45" i="37"/>
  <c r="BC19" i="36"/>
  <c r="BG19" i="36" s="1"/>
  <c r="O20" i="36"/>
  <c r="X20" i="36" s="1"/>
  <c r="P24" i="36"/>
  <c r="Y24" i="36" s="1"/>
  <c r="K15" i="37" a="1"/>
  <c r="K15" i="37" s="1"/>
  <c r="O15" i="37" s="1"/>
  <c r="BR17" i="37"/>
  <c r="BV17" i="37" s="1"/>
  <c r="AO18" i="37"/>
  <c r="P19" i="37"/>
  <c r="Y19" i="37" s="1"/>
  <c r="BS19" i="37"/>
  <c r="BW19" i="37" s="1"/>
  <c r="O20" i="37"/>
  <c r="X20" i="37" s="1"/>
  <c r="BS21" i="37"/>
  <c r="BW21" i="37" s="1"/>
  <c r="AO22" i="37"/>
  <c r="P23" i="37"/>
  <c r="Y23" i="37" s="1"/>
  <c r="BS23" i="37"/>
  <c r="BW23" i="37" s="1"/>
  <c r="O24" i="37"/>
  <c r="X24" i="37" s="1"/>
  <c r="BS25" i="37"/>
  <c r="BW25" i="37" s="1"/>
  <c r="AO26" i="37"/>
  <c r="P27" i="37"/>
  <c r="Y27" i="37" s="1"/>
  <c r="BS27" i="37"/>
  <c r="BW27" i="37" s="1"/>
  <c r="O28" i="37"/>
  <c r="X28" i="37" s="1"/>
  <c r="BS29" i="37"/>
  <c r="BW29" i="37" s="1"/>
  <c r="AO30" i="37"/>
  <c r="P31" i="37"/>
  <c r="Y31" i="37" s="1"/>
  <c r="BS31" i="37"/>
  <c r="BW31" i="37" s="1"/>
  <c r="O32" i="37"/>
  <c r="X32" i="37" s="1"/>
  <c r="BS33" i="37"/>
  <c r="BW33" i="37" s="1"/>
  <c r="AO34" i="37"/>
  <c r="P35" i="37"/>
  <c r="Y35" i="37" s="1"/>
  <c r="BS35" i="37"/>
  <c r="BW35" i="37" s="1"/>
  <c r="O36" i="37"/>
  <c r="X36" i="37" s="1"/>
  <c r="BC38" i="37"/>
  <c r="BG38" i="37" s="1"/>
  <c r="P54" i="37"/>
  <c r="Y54" i="37" s="1"/>
  <c r="P16" i="36"/>
  <c r="Y16" i="36" s="1"/>
  <c r="Y15" i="36" s="1"/>
  <c r="P125" i="37"/>
  <c r="P124" i="37"/>
  <c r="P123" i="37"/>
  <c r="P121" i="37"/>
  <c r="P120" i="37"/>
  <c r="BD115" i="37"/>
  <c r="BH115" i="37" s="1"/>
  <c r="AN115" i="37"/>
  <c r="BR114" i="37"/>
  <c r="BV114" i="37" s="1"/>
  <c r="P112" i="37"/>
  <c r="Y112" i="37" s="1"/>
  <c r="BD111" i="37"/>
  <c r="BH111" i="37" s="1"/>
  <c r="AN111" i="37"/>
  <c r="BR110" i="37"/>
  <c r="BV110" i="37" s="1"/>
  <c r="P108" i="37"/>
  <c r="Y108" i="37" s="1"/>
  <c r="O125" i="37"/>
  <c r="BR115" i="37"/>
  <c r="BV115" i="37" s="1"/>
  <c r="BD112" i="37"/>
  <c r="BH112" i="37" s="1"/>
  <c r="AN112" i="37"/>
  <c r="BR111" i="37"/>
  <c r="BV111" i="37" s="1"/>
  <c r="P114" i="37"/>
  <c r="Y114" i="37" s="1"/>
  <c r="BD113" i="37"/>
  <c r="BH113" i="37" s="1"/>
  <c r="AN113" i="37"/>
  <c r="BR112" i="37"/>
  <c r="BV112" i="37" s="1"/>
  <c r="BD109" i="37"/>
  <c r="BH109" i="37" s="1"/>
  <c r="AN109" i="37"/>
  <c r="BR108" i="37"/>
  <c r="BV108" i="37" s="1"/>
  <c r="O117" i="37"/>
  <c r="AO114" i="37"/>
  <c r="BS112" i="37"/>
  <c r="BW112" i="37" s="1"/>
  <c r="P107" i="37"/>
  <c r="Y107" i="37" s="1"/>
  <c r="BD106" i="37"/>
  <c r="BH106" i="37" s="1"/>
  <c r="AN106" i="37"/>
  <c r="BR105" i="37"/>
  <c r="BV105" i="37" s="1"/>
  <c r="BC115" i="37"/>
  <c r="BG115" i="37" s="1"/>
  <c r="AO112" i="37"/>
  <c r="P111" i="37"/>
  <c r="Y111" i="37" s="1"/>
  <c r="BC110" i="37"/>
  <c r="BG110" i="37" s="1"/>
  <c r="BS109" i="37"/>
  <c r="BW109" i="37" s="1"/>
  <c r="AN108" i="37"/>
  <c r="BD107" i="37"/>
  <c r="BH107" i="37" s="1"/>
  <c r="AN107" i="37"/>
  <c r="BR106" i="37"/>
  <c r="BV106" i="37" s="1"/>
  <c r="BD103" i="37"/>
  <c r="BH103" i="37" s="1"/>
  <c r="AN103" i="37"/>
  <c r="BR102" i="37"/>
  <c r="BV102" i="37" s="1"/>
  <c r="BC114" i="37"/>
  <c r="BG114" i="37" s="1"/>
  <c r="BS113" i="37"/>
  <c r="BW113" i="37" s="1"/>
  <c r="BC111" i="37"/>
  <c r="BG111" i="37" s="1"/>
  <c r="BC108" i="37"/>
  <c r="BG108" i="37" s="1"/>
  <c r="BR107" i="37"/>
  <c r="BV107" i="37" s="1"/>
  <c r="BD104" i="37"/>
  <c r="BH104" i="37" s="1"/>
  <c r="AN104" i="37"/>
  <c r="BR103" i="37"/>
  <c r="BV103" i="37" s="1"/>
  <c r="BR113" i="37"/>
  <c r="BV113" i="37" s="1"/>
  <c r="AO113" i="37"/>
  <c r="BC112" i="37"/>
  <c r="BG112" i="37" s="1"/>
  <c r="O112" i="37"/>
  <c r="X112" i="37" s="1"/>
  <c r="BS110" i="37"/>
  <c r="BW110" i="37" s="1"/>
  <c r="AO105" i="37"/>
  <c r="O105" i="37"/>
  <c r="X105" i="37" s="1"/>
  <c r="BS104" i="37"/>
  <c r="BW104" i="37" s="1"/>
  <c r="BC104" i="37"/>
  <c r="BG104" i="37" s="1"/>
  <c r="BS115" i="37"/>
  <c r="BW115" i="37" s="1"/>
  <c r="AO115" i="37"/>
  <c r="AO110" i="37"/>
  <c r="BS108" i="37"/>
  <c r="BW108" i="37" s="1"/>
  <c r="BD105" i="37"/>
  <c r="BH105" i="37" s="1"/>
  <c r="AN105" i="37"/>
  <c r="BR104" i="37"/>
  <c r="BV104" i="37" s="1"/>
  <c r="O121" i="37"/>
  <c r="AN110" i="37"/>
  <c r="BS105" i="37"/>
  <c r="BW105" i="37" s="1"/>
  <c r="AO104" i="37"/>
  <c r="BD102" i="37"/>
  <c r="BH102" i="37" s="1"/>
  <c r="BD101" i="37"/>
  <c r="BH101" i="37" s="1"/>
  <c r="AN101" i="37"/>
  <c r="BD114" i="37"/>
  <c r="BH114" i="37" s="1"/>
  <c r="AO107" i="37"/>
  <c r="BR101" i="37"/>
  <c r="BV101" i="37" s="1"/>
  <c r="BD98" i="37"/>
  <c r="BH98" i="37" s="1"/>
  <c r="AN98" i="37"/>
  <c r="BR97" i="37"/>
  <c r="BV97" i="37" s="1"/>
  <c r="BD94" i="37"/>
  <c r="BH94" i="37" s="1"/>
  <c r="AN94" i="37"/>
  <c r="BR93" i="37"/>
  <c r="BV93" i="37" s="1"/>
  <c r="P91" i="37"/>
  <c r="Y91" i="37" s="1"/>
  <c r="BD90" i="37"/>
  <c r="BH90" i="37" s="1"/>
  <c r="AN90" i="37"/>
  <c r="BR89" i="37"/>
  <c r="BV89" i="37" s="1"/>
  <c r="P87" i="37"/>
  <c r="Y87" i="37" s="1"/>
  <c r="BD86" i="37"/>
  <c r="BH86" i="37" s="1"/>
  <c r="AN86" i="37"/>
  <c r="BR85" i="37"/>
  <c r="BV85" i="37" s="1"/>
  <c r="P83" i="37"/>
  <c r="Y83" i="37" s="1"/>
  <c r="BD82" i="37"/>
  <c r="BH82" i="37" s="1"/>
  <c r="AN82" i="37"/>
  <c r="BR81" i="37"/>
  <c r="BV81" i="37" s="1"/>
  <c r="P79" i="37"/>
  <c r="Y79" i="37" s="1"/>
  <c r="BD78" i="37"/>
  <c r="BH78" i="37" s="1"/>
  <c r="AN78" i="37"/>
  <c r="BR77" i="37"/>
  <c r="BV77" i="37" s="1"/>
  <c r="O114" i="37"/>
  <c r="X114" i="37" s="1"/>
  <c r="O116" i="37"/>
  <c r="X116" i="37" s="1"/>
  <c r="AN114" i="37"/>
  <c r="AO109" i="37"/>
  <c r="AO106" i="37"/>
  <c r="P103" i="37"/>
  <c r="Y103" i="37" s="1"/>
  <c r="AO102" i="37"/>
  <c r="BD99" i="37"/>
  <c r="BH99" i="37" s="1"/>
  <c r="AN99" i="37"/>
  <c r="BR98" i="37"/>
  <c r="BV98" i="37" s="1"/>
  <c r="BD95" i="37"/>
  <c r="BH95" i="37" s="1"/>
  <c r="AN95" i="37"/>
  <c r="BR94" i="37"/>
  <c r="BV94" i="37" s="1"/>
  <c r="BD91" i="37"/>
  <c r="BH91" i="37" s="1"/>
  <c r="AN91" i="37"/>
  <c r="BR90" i="37"/>
  <c r="BV90" i="37" s="1"/>
  <c r="BD87" i="37"/>
  <c r="BH87" i="37" s="1"/>
  <c r="AN87" i="37"/>
  <c r="BR86" i="37"/>
  <c r="BV86" i="37" s="1"/>
  <c r="BD83" i="37"/>
  <c r="BH83" i="37" s="1"/>
  <c r="AN83" i="37"/>
  <c r="BR82" i="37"/>
  <c r="BV82" i="37" s="1"/>
  <c r="O115" i="37"/>
  <c r="X115" i="37" s="1"/>
  <c r="BS111" i="37"/>
  <c r="BW111" i="37" s="1"/>
  <c r="BS103" i="37"/>
  <c r="BW103" i="37" s="1"/>
  <c r="AO103" i="37"/>
  <c r="BS102" i="37"/>
  <c r="BW102" i="37" s="1"/>
  <c r="AN102" i="37"/>
  <c r="AO100" i="37"/>
  <c r="BS99" i="37"/>
  <c r="BW99" i="37" s="1"/>
  <c r="BC99" i="37"/>
  <c r="BG99" i="37" s="1"/>
  <c r="AO96" i="37"/>
  <c r="BS95" i="37"/>
  <c r="BW95" i="37" s="1"/>
  <c r="BC95" i="37"/>
  <c r="BG95" i="37" s="1"/>
  <c r="O120" i="37"/>
  <c r="BS114" i="37"/>
  <c r="BW114" i="37" s="1"/>
  <c r="BD110" i="37"/>
  <c r="BH110" i="37" s="1"/>
  <c r="BD108" i="37"/>
  <c r="BH108" i="37" s="1"/>
  <c r="BS106" i="37"/>
  <c r="BW106" i="37" s="1"/>
  <c r="P101" i="37"/>
  <c r="Y101" i="37" s="1"/>
  <c r="BD100" i="37"/>
  <c r="BH100" i="37" s="1"/>
  <c r="AN100" i="37"/>
  <c r="BR99" i="37"/>
  <c r="BV99" i="37" s="1"/>
  <c r="P97" i="37"/>
  <c r="Y97" i="37" s="1"/>
  <c r="BD96" i="37"/>
  <c r="BH96" i="37" s="1"/>
  <c r="AN96" i="37"/>
  <c r="BR95" i="37"/>
  <c r="BV95" i="37" s="1"/>
  <c r="P93" i="37"/>
  <c r="Y93" i="37" s="1"/>
  <c r="BD92" i="37"/>
  <c r="BH92" i="37" s="1"/>
  <c r="AN92" i="37"/>
  <c r="BR91" i="37"/>
  <c r="BV91" i="37" s="1"/>
  <c r="P89" i="37"/>
  <c r="Y89" i="37" s="1"/>
  <c r="BD88" i="37"/>
  <c r="BH88" i="37" s="1"/>
  <c r="AN88" i="37"/>
  <c r="BR87" i="37"/>
  <c r="BV87" i="37" s="1"/>
  <c r="BD84" i="37"/>
  <c r="BH84" i="37" s="1"/>
  <c r="AN84" i="37"/>
  <c r="BR83" i="37"/>
  <c r="BV83" i="37" s="1"/>
  <c r="P81" i="37"/>
  <c r="Y81" i="37" s="1"/>
  <c r="BD80" i="37"/>
  <c r="BH80" i="37" s="1"/>
  <c r="AN80" i="37"/>
  <c r="BR79" i="37"/>
  <c r="BV79" i="37" s="1"/>
  <c r="P77" i="37"/>
  <c r="Y77" i="37" s="1"/>
  <c r="BS107" i="37"/>
  <c r="BW107" i="37" s="1"/>
  <c r="AO101" i="37"/>
  <c r="AO91" i="37"/>
  <c r="BC89" i="37"/>
  <c r="BG89" i="37" s="1"/>
  <c r="BS88" i="37"/>
  <c r="BW88" i="37" s="1"/>
  <c r="BC86" i="37"/>
  <c r="BG86" i="37" s="1"/>
  <c r="AO81" i="37"/>
  <c r="BC102" i="37"/>
  <c r="BG102" i="37" s="1"/>
  <c r="AO94" i="37"/>
  <c r="BD93" i="37"/>
  <c r="BH93" i="37" s="1"/>
  <c r="O93" i="37"/>
  <c r="X93" i="37" s="1"/>
  <c r="O90" i="37"/>
  <c r="X90" i="37" s="1"/>
  <c r="BR88" i="37"/>
  <c r="BV88" i="37" s="1"/>
  <c r="AO88" i="37"/>
  <c r="BC87" i="37"/>
  <c r="BG87" i="37" s="1"/>
  <c r="O87" i="37"/>
  <c r="X87" i="37" s="1"/>
  <c r="BS85" i="37"/>
  <c r="BW85" i="37" s="1"/>
  <c r="BS82" i="37"/>
  <c r="BW82" i="37" s="1"/>
  <c r="AN81" i="37"/>
  <c r="BC80" i="37"/>
  <c r="BG80" i="37" s="1"/>
  <c r="BR109" i="37"/>
  <c r="BV109" i="37" s="1"/>
  <c r="BC107" i="37"/>
  <c r="BG107" i="37" s="1"/>
  <c r="BS101" i="37"/>
  <c r="BW101" i="37" s="1"/>
  <c r="BC100" i="37"/>
  <c r="BG100" i="37" s="1"/>
  <c r="BD97" i="37"/>
  <c r="BH97" i="37" s="1"/>
  <c r="BC96" i="37"/>
  <c r="BG96" i="37" s="1"/>
  <c r="P94" i="37"/>
  <c r="Y94" i="37" s="1"/>
  <c r="BC93" i="37"/>
  <c r="BG93" i="37" s="1"/>
  <c r="BS92" i="37"/>
  <c r="BW92" i="37" s="1"/>
  <c r="BC90" i="37"/>
  <c r="BG90" i="37" s="1"/>
  <c r="AO85" i="37"/>
  <c r="BS83" i="37"/>
  <c r="BW83" i="37" s="1"/>
  <c r="BS79" i="37"/>
  <c r="BW79" i="37" s="1"/>
  <c r="AO74" i="37"/>
  <c r="BS73" i="37"/>
  <c r="BW73" i="37" s="1"/>
  <c r="BC73" i="37"/>
  <c r="BG73" i="37" s="1"/>
  <c r="AO108" i="37"/>
  <c r="BC105" i="37"/>
  <c r="BG105" i="37" s="1"/>
  <c r="BC98" i="37"/>
  <c r="BG98" i="37" s="1"/>
  <c r="BC97" i="37"/>
  <c r="BG97" i="37" s="1"/>
  <c r="O94" i="37"/>
  <c r="X94" i="37" s="1"/>
  <c r="BR92" i="37"/>
  <c r="BV92" i="37" s="1"/>
  <c r="AO92" i="37"/>
  <c r="BC113" i="37"/>
  <c r="BG113" i="37" s="1"/>
  <c r="BC109" i="37"/>
  <c r="BG109" i="37" s="1"/>
  <c r="BC106" i="37"/>
  <c r="BG106" i="37" s="1"/>
  <c r="AO99" i="37"/>
  <c r="AO95" i="37"/>
  <c r="BC94" i="37"/>
  <c r="BG94" i="37" s="1"/>
  <c r="AO89" i="37"/>
  <c r="BS87" i="37"/>
  <c r="BW87" i="37" s="1"/>
  <c r="AO83" i="37"/>
  <c r="BC81" i="37"/>
  <c r="BG81" i="37" s="1"/>
  <c r="BS80" i="37"/>
  <c r="BW80" i="37" s="1"/>
  <c r="BC78" i="37"/>
  <c r="BG78" i="37" s="1"/>
  <c r="P78" i="37"/>
  <c r="Y78" i="37" s="1"/>
  <c r="AN77" i="37"/>
  <c r="AO75" i="37"/>
  <c r="BS74" i="37"/>
  <c r="BW74" i="37" s="1"/>
  <c r="BC74" i="37"/>
  <c r="BG74" i="37" s="1"/>
  <c r="AO71" i="37"/>
  <c r="BS70" i="37"/>
  <c r="BW70" i="37" s="1"/>
  <c r="BC70" i="37"/>
  <c r="BG70" i="37" s="1"/>
  <c r="AO111" i="37"/>
  <c r="BR100" i="37"/>
  <c r="BV100" i="37" s="1"/>
  <c r="AO98" i="37"/>
  <c r="O98" i="37"/>
  <c r="X98" i="37" s="1"/>
  <c r="BS97" i="37"/>
  <c r="BW97" i="37" s="1"/>
  <c r="AN97" i="37"/>
  <c r="BR96" i="37"/>
  <c r="BV96" i="37" s="1"/>
  <c r="BS94" i="37"/>
  <c r="BW94" i="37" s="1"/>
  <c r="AN93" i="37"/>
  <c r="BC92" i="37"/>
  <c r="BG92" i="37" s="1"/>
  <c r="BC101" i="37"/>
  <c r="BG101" i="37" s="1"/>
  <c r="BC88" i="37"/>
  <c r="BG88" i="37" s="1"/>
  <c r="AO82" i="37"/>
  <c r="BC77" i="37"/>
  <c r="BG77" i="37" s="1"/>
  <c r="BD76" i="37"/>
  <c r="BH76" i="37" s="1"/>
  <c r="AN75" i="37"/>
  <c r="BD73" i="37"/>
  <c r="BH73" i="37" s="1"/>
  <c r="BD71" i="37"/>
  <c r="BH71" i="37" s="1"/>
  <c r="BD70" i="37"/>
  <c r="BH70" i="37" s="1"/>
  <c r="AO69" i="37"/>
  <c r="P67" i="37"/>
  <c r="Y67" i="37" s="1"/>
  <c r="BD66" i="37"/>
  <c r="BH66" i="37" s="1"/>
  <c r="AN66" i="37"/>
  <c r="BS98" i="37"/>
  <c r="BW98" i="37" s="1"/>
  <c r="P98" i="37"/>
  <c r="Y98" i="37" s="1"/>
  <c r="BS93" i="37"/>
  <c r="BW93" i="37" s="1"/>
  <c r="O91" i="37"/>
  <c r="X91" i="37" s="1"/>
  <c r="AN85" i="37"/>
  <c r="AO84" i="37"/>
  <c r="BS81" i="37"/>
  <c r="BW81" i="37" s="1"/>
  <c r="BS78" i="37"/>
  <c r="BW78" i="37" s="1"/>
  <c r="BC76" i="37"/>
  <c r="BG76" i="37" s="1"/>
  <c r="P73" i="37"/>
  <c r="Y73" i="37" s="1"/>
  <c r="AO72" i="37"/>
  <c r="BC71" i="37"/>
  <c r="BG71" i="37" s="1"/>
  <c r="AN69" i="37"/>
  <c r="AO67" i="37"/>
  <c r="O67" i="37"/>
  <c r="X67" i="37" s="1"/>
  <c r="BS66" i="37"/>
  <c r="BW66" i="37" s="1"/>
  <c r="BC66" i="37"/>
  <c r="BG66" i="37" s="1"/>
  <c r="BS96" i="37"/>
  <c r="BW96" i="37" s="1"/>
  <c r="BD89" i="37"/>
  <c r="BH89" i="37" s="1"/>
  <c r="AO87" i="37"/>
  <c r="BS84" i="37"/>
  <c r="BW84" i="37" s="1"/>
  <c r="AO80" i="37"/>
  <c r="BD79" i="37"/>
  <c r="BH79" i="37" s="1"/>
  <c r="BR78" i="37"/>
  <c r="BV78" i="37" s="1"/>
  <c r="AO78" i="37"/>
  <c r="BS76" i="37"/>
  <c r="BW76" i="37" s="1"/>
  <c r="O76" i="37"/>
  <c r="X76" i="37" s="1"/>
  <c r="BD75" i="37"/>
  <c r="BH75" i="37" s="1"/>
  <c r="AN74" i="37"/>
  <c r="BR73" i="37"/>
  <c r="BV73" i="37" s="1"/>
  <c r="O73" i="37"/>
  <c r="X73" i="37" s="1"/>
  <c r="AN72" i="37"/>
  <c r="BS71" i="37"/>
  <c r="BW71" i="37" s="1"/>
  <c r="BR70" i="37"/>
  <c r="BV70" i="37" s="1"/>
  <c r="BD69" i="37"/>
  <c r="BH69" i="37" s="1"/>
  <c r="P68" i="37"/>
  <c r="Y68" i="37" s="1"/>
  <c r="BD67" i="37"/>
  <c r="BH67" i="37" s="1"/>
  <c r="AN67" i="37"/>
  <c r="BR66" i="37"/>
  <c r="BV66" i="37" s="1"/>
  <c r="BD63" i="37"/>
  <c r="BH63" i="37" s="1"/>
  <c r="AN63" i="37"/>
  <c r="BR62" i="37"/>
  <c r="BV62" i="37" s="1"/>
  <c r="P60" i="37"/>
  <c r="Y60" i="37" s="1"/>
  <c r="BD59" i="37"/>
  <c r="BH59" i="37" s="1"/>
  <c r="AN59" i="37"/>
  <c r="BR58" i="37"/>
  <c r="BV58" i="37" s="1"/>
  <c r="BD55" i="37"/>
  <c r="BH55" i="37" s="1"/>
  <c r="AN55" i="37"/>
  <c r="BR54" i="37"/>
  <c r="BV54" i="37" s="1"/>
  <c r="AO86" i="37"/>
  <c r="BR84" i="37"/>
  <c r="BV84" i="37" s="1"/>
  <c r="BD81" i="37"/>
  <c r="BH81" i="37" s="1"/>
  <c r="O80" i="37"/>
  <c r="X80" i="37" s="1"/>
  <c r="BC79" i="37"/>
  <c r="BG79" i="37" s="1"/>
  <c r="O78" i="37"/>
  <c r="X78" i="37" s="1"/>
  <c r="BR76" i="37"/>
  <c r="BV76" i="37" s="1"/>
  <c r="BC75" i="37"/>
  <c r="BG75" i="37" s="1"/>
  <c r="BS91" i="37"/>
  <c r="BW91" i="37" s="1"/>
  <c r="BS86" i="37"/>
  <c r="BW86" i="37" s="1"/>
  <c r="BR80" i="37"/>
  <c r="BV80" i="37" s="1"/>
  <c r="BS77" i="37"/>
  <c r="BW77" i="37" s="1"/>
  <c r="AO77" i="37"/>
  <c r="BD74" i="37"/>
  <c r="BH74" i="37" s="1"/>
  <c r="BD72" i="37"/>
  <c r="BH72" i="37" s="1"/>
  <c r="P70" i="37"/>
  <c r="Y70" i="37" s="1"/>
  <c r="BR69" i="37"/>
  <c r="BV69" i="37" s="1"/>
  <c r="BD68" i="37"/>
  <c r="BH68" i="37" s="1"/>
  <c r="AN68" i="37"/>
  <c r="BR67" i="37"/>
  <c r="BV67" i="37" s="1"/>
  <c r="P65" i="37"/>
  <c r="Y65" i="37" s="1"/>
  <c r="BD64" i="37"/>
  <c r="BH64" i="37" s="1"/>
  <c r="AN64" i="37"/>
  <c r="BR63" i="37"/>
  <c r="BV63" i="37" s="1"/>
  <c r="P61" i="37"/>
  <c r="Y61" i="37" s="1"/>
  <c r="BD60" i="37"/>
  <c r="BH60" i="37" s="1"/>
  <c r="AN60" i="37"/>
  <c r="BR59" i="37"/>
  <c r="BV59" i="37" s="1"/>
  <c r="P57" i="37"/>
  <c r="Y57" i="37" s="1"/>
  <c r="BD56" i="37"/>
  <c r="BH56" i="37" s="1"/>
  <c r="AN56" i="37"/>
  <c r="BR55" i="37"/>
  <c r="BV55" i="37" s="1"/>
  <c r="BC103" i="37"/>
  <c r="BG103" i="37" s="1"/>
  <c r="BS90" i="37"/>
  <c r="BW90" i="37" s="1"/>
  <c r="BC85" i="37"/>
  <c r="BG85" i="37" s="1"/>
  <c r="BC83" i="37"/>
  <c r="BG83" i="37" s="1"/>
  <c r="AN79" i="37"/>
  <c r="BD77" i="37"/>
  <c r="BH77" i="37" s="1"/>
  <c r="BR74" i="37"/>
  <c r="BV74" i="37" s="1"/>
  <c r="BR72" i="37"/>
  <c r="BV72" i="37" s="1"/>
  <c r="AN71" i="37"/>
  <c r="AN89" i="37"/>
  <c r="BC84" i="37"/>
  <c r="BG84" i="37" s="1"/>
  <c r="BR71" i="37"/>
  <c r="BV71" i="37" s="1"/>
  <c r="AO70" i="37"/>
  <c r="BC69" i="37"/>
  <c r="BG69" i="37" s="1"/>
  <c r="O65" i="37"/>
  <c r="X65" i="37" s="1"/>
  <c r="BS64" i="37"/>
  <c r="BW64" i="37" s="1"/>
  <c r="AN62" i="37"/>
  <c r="BR61" i="37"/>
  <c r="BV61" i="37" s="1"/>
  <c r="BS60" i="37"/>
  <c r="BW60" i="37" s="1"/>
  <c r="BS58" i="37"/>
  <c r="BW58" i="37" s="1"/>
  <c r="BD57" i="37"/>
  <c r="BH57" i="37" s="1"/>
  <c r="AO51" i="37"/>
  <c r="O51" i="37"/>
  <c r="X51" i="37" s="1"/>
  <c r="BS50" i="37"/>
  <c r="BW50" i="37" s="1"/>
  <c r="BC50" i="37"/>
  <c r="BG50" i="37" s="1"/>
  <c r="AO97" i="37"/>
  <c r="AO76" i="37"/>
  <c r="AN70" i="37"/>
  <c r="BS67" i="37"/>
  <c r="BW67" i="37" s="1"/>
  <c r="BD65" i="37"/>
  <c r="BH65" i="37" s="1"/>
  <c r="BR64" i="37"/>
  <c r="BV64" i="37" s="1"/>
  <c r="AO64" i="37"/>
  <c r="BD62" i="37"/>
  <c r="BH62" i="37" s="1"/>
  <c r="AO61" i="37"/>
  <c r="BR60" i="37"/>
  <c r="BV60" i="37" s="1"/>
  <c r="BC59" i="37"/>
  <c r="BG59" i="37" s="1"/>
  <c r="BC57" i="37"/>
  <c r="BG57" i="37" s="1"/>
  <c r="AO54" i="37"/>
  <c r="BD51" i="37"/>
  <c r="BH51" i="37" s="1"/>
  <c r="AN51" i="37"/>
  <c r="BR50" i="37"/>
  <c r="BV50" i="37" s="1"/>
  <c r="AO93" i="37"/>
  <c r="O77" i="37"/>
  <c r="X77" i="37" s="1"/>
  <c r="AN76" i="37"/>
  <c r="AO73" i="37"/>
  <c r="AO68" i="37"/>
  <c r="AO66" i="37"/>
  <c r="P66" i="37"/>
  <c r="Y66" i="37" s="1"/>
  <c r="BC65" i="37"/>
  <c r="BG65" i="37" s="1"/>
  <c r="BC62" i="37"/>
  <c r="BG62" i="37" s="1"/>
  <c r="AN61" i="37"/>
  <c r="O57" i="37"/>
  <c r="X57" i="37" s="1"/>
  <c r="BC56" i="37"/>
  <c r="BG56" i="37" s="1"/>
  <c r="BD54" i="37"/>
  <c r="BH54" i="37" s="1"/>
  <c r="AN54" i="37"/>
  <c r="AO52" i="37"/>
  <c r="BS51" i="37"/>
  <c r="BW51" i="37" s="1"/>
  <c r="BC51" i="37"/>
  <c r="BG51" i="37" s="1"/>
  <c r="AO48" i="37"/>
  <c r="BS47" i="37"/>
  <c r="BW47" i="37" s="1"/>
  <c r="BC47" i="37"/>
  <c r="BG47" i="37" s="1"/>
  <c r="AO44" i="37"/>
  <c r="BS43" i="37"/>
  <c r="BW43" i="37" s="1"/>
  <c r="BC43" i="37"/>
  <c r="BG43" i="37" s="1"/>
  <c r="BC91" i="37"/>
  <c r="BG91" i="37" s="1"/>
  <c r="AO90" i="37"/>
  <c r="AO79" i="37"/>
  <c r="BS75" i="37"/>
  <c r="BW75" i="37" s="1"/>
  <c r="AN73" i="37"/>
  <c r="BS68" i="37"/>
  <c r="BW68" i="37" s="1"/>
  <c r="AO63" i="37"/>
  <c r="AO60" i="37"/>
  <c r="BS59" i="37"/>
  <c r="BW59" i="37" s="1"/>
  <c r="AO58" i="37"/>
  <c r="BS57" i="37"/>
  <c r="BW57" i="37" s="1"/>
  <c r="AO55" i="37"/>
  <c r="BC54" i="37"/>
  <c r="BG54" i="37" s="1"/>
  <c r="BD52" i="37"/>
  <c r="BH52" i="37" s="1"/>
  <c r="AN52" i="37"/>
  <c r="BR51" i="37"/>
  <c r="BV51" i="37" s="1"/>
  <c r="BS100" i="37"/>
  <c r="BW100" i="37" s="1"/>
  <c r="BD85" i="37"/>
  <c r="BH85" i="37" s="1"/>
  <c r="BC82" i="37"/>
  <c r="BG82" i="37" s="1"/>
  <c r="BR75" i="37"/>
  <c r="BV75" i="37" s="1"/>
  <c r="BS69" i="37"/>
  <c r="BW69" i="37" s="1"/>
  <c r="P69" i="37"/>
  <c r="Y69" i="37" s="1"/>
  <c r="BR68" i="37"/>
  <c r="BV68" i="37" s="1"/>
  <c r="O68" i="37"/>
  <c r="X68" i="37" s="1"/>
  <c r="BS65" i="37"/>
  <c r="BW65" i="37" s="1"/>
  <c r="BS62" i="37"/>
  <c r="BW62" i="37" s="1"/>
  <c r="BD61" i="37"/>
  <c r="BH61" i="37" s="1"/>
  <c r="AN58" i="37"/>
  <c r="BR57" i="37"/>
  <c r="BV57" i="37" s="1"/>
  <c r="BS56" i="37"/>
  <c r="BW56" i="37" s="1"/>
  <c r="BS54" i="37"/>
  <c r="BW54" i="37" s="1"/>
  <c r="AO53" i="37"/>
  <c r="BS52" i="37"/>
  <c r="BW52" i="37" s="1"/>
  <c r="BC52" i="37"/>
  <c r="BG52" i="37" s="1"/>
  <c r="AO49" i="37"/>
  <c r="BS48" i="37"/>
  <c r="BW48" i="37" s="1"/>
  <c r="BC48" i="37"/>
  <c r="BG48" i="37" s="1"/>
  <c r="AO45" i="37"/>
  <c r="BS44" i="37"/>
  <c r="BW44" i="37" s="1"/>
  <c r="O81" i="37"/>
  <c r="X81" i="37" s="1"/>
  <c r="BC72" i="37"/>
  <c r="BG72" i="37" s="1"/>
  <c r="O72" i="37"/>
  <c r="X72" i="37" s="1"/>
  <c r="BC68" i="37"/>
  <c r="BG68" i="37" s="1"/>
  <c r="BS63" i="37"/>
  <c r="BW63" i="37" s="1"/>
  <c r="O63" i="37"/>
  <c r="X63" i="37" s="1"/>
  <c r="AO62" i="37"/>
  <c r="BS61" i="37"/>
  <c r="BW61" i="37" s="1"/>
  <c r="AO59" i="37"/>
  <c r="AO56" i="37"/>
  <c r="BS55" i="37"/>
  <c r="BW55" i="37" s="1"/>
  <c r="O55" i="37"/>
  <c r="X55" i="37" s="1"/>
  <c r="BR53" i="37"/>
  <c r="BV53" i="37" s="1"/>
  <c r="P74" i="37"/>
  <c r="Y74" i="37" s="1"/>
  <c r="AO65" i="37"/>
  <c r="BC64" i="37"/>
  <c r="BG64" i="37" s="1"/>
  <c r="BC63" i="37"/>
  <c r="BG63" i="37" s="1"/>
  <c r="P51" i="37"/>
  <c r="Y51" i="37" s="1"/>
  <c r="BR49" i="37"/>
  <c r="BV49" i="37" s="1"/>
  <c r="P48" i="37"/>
  <c r="Y48" i="37" s="1"/>
  <c r="AN47" i="37"/>
  <c r="BS46" i="37"/>
  <c r="BW46" i="37" s="1"/>
  <c r="P42" i="37"/>
  <c r="Y42" i="37" s="1"/>
  <c r="BR41" i="37"/>
  <c r="BV41" i="37" s="1"/>
  <c r="P39" i="37"/>
  <c r="Y39" i="37" s="1"/>
  <c r="O69" i="37"/>
  <c r="X69" i="37" s="1"/>
  <c r="AN65" i="37"/>
  <c r="BD53" i="37"/>
  <c r="BH53" i="37" s="1"/>
  <c r="AO50" i="37"/>
  <c r="BR48" i="37"/>
  <c r="BV48" i="37" s="1"/>
  <c r="BR46" i="37"/>
  <c r="BV46" i="37" s="1"/>
  <c r="BD45" i="37"/>
  <c r="BH45" i="37" s="1"/>
  <c r="AO43" i="37"/>
  <c r="O42" i="37"/>
  <c r="X42" i="37" s="1"/>
  <c r="BS89" i="37"/>
  <c r="BW89" i="37" s="1"/>
  <c r="AN57" i="37"/>
  <c r="P50" i="37"/>
  <c r="Y50" i="37" s="1"/>
  <c r="P47" i="37"/>
  <c r="Y47" i="37" s="1"/>
  <c r="AO46" i="37"/>
  <c r="BD44" i="37"/>
  <c r="BH44" i="37" s="1"/>
  <c r="BD43" i="37"/>
  <c r="BH43" i="37" s="1"/>
  <c r="AO42" i="37"/>
  <c r="BR56" i="37"/>
  <c r="BV56" i="37" s="1"/>
  <c r="AN53" i="37"/>
  <c r="O50" i="37"/>
  <c r="X50" i="37" s="1"/>
  <c r="BD49" i="37"/>
  <c r="BH49" i="37" s="1"/>
  <c r="AN48" i="37"/>
  <c r="BR47" i="37"/>
  <c r="BV47" i="37" s="1"/>
  <c r="O47" i="37"/>
  <c r="X47" i="37" s="1"/>
  <c r="AN46" i="37"/>
  <c r="BS45" i="37"/>
  <c r="BW45" i="37" s="1"/>
  <c r="BC44" i="37"/>
  <c r="BG44" i="37" s="1"/>
  <c r="AN42" i="37"/>
  <c r="P41" i="37"/>
  <c r="Y41" i="37" s="1"/>
  <c r="BD40" i="37"/>
  <c r="BH40" i="37" s="1"/>
  <c r="AN40" i="37"/>
  <c r="BR39" i="37"/>
  <c r="BV39" i="37" s="1"/>
  <c r="BC67" i="37"/>
  <c r="BG67" i="37" s="1"/>
  <c r="AO57" i="37"/>
  <c r="BS53" i="37"/>
  <c r="BW53" i="37" s="1"/>
  <c r="BR52" i="37"/>
  <c r="BV52" i="37" s="1"/>
  <c r="BD48" i="37"/>
  <c r="BH48" i="37" s="1"/>
  <c r="BD47" i="37"/>
  <c r="BH47" i="37" s="1"/>
  <c r="BR44" i="37"/>
  <c r="BV44" i="37" s="1"/>
  <c r="BD42" i="37"/>
  <c r="BH42" i="37" s="1"/>
  <c r="BD41" i="37"/>
  <c r="BH41" i="37" s="1"/>
  <c r="BS40" i="37"/>
  <c r="BW40" i="37" s="1"/>
  <c r="BR38" i="37"/>
  <c r="BV38" i="37" s="1"/>
  <c r="BD35" i="37"/>
  <c r="BH35" i="37" s="1"/>
  <c r="AN35" i="37"/>
  <c r="BR34" i="37"/>
  <c r="BV34" i="37" s="1"/>
  <c r="BD31" i="37"/>
  <c r="BH31" i="37" s="1"/>
  <c r="AN31" i="37"/>
  <c r="BR30" i="37"/>
  <c r="BV30" i="37" s="1"/>
  <c r="BD27" i="37"/>
  <c r="BH27" i="37" s="1"/>
  <c r="AN27" i="37"/>
  <c r="BR26" i="37"/>
  <c r="BV26" i="37" s="1"/>
  <c r="BD23" i="37"/>
  <c r="BH23" i="37" s="1"/>
  <c r="AN23" i="37"/>
  <c r="BR22" i="37"/>
  <c r="BV22" i="37" s="1"/>
  <c r="BD19" i="37"/>
  <c r="BH19" i="37" s="1"/>
  <c r="AN19" i="37"/>
  <c r="BR18" i="37"/>
  <c r="BV18" i="37" s="1"/>
  <c r="BC60" i="37"/>
  <c r="BG60" i="37" s="1"/>
  <c r="BC49" i="37"/>
  <c r="BG49" i="37" s="1"/>
  <c r="BC45" i="37"/>
  <c r="BG45" i="37" s="1"/>
  <c r="BC42" i="37"/>
  <c r="BG42" i="37" s="1"/>
  <c r="BC41" i="37"/>
  <c r="BG41" i="37" s="1"/>
  <c r="BR40" i="37"/>
  <c r="BV40" i="37" s="1"/>
  <c r="AO40" i="37"/>
  <c r="BC53" i="37"/>
  <c r="BG53" i="37" s="1"/>
  <c r="AN50" i="37"/>
  <c r="AO39" i="37"/>
  <c r="BD36" i="37"/>
  <c r="BH36" i="37" s="1"/>
  <c r="AN36" i="37"/>
  <c r="BR35" i="37"/>
  <c r="BV35" i="37" s="1"/>
  <c r="P33" i="37"/>
  <c r="Y33" i="37" s="1"/>
  <c r="BD32" i="37"/>
  <c r="BH32" i="37" s="1"/>
  <c r="AN32" i="37"/>
  <c r="BR31" i="37"/>
  <c r="BV31" i="37" s="1"/>
  <c r="P29" i="37"/>
  <c r="Y29" i="37" s="1"/>
  <c r="BD28" i="37"/>
  <c r="BH28" i="37" s="1"/>
  <c r="AN28" i="37"/>
  <c r="BR27" i="37"/>
  <c r="BV27" i="37" s="1"/>
  <c r="P25" i="37"/>
  <c r="Y25" i="37" s="1"/>
  <c r="BD24" i="37"/>
  <c r="BH24" i="37" s="1"/>
  <c r="AN24" i="37"/>
  <c r="BR23" i="37"/>
  <c r="BV23" i="37" s="1"/>
  <c r="P21" i="37"/>
  <c r="Y21" i="37" s="1"/>
  <c r="BD20" i="37"/>
  <c r="BH20" i="37" s="1"/>
  <c r="AN20" i="37"/>
  <c r="BR19" i="37"/>
  <c r="BV19" i="37" s="1"/>
  <c r="BR65" i="37"/>
  <c r="BV65" i="37" s="1"/>
  <c r="AN39" i="37"/>
  <c r="AO37" i="37"/>
  <c r="BS36" i="37"/>
  <c r="BW36" i="37" s="1"/>
  <c r="BC36" i="37"/>
  <c r="BG36" i="37" s="1"/>
  <c r="AO33" i="37"/>
  <c r="O33" i="37"/>
  <c r="X33" i="37" s="1"/>
  <c r="BS32" i="37"/>
  <c r="BW32" i="37" s="1"/>
  <c r="BC32" i="37"/>
  <c r="BG32" i="37" s="1"/>
  <c r="AO29" i="37"/>
  <c r="O29" i="37"/>
  <c r="X29" i="37" s="1"/>
  <c r="BS28" i="37"/>
  <c r="BW28" i="37" s="1"/>
  <c r="BC28" i="37"/>
  <c r="BG28" i="37" s="1"/>
  <c r="AO25" i="37"/>
  <c r="O25" i="37"/>
  <c r="X25" i="37" s="1"/>
  <c r="BS24" i="37"/>
  <c r="BW24" i="37" s="1"/>
  <c r="BC24" i="37"/>
  <c r="BG24" i="37" s="1"/>
  <c r="AO21" i="37"/>
  <c r="O21" i="37"/>
  <c r="X21" i="37" s="1"/>
  <c r="BS20" i="37"/>
  <c r="BW20" i="37" s="1"/>
  <c r="BC20" i="37"/>
  <c r="BG20" i="37" s="1"/>
  <c r="AO17" i="37"/>
  <c r="O17" i="37"/>
  <c r="X17" i="37" s="1"/>
  <c r="BC61" i="37"/>
  <c r="BG61" i="37" s="1"/>
  <c r="P55" i="37"/>
  <c r="Y55" i="37" s="1"/>
  <c r="AN49" i="37"/>
  <c r="AO47" i="37"/>
  <c r="BD46" i="37"/>
  <c r="BH46" i="37" s="1"/>
  <c r="BR43" i="37"/>
  <c r="BV43" i="37" s="1"/>
  <c r="AN43" i="37"/>
  <c r="BS42" i="37"/>
  <c r="BW42" i="37" s="1"/>
  <c r="BS41" i="37"/>
  <c r="BW41" i="37" s="1"/>
  <c r="AO41" i="37"/>
  <c r="BD39" i="37"/>
  <c r="BH39" i="37" s="1"/>
  <c r="BD37" i="37"/>
  <c r="BH37" i="37" s="1"/>
  <c r="AN37" i="37"/>
  <c r="BR36" i="37"/>
  <c r="BV36" i="37" s="1"/>
  <c r="P34" i="37"/>
  <c r="Y34" i="37" s="1"/>
  <c r="BD33" i="37"/>
  <c r="BH33" i="37" s="1"/>
  <c r="AN33" i="37"/>
  <c r="BR32" i="37"/>
  <c r="BV32" i="37" s="1"/>
  <c r="P30" i="37"/>
  <c r="Y30" i="37" s="1"/>
  <c r="BD29" i="37"/>
  <c r="BH29" i="37" s="1"/>
  <c r="AN29" i="37"/>
  <c r="BR28" i="37"/>
  <c r="BV28" i="37" s="1"/>
  <c r="P26" i="37"/>
  <c r="Y26" i="37" s="1"/>
  <c r="BD25" i="37"/>
  <c r="BH25" i="37" s="1"/>
  <c r="AN25" i="37"/>
  <c r="BR24" i="37"/>
  <c r="BV24" i="37" s="1"/>
  <c r="P22" i="37"/>
  <c r="Y22" i="37" s="1"/>
  <c r="BD21" i="37"/>
  <c r="BH21" i="37" s="1"/>
  <c r="AN21" i="37"/>
  <c r="BR20" i="37"/>
  <c r="BV20" i="37" s="1"/>
  <c r="P18" i="37"/>
  <c r="Y18" i="37" s="1"/>
  <c r="BD17" i="37"/>
  <c r="BH17" i="37" s="1"/>
  <c r="AN17" i="37"/>
  <c r="P15" i="37"/>
  <c r="BS17" i="37"/>
  <c r="BW17" i="37" s="1"/>
  <c r="BR37" i="37"/>
  <c r="BV37" i="37" s="1"/>
  <c r="BD38" i="37"/>
  <c r="BH38" i="37" s="1"/>
  <c r="BC40" i="37"/>
  <c r="BG40" i="37" s="1"/>
  <c r="BR45" i="37"/>
  <c r="BV45" i="37" s="1"/>
  <c r="BS49" i="37"/>
  <c r="BW49" i="37" s="1"/>
  <c r="BD50" i="37"/>
  <c r="BH50" i="37" s="1"/>
  <c r="BC55" i="37"/>
  <c r="BG55" i="37" s="1"/>
  <c r="BC58" i="37"/>
  <c r="BG58" i="37" s="1"/>
  <c r="AS38" i="37"/>
  <c r="AN14" i="36"/>
  <c r="AN26" i="36"/>
  <c r="AR26" i="36" s="1"/>
  <c r="AO20" i="37"/>
  <c r="K22" i="37" a="1"/>
  <c r="K22" i="37" s="1"/>
  <c r="O22" i="37" s="1"/>
  <c r="X22" i="37" s="1"/>
  <c r="AO24" i="37"/>
  <c r="K26" i="37" a="1"/>
  <c r="K26" i="37" s="1"/>
  <c r="O26" i="37" s="1"/>
  <c r="X26" i="37" s="1"/>
  <c r="AO28" i="37"/>
  <c r="K30" i="37" a="1"/>
  <c r="K30" i="37" s="1"/>
  <c r="O30" i="37" s="1"/>
  <c r="X30" i="37" s="1"/>
  <c r="AO32" i="37"/>
  <c r="K34" i="37" a="1"/>
  <c r="K34" i="37" s="1"/>
  <c r="O34" i="37" s="1"/>
  <c r="X34" i="37" s="1"/>
  <c r="AO36" i="37"/>
  <c r="BS37" i="37"/>
  <c r="BW37" i="37" s="1"/>
  <c r="O39" i="37"/>
  <c r="X39" i="37" s="1"/>
  <c r="BC46" i="37"/>
  <c r="BG46" i="37" s="1"/>
  <c r="BD58" i="37"/>
  <c r="BH58" i="37" s="1"/>
  <c r="L38" i="37" a="1"/>
  <c r="L38" i="37" s="1"/>
  <c r="P38" i="37" s="1"/>
  <c r="Y38" i="37" s="1"/>
  <c r="L45" i="37" a="1"/>
  <c r="L45" i="37" s="1"/>
  <c r="P45" i="37" s="1"/>
  <c r="Y45" i="37" s="1"/>
  <c r="K45" i="37" a="1"/>
  <c r="K45" i="37" s="1"/>
  <c r="O45" i="37" s="1"/>
  <c r="X45" i="37" s="1"/>
  <c r="L56" i="37" a="1"/>
  <c r="L56" i="37" s="1"/>
  <c r="P56" i="37" s="1"/>
  <c r="Y56" i="37" s="1"/>
  <c r="K56" i="37" a="1"/>
  <c r="K56" i="37" s="1"/>
  <c r="O56" i="37" s="1"/>
  <c r="X56" i="37" s="1"/>
  <c r="K48" i="37" a="1"/>
  <c r="K48" i="37" s="1"/>
  <c r="O48" i="37" s="1"/>
  <c r="X48" i="37" s="1"/>
  <c r="K62" i="37" a="1"/>
  <c r="K62" i="37" s="1"/>
  <c r="O62" i="37" s="1"/>
  <c r="X62" i="37" s="1"/>
  <c r="L62" i="37" a="1"/>
  <c r="L62" i="37" s="1"/>
  <c r="P62" i="37" s="1"/>
  <c r="Y62" i="37" s="1"/>
  <c r="L52" i="37" a="1"/>
  <c r="L52" i="37" s="1"/>
  <c r="P52" i="37" s="1"/>
  <c r="Y52" i="37" s="1"/>
  <c r="K52" i="37" a="1"/>
  <c r="K52" i="37" s="1"/>
  <c r="O52" i="37" s="1"/>
  <c r="X52" i="37" s="1"/>
  <c r="L64" i="37" a="1"/>
  <c r="L64" i="37" s="1"/>
  <c r="P64" i="37" s="1"/>
  <c r="Y64" i="37" s="1"/>
  <c r="K64" i="37" a="1"/>
  <c r="K64" i="37" s="1"/>
  <c r="O64" i="37" s="1"/>
  <c r="X64" i="37" s="1"/>
  <c r="L85" i="37" a="1"/>
  <c r="L85" i="37" s="1"/>
  <c r="P85" i="37" s="1"/>
  <c r="Y85" i="37" s="1"/>
  <c r="K85" i="37" a="1"/>
  <c r="K85" i="37" s="1"/>
  <c r="O85" i="37" s="1"/>
  <c r="X85" i="37" s="1"/>
  <c r="L49" i="37" a="1"/>
  <c r="L49" i="37" s="1"/>
  <c r="P49" i="37" s="1"/>
  <c r="Y49" i="37" s="1"/>
  <c r="K49" i="37" a="1"/>
  <c r="K49" i="37" s="1"/>
  <c r="O49" i="37" s="1"/>
  <c r="X49" i="37" s="1"/>
  <c r="K59" i="37" a="1"/>
  <c r="K59" i="37" s="1"/>
  <c r="O59" i="37" s="1"/>
  <c r="X59" i="37" s="1"/>
  <c r="L59" i="37" a="1"/>
  <c r="L59" i="37" s="1"/>
  <c r="P59" i="37" s="1"/>
  <c r="Y59" i="37" s="1"/>
  <c r="L99" i="37" a="1"/>
  <c r="L99" i="37" s="1"/>
  <c r="P99" i="37" s="1"/>
  <c r="Y99" i="37" s="1"/>
  <c r="K99" i="37" a="1"/>
  <c r="K99" i="37" s="1"/>
  <c r="O99" i="37" s="1"/>
  <c r="X99" i="37" s="1"/>
  <c r="L102" i="37" a="1"/>
  <c r="L102" i="37" s="1"/>
  <c r="P102" i="37" s="1"/>
  <c r="Y102" i="37" s="1"/>
  <c r="K102" i="37" a="1"/>
  <c r="K102" i="37" s="1"/>
  <c r="O102" i="37" s="1"/>
  <c r="X102" i="37" s="1"/>
  <c r="K53" i="37" a="1"/>
  <c r="K53" i="37" s="1"/>
  <c r="O53" i="37" s="1"/>
  <c r="X53" i="37" s="1"/>
  <c r="K61" i="37" a="1"/>
  <c r="K61" i="37" s="1"/>
  <c r="O61" i="37" s="1"/>
  <c r="X61" i="37" s="1"/>
  <c r="K71" i="37" a="1"/>
  <c r="K71" i="37" s="1"/>
  <c r="O71" i="37" s="1"/>
  <c r="X71" i="37" s="1"/>
  <c r="L71" i="37" a="1"/>
  <c r="L71" i="37" s="1"/>
  <c r="P71" i="37" s="1"/>
  <c r="Y71" i="37" s="1"/>
  <c r="L63" i="37" a="1"/>
  <c r="L63" i="37" s="1"/>
  <c r="P63" i="37" s="1"/>
  <c r="Y63" i="37" s="1"/>
  <c r="K96" i="37" a="1"/>
  <c r="K96" i="37" s="1"/>
  <c r="O96" i="37" s="1"/>
  <c r="X96" i="37" s="1"/>
  <c r="L96" i="37" a="1"/>
  <c r="L96" i="37" s="1"/>
  <c r="P96" i="37" s="1"/>
  <c r="Y96" i="37" s="1"/>
  <c r="L53" i="37" a="1"/>
  <c r="L53" i="37" s="1"/>
  <c r="P53" i="37" s="1"/>
  <c r="Y53" i="37" s="1"/>
  <c r="L75" i="37" a="1"/>
  <c r="L75" i="37" s="1"/>
  <c r="P75" i="37" s="1"/>
  <c r="Y75" i="37" s="1"/>
  <c r="K75" i="37" a="1"/>
  <c r="K75" i="37" s="1"/>
  <c r="O75" i="37" s="1"/>
  <c r="X75" i="37" s="1"/>
  <c r="L88" i="37" a="1"/>
  <c r="L88" i="37" s="1"/>
  <c r="P88" i="37" s="1"/>
  <c r="Y88" i="37" s="1"/>
  <c r="K88" i="37" a="1"/>
  <c r="K88" i="37" s="1"/>
  <c r="O88" i="37" s="1"/>
  <c r="X88" i="37" s="1"/>
  <c r="K70" i="37" a="1"/>
  <c r="K70" i="37" s="1"/>
  <c r="O70" i="37" s="1"/>
  <c r="X70" i="37" s="1"/>
  <c r="L82" i="37" a="1"/>
  <c r="L82" i="37" s="1"/>
  <c r="P82" i="37" s="1"/>
  <c r="Y82" i="37" s="1"/>
  <c r="K82" i="37" a="1"/>
  <c r="K82" i="37" s="1"/>
  <c r="O82" i="37" s="1"/>
  <c r="X82" i="37" s="1"/>
  <c r="K84" i="37" a="1"/>
  <c r="K84" i="37" s="1"/>
  <c r="O84" i="37" s="1"/>
  <c r="X84" i="37" s="1"/>
  <c r="L84" i="37" a="1"/>
  <c r="L84" i="37" s="1"/>
  <c r="P84" i="37" s="1"/>
  <c r="Y84" i="37" s="1"/>
  <c r="L95" i="37" a="1"/>
  <c r="L95" i="37" s="1"/>
  <c r="P95" i="37" s="1"/>
  <c r="Y95" i="37" s="1"/>
  <c r="K95" i="37" a="1"/>
  <c r="K95" i="37" s="1"/>
  <c r="O95" i="37" s="1"/>
  <c r="X95" i="37" s="1"/>
  <c r="L92" i="37" a="1"/>
  <c r="L92" i="37" s="1"/>
  <c r="P92" i="37" s="1"/>
  <c r="Y92" i="37" s="1"/>
  <c r="K92" i="37" a="1"/>
  <c r="K92" i="37" s="1"/>
  <c r="O92" i="37" s="1"/>
  <c r="X92" i="37" s="1"/>
  <c r="L72" i="37" a="1"/>
  <c r="L72" i="37" s="1"/>
  <c r="P72" i="37" s="1"/>
  <c r="Y72" i="37" s="1"/>
  <c r="K74" i="37" a="1"/>
  <c r="K74" i="37" s="1"/>
  <c r="O74" i="37" s="1"/>
  <c r="X74" i="37" s="1"/>
  <c r="K100" i="37" a="1"/>
  <c r="K100" i="37" s="1"/>
  <c r="O100" i="37" s="1"/>
  <c r="X100" i="37" s="1"/>
  <c r="L100" i="37" a="1"/>
  <c r="L100" i="37" s="1"/>
  <c r="P100" i="37" s="1"/>
  <c r="Y100" i="37" s="1"/>
  <c r="L104" i="37" a="1"/>
  <c r="L104" i="37" s="1"/>
  <c r="P104" i="37" s="1"/>
  <c r="Y104" i="37" s="1"/>
  <c r="L106" i="37" a="1"/>
  <c r="L106" i="37" s="1"/>
  <c r="P106" i="37" s="1"/>
  <c r="L109" i="37" a="1"/>
  <c r="L109" i="37" s="1"/>
  <c r="P109" i="37" s="1"/>
  <c r="Y109" i="37" s="1"/>
  <c r="K109" i="37" a="1"/>
  <c r="K109" i="37" s="1"/>
  <c r="O109" i="37" s="1"/>
  <c r="X109" i="37" s="1"/>
  <c r="L119" i="37" a="1"/>
  <c r="L119" i="37" s="1"/>
  <c r="K119" i="37" a="1"/>
  <c r="K119" i="37" s="1"/>
  <c r="L76" i="37" a="1"/>
  <c r="L76" i="37" s="1"/>
  <c r="P76" i="37" s="1"/>
  <c r="Y76" i="37" s="1"/>
  <c r="L80" i="37" a="1"/>
  <c r="L80" i="37" s="1"/>
  <c r="P80" i="37" s="1"/>
  <c r="Y80" i="37" s="1"/>
  <c r="K83" i="37" a="1"/>
  <c r="K83" i="37" s="1"/>
  <c r="O83" i="37" s="1"/>
  <c r="X83" i="37" s="1"/>
  <c r="K86" i="37" a="1"/>
  <c r="K86" i="37" s="1"/>
  <c r="O86" i="37" s="1"/>
  <c r="X86" i="37" s="1"/>
  <c r="K89" i="37" a="1"/>
  <c r="K89" i="37" s="1"/>
  <c r="O89" i="37" s="1"/>
  <c r="X89" i="37" s="1"/>
  <c r="L90" i="37" a="1"/>
  <c r="L90" i="37" s="1"/>
  <c r="P90" i="37" s="1"/>
  <c r="Y90" i="37" s="1"/>
  <c r="K97" i="37" a="1"/>
  <c r="K97" i="37" s="1"/>
  <c r="O97" i="37" s="1"/>
  <c r="X97" i="37" s="1"/>
  <c r="K101" i="37" a="1"/>
  <c r="K101" i="37" s="1"/>
  <c r="O101" i="37" s="1"/>
  <c r="X101" i="37" s="1"/>
  <c r="K104" i="37" a="1"/>
  <c r="K104" i="37" s="1"/>
  <c r="O104" i="37" s="1"/>
  <c r="X104" i="37" s="1"/>
  <c r="K106" i="37" a="1"/>
  <c r="K106" i="37" s="1"/>
  <c r="O106" i="37" s="1"/>
  <c r="L86" i="37" a="1"/>
  <c r="L86" i="37" s="1"/>
  <c r="P86" i="37" s="1"/>
  <c r="Y86" i="37" s="1"/>
  <c r="L113" i="37" a="1"/>
  <c r="L113" i="37" s="1"/>
  <c r="P113" i="37" s="1"/>
  <c r="Y113" i="37" s="1"/>
  <c r="K113" i="37" a="1"/>
  <c r="K113" i="37" s="1"/>
  <c r="O113" i="37" s="1"/>
  <c r="X113" i="37" s="1"/>
  <c r="L118" i="37" a="1"/>
  <c r="L118" i="37" s="1"/>
  <c r="K118" i="37" a="1"/>
  <c r="K118" i="37" s="1"/>
  <c r="L115" i="37" a="1"/>
  <c r="L115" i="37" s="1"/>
  <c r="P115" i="37" s="1"/>
  <c r="Y115" i="37" s="1"/>
  <c r="L116" i="37" a="1"/>
  <c r="L116" i="37" s="1"/>
  <c r="K110" i="37" a="1"/>
  <c r="K110" i="37" s="1"/>
  <c r="O110" i="37" s="1"/>
  <c r="X110" i="37" s="1"/>
  <c r="K122" i="37" a="1"/>
  <c r="K122" i="37" s="1"/>
  <c r="L110" i="37" a="1"/>
  <c r="L110" i="37" s="1"/>
  <c r="P110" i="37" s="1"/>
  <c r="Y110" i="37" s="1"/>
  <c r="L122" i="37" a="1"/>
  <c r="L122" i="37" s="1"/>
  <c r="P122" i="37" s="1"/>
  <c r="K108" i="37" a="1"/>
  <c r="K108" i="37" s="1"/>
  <c r="O108" i="37" s="1"/>
  <c r="X108" i="37" s="1"/>
  <c r="N6" i="36" a="1"/>
  <c r="N6" i="36" s="1"/>
  <c r="BD14" i="36"/>
  <c r="BH14" i="36" s="1"/>
  <c r="O16" i="36"/>
  <c r="X16" i="36" s="1"/>
  <c r="X15" i="36" s="1"/>
  <c r="AO16" i="36"/>
  <c r="BD18" i="36"/>
  <c r="BH18" i="36" s="1"/>
  <c r="BC14" i="36"/>
  <c r="BG14" i="36" s="1"/>
  <c r="BR17" i="36"/>
  <c r="BV17" i="36" s="1"/>
  <c r="BR18" i="36"/>
  <c r="BV18" i="36" s="1"/>
  <c r="BD19" i="36"/>
  <c r="BH19" i="36" s="1"/>
  <c r="L22" i="36" a="1"/>
  <c r="L22" i="36" s="1"/>
  <c r="P22" i="36" s="1"/>
  <c r="Y22" i="36" s="1"/>
  <c r="K22" i="36" a="1"/>
  <c r="K22" i="36" s="1"/>
  <c r="O22" i="36" s="1"/>
  <c r="X22" i="36" s="1"/>
  <c r="BR25" i="36"/>
  <c r="BV25" i="36" s="1"/>
  <c r="BD22" i="36"/>
  <c r="BH22" i="36" s="1"/>
  <c r="L18" i="36" a="1"/>
  <c r="L18" i="36" s="1"/>
  <c r="P18" i="36" s="1"/>
  <c r="Y18" i="36" s="1"/>
  <c r="K18" i="36" a="1"/>
  <c r="K18" i="36" s="1"/>
  <c r="O18" i="36" s="1"/>
  <c r="X18" i="36" s="1"/>
  <c r="BR14" i="36"/>
  <c r="BV14" i="36" s="1"/>
  <c r="P115" i="36"/>
  <c r="Y115" i="36" s="1"/>
  <c r="BD114" i="36"/>
  <c r="BH114" i="36" s="1"/>
  <c r="AN114" i="36"/>
  <c r="BR113" i="36"/>
  <c r="BV113" i="36" s="1"/>
  <c r="BD110" i="36"/>
  <c r="BH110" i="36" s="1"/>
  <c r="AN110" i="36"/>
  <c r="AO115" i="36"/>
  <c r="O115" i="36"/>
  <c r="X115" i="36" s="1"/>
  <c r="BS114" i="36"/>
  <c r="BW114" i="36" s="1"/>
  <c r="BC114" i="36"/>
  <c r="BG114" i="36" s="1"/>
  <c r="AO111" i="36"/>
  <c r="BS110" i="36"/>
  <c r="BW110" i="36" s="1"/>
  <c r="BC110" i="36"/>
  <c r="BG110" i="36" s="1"/>
  <c r="BD115" i="36"/>
  <c r="BH115" i="36" s="1"/>
  <c r="AN115" i="36"/>
  <c r="BR114" i="36"/>
  <c r="BV114" i="36" s="1"/>
  <c r="P112" i="36"/>
  <c r="Y112" i="36" s="1"/>
  <c r="BS115" i="36"/>
  <c r="BW115" i="36" s="1"/>
  <c r="BC115" i="36"/>
  <c r="BG115" i="36" s="1"/>
  <c r="BR115" i="36"/>
  <c r="BV115" i="36" s="1"/>
  <c r="P113" i="36"/>
  <c r="Y113" i="36" s="1"/>
  <c r="BD112" i="36"/>
  <c r="BH112" i="36" s="1"/>
  <c r="AN112" i="36"/>
  <c r="BR111" i="36"/>
  <c r="BV111" i="36" s="1"/>
  <c r="AO113" i="36"/>
  <c r="O113" i="36"/>
  <c r="X113" i="36" s="1"/>
  <c r="AO110" i="36"/>
  <c r="BR109" i="36"/>
  <c r="BV109" i="36" s="1"/>
  <c r="BD107" i="36"/>
  <c r="BH107" i="36" s="1"/>
  <c r="AN107" i="36"/>
  <c r="BR106" i="36"/>
  <c r="BV106" i="36" s="1"/>
  <c r="AO114" i="36"/>
  <c r="O114" i="36"/>
  <c r="X114" i="36" s="1"/>
  <c r="BD113" i="36"/>
  <c r="BH113" i="36" s="1"/>
  <c r="AO112" i="36"/>
  <c r="BS111" i="36"/>
  <c r="BW111" i="36" s="1"/>
  <c r="AO108" i="36"/>
  <c r="O108" i="36"/>
  <c r="X108" i="36" s="1"/>
  <c r="BS107" i="36"/>
  <c r="BW107" i="36" s="1"/>
  <c r="BC107" i="36"/>
  <c r="BG107" i="36" s="1"/>
  <c r="AO104" i="36"/>
  <c r="BC113" i="36"/>
  <c r="BG113" i="36" s="1"/>
  <c r="BS112" i="36"/>
  <c r="BW112" i="36" s="1"/>
  <c r="BD108" i="36"/>
  <c r="BH108" i="36" s="1"/>
  <c r="AN108" i="36"/>
  <c r="BR107" i="36"/>
  <c r="BV107" i="36" s="1"/>
  <c r="BD104" i="36"/>
  <c r="BH104" i="36" s="1"/>
  <c r="AN104" i="36"/>
  <c r="BR103" i="36"/>
  <c r="BV103" i="36" s="1"/>
  <c r="BD100" i="36"/>
  <c r="BH100" i="36" s="1"/>
  <c r="BR112" i="36"/>
  <c r="BV112" i="36" s="1"/>
  <c r="O112" i="36"/>
  <c r="X112" i="36" s="1"/>
  <c r="AN111" i="36"/>
  <c r="AO109" i="36"/>
  <c r="BS108" i="36"/>
  <c r="BW108" i="36" s="1"/>
  <c r="BC108" i="36"/>
  <c r="BG108" i="36" s="1"/>
  <c r="AO105" i="36"/>
  <c r="BS104" i="36"/>
  <c r="BW104" i="36" s="1"/>
  <c r="BC104" i="36"/>
  <c r="BG104" i="36" s="1"/>
  <c r="AN113" i="36"/>
  <c r="BD111" i="36"/>
  <c r="BH111" i="36" s="1"/>
  <c r="BD109" i="36"/>
  <c r="BH109" i="36" s="1"/>
  <c r="AO106" i="36"/>
  <c r="BS105" i="36"/>
  <c r="BW105" i="36" s="1"/>
  <c r="BC105" i="36"/>
  <c r="BG105" i="36" s="1"/>
  <c r="AO102" i="36"/>
  <c r="BS101" i="36"/>
  <c r="BW101" i="36" s="1"/>
  <c r="BC101" i="36"/>
  <c r="BG101" i="36" s="1"/>
  <c r="BR110" i="36"/>
  <c r="BV110" i="36" s="1"/>
  <c r="BS106" i="36"/>
  <c r="BW106" i="36" s="1"/>
  <c r="BR100" i="36"/>
  <c r="BV100" i="36" s="1"/>
  <c r="AO98" i="36"/>
  <c r="BS97" i="36"/>
  <c r="BW97" i="36" s="1"/>
  <c r="BC97" i="36"/>
  <c r="BG97" i="36" s="1"/>
  <c r="AO94" i="36"/>
  <c r="O94" i="36"/>
  <c r="X94" i="36" s="1"/>
  <c r="BS93" i="36"/>
  <c r="BW93" i="36" s="1"/>
  <c r="BC93" i="36"/>
  <c r="BG93" i="36" s="1"/>
  <c r="AO90" i="36"/>
  <c r="BS89" i="36"/>
  <c r="BW89" i="36" s="1"/>
  <c r="BC109" i="36"/>
  <c r="BG109" i="36" s="1"/>
  <c r="AO103" i="36"/>
  <c r="P102" i="36"/>
  <c r="Y102" i="36" s="1"/>
  <c r="BD101" i="36"/>
  <c r="BH101" i="36" s="1"/>
  <c r="BD98" i="36"/>
  <c r="BH98" i="36" s="1"/>
  <c r="AN98" i="36"/>
  <c r="BR97" i="36"/>
  <c r="BV97" i="36" s="1"/>
  <c r="BD94" i="36"/>
  <c r="BH94" i="36" s="1"/>
  <c r="AN94" i="36"/>
  <c r="BR93" i="36"/>
  <c r="BV93" i="36" s="1"/>
  <c r="BC112" i="36"/>
  <c r="BG112" i="36" s="1"/>
  <c r="AO107" i="36"/>
  <c r="O107" i="36"/>
  <c r="X107" i="36" s="1"/>
  <c r="BR105" i="36"/>
  <c r="BV105" i="36" s="1"/>
  <c r="AN103" i="36"/>
  <c r="BD102" i="36"/>
  <c r="BH102" i="36" s="1"/>
  <c r="AO99" i="36"/>
  <c r="BS98" i="36"/>
  <c r="BW98" i="36" s="1"/>
  <c r="BC98" i="36"/>
  <c r="BG98" i="36" s="1"/>
  <c r="AO95" i="36"/>
  <c r="BS94" i="36"/>
  <c r="BW94" i="36" s="1"/>
  <c r="BC94" i="36"/>
  <c r="BG94" i="36" s="1"/>
  <c r="O104" i="36"/>
  <c r="X104" i="36" s="1"/>
  <c r="BC103" i="36"/>
  <c r="BG103" i="36" s="1"/>
  <c r="AN100" i="36"/>
  <c r="BR99" i="36"/>
  <c r="BV99" i="36" s="1"/>
  <c r="P97" i="36"/>
  <c r="Y97" i="36" s="1"/>
  <c r="BD96" i="36"/>
  <c r="BH96" i="36" s="1"/>
  <c r="AN96" i="36"/>
  <c r="BR95" i="36"/>
  <c r="BV95" i="36" s="1"/>
  <c r="P93" i="36"/>
  <c r="Y93" i="36" s="1"/>
  <c r="BD92" i="36"/>
  <c r="BH92" i="36" s="1"/>
  <c r="AN92" i="36"/>
  <c r="BS113" i="36"/>
  <c r="BW113" i="36" s="1"/>
  <c r="BC111" i="36"/>
  <c r="BG111" i="36" s="1"/>
  <c r="BS109" i="36"/>
  <c r="BW109" i="36" s="1"/>
  <c r="BR108" i="36"/>
  <c r="BV108" i="36" s="1"/>
  <c r="AN109" i="36"/>
  <c r="BR102" i="36"/>
  <c r="BV102" i="36" s="1"/>
  <c r="BD106" i="36"/>
  <c r="BH106" i="36" s="1"/>
  <c r="BD105" i="36"/>
  <c r="BH105" i="36" s="1"/>
  <c r="P104" i="36"/>
  <c r="Y104" i="36" s="1"/>
  <c r="BD103" i="36"/>
  <c r="BH103" i="36" s="1"/>
  <c r="BC106" i="36"/>
  <c r="BG106" i="36" s="1"/>
  <c r="BC102" i="36"/>
  <c r="BG102" i="36" s="1"/>
  <c r="AO97" i="36"/>
  <c r="BD93" i="36"/>
  <c r="BH93" i="36" s="1"/>
  <c r="BC91" i="36"/>
  <c r="BG91" i="36" s="1"/>
  <c r="BC90" i="36"/>
  <c r="BG90" i="36" s="1"/>
  <c r="BC89" i="36"/>
  <c r="BG89" i="36" s="1"/>
  <c r="AO86" i="36"/>
  <c r="BS85" i="36"/>
  <c r="BW85" i="36" s="1"/>
  <c r="BC85" i="36"/>
  <c r="BG85" i="36" s="1"/>
  <c r="AO82" i="36"/>
  <c r="O82" i="36"/>
  <c r="X82" i="36" s="1"/>
  <c r="AN105" i="36"/>
  <c r="O103" i="36"/>
  <c r="X103" i="36" s="1"/>
  <c r="AO100" i="36"/>
  <c r="P100" i="36"/>
  <c r="Y100" i="36" s="1"/>
  <c r="BS99" i="36"/>
  <c r="BW99" i="36" s="1"/>
  <c r="AN99" i="36"/>
  <c r="BR98" i="36"/>
  <c r="BV98" i="36" s="1"/>
  <c r="P98" i="36"/>
  <c r="Y98" i="36" s="1"/>
  <c r="AN97" i="36"/>
  <c r="O93" i="36"/>
  <c r="X93" i="36" s="1"/>
  <c r="BC92" i="36"/>
  <c r="BG92" i="36" s="1"/>
  <c r="BS91" i="36"/>
  <c r="BW91" i="36" s="1"/>
  <c r="BS90" i="36"/>
  <c r="BW90" i="36" s="1"/>
  <c r="BR89" i="36"/>
  <c r="BV89" i="36" s="1"/>
  <c r="BD86" i="36"/>
  <c r="BH86" i="36" s="1"/>
  <c r="AN86" i="36"/>
  <c r="BR85" i="36"/>
  <c r="BV85" i="36" s="1"/>
  <c r="AN106" i="36"/>
  <c r="BS100" i="36"/>
  <c r="BW100" i="36" s="1"/>
  <c r="O100" i="36"/>
  <c r="X100" i="36" s="1"/>
  <c r="O97" i="36"/>
  <c r="X97" i="36" s="1"/>
  <c r="BS96" i="36"/>
  <c r="BW96" i="36" s="1"/>
  <c r="AO96" i="36"/>
  <c r="P96" i="36"/>
  <c r="Y96" i="36" s="1"/>
  <c r="BS95" i="36"/>
  <c r="BW95" i="36" s="1"/>
  <c r="AN95" i="36"/>
  <c r="BR94" i="36"/>
  <c r="BV94" i="36" s="1"/>
  <c r="P92" i="36"/>
  <c r="Y92" i="36" s="1"/>
  <c r="BR91" i="36"/>
  <c r="BV91" i="36" s="1"/>
  <c r="BR90" i="36"/>
  <c r="BV90" i="36" s="1"/>
  <c r="AO87" i="36"/>
  <c r="BS86" i="36"/>
  <c r="BW86" i="36" s="1"/>
  <c r="BC86" i="36"/>
  <c r="BG86" i="36" s="1"/>
  <c r="AN102" i="36"/>
  <c r="BR96" i="36"/>
  <c r="BV96" i="36" s="1"/>
  <c r="O96" i="36"/>
  <c r="X96" i="36" s="1"/>
  <c r="P94" i="36"/>
  <c r="Y94" i="36" s="1"/>
  <c r="BS92" i="36"/>
  <c r="BW92" i="36" s="1"/>
  <c r="O92" i="36"/>
  <c r="X92" i="36" s="1"/>
  <c r="P88" i="36"/>
  <c r="Y88" i="36" s="1"/>
  <c r="BD87" i="36"/>
  <c r="BH87" i="36" s="1"/>
  <c r="AN87" i="36"/>
  <c r="BR86" i="36"/>
  <c r="BV86" i="36" s="1"/>
  <c r="P84" i="36"/>
  <c r="Y84" i="36" s="1"/>
  <c r="BD83" i="36"/>
  <c r="BH83" i="36" s="1"/>
  <c r="AN83" i="36"/>
  <c r="BR82" i="36"/>
  <c r="BV82" i="36" s="1"/>
  <c r="BS102" i="36"/>
  <c r="BW102" i="36" s="1"/>
  <c r="BC99" i="36"/>
  <c r="BG99" i="36" s="1"/>
  <c r="BD95" i="36"/>
  <c r="BH95" i="36" s="1"/>
  <c r="AO93" i="36"/>
  <c r="AO91" i="36"/>
  <c r="P89" i="36"/>
  <c r="Y89" i="36" s="1"/>
  <c r="BD88" i="36"/>
  <c r="BH88" i="36" s="1"/>
  <c r="AN88" i="36"/>
  <c r="BR87" i="36"/>
  <c r="BV87" i="36" s="1"/>
  <c r="P85" i="36"/>
  <c r="Y85" i="36" s="1"/>
  <c r="BD84" i="36"/>
  <c r="BH84" i="36" s="1"/>
  <c r="AN84" i="36"/>
  <c r="BR83" i="36"/>
  <c r="BV83" i="36" s="1"/>
  <c r="BR92" i="36"/>
  <c r="BV92" i="36" s="1"/>
  <c r="BC96" i="36"/>
  <c r="BG96" i="36" s="1"/>
  <c r="AO89" i="36"/>
  <c r="O89" i="36"/>
  <c r="X89" i="36" s="1"/>
  <c r="BS87" i="36"/>
  <c r="BW87" i="36" s="1"/>
  <c r="AN81" i="36"/>
  <c r="BD80" i="36"/>
  <c r="BH80" i="36" s="1"/>
  <c r="AN80" i="36"/>
  <c r="BR79" i="36"/>
  <c r="BV79" i="36" s="1"/>
  <c r="P77" i="36"/>
  <c r="Y77" i="36" s="1"/>
  <c r="BD76" i="36"/>
  <c r="BH76" i="36" s="1"/>
  <c r="AN76" i="36"/>
  <c r="BR75" i="36"/>
  <c r="BV75" i="36" s="1"/>
  <c r="BD72" i="36"/>
  <c r="BH72" i="36" s="1"/>
  <c r="AN72" i="36"/>
  <c r="BR71" i="36"/>
  <c r="BV71" i="36" s="1"/>
  <c r="BC100" i="36"/>
  <c r="BG100" i="36" s="1"/>
  <c r="AN91" i="36"/>
  <c r="AN90" i="36"/>
  <c r="AN89" i="36"/>
  <c r="BC88" i="36"/>
  <c r="BG88" i="36" s="1"/>
  <c r="BD85" i="36"/>
  <c r="BH85" i="36" s="1"/>
  <c r="BS84" i="36"/>
  <c r="BW84" i="36" s="1"/>
  <c r="BD81" i="36"/>
  <c r="BH81" i="36" s="1"/>
  <c r="BC80" i="36"/>
  <c r="BG80" i="36" s="1"/>
  <c r="AO77" i="36"/>
  <c r="O77" i="36"/>
  <c r="X77" i="36" s="1"/>
  <c r="BS76" i="36"/>
  <c r="BW76" i="36" s="1"/>
  <c r="BC76" i="36"/>
  <c r="BG76" i="36" s="1"/>
  <c r="AO101" i="36"/>
  <c r="BD97" i="36"/>
  <c r="BH97" i="36" s="1"/>
  <c r="BR84" i="36"/>
  <c r="BV84" i="36" s="1"/>
  <c r="AO83" i="36"/>
  <c r="BC81" i="36"/>
  <c r="BG81" i="36" s="1"/>
  <c r="BS80" i="36"/>
  <c r="BW80" i="36" s="1"/>
  <c r="BD77" i="36"/>
  <c r="BH77" i="36" s="1"/>
  <c r="AN77" i="36"/>
  <c r="BR76" i="36"/>
  <c r="BV76" i="36" s="1"/>
  <c r="BD73" i="36"/>
  <c r="BH73" i="36" s="1"/>
  <c r="AN73" i="36"/>
  <c r="BR72" i="36"/>
  <c r="BV72" i="36" s="1"/>
  <c r="BS103" i="36"/>
  <c r="BW103" i="36" s="1"/>
  <c r="AN101" i="36"/>
  <c r="AO88" i="36"/>
  <c r="O88" i="36"/>
  <c r="X88" i="36" s="1"/>
  <c r="BC87" i="36"/>
  <c r="BG87" i="36" s="1"/>
  <c r="BS83" i="36"/>
  <c r="BW83" i="36" s="1"/>
  <c r="AN82" i="36"/>
  <c r="BS81" i="36"/>
  <c r="BW81" i="36" s="1"/>
  <c r="BR80" i="36"/>
  <c r="BV80" i="36" s="1"/>
  <c r="AO78" i="36"/>
  <c r="BS77" i="36"/>
  <c r="BW77" i="36" s="1"/>
  <c r="BC77" i="36"/>
  <c r="BG77" i="36" s="1"/>
  <c r="AO74" i="36"/>
  <c r="BC95" i="36"/>
  <c r="BG95" i="36" s="1"/>
  <c r="AO92" i="36"/>
  <c r="BD89" i="36"/>
  <c r="BH89" i="36" s="1"/>
  <c r="BS88" i="36"/>
  <c r="BW88" i="36" s="1"/>
  <c r="AN85" i="36"/>
  <c r="BC84" i="36"/>
  <c r="BG84" i="36" s="1"/>
  <c r="BC82" i="36"/>
  <c r="BG82" i="36" s="1"/>
  <c r="O81" i="36"/>
  <c r="X81" i="36" s="1"/>
  <c r="AO79" i="36"/>
  <c r="BS78" i="36"/>
  <c r="BW78" i="36" s="1"/>
  <c r="BC78" i="36"/>
  <c r="BG78" i="36" s="1"/>
  <c r="AO75" i="36"/>
  <c r="BR104" i="36"/>
  <c r="BV104" i="36" s="1"/>
  <c r="BD79" i="36"/>
  <c r="BH79" i="36" s="1"/>
  <c r="AN93" i="36"/>
  <c r="BD91" i="36"/>
  <c r="BH91" i="36" s="1"/>
  <c r="AO84" i="36"/>
  <c r="BS82" i="36"/>
  <c r="BW82" i="36" s="1"/>
  <c r="BC79" i="36"/>
  <c r="BG79" i="36" s="1"/>
  <c r="BD78" i="36"/>
  <c r="BH78" i="36" s="1"/>
  <c r="P76" i="36"/>
  <c r="Y76" i="36" s="1"/>
  <c r="BS75" i="36"/>
  <c r="BW75" i="36" s="1"/>
  <c r="AN75" i="36"/>
  <c r="BS74" i="36"/>
  <c r="BW74" i="36" s="1"/>
  <c r="AO73" i="36"/>
  <c r="BR88" i="36"/>
  <c r="BV88" i="36" s="1"/>
  <c r="AO76" i="36"/>
  <c r="O76" i="36"/>
  <c r="X76" i="36" s="1"/>
  <c r="BR74" i="36"/>
  <c r="BV74" i="36" s="1"/>
  <c r="AN74" i="36"/>
  <c r="AO68" i="36"/>
  <c r="BS67" i="36"/>
  <c r="BW67" i="36" s="1"/>
  <c r="BC67" i="36"/>
  <c r="BG67" i="36" s="1"/>
  <c r="AO64" i="36"/>
  <c r="BS63" i="36"/>
  <c r="BW63" i="36" s="1"/>
  <c r="BC63" i="36"/>
  <c r="BG63" i="36" s="1"/>
  <c r="AO60" i="36"/>
  <c r="BS59" i="36"/>
  <c r="BW59" i="36" s="1"/>
  <c r="BC59" i="36"/>
  <c r="BG59" i="36" s="1"/>
  <c r="AO56" i="36"/>
  <c r="BS55" i="36"/>
  <c r="BW55" i="36" s="1"/>
  <c r="BC55" i="36"/>
  <c r="BG55" i="36" s="1"/>
  <c r="AO52" i="36"/>
  <c r="BS51" i="36"/>
  <c r="BW51" i="36" s="1"/>
  <c r="BC51" i="36"/>
  <c r="BG51" i="36" s="1"/>
  <c r="AO48" i="36"/>
  <c r="O48" i="36"/>
  <c r="X48" i="36" s="1"/>
  <c r="BS47" i="36"/>
  <c r="BW47" i="36" s="1"/>
  <c r="BD82" i="36"/>
  <c r="BH82" i="36" s="1"/>
  <c r="AO71" i="36"/>
  <c r="BD68" i="36"/>
  <c r="BH68" i="36" s="1"/>
  <c r="AN68" i="36"/>
  <c r="BR67" i="36"/>
  <c r="BV67" i="36" s="1"/>
  <c r="BD64" i="36"/>
  <c r="BH64" i="36" s="1"/>
  <c r="AN64" i="36"/>
  <c r="BR63" i="36"/>
  <c r="BV63" i="36" s="1"/>
  <c r="BD60" i="36"/>
  <c r="BH60" i="36" s="1"/>
  <c r="AN60" i="36"/>
  <c r="BR59" i="36"/>
  <c r="BV59" i="36" s="1"/>
  <c r="BD56" i="36"/>
  <c r="BH56" i="36" s="1"/>
  <c r="AN56" i="36"/>
  <c r="BR55" i="36"/>
  <c r="BV55" i="36" s="1"/>
  <c r="BD52" i="36"/>
  <c r="BH52" i="36" s="1"/>
  <c r="AN52" i="36"/>
  <c r="BR51" i="36"/>
  <c r="BV51" i="36" s="1"/>
  <c r="P49" i="36"/>
  <c r="Y49" i="36" s="1"/>
  <c r="BD48" i="36"/>
  <c r="BH48" i="36" s="1"/>
  <c r="AN48" i="36"/>
  <c r="BR47" i="36"/>
  <c r="BV47" i="36" s="1"/>
  <c r="O85" i="36"/>
  <c r="X85" i="36" s="1"/>
  <c r="P82" i="36"/>
  <c r="Y82" i="36" s="1"/>
  <c r="AN79" i="36"/>
  <c r="AN78" i="36"/>
  <c r="BD75" i="36"/>
  <c r="BH75" i="36" s="1"/>
  <c r="BC73" i="36"/>
  <c r="BG73" i="36" s="1"/>
  <c r="BD71" i="36"/>
  <c r="BH71" i="36" s="1"/>
  <c r="AN71" i="36"/>
  <c r="AO69" i="36"/>
  <c r="BS68" i="36"/>
  <c r="BW68" i="36" s="1"/>
  <c r="BC68" i="36"/>
  <c r="BG68" i="36" s="1"/>
  <c r="AO65" i="36"/>
  <c r="BS64" i="36"/>
  <c r="BW64" i="36" s="1"/>
  <c r="BC64" i="36"/>
  <c r="BG64" i="36" s="1"/>
  <c r="AO61" i="36"/>
  <c r="BS60" i="36"/>
  <c r="BW60" i="36" s="1"/>
  <c r="BC60" i="36"/>
  <c r="BG60" i="36" s="1"/>
  <c r="AO57" i="36"/>
  <c r="BS56" i="36"/>
  <c r="BW56" i="36" s="1"/>
  <c r="BC56" i="36"/>
  <c r="BG56" i="36" s="1"/>
  <c r="AO53" i="36"/>
  <c r="BS52" i="36"/>
  <c r="BW52" i="36" s="1"/>
  <c r="BC52" i="36"/>
  <c r="BG52" i="36" s="1"/>
  <c r="BR101" i="36"/>
  <c r="BV101" i="36" s="1"/>
  <c r="P81" i="36"/>
  <c r="Y81" i="36" s="1"/>
  <c r="BS79" i="36"/>
  <c r="BW79" i="36" s="1"/>
  <c r="BC75" i="36"/>
  <c r="BG75" i="36" s="1"/>
  <c r="BD74" i="36"/>
  <c r="BH74" i="36" s="1"/>
  <c r="AO72" i="36"/>
  <c r="BC71" i="36"/>
  <c r="BG71" i="36" s="1"/>
  <c r="P70" i="36"/>
  <c r="Y70" i="36" s="1"/>
  <c r="BD69" i="36"/>
  <c r="BH69" i="36" s="1"/>
  <c r="AN69" i="36"/>
  <c r="BR68" i="36"/>
  <c r="BV68" i="36" s="1"/>
  <c r="BD65" i="36"/>
  <c r="BH65" i="36" s="1"/>
  <c r="AN65" i="36"/>
  <c r="BR64" i="36"/>
  <c r="BV64" i="36" s="1"/>
  <c r="P62" i="36"/>
  <c r="Y62" i="36" s="1"/>
  <c r="BD61" i="36"/>
  <c r="BH61" i="36" s="1"/>
  <c r="AN61" i="36"/>
  <c r="BR60" i="36"/>
  <c r="BV60" i="36" s="1"/>
  <c r="P58" i="36"/>
  <c r="Y58" i="36" s="1"/>
  <c r="BD57" i="36"/>
  <c r="BH57" i="36" s="1"/>
  <c r="AN57" i="36"/>
  <c r="BR56" i="36"/>
  <c r="BV56" i="36" s="1"/>
  <c r="P54" i="36"/>
  <c r="Y54" i="36" s="1"/>
  <c r="BD53" i="36"/>
  <c r="BH53" i="36" s="1"/>
  <c r="AN53" i="36"/>
  <c r="BR52" i="36"/>
  <c r="BV52" i="36" s="1"/>
  <c r="P50" i="36"/>
  <c r="Y50" i="36" s="1"/>
  <c r="BD49" i="36"/>
  <c r="BH49" i="36" s="1"/>
  <c r="AN49" i="36"/>
  <c r="BR48" i="36"/>
  <c r="BV48" i="36" s="1"/>
  <c r="BD90" i="36"/>
  <c r="BH90" i="36" s="1"/>
  <c r="O80" i="36"/>
  <c r="X80" i="36" s="1"/>
  <c r="BC74" i="36"/>
  <c r="BG74" i="36" s="1"/>
  <c r="P72" i="36"/>
  <c r="Y72" i="36" s="1"/>
  <c r="BD70" i="36"/>
  <c r="BH70" i="36" s="1"/>
  <c r="BD67" i="36"/>
  <c r="BH67" i="36" s="1"/>
  <c r="BC65" i="36"/>
  <c r="BG65" i="36" s="1"/>
  <c r="BR58" i="36"/>
  <c r="BV58" i="36" s="1"/>
  <c r="O58" i="36"/>
  <c r="X58" i="36" s="1"/>
  <c r="AN55" i="36"/>
  <c r="O55" i="36"/>
  <c r="X55" i="36" s="1"/>
  <c r="BS54" i="36"/>
  <c r="BW54" i="36" s="1"/>
  <c r="AN54" i="36"/>
  <c r="BR53" i="36"/>
  <c r="BV53" i="36" s="1"/>
  <c r="AO51" i="36"/>
  <c r="P51" i="36"/>
  <c r="Y51" i="36" s="1"/>
  <c r="AO50" i="36"/>
  <c r="AO47" i="36"/>
  <c r="BR46" i="36"/>
  <c r="BV46" i="36" s="1"/>
  <c r="O72" i="36"/>
  <c r="X72" i="36" s="1"/>
  <c r="BC70" i="36"/>
  <c r="BG70" i="36" s="1"/>
  <c r="BD66" i="36"/>
  <c r="BH66" i="36" s="1"/>
  <c r="BD63" i="36"/>
  <c r="BH63" i="36" s="1"/>
  <c r="BC61" i="36"/>
  <c r="BG61" i="36" s="1"/>
  <c r="BR54" i="36"/>
  <c r="BV54" i="36" s="1"/>
  <c r="O54" i="36"/>
  <c r="X54" i="36" s="1"/>
  <c r="AN51" i="36"/>
  <c r="O51" i="36"/>
  <c r="X51" i="36" s="1"/>
  <c r="BS50" i="36"/>
  <c r="BW50" i="36" s="1"/>
  <c r="AN50" i="36"/>
  <c r="AN47" i="36"/>
  <c r="BD99" i="36"/>
  <c r="BH99" i="36" s="1"/>
  <c r="AO85" i="36"/>
  <c r="AO81" i="36"/>
  <c r="BC66" i="36"/>
  <c r="BG66" i="36" s="1"/>
  <c r="BD62" i="36"/>
  <c r="BH62" i="36" s="1"/>
  <c r="BD59" i="36"/>
  <c r="BH59" i="36" s="1"/>
  <c r="BC57" i="36"/>
  <c r="BG57" i="36" s="1"/>
  <c r="BR50" i="36"/>
  <c r="BV50" i="36" s="1"/>
  <c r="O50" i="36"/>
  <c r="X50" i="36" s="1"/>
  <c r="BS49" i="36"/>
  <c r="BW49" i="36" s="1"/>
  <c r="BD47" i="36"/>
  <c r="BH47" i="36" s="1"/>
  <c r="O84" i="36"/>
  <c r="X84" i="36" s="1"/>
  <c r="AO80" i="36"/>
  <c r="BS72" i="36"/>
  <c r="BW72" i="36" s="1"/>
  <c r="AO70" i="36"/>
  <c r="BS69" i="36"/>
  <c r="BW69" i="36" s="1"/>
  <c r="P68" i="36"/>
  <c r="Y68" i="36" s="1"/>
  <c r="BC62" i="36"/>
  <c r="BG62" i="36" s="1"/>
  <c r="BD58" i="36"/>
  <c r="BH58" i="36" s="1"/>
  <c r="BD55" i="36"/>
  <c r="BH55" i="36" s="1"/>
  <c r="BC53" i="36"/>
  <c r="BG53" i="36" s="1"/>
  <c r="BR49" i="36"/>
  <c r="BV49" i="36" s="1"/>
  <c r="AO49" i="36"/>
  <c r="BC47" i="36"/>
  <c r="BG47" i="36" s="1"/>
  <c r="BC83" i="36"/>
  <c r="BG83" i="36" s="1"/>
  <c r="P71" i="36"/>
  <c r="Y71" i="36" s="1"/>
  <c r="BS70" i="36"/>
  <c r="BW70" i="36" s="1"/>
  <c r="AN70" i="36"/>
  <c r="BR69" i="36"/>
  <c r="BV69" i="36" s="1"/>
  <c r="AO67" i="36"/>
  <c r="P67" i="36"/>
  <c r="Y67" i="36" s="1"/>
  <c r="AO66" i="36"/>
  <c r="BS65" i="36"/>
  <c r="BW65" i="36" s="1"/>
  <c r="P64" i="36"/>
  <c r="Y64" i="36" s="1"/>
  <c r="BC58" i="36"/>
  <c r="BG58" i="36" s="1"/>
  <c r="BD54" i="36"/>
  <c r="BH54" i="36" s="1"/>
  <c r="BS71" i="36"/>
  <c r="BW71" i="36" s="1"/>
  <c r="O71" i="36"/>
  <c r="X71" i="36" s="1"/>
  <c r="BR70" i="36"/>
  <c r="BV70" i="36" s="1"/>
  <c r="O70" i="36"/>
  <c r="X70" i="36" s="1"/>
  <c r="AN67" i="36"/>
  <c r="O67" i="36"/>
  <c r="X67" i="36" s="1"/>
  <c r="BS66" i="36"/>
  <c r="BW66" i="36" s="1"/>
  <c r="AN66" i="36"/>
  <c r="BR65" i="36"/>
  <c r="BV65" i="36" s="1"/>
  <c r="AO63" i="36"/>
  <c r="P63" i="36"/>
  <c r="Y63" i="36" s="1"/>
  <c r="AO62" i="36"/>
  <c r="BS61" i="36"/>
  <c r="BW61" i="36" s="1"/>
  <c r="BR78" i="36"/>
  <c r="BV78" i="36" s="1"/>
  <c r="BR77" i="36"/>
  <c r="BV77" i="36" s="1"/>
  <c r="BS73" i="36"/>
  <c r="BW73" i="36" s="1"/>
  <c r="BC72" i="36"/>
  <c r="BG72" i="36" s="1"/>
  <c r="BR66" i="36"/>
  <c r="BV66" i="36" s="1"/>
  <c r="O66" i="36"/>
  <c r="X66" i="36" s="1"/>
  <c r="O63" i="36"/>
  <c r="X63" i="36" s="1"/>
  <c r="BC45" i="36"/>
  <c r="BG45" i="36" s="1"/>
  <c r="AO42" i="36"/>
  <c r="O42" i="36"/>
  <c r="X42" i="36" s="1"/>
  <c r="BS41" i="36"/>
  <c r="BW41" i="36" s="1"/>
  <c r="BC41" i="36"/>
  <c r="BG41" i="36" s="1"/>
  <c r="AO38" i="36"/>
  <c r="BS37" i="36"/>
  <c r="BW37" i="36" s="1"/>
  <c r="AO58" i="36"/>
  <c r="BS53" i="36"/>
  <c r="BW53" i="36" s="1"/>
  <c r="BD50" i="36"/>
  <c r="BH50" i="36" s="1"/>
  <c r="BS45" i="36"/>
  <c r="BW45" i="36" s="1"/>
  <c r="BD42" i="36"/>
  <c r="BH42" i="36" s="1"/>
  <c r="AN42" i="36"/>
  <c r="BR41" i="36"/>
  <c r="BV41" i="36" s="1"/>
  <c r="BD38" i="36"/>
  <c r="BH38" i="36" s="1"/>
  <c r="AN38" i="36"/>
  <c r="BR37" i="36"/>
  <c r="BV37" i="36" s="1"/>
  <c r="P35" i="36"/>
  <c r="Y35" i="36" s="1"/>
  <c r="BS62" i="36"/>
  <c r="BW62" i="36" s="1"/>
  <c r="O62" i="36"/>
  <c r="X62" i="36" s="1"/>
  <c r="BR61" i="36"/>
  <c r="BV61" i="36" s="1"/>
  <c r="AN58" i="36"/>
  <c r="P55" i="36"/>
  <c r="Y55" i="36" s="1"/>
  <c r="BC50" i="36"/>
  <c r="BG50" i="36" s="1"/>
  <c r="BC49" i="36"/>
  <c r="BG49" i="36" s="1"/>
  <c r="BD46" i="36"/>
  <c r="BH46" i="36" s="1"/>
  <c r="BR45" i="36"/>
  <c r="BV45" i="36" s="1"/>
  <c r="AO43" i="36"/>
  <c r="BS42" i="36"/>
  <c r="BW42" i="36" s="1"/>
  <c r="BC42" i="36"/>
  <c r="BG42" i="36" s="1"/>
  <c r="AO39" i="36"/>
  <c r="BS38" i="36"/>
  <c r="BW38" i="36" s="1"/>
  <c r="BC38" i="36"/>
  <c r="BG38" i="36" s="1"/>
  <c r="BR81" i="36"/>
  <c r="BV81" i="36" s="1"/>
  <c r="BC69" i="36"/>
  <c r="BG69" i="36" s="1"/>
  <c r="BR62" i="36"/>
  <c r="BV62" i="36" s="1"/>
  <c r="P59" i="36"/>
  <c r="Y59" i="36" s="1"/>
  <c r="BD51" i="36"/>
  <c r="BH51" i="36" s="1"/>
  <c r="BC46" i="36"/>
  <c r="BG46" i="36" s="1"/>
  <c r="BD43" i="36"/>
  <c r="BH43" i="36" s="1"/>
  <c r="AN43" i="36"/>
  <c r="BR42" i="36"/>
  <c r="BV42" i="36" s="1"/>
  <c r="BD39" i="36"/>
  <c r="BH39" i="36" s="1"/>
  <c r="AN39" i="36"/>
  <c r="BR38" i="36"/>
  <c r="BV38" i="36" s="1"/>
  <c r="BD35" i="36"/>
  <c r="BH35" i="36" s="1"/>
  <c r="AN35" i="36"/>
  <c r="BR73" i="36"/>
  <c r="BV73" i="36" s="1"/>
  <c r="AN63" i="36"/>
  <c r="O59" i="36"/>
  <c r="X59" i="36" s="1"/>
  <c r="O49" i="36"/>
  <c r="X49" i="36" s="1"/>
  <c r="P47" i="36"/>
  <c r="Y47" i="36" s="1"/>
  <c r="AO44" i="36"/>
  <c r="BS43" i="36"/>
  <c r="BW43" i="36" s="1"/>
  <c r="BC43" i="36"/>
  <c r="BG43" i="36" s="1"/>
  <c r="AO40" i="36"/>
  <c r="BS39" i="36"/>
  <c r="BW39" i="36" s="1"/>
  <c r="BC39" i="36"/>
  <c r="BG39" i="36" s="1"/>
  <c r="AO36" i="36"/>
  <c r="BS35" i="36"/>
  <c r="BW35" i="36" s="1"/>
  <c r="BC35" i="36"/>
  <c r="BG35" i="36" s="1"/>
  <c r="AO55" i="36"/>
  <c r="BC54" i="36"/>
  <c r="BG54" i="36" s="1"/>
  <c r="BS48" i="36"/>
  <c r="BW48" i="36" s="1"/>
  <c r="O47" i="36"/>
  <c r="X47" i="36" s="1"/>
  <c r="BD44" i="36"/>
  <c r="BH44" i="36" s="1"/>
  <c r="AN44" i="36"/>
  <c r="BR43" i="36"/>
  <c r="BV43" i="36" s="1"/>
  <c r="BD40" i="36"/>
  <c r="BH40" i="36" s="1"/>
  <c r="AN40" i="36"/>
  <c r="BR39" i="36"/>
  <c r="BV39" i="36" s="1"/>
  <c r="BD36" i="36"/>
  <c r="BH36" i="36" s="1"/>
  <c r="AN36" i="36"/>
  <c r="BR35" i="36"/>
  <c r="BV35" i="36" s="1"/>
  <c r="AN59" i="36"/>
  <c r="BR57" i="36"/>
  <c r="BV57" i="36" s="1"/>
  <c r="AO54" i="36"/>
  <c r="BC48" i="36"/>
  <c r="BG48" i="36" s="1"/>
  <c r="AN46" i="36"/>
  <c r="BD45" i="36"/>
  <c r="BH45" i="36" s="1"/>
  <c r="AN45" i="36"/>
  <c r="BR44" i="36"/>
  <c r="BV44" i="36" s="1"/>
  <c r="P42" i="36"/>
  <c r="Y42" i="36" s="1"/>
  <c r="BD41" i="36"/>
  <c r="BH41" i="36" s="1"/>
  <c r="AN41" i="36"/>
  <c r="BR40" i="36"/>
  <c r="BV40" i="36" s="1"/>
  <c r="P38" i="36"/>
  <c r="Y38" i="36" s="1"/>
  <c r="BD37" i="36"/>
  <c r="BH37" i="36" s="1"/>
  <c r="AN37" i="36"/>
  <c r="BR36" i="36"/>
  <c r="BV36" i="36" s="1"/>
  <c r="AO59" i="36"/>
  <c r="P46" i="36"/>
  <c r="Y46" i="36" s="1"/>
  <c r="BC40" i="36"/>
  <c r="BG40" i="36" s="1"/>
  <c r="BR34" i="36"/>
  <c r="BV34" i="36" s="1"/>
  <c r="P32" i="36"/>
  <c r="Y32" i="36" s="1"/>
  <c r="BD31" i="36"/>
  <c r="BH31" i="36" s="1"/>
  <c r="AN31" i="36"/>
  <c r="BR30" i="36"/>
  <c r="BV30" i="36" s="1"/>
  <c r="P28" i="36"/>
  <c r="Y28" i="36" s="1"/>
  <c r="BD27" i="36"/>
  <c r="BH27" i="36" s="1"/>
  <c r="AN27" i="36"/>
  <c r="BS57" i="36"/>
  <c r="BW57" i="36" s="1"/>
  <c r="BS46" i="36"/>
  <c r="BW46" i="36" s="1"/>
  <c r="BC44" i="36"/>
  <c r="BG44" i="36" s="1"/>
  <c r="AO41" i="36"/>
  <c r="AO37" i="36"/>
  <c r="BS36" i="36"/>
  <c r="BW36" i="36" s="1"/>
  <c r="AO32" i="36"/>
  <c r="O32" i="36"/>
  <c r="X32" i="36" s="1"/>
  <c r="BS31" i="36"/>
  <c r="BW31" i="36" s="1"/>
  <c r="BC31" i="36"/>
  <c r="BG31" i="36" s="1"/>
  <c r="AO28" i="36"/>
  <c r="O28" i="36"/>
  <c r="X28" i="36" s="1"/>
  <c r="BS27" i="36"/>
  <c r="BW27" i="36" s="1"/>
  <c r="BC27" i="36"/>
  <c r="BG27" i="36" s="1"/>
  <c r="AO24" i="36"/>
  <c r="O24" i="36"/>
  <c r="X24" i="36" s="1"/>
  <c r="BS23" i="36"/>
  <c r="BW23" i="36" s="1"/>
  <c r="BC23" i="36"/>
  <c r="BG23" i="36" s="1"/>
  <c r="AO45" i="36"/>
  <c r="AO35" i="36"/>
  <c r="BD32" i="36"/>
  <c r="BH32" i="36" s="1"/>
  <c r="AN32" i="36"/>
  <c r="BR31" i="36"/>
  <c r="BV31" i="36" s="1"/>
  <c r="BD28" i="36"/>
  <c r="BH28" i="36" s="1"/>
  <c r="AN28" i="36"/>
  <c r="BR27" i="36"/>
  <c r="BV27" i="36" s="1"/>
  <c r="P25" i="36"/>
  <c r="Y25" i="36" s="1"/>
  <c r="BD24" i="36"/>
  <c r="BH24" i="36" s="1"/>
  <c r="AN24" i="36"/>
  <c r="BR23" i="36"/>
  <c r="BV23" i="36" s="1"/>
  <c r="BD20" i="36"/>
  <c r="BH20" i="36" s="1"/>
  <c r="AN20" i="36"/>
  <c r="BR19" i="36"/>
  <c r="BV19" i="36" s="1"/>
  <c r="P17" i="36"/>
  <c r="Y17" i="36" s="1"/>
  <c r="BD16" i="36"/>
  <c r="BH16" i="36" s="1"/>
  <c r="AN16" i="36"/>
  <c r="BR33" i="36"/>
  <c r="BV33" i="36" s="1"/>
  <c r="BD30" i="36"/>
  <c r="BH30" i="36" s="1"/>
  <c r="BR29" i="36"/>
  <c r="BV29" i="36" s="1"/>
  <c r="BC36" i="36"/>
  <c r="BG36" i="36" s="1"/>
  <c r="O35" i="36"/>
  <c r="X35" i="36" s="1"/>
  <c r="AO33" i="36"/>
  <c r="O33" i="36"/>
  <c r="X33" i="36" s="1"/>
  <c r="BS32" i="36"/>
  <c r="BW32" i="36" s="1"/>
  <c r="BC32" i="36"/>
  <c r="BG32" i="36" s="1"/>
  <c r="AO29" i="36"/>
  <c r="O29" i="36"/>
  <c r="X29" i="36" s="1"/>
  <c r="BS28" i="36"/>
  <c r="BW28" i="36" s="1"/>
  <c r="BC28" i="36"/>
  <c r="BG28" i="36" s="1"/>
  <c r="AO25" i="36"/>
  <c r="O25" i="36"/>
  <c r="X25" i="36" s="1"/>
  <c r="BS24" i="36"/>
  <c r="BW24" i="36" s="1"/>
  <c r="BC24" i="36"/>
  <c r="BG24" i="36" s="1"/>
  <c r="AO21" i="36"/>
  <c r="O21" i="36"/>
  <c r="X21" i="36" s="1"/>
  <c r="BS20" i="36"/>
  <c r="BW20" i="36" s="1"/>
  <c r="BC20" i="36"/>
  <c r="BG20" i="36" s="1"/>
  <c r="AO17" i="36"/>
  <c r="O17" i="36"/>
  <c r="X17" i="36" s="1"/>
  <c r="BS16" i="36"/>
  <c r="BW16" i="36" s="1"/>
  <c r="BC16" i="36"/>
  <c r="BG16" i="36" s="1"/>
  <c r="BS58" i="36"/>
  <c r="BW58" i="36" s="1"/>
  <c r="AO46" i="36"/>
  <c r="BD33" i="36"/>
  <c r="BH33" i="36" s="1"/>
  <c r="AN33" i="36"/>
  <c r="BR32" i="36"/>
  <c r="BV32" i="36" s="1"/>
  <c r="BD29" i="36"/>
  <c r="BH29" i="36" s="1"/>
  <c r="AN29" i="36"/>
  <c r="BR28" i="36"/>
  <c r="BV28" i="36" s="1"/>
  <c r="BD25" i="36"/>
  <c r="BH25" i="36" s="1"/>
  <c r="AN25" i="36"/>
  <c r="BR24" i="36"/>
  <c r="BV24" i="36" s="1"/>
  <c r="BD21" i="36"/>
  <c r="BH21" i="36" s="1"/>
  <c r="AN21" i="36"/>
  <c r="BR20" i="36"/>
  <c r="BV20" i="36" s="1"/>
  <c r="BD17" i="36"/>
  <c r="BH17" i="36" s="1"/>
  <c r="AN17" i="36"/>
  <c r="BR16" i="36"/>
  <c r="BV16" i="36" s="1"/>
  <c r="AN34" i="36"/>
  <c r="AN30" i="36"/>
  <c r="AN62" i="36"/>
  <c r="AO34" i="36"/>
  <c r="BS33" i="36"/>
  <c r="BW33" i="36" s="1"/>
  <c r="BC33" i="36"/>
  <c r="BG33" i="36" s="1"/>
  <c r="AO30" i="36"/>
  <c r="BS29" i="36"/>
  <c r="BW29" i="36" s="1"/>
  <c r="BC29" i="36"/>
  <c r="BG29" i="36" s="1"/>
  <c r="AO26" i="36"/>
  <c r="BS25" i="36"/>
  <c r="BW25" i="36" s="1"/>
  <c r="BC25" i="36"/>
  <c r="BG25" i="36" s="1"/>
  <c r="AO22" i="36"/>
  <c r="BS21" i="36"/>
  <c r="BW21" i="36" s="1"/>
  <c r="BC21" i="36"/>
  <c r="BG21" i="36" s="1"/>
  <c r="AO18" i="36"/>
  <c r="BS17" i="36"/>
  <c r="BW17" i="36" s="1"/>
  <c r="BC17" i="36"/>
  <c r="BG17" i="36" s="1"/>
  <c r="O41" i="36"/>
  <c r="X41" i="36" s="1"/>
  <c r="BS40" i="36"/>
  <c r="BW40" i="36" s="1"/>
  <c r="BD34" i="36"/>
  <c r="BH34" i="36" s="1"/>
  <c r="O45" i="36"/>
  <c r="X45" i="36" s="1"/>
  <c r="BS44" i="36"/>
  <c r="BW44" i="36" s="1"/>
  <c r="BC37" i="36"/>
  <c r="BG37" i="36" s="1"/>
  <c r="O37" i="36"/>
  <c r="X37" i="36" s="1"/>
  <c r="BS34" i="36"/>
  <c r="BW34" i="36" s="1"/>
  <c r="BC34" i="36"/>
  <c r="BG34" i="36" s="1"/>
  <c r="AO31" i="36"/>
  <c r="O31" i="36"/>
  <c r="X31" i="36" s="1"/>
  <c r="BS30" i="36"/>
  <c r="BW30" i="36" s="1"/>
  <c r="BC30" i="36"/>
  <c r="BG30" i="36" s="1"/>
  <c r="AO27" i="36"/>
  <c r="O27" i="36"/>
  <c r="X27" i="36" s="1"/>
  <c r="BS26" i="36"/>
  <c r="BW26" i="36" s="1"/>
  <c r="BC26" i="36"/>
  <c r="BG26" i="36" s="1"/>
  <c r="AO23" i="36"/>
  <c r="O23" i="36"/>
  <c r="X23" i="36" s="1"/>
  <c r="BS22" i="36"/>
  <c r="BW22" i="36" s="1"/>
  <c r="BC22" i="36"/>
  <c r="BG22" i="36" s="1"/>
  <c r="AO19" i="36"/>
  <c r="O19" i="36"/>
  <c r="X19" i="36" s="1"/>
  <c r="BS18" i="36"/>
  <c r="BW18" i="36" s="1"/>
  <c r="BC18" i="36"/>
  <c r="BG18" i="36" s="1"/>
  <c r="O15" i="36"/>
  <c r="AO14" i="36"/>
  <c r="BS14" i="36"/>
  <c r="BW14" i="36" s="1"/>
  <c r="AN18" i="36"/>
  <c r="BS19" i="36"/>
  <c r="BW19" i="36" s="1"/>
  <c r="P20" i="36"/>
  <c r="Y20" i="36" s="1"/>
  <c r="BR22" i="36"/>
  <c r="BV22" i="36" s="1"/>
  <c r="BR26" i="36"/>
  <c r="BV26" i="36" s="1"/>
  <c r="B4" i="36" a="1"/>
  <c r="B4" i="36" s="1"/>
  <c r="CJ12" i="36" s="1"/>
  <c r="B5" i="36" a="1"/>
  <c r="B5" i="36" s="1"/>
  <c r="CJ13" i="36" s="1"/>
  <c r="B6" i="36" a="1"/>
  <c r="B6" i="36" s="1"/>
  <c r="CJ14" i="36" s="1"/>
  <c r="L15" i="36" a="1"/>
  <c r="L15" i="36" s="1"/>
  <c r="P15" i="36" s="1"/>
  <c r="L19" i="36" a="1"/>
  <c r="L19" i="36" s="1"/>
  <c r="P19" i="36" s="1"/>
  <c r="Y19" i="36" s="1"/>
  <c r="L23" i="36" a="1"/>
  <c r="L23" i="36" s="1"/>
  <c r="P23" i="36" s="1"/>
  <c r="Y23" i="36" s="1"/>
  <c r="K26" i="36" a="1"/>
  <c r="K26" i="36" s="1"/>
  <c r="O26" i="36" s="1"/>
  <c r="X26" i="36" s="1"/>
  <c r="L27" i="36" a="1"/>
  <c r="L27" i="36" s="1"/>
  <c r="P27" i="36" s="1"/>
  <c r="Y27" i="36" s="1"/>
  <c r="K30" i="36" a="1"/>
  <c r="K30" i="36" s="1"/>
  <c r="O30" i="36" s="1"/>
  <c r="X30" i="36" s="1"/>
  <c r="K34" i="36" a="1"/>
  <c r="K34" i="36" s="1"/>
  <c r="O34" i="36" s="1"/>
  <c r="X34" i="36" s="1"/>
  <c r="L26" i="36" a="1"/>
  <c r="L26" i="36" s="1"/>
  <c r="P26" i="36" s="1"/>
  <c r="Y26" i="36" s="1"/>
  <c r="L30" i="36" a="1"/>
  <c r="L30" i="36" s="1"/>
  <c r="P30" i="36" s="1"/>
  <c r="Y30" i="36" s="1"/>
  <c r="L34" i="36" a="1"/>
  <c r="L34" i="36" s="1"/>
  <c r="P34" i="36" s="1"/>
  <c r="Y34" i="36" s="1"/>
  <c r="L43" i="36" a="1"/>
  <c r="L43" i="36" s="1"/>
  <c r="P43" i="36" s="1"/>
  <c r="Y43" i="36" s="1"/>
  <c r="K43" i="36" a="1"/>
  <c r="K43" i="36" s="1"/>
  <c r="O43" i="36" s="1"/>
  <c r="X43" i="36" s="1"/>
  <c r="L36" i="36" a="1"/>
  <c r="L36" i="36" s="1"/>
  <c r="P36" i="36" s="1"/>
  <c r="Y36" i="36" s="1"/>
  <c r="K36" i="36" a="1"/>
  <c r="K36" i="36" s="1"/>
  <c r="O36" i="36" s="1"/>
  <c r="X36" i="36" s="1"/>
  <c r="L39" i="36" a="1"/>
  <c r="L39" i="36" s="1"/>
  <c r="P39" i="36" s="1"/>
  <c r="Y39" i="36" s="1"/>
  <c r="K39" i="36" a="1"/>
  <c r="K39" i="36" s="1"/>
  <c r="O39" i="36" s="1"/>
  <c r="X39" i="36" s="1"/>
  <c r="L61" i="36" a="1"/>
  <c r="L61" i="36" s="1"/>
  <c r="P61" i="36" s="1"/>
  <c r="Y61" i="36" s="1"/>
  <c r="K61" i="36" a="1"/>
  <c r="K61" i="36" s="1"/>
  <c r="O61" i="36" s="1"/>
  <c r="X61" i="36" s="1"/>
  <c r="L37" i="36" a="1"/>
  <c r="L37" i="36" s="1"/>
  <c r="P37" i="36" s="1"/>
  <c r="Y37" i="36" s="1"/>
  <c r="K40" i="36" a="1"/>
  <c r="K40" i="36" s="1"/>
  <c r="O40" i="36" s="1"/>
  <c r="X40" i="36" s="1"/>
  <c r="L41" i="36" a="1"/>
  <c r="L41" i="36" s="1"/>
  <c r="P41" i="36" s="1"/>
  <c r="Y41" i="36" s="1"/>
  <c r="K44" i="36" a="1"/>
  <c r="K44" i="36" s="1"/>
  <c r="O44" i="36" s="1"/>
  <c r="X44" i="36" s="1"/>
  <c r="L45" i="36" a="1"/>
  <c r="L45" i="36" s="1"/>
  <c r="P45" i="36" s="1"/>
  <c r="Y45" i="36" s="1"/>
  <c r="K46" i="36" a="1"/>
  <c r="K46" i="36" s="1"/>
  <c r="O46" i="36" s="1"/>
  <c r="X46" i="36" s="1"/>
  <c r="L48" i="36" a="1"/>
  <c r="L48" i="36" s="1"/>
  <c r="P48" i="36" s="1"/>
  <c r="Y48" i="36" s="1"/>
  <c r="K52" i="36" a="1"/>
  <c r="K52" i="36" s="1"/>
  <c r="O52" i="36" s="1"/>
  <c r="X52" i="36" s="1"/>
  <c r="L52" i="36" a="1"/>
  <c r="L52" i="36" s="1"/>
  <c r="P52" i="36" s="1"/>
  <c r="Y52" i="36" s="1"/>
  <c r="K56" i="36" a="1"/>
  <c r="K56" i="36" s="1"/>
  <c r="O56" i="36" s="1"/>
  <c r="X56" i="36" s="1"/>
  <c r="L56" i="36" a="1"/>
  <c r="L56" i="36" s="1"/>
  <c r="P56" i="36" s="1"/>
  <c r="Y56" i="36" s="1"/>
  <c r="L57" i="36" a="1"/>
  <c r="L57" i="36" s="1"/>
  <c r="P57" i="36" s="1"/>
  <c r="Y57" i="36" s="1"/>
  <c r="K57" i="36" a="1"/>
  <c r="K57" i="36" s="1"/>
  <c r="O57" i="36" s="1"/>
  <c r="X57" i="36" s="1"/>
  <c r="L40" i="36" a="1"/>
  <c r="L40" i="36" s="1"/>
  <c r="P40" i="36" s="1"/>
  <c r="Y40" i="36" s="1"/>
  <c r="L44" i="36" a="1"/>
  <c r="L44" i="36" s="1"/>
  <c r="P44" i="36" s="1"/>
  <c r="Y44" i="36" s="1"/>
  <c r="L73" i="36" a="1"/>
  <c r="L73" i="36" s="1"/>
  <c r="P73" i="36" s="1"/>
  <c r="Y73" i="36" s="1"/>
  <c r="K73" i="36" a="1"/>
  <c r="K73" i="36" s="1"/>
  <c r="O73" i="36" s="1"/>
  <c r="X73" i="36" s="1"/>
  <c r="K60" i="36" a="1"/>
  <c r="K60" i="36" s="1"/>
  <c r="O60" i="36" s="1"/>
  <c r="X60" i="36" s="1"/>
  <c r="L65" i="36" a="1"/>
  <c r="L65" i="36" s="1"/>
  <c r="P65" i="36" s="1"/>
  <c r="Y65" i="36" s="1"/>
  <c r="K65" i="36" a="1"/>
  <c r="K65" i="36" s="1"/>
  <c r="O65" i="36" s="1"/>
  <c r="X65" i="36" s="1"/>
  <c r="K64" i="36" a="1"/>
  <c r="K64" i="36" s="1"/>
  <c r="O64" i="36" s="1"/>
  <c r="X64" i="36" s="1"/>
  <c r="L69" i="36" a="1"/>
  <c r="L69" i="36" s="1"/>
  <c r="P69" i="36" s="1"/>
  <c r="Y69" i="36" s="1"/>
  <c r="K69" i="36" a="1"/>
  <c r="K69" i="36" s="1"/>
  <c r="O69" i="36" s="1"/>
  <c r="X69" i="36" s="1"/>
  <c r="K68" i="36" a="1"/>
  <c r="K68" i="36" s="1"/>
  <c r="O68" i="36" s="1"/>
  <c r="X68" i="36" s="1"/>
  <c r="L74" i="36" a="1"/>
  <c r="L74" i="36" s="1"/>
  <c r="P74" i="36" s="1"/>
  <c r="Y74" i="36" s="1"/>
  <c r="K74" i="36" a="1"/>
  <c r="K74" i="36" s="1"/>
  <c r="O74" i="36" s="1"/>
  <c r="X74" i="36" s="1"/>
  <c r="L53" i="36" a="1"/>
  <c r="L53" i="36" s="1"/>
  <c r="P53" i="36" s="1"/>
  <c r="Y53" i="36" s="1"/>
  <c r="K53" i="36" a="1"/>
  <c r="K53" i="36" s="1"/>
  <c r="O53" i="36" s="1"/>
  <c r="X53" i="36" s="1"/>
  <c r="L60" i="36" a="1"/>
  <c r="L60" i="36" s="1"/>
  <c r="P60" i="36" s="1"/>
  <c r="Y60" i="36" s="1"/>
  <c r="L83" i="36" a="1"/>
  <c r="L83" i="36" s="1"/>
  <c r="P83" i="36" s="1"/>
  <c r="Y83" i="36" s="1"/>
  <c r="K83" i="36" a="1"/>
  <c r="K83" i="36" s="1"/>
  <c r="O83" i="36" s="1"/>
  <c r="X83" i="36" s="1"/>
  <c r="L78" i="36" a="1"/>
  <c r="L78" i="36" s="1"/>
  <c r="P78" i="36" s="1"/>
  <c r="Y78" i="36" s="1"/>
  <c r="K78" i="36" a="1"/>
  <c r="K78" i="36" s="1"/>
  <c r="O78" i="36" s="1"/>
  <c r="X78" i="36" s="1"/>
  <c r="L91" i="36" a="1"/>
  <c r="L91" i="36" s="1"/>
  <c r="P91" i="36" s="1"/>
  <c r="Y91" i="36" s="1"/>
  <c r="K91" i="36" a="1"/>
  <c r="K91" i="36" s="1"/>
  <c r="O91" i="36" s="1"/>
  <c r="X91" i="36" s="1"/>
  <c r="L75" i="36" a="1"/>
  <c r="L75" i="36" s="1"/>
  <c r="P75" i="36" s="1"/>
  <c r="Y75" i="36" s="1"/>
  <c r="K75" i="36" a="1"/>
  <c r="K75" i="36" s="1"/>
  <c r="O75" i="36" s="1"/>
  <c r="X75" i="36" s="1"/>
  <c r="K79" i="36" a="1"/>
  <c r="K79" i="36" s="1"/>
  <c r="O79" i="36" s="1"/>
  <c r="X79" i="36" s="1"/>
  <c r="L80" i="36" a="1"/>
  <c r="L80" i="36" s="1"/>
  <c r="P80" i="36" s="1"/>
  <c r="Y80" i="36" s="1"/>
  <c r="L87" i="36" a="1"/>
  <c r="L87" i="36" s="1"/>
  <c r="P87" i="36" s="1"/>
  <c r="Y87" i="36" s="1"/>
  <c r="K87" i="36" a="1"/>
  <c r="K87" i="36" s="1"/>
  <c r="O87" i="36" s="1"/>
  <c r="X87" i="36" s="1"/>
  <c r="K90" i="36" a="1"/>
  <c r="K90" i="36" s="1"/>
  <c r="O90" i="36" s="1"/>
  <c r="X90" i="36" s="1"/>
  <c r="L90" i="36" a="1"/>
  <c r="L90" i="36" s="1"/>
  <c r="P90" i="36" s="1"/>
  <c r="Y90" i="36" s="1"/>
  <c r="L79" i="36" a="1"/>
  <c r="L79" i="36" s="1"/>
  <c r="P79" i="36" s="1"/>
  <c r="Y79" i="36" s="1"/>
  <c r="L86" i="36" a="1"/>
  <c r="L86" i="36" s="1"/>
  <c r="P86" i="36" s="1"/>
  <c r="Y86" i="36" s="1"/>
  <c r="K86" i="36" a="1"/>
  <c r="K86" i="36" s="1"/>
  <c r="O86" i="36" s="1"/>
  <c r="X86" i="36" s="1"/>
  <c r="L101" i="36" a="1"/>
  <c r="L101" i="36" s="1"/>
  <c r="P101" i="36" s="1"/>
  <c r="Y101" i="36" s="1"/>
  <c r="K101" i="36" a="1"/>
  <c r="K101" i="36" s="1"/>
  <c r="O101" i="36" s="1"/>
  <c r="X101" i="36" s="1"/>
  <c r="L95" i="36" a="1"/>
  <c r="L95" i="36" s="1"/>
  <c r="P95" i="36" s="1"/>
  <c r="Y95" i="36" s="1"/>
  <c r="K95" i="36" a="1"/>
  <c r="K95" i="36" s="1"/>
  <c r="O95" i="36" s="1"/>
  <c r="X95" i="36" s="1"/>
  <c r="L99" i="36" a="1"/>
  <c r="L99" i="36" s="1"/>
  <c r="P99" i="36" s="1"/>
  <c r="Y99" i="36" s="1"/>
  <c r="K99" i="36" a="1"/>
  <c r="K99" i="36" s="1"/>
  <c r="O99" i="36" s="1"/>
  <c r="X99" i="36" s="1"/>
  <c r="L118" i="36" a="1"/>
  <c r="L118" i="36" s="1"/>
  <c r="K118" i="36" a="1"/>
  <c r="K118" i="36" s="1"/>
  <c r="K98" i="36" a="1"/>
  <c r="K98" i="36" s="1"/>
  <c r="O98" i="36" s="1"/>
  <c r="X98" i="36" s="1"/>
  <c r="K102" i="36" a="1"/>
  <c r="K102" i="36" s="1"/>
  <c r="O102" i="36" s="1"/>
  <c r="X102" i="36" s="1"/>
  <c r="K111" i="36" a="1"/>
  <c r="K111" i="36" s="1"/>
  <c r="O111" i="36" s="1"/>
  <c r="X111" i="36" s="1"/>
  <c r="L111" i="36" a="1"/>
  <c r="L111" i="36" s="1"/>
  <c r="P111" i="36" s="1"/>
  <c r="Y111" i="36" s="1"/>
  <c r="L105" i="36" a="1"/>
  <c r="L105" i="36" s="1"/>
  <c r="P105" i="36" s="1"/>
  <c r="Y105" i="36" s="1"/>
  <c r="K105" i="36" a="1"/>
  <c r="K105" i="36" s="1"/>
  <c r="O105" i="36" s="1"/>
  <c r="X105" i="36" s="1"/>
  <c r="L122" i="36" a="1"/>
  <c r="L122" i="36" s="1"/>
  <c r="K122" i="36" a="1"/>
  <c r="K122" i="36" s="1"/>
  <c r="L119" i="36" a="1"/>
  <c r="L119" i="36" s="1"/>
  <c r="K119" i="36" a="1"/>
  <c r="K119" i="36" s="1"/>
  <c r="L109" i="36" a="1"/>
  <c r="L109" i="36" s="1"/>
  <c r="P109" i="36" s="1"/>
  <c r="Y109" i="36" s="1"/>
  <c r="K109" i="36" a="1"/>
  <c r="K109" i="36" s="1"/>
  <c r="O109" i="36" s="1"/>
  <c r="X109" i="36" s="1"/>
  <c r="L123" i="36" a="1"/>
  <c r="L123" i="36" s="1"/>
  <c r="K123" i="36" a="1"/>
  <c r="K123" i="36" s="1"/>
  <c r="L110" i="36" a="1"/>
  <c r="L110" i="36" s="1"/>
  <c r="P110" i="36" s="1"/>
  <c r="Y110" i="36" s="1"/>
  <c r="K110" i="36" a="1"/>
  <c r="K110" i="36" s="1"/>
  <c r="O110" i="36" s="1"/>
  <c r="X110" i="36" s="1"/>
  <c r="L103" i="36" a="1"/>
  <c r="L103" i="36" s="1"/>
  <c r="P103" i="36" s="1"/>
  <c r="Y103" i="36" s="1"/>
  <c r="K106" i="36" a="1"/>
  <c r="K106" i="36" s="1"/>
  <c r="O106" i="36" s="1"/>
  <c r="L107" i="36" a="1"/>
  <c r="L107" i="36" s="1"/>
  <c r="P107" i="36" s="1"/>
  <c r="Y107" i="36" s="1"/>
  <c r="L106" i="36" a="1"/>
  <c r="L106" i="36" s="1"/>
  <c r="P106" i="36" s="1"/>
  <c r="L120" i="36" a="1"/>
  <c r="L120" i="36" s="1"/>
  <c r="K120" i="36" a="1"/>
  <c r="K120" i="36" s="1"/>
  <c r="L124" i="36" a="1"/>
  <c r="L124" i="36" s="1"/>
  <c r="K124" i="36" a="1"/>
  <c r="K124" i="36" s="1"/>
  <c r="L114" i="36" a="1"/>
  <c r="L114" i="36" s="1"/>
  <c r="P114" i="36" s="1"/>
  <c r="Y114" i="36" s="1"/>
  <c r="L116" i="36" a="1"/>
  <c r="L116" i="36" s="1"/>
  <c r="K116" i="36" a="1"/>
  <c r="K116" i="36" s="1"/>
  <c r="L117" i="36" a="1"/>
  <c r="L117" i="36" s="1"/>
  <c r="K117" i="36" a="1"/>
  <c r="K117" i="36" s="1"/>
  <c r="L121" i="36" a="1"/>
  <c r="L121" i="36" s="1"/>
  <c r="K121" i="36" a="1"/>
  <c r="K121" i="36" s="1"/>
  <c r="L125" i="36" a="1"/>
  <c r="L125" i="36" s="1"/>
  <c r="K125" i="36" a="1"/>
  <c r="K125" i="36" s="1"/>
  <c r="C200" i="31"/>
  <c r="C199" i="31"/>
  <c r="C476" i="31"/>
  <c r="C433" i="31"/>
  <c r="C151" i="31"/>
  <c r="D559" i="31"/>
  <c r="E559" i="31"/>
  <c r="BS14" i="48" l="1"/>
  <c r="BC14" i="48"/>
  <c r="BH14" i="39"/>
  <c r="O120" i="36"/>
  <c r="Y106" i="37"/>
  <c r="X106" i="37"/>
  <c r="AS28" i="37"/>
  <c r="AS33" i="37"/>
  <c r="AS24" i="37"/>
  <c r="AS47" i="37"/>
  <c r="AR20" i="37"/>
  <c r="AR28" i="37"/>
  <c r="AR36" i="37"/>
  <c r="AR42" i="37"/>
  <c r="AS46" i="37"/>
  <c r="AS56" i="37"/>
  <c r="AR52" i="37"/>
  <c r="AS79" i="37"/>
  <c r="AR51" i="37"/>
  <c r="AS97" i="37"/>
  <c r="AS87" i="37"/>
  <c r="AR69" i="37"/>
  <c r="AR66" i="37"/>
  <c r="AR77" i="37"/>
  <c r="AS85" i="37"/>
  <c r="AR87" i="37"/>
  <c r="AR95" i="37"/>
  <c r="AR78" i="37"/>
  <c r="AR86" i="37"/>
  <c r="AR94" i="37"/>
  <c r="AS107" i="37"/>
  <c r="AS104" i="37"/>
  <c r="AR107" i="37"/>
  <c r="O118" i="37"/>
  <c r="P116" i="37"/>
  <c r="Y116" i="37" s="1"/>
  <c r="AR34" i="37"/>
  <c r="AS19" i="37"/>
  <c r="AR38" i="37"/>
  <c r="AR35" i="37"/>
  <c r="AS58" i="37"/>
  <c r="AR74" i="37"/>
  <c r="AS70" i="37"/>
  <c r="AS86" i="37"/>
  <c r="AR75" i="37"/>
  <c r="AS75" i="37"/>
  <c r="AS108" i="37"/>
  <c r="AR17" i="37"/>
  <c r="AR25" i="37"/>
  <c r="AR33" i="37"/>
  <c r="AR49" i="37"/>
  <c r="AR53" i="37"/>
  <c r="AS49" i="37"/>
  <c r="AS60" i="37"/>
  <c r="AS90" i="37"/>
  <c r="AS66" i="37"/>
  <c r="AS64" i="37"/>
  <c r="AR55" i="37"/>
  <c r="AR63" i="37"/>
  <c r="AS84" i="37"/>
  <c r="AS89" i="37"/>
  <c r="AS92" i="37"/>
  <c r="AS88" i="37"/>
  <c r="AS81" i="37"/>
  <c r="AS101" i="37"/>
  <c r="AR84" i="37"/>
  <c r="AR92" i="37"/>
  <c r="AR100" i="37"/>
  <c r="AS100" i="37"/>
  <c r="O122" i="37"/>
  <c r="AS30" i="37"/>
  <c r="AS23" i="37"/>
  <c r="AR27" i="37"/>
  <c r="AR48" i="37"/>
  <c r="AR73" i="37"/>
  <c r="AS52" i="37"/>
  <c r="AR56" i="37"/>
  <c r="AS83" i="37"/>
  <c r="AR113" i="37"/>
  <c r="AR115" i="37"/>
  <c r="AR54" i="37"/>
  <c r="AS61" i="37"/>
  <c r="AS111" i="37"/>
  <c r="AS102" i="37"/>
  <c r="AS114" i="37"/>
  <c r="AS26" i="37"/>
  <c r="AS36" i="37"/>
  <c r="AS20" i="37"/>
  <c r="AS41" i="37"/>
  <c r="AS21" i="37"/>
  <c r="AS29" i="37"/>
  <c r="AS37" i="37"/>
  <c r="AR23" i="37"/>
  <c r="AR31" i="37"/>
  <c r="AS57" i="37"/>
  <c r="AS50" i="37"/>
  <c r="AS65" i="37"/>
  <c r="AS59" i="37"/>
  <c r="AR58" i="37"/>
  <c r="AS48" i="37"/>
  <c r="AS68" i="37"/>
  <c r="AR62" i="37"/>
  <c r="AR89" i="37"/>
  <c r="AR60" i="37"/>
  <c r="AR68" i="37"/>
  <c r="AS77" i="37"/>
  <c r="AS78" i="37"/>
  <c r="AS72" i="37"/>
  <c r="AR85" i="37"/>
  <c r="AS82" i="37"/>
  <c r="AR97" i="37"/>
  <c r="AR102" i="37"/>
  <c r="AS106" i="37"/>
  <c r="AR110" i="37"/>
  <c r="AS105" i="37"/>
  <c r="AR104" i="37"/>
  <c r="O119" i="37"/>
  <c r="AR108" i="37"/>
  <c r="AR106" i="37"/>
  <c r="AR109" i="37"/>
  <c r="AR111" i="37"/>
  <c r="P118" i="37"/>
  <c r="AS27" i="37"/>
  <c r="AS25" i="37"/>
  <c r="AR19" i="37"/>
  <c r="AS44" i="37"/>
  <c r="AS93" i="37"/>
  <c r="AS76" i="37"/>
  <c r="AR64" i="37"/>
  <c r="AS94" i="37"/>
  <c r="AR26" i="37"/>
  <c r="AR79" i="37"/>
  <c r="AR39" i="37"/>
  <c r="AS39" i="37"/>
  <c r="AR46" i="37"/>
  <c r="AR57" i="37"/>
  <c r="AS63" i="37"/>
  <c r="AS73" i="37"/>
  <c r="AS54" i="37"/>
  <c r="AR71" i="37"/>
  <c r="AR72" i="37"/>
  <c r="AS69" i="37"/>
  <c r="AS71" i="37"/>
  <c r="AS95" i="37"/>
  <c r="AS74" i="37"/>
  <c r="AS109" i="37"/>
  <c r="AR101" i="37"/>
  <c r="AR112" i="37"/>
  <c r="P119" i="37"/>
  <c r="AS34" i="37"/>
  <c r="AS18" i="37"/>
  <c r="AS31" i="37"/>
  <c r="AS17" i="37"/>
  <c r="AS40" i="37"/>
  <c r="AS67" i="37"/>
  <c r="AR30" i="37"/>
  <c r="P122" i="36"/>
  <c r="AP14" i="37"/>
  <c r="AR14" i="37" s="1"/>
  <c r="AS32" i="37"/>
  <c r="AR24" i="37"/>
  <c r="AR32" i="37"/>
  <c r="AR50" i="37"/>
  <c r="AS42" i="37"/>
  <c r="AR65" i="37"/>
  <c r="AR47" i="37"/>
  <c r="AS62" i="37"/>
  <c r="AS55" i="37"/>
  <c r="AR61" i="37"/>
  <c r="AR76" i="37"/>
  <c r="AS51" i="37"/>
  <c r="AS99" i="37"/>
  <c r="AR81" i="37"/>
  <c r="AR83" i="37"/>
  <c r="AR91" i="37"/>
  <c r="AR99" i="37"/>
  <c r="AR114" i="37"/>
  <c r="AR82" i="37"/>
  <c r="AR90" i="37"/>
  <c r="AR98" i="37"/>
  <c r="AS110" i="37"/>
  <c r="AR103" i="37"/>
  <c r="AS35" i="37"/>
  <c r="AR18" i="37"/>
  <c r="AS43" i="37"/>
  <c r="AS91" i="37"/>
  <c r="AR105" i="37"/>
  <c r="AS113" i="37"/>
  <c r="AS112" i="37"/>
  <c r="AR93" i="37"/>
  <c r="AQ14" i="37"/>
  <c r="AS14" i="37" s="1"/>
  <c r="AR21" i="37"/>
  <c r="AR29" i="37"/>
  <c r="AR37" i="37"/>
  <c r="AR43" i="37"/>
  <c r="AR40" i="37"/>
  <c r="AS45" i="37"/>
  <c r="AS53" i="37"/>
  <c r="AR70" i="37"/>
  <c r="AR59" i="37"/>
  <c r="AR67" i="37"/>
  <c r="AS80" i="37"/>
  <c r="AS98" i="37"/>
  <c r="AR80" i="37"/>
  <c r="AR88" i="37"/>
  <c r="AR96" i="37"/>
  <c r="AS96" i="37"/>
  <c r="AS103" i="37"/>
  <c r="AS115" i="37"/>
  <c r="AS22" i="37"/>
  <c r="AR22" i="37"/>
  <c r="AR16" i="37"/>
  <c r="Y106" i="36"/>
  <c r="X106" i="36"/>
  <c r="AS26" i="36"/>
  <c r="AS46" i="36"/>
  <c r="AS35" i="36"/>
  <c r="AS41" i="36"/>
  <c r="AS42" i="36"/>
  <c r="AR66" i="36"/>
  <c r="AR70" i="36"/>
  <c r="AS80" i="36"/>
  <c r="AR54" i="36"/>
  <c r="AS53" i="36"/>
  <c r="AS69" i="36"/>
  <c r="AR96" i="36"/>
  <c r="AR20" i="36"/>
  <c r="AR28" i="36"/>
  <c r="AS45" i="36"/>
  <c r="AS28" i="36"/>
  <c r="AR31" i="36"/>
  <c r="AR37" i="36"/>
  <c r="AR45" i="36"/>
  <c r="AR59" i="36"/>
  <c r="AS55" i="36"/>
  <c r="AS40" i="36"/>
  <c r="AR63" i="36"/>
  <c r="AR58" i="36"/>
  <c r="AS58" i="36"/>
  <c r="AR51" i="36"/>
  <c r="AR71" i="36"/>
  <c r="AS71" i="36"/>
  <c r="AS52" i="36"/>
  <c r="AS60" i="36"/>
  <c r="AS68" i="36"/>
  <c r="AS84" i="36"/>
  <c r="AS88" i="36"/>
  <c r="AR72" i="36"/>
  <c r="AR80" i="36"/>
  <c r="AR88" i="36"/>
  <c r="AR95" i="36"/>
  <c r="AR106" i="36"/>
  <c r="AS100" i="36"/>
  <c r="AS86" i="36"/>
  <c r="AR103" i="36"/>
  <c r="AS94" i="36"/>
  <c r="O119" i="36"/>
  <c r="P121" i="36"/>
  <c r="AS111" i="36"/>
  <c r="AS18" i="36"/>
  <c r="AR56" i="36"/>
  <c r="AR74" i="36"/>
  <c r="AS78" i="36"/>
  <c r="AR77" i="36"/>
  <c r="AR83" i="36"/>
  <c r="AR115" i="36"/>
  <c r="AR114" i="36"/>
  <c r="AP14" i="36"/>
  <c r="AR14" i="36" s="1"/>
  <c r="AR62" i="36"/>
  <c r="AR21" i="36"/>
  <c r="AR29" i="36"/>
  <c r="AS21" i="36"/>
  <c r="AS29" i="36"/>
  <c r="AR36" i="36"/>
  <c r="AR44" i="36"/>
  <c r="AR35" i="36"/>
  <c r="AR43" i="36"/>
  <c r="AS43" i="36"/>
  <c r="AR42" i="36"/>
  <c r="AR67" i="36"/>
  <c r="AS85" i="36"/>
  <c r="AS47" i="36"/>
  <c r="AR55" i="36"/>
  <c r="AR53" i="36"/>
  <c r="AR61" i="36"/>
  <c r="AR69" i="36"/>
  <c r="AR75" i="36"/>
  <c r="AR93" i="36"/>
  <c r="AS79" i="36"/>
  <c r="AS92" i="36"/>
  <c r="AR81" i="36"/>
  <c r="AR86" i="36"/>
  <c r="AR97" i="36"/>
  <c r="AR105" i="36"/>
  <c r="AS95" i="36"/>
  <c r="AR98" i="36"/>
  <c r="AR113" i="36"/>
  <c r="AS109" i="36"/>
  <c r="AR104" i="36"/>
  <c r="AS110" i="36"/>
  <c r="O121" i="36"/>
  <c r="P123" i="36"/>
  <c r="AS34" i="36"/>
  <c r="AS81" i="36"/>
  <c r="AR48" i="36"/>
  <c r="AR64" i="36"/>
  <c r="AR101" i="36"/>
  <c r="AS101" i="36"/>
  <c r="AS112" i="36"/>
  <c r="AQ14" i="36"/>
  <c r="AS14" i="36" s="1"/>
  <c r="AS23" i="36"/>
  <c r="AS31" i="36"/>
  <c r="AR30" i="36"/>
  <c r="AR46" i="36"/>
  <c r="AS38" i="36"/>
  <c r="AS62" i="36"/>
  <c r="AS66" i="36"/>
  <c r="AS50" i="36"/>
  <c r="AS57" i="36"/>
  <c r="AS65" i="36"/>
  <c r="AR89" i="36"/>
  <c r="AS91" i="36"/>
  <c r="AS87" i="36"/>
  <c r="AS96" i="36"/>
  <c r="AR92" i="36"/>
  <c r="AR100" i="36"/>
  <c r="AS107" i="36"/>
  <c r="AS102" i="36"/>
  <c r="AS104" i="36"/>
  <c r="O122" i="36"/>
  <c r="P116" i="36"/>
  <c r="Y116" i="36" s="1"/>
  <c r="P124" i="36"/>
  <c r="AR34" i="36"/>
  <c r="AR16" i="36"/>
  <c r="AR24" i="36"/>
  <c r="AR32" i="36"/>
  <c r="AS24" i="36"/>
  <c r="AS32" i="36"/>
  <c r="AR27" i="36"/>
  <c r="AR41" i="36"/>
  <c r="AS36" i="36"/>
  <c r="AS44" i="36"/>
  <c r="AR47" i="36"/>
  <c r="AR78" i="36"/>
  <c r="AS48" i="36"/>
  <c r="AS56" i="36"/>
  <c r="AS64" i="36"/>
  <c r="AS76" i="36"/>
  <c r="AR82" i="36"/>
  <c r="AR90" i="36"/>
  <c r="AR76" i="36"/>
  <c r="AR84" i="36"/>
  <c r="AS93" i="36"/>
  <c r="AS82" i="36"/>
  <c r="AS90" i="36"/>
  <c r="AS98" i="36"/>
  <c r="AR111" i="36"/>
  <c r="AS114" i="36"/>
  <c r="O123" i="36"/>
  <c r="P117" i="36"/>
  <c r="P125" i="36"/>
  <c r="AS115" i="36"/>
  <c r="AR18" i="36"/>
  <c r="AS22" i="36"/>
  <c r="AS30" i="36"/>
  <c r="AS54" i="36"/>
  <c r="AS63" i="36"/>
  <c r="AS67" i="36"/>
  <c r="AS49" i="36"/>
  <c r="AS70" i="36"/>
  <c r="AR50" i="36"/>
  <c r="AS51" i="36"/>
  <c r="AR79" i="36"/>
  <c r="AR52" i="36"/>
  <c r="AR60" i="36"/>
  <c r="AR68" i="36"/>
  <c r="AS74" i="36"/>
  <c r="AR73" i="36"/>
  <c r="AS77" i="36"/>
  <c r="AR91" i="36"/>
  <c r="AR87" i="36"/>
  <c r="AR99" i="36"/>
  <c r="AS97" i="36"/>
  <c r="AS113" i="36"/>
  <c r="O116" i="36"/>
  <c r="X116" i="36" s="1"/>
  <c r="O124" i="36"/>
  <c r="P118" i="36"/>
  <c r="AR110" i="36"/>
  <c r="AR17" i="36"/>
  <c r="AR25" i="36"/>
  <c r="AR33" i="36"/>
  <c r="AS17" i="36"/>
  <c r="AS25" i="36"/>
  <c r="AS33" i="36"/>
  <c r="AS37" i="36"/>
  <c r="AS59" i="36"/>
  <c r="AR40" i="36"/>
  <c r="AR39" i="36"/>
  <c r="AS39" i="36"/>
  <c r="AR38" i="36"/>
  <c r="AR49" i="36"/>
  <c r="AR57" i="36"/>
  <c r="AR65" i="36"/>
  <c r="AS72" i="36"/>
  <c r="AS75" i="36"/>
  <c r="AS83" i="36"/>
  <c r="AS89" i="36"/>
  <c r="AR109" i="36"/>
  <c r="AS99" i="36"/>
  <c r="AR94" i="36"/>
  <c r="AS105" i="36"/>
  <c r="AR108" i="36"/>
  <c r="AR107" i="36"/>
  <c r="O117" i="36"/>
  <c r="O125" i="36"/>
  <c r="P119" i="36"/>
  <c r="AS19" i="36"/>
  <c r="AS27" i="36"/>
  <c r="AS61" i="36"/>
  <c r="AS73" i="36"/>
  <c r="AR85" i="36"/>
  <c r="AR102" i="36"/>
  <c r="AS103" i="36"/>
  <c r="AS106" i="36"/>
  <c r="AS108" i="36"/>
  <c r="AR112" i="36"/>
  <c r="O118" i="36"/>
  <c r="P120" i="36"/>
  <c r="AS16" i="36"/>
  <c r="Y106" i="40" l="1"/>
  <c r="X106" i="40"/>
  <c r="Y106" i="45"/>
  <c r="X106" i="45"/>
  <c r="X106" i="44"/>
  <c r="Y106" i="44"/>
  <c r="X106" i="43"/>
  <c r="Y106" i="43"/>
  <c r="X106" i="42"/>
  <c r="Y106" i="42"/>
  <c r="Y106" i="41"/>
  <c r="X106" i="41"/>
  <c r="Y106" i="38"/>
  <c r="X106" i="38"/>
  <c r="C129" i="31"/>
  <c r="C108" i="31"/>
  <c r="C268" i="31"/>
  <c r="E265" i="31"/>
  <c r="D265" i="31"/>
  <c r="C267" i="31"/>
  <c r="C612" i="31"/>
  <c r="C611" i="31"/>
  <c r="C608" i="31"/>
  <c r="C610" i="31"/>
  <c r="C609" i="31"/>
  <c r="C607" i="31"/>
  <c r="C606" i="31"/>
  <c r="C599" i="31"/>
  <c r="C598" i="31"/>
  <c r="C597" i="31"/>
  <c r="C265" i="31" l="1"/>
  <c r="C600" i="31"/>
  <c r="C596" i="31"/>
  <c r="C594" i="31"/>
  <c r="C592" i="31"/>
  <c r="C589" i="31"/>
  <c r="C604" i="31"/>
  <c r="C603" i="31"/>
  <c r="C602" i="31"/>
  <c r="C601" i="31"/>
  <c r="C595" i="31"/>
  <c r="C593" i="31"/>
  <c r="C591" i="31"/>
  <c r="C588" i="31"/>
  <c r="C585" i="31"/>
  <c r="C584" i="31"/>
  <c r="C582" i="31"/>
  <c r="C111" i="31" l="1"/>
  <c r="C98" i="31"/>
  <c r="C107" i="31"/>
  <c r="C101" i="31"/>
  <c r="C97" i="31"/>
  <c r="C106" i="31"/>
  <c r="C567" i="31" l="1"/>
  <c r="C572" i="31"/>
  <c r="C570" i="31"/>
  <c r="C564" i="31"/>
  <c r="C563" i="31"/>
  <c r="C559" i="31"/>
  <c r="C587" i="31"/>
  <c r="C583" i="31"/>
  <c r="C581" i="31"/>
  <c r="C579" i="31"/>
  <c r="C578" i="31"/>
  <c r="C577" i="31"/>
  <c r="C575" i="31"/>
  <c r="C574" i="31"/>
  <c r="C573" i="31"/>
  <c r="C571" i="31"/>
  <c r="C569" i="31"/>
  <c r="C568" i="31"/>
  <c r="C565" i="31"/>
  <c r="C562" i="31"/>
  <c r="C561" i="31"/>
  <c r="C536" i="31"/>
  <c r="C556" i="31"/>
  <c r="C555" i="31"/>
  <c r="C554" i="31" l="1"/>
  <c r="C553" i="31"/>
  <c r="C552" i="31"/>
  <c r="C551" i="31"/>
  <c r="C550" i="31"/>
  <c r="C549" i="31"/>
  <c r="C548" i="31"/>
  <c r="C547" i="31"/>
  <c r="C546" i="31"/>
  <c r="C38" i="31"/>
  <c r="E528" i="31"/>
  <c r="D528" i="31"/>
  <c r="C545" i="31"/>
  <c r="C544" i="31"/>
  <c r="C543" i="31"/>
  <c r="C542" i="31"/>
  <c r="C541" i="31"/>
  <c r="C540" i="31"/>
  <c r="C539" i="31"/>
  <c r="C538" i="31"/>
  <c r="C537" i="31"/>
  <c r="C535" i="31"/>
  <c r="C534" i="31"/>
  <c r="C533" i="31"/>
  <c r="C532" i="31"/>
  <c r="C531" i="31"/>
  <c r="C530" i="31"/>
  <c r="C528" i="31" l="1"/>
  <c r="C506" i="31"/>
  <c r="C505" i="31"/>
  <c r="C504" i="31"/>
  <c r="C503" i="31"/>
  <c r="C502" i="31"/>
  <c r="C501" i="31"/>
  <c r="C500" i="31"/>
  <c r="C499" i="31"/>
  <c r="C498" i="31"/>
  <c r="C492" i="31"/>
  <c r="C493" i="31"/>
  <c r="C497" i="31"/>
  <c r="C496" i="31"/>
  <c r="C495" i="31"/>
  <c r="C483" i="31"/>
  <c r="C482" i="31"/>
  <c r="C481" i="31"/>
  <c r="C480" i="31"/>
  <c r="E473" i="31"/>
  <c r="D473" i="31"/>
  <c r="E509" i="31"/>
  <c r="D509" i="31"/>
  <c r="C525" i="31"/>
  <c r="C524" i="31"/>
  <c r="C523" i="31"/>
  <c r="C522" i="31"/>
  <c r="C521" i="31"/>
  <c r="C520" i="31"/>
  <c r="C519" i="31"/>
  <c r="C518" i="31"/>
  <c r="C517" i="31"/>
  <c r="C516" i="31"/>
  <c r="C515" i="31"/>
  <c r="C514" i="31"/>
  <c r="C513" i="31"/>
  <c r="C512" i="31"/>
  <c r="C511" i="31"/>
  <c r="C491" i="31"/>
  <c r="C490" i="31"/>
  <c r="C489" i="31"/>
  <c r="C488" i="31"/>
  <c r="C487" i="31"/>
  <c r="C486" i="31"/>
  <c r="C484" i="31"/>
  <c r="C479" i="31"/>
  <c r="C478" i="31"/>
  <c r="C477" i="31"/>
  <c r="C475" i="31"/>
  <c r="C509" i="31" l="1"/>
  <c r="C473" i="31"/>
  <c r="C465" i="31"/>
  <c r="C459" i="31"/>
  <c r="E450" i="31" l="1"/>
  <c r="D450" i="31"/>
  <c r="C470" i="31"/>
  <c r="C469" i="31"/>
  <c r="C468" i="31"/>
  <c r="C467" i="31"/>
  <c r="C464" i="31"/>
  <c r="C463" i="31"/>
  <c r="C462" i="31"/>
  <c r="C461" i="31"/>
  <c r="C460" i="31"/>
  <c r="C458" i="31"/>
  <c r="C457" i="31"/>
  <c r="C456" i="31"/>
  <c r="C455" i="31"/>
  <c r="C454" i="31"/>
  <c r="C453" i="31"/>
  <c r="C452" i="31"/>
  <c r="C447" i="31"/>
  <c r="C446" i="31"/>
  <c r="C445" i="31"/>
  <c r="C444" i="31"/>
  <c r="C443" i="31"/>
  <c r="C442" i="31"/>
  <c r="C441" i="31"/>
  <c r="C440" i="31"/>
  <c r="C439" i="31"/>
  <c r="C438" i="31"/>
  <c r="C437" i="31"/>
  <c r="C436" i="31"/>
  <c r="C435" i="31"/>
  <c r="C434" i="31"/>
  <c r="C432" i="31"/>
  <c r="C431" i="31"/>
  <c r="C429" i="31"/>
  <c r="C41" i="31"/>
  <c r="C40" i="31"/>
  <c r="C35" i="31"/>
  <c r="C34" i="31"/>
  <c r="C415" i="31"/>
  <c r="C414" i="31"/>
  <c r="C413" i="31"/>
  <c r="C412" i="31"/>
  <c r="C410" i="31"/>
  <c r="E407" i="31"/>
  <c r="D407" i="31"/>
  <c r="C428" i="31"/>
  <c r="C427" i="31"/>
  <c r="C426" i="31"/>
  <c r="C425" i="31"/>
  <c r="C424" i="31"/>
  <c r="C423" i="31"/>
  <c r="C422" i="31"/>
  <c r="C421" i="31"/>
  <c r="C420" i="31"/>
  <c r="C419" i="31"/>
  <c r="C417" i="31"/>
  <c r="C416" i="31"/>
  <c r="C411" i="31"/>
  <c r="C409" i="31"/>
  <c r="C404" i="31"/>
  <c r="E391" i="31"/>
  <c r="D391" i="31"/>
  <c r="C403" i="31"/>
  <c r="C402" i="31"/>
  <c r="C401" i="31"/>
  <c r="C400" i="31"/>
  <c r="C399" i="31"/>
  <c r="C398" i="31"/>
  <c r="C397" i="31"/>
  <c r="C396" i="31"/>
  <c r="C395" i="31"/>
  <c r="C394" i="31"/>
  <c r="C393" i="31"/>
  <c r="B139" i="32"/>
  <c r="C388" i="31"/>
  <c r="B106" i="32"/>
  <c r="B80" i="32"/>
  <c r="B56" i="32"/>
  <c r="C386" i="31"/>
  <c r="C385" i="31"/>
  <c r="C384" i="31"/>
  <c r="C387" i="31"/>
  <c r="C383" i="31"/>
  <c r="C450" i="31" l="1"/>
  <c r="C407" i="31"/>
  <c r="C391" i="31"/>
  <c r="B32" i="32"/>
  <c r="C157" i="31" l="1"/>
  <c r="C378" i="31"/>
  <c r="C377" i="31"/>
  <c r="C376" i="31"/>
  <c r="C367" i="31"/>
  <c r="C365" i="31"/>
  <c r="C364" i="31"/>
  <c r="C363" i="31"/>
  <c r="E354" i="31"/>
  <c r="D354" i="31"/>
  <c r="C382" i="31"/>
  <c r="C381" i="31"/>
  <c r="C379" i="31"/>
  <c r="C375" i="31"/>
  <c r="C374" i="31"/>
  <c r="C373" i="31"/>
  <c r="C372" i="31"/>
  <c r="C371" i="31"/>
  <c r="C370" i="31"/>
  <c r="C369" i="31"/>
  <c r="C368" i="31"/>
  <c r="C366" i="31"/>
  <c r="C362" i="31"/>
  <c r="C361" i="31"/>
  <c r="C360" i="31"/>
  <c r="C358" i="31"/>
  <c r="C357" i="31"/>
  <c r="C356" i="31"/>
  <c r="C354" i="31" l="1"/>
  <c r="C351" i="31"/>
  <c r="C350" i="31"/>
  <c r="C349" i="31"/>
  <c r="C348" i="31"/>
  <c r="C347" i="31"/>
  <c r="C346" i="31"/>
  <c r="C345" i="31"/>
  <c r="C33" i="31"/>
  <c r="E331" i="31"/>
  <c r="D331" i="31"/>
  <c r="C331" i="31" s="1"/>
  <c r="C344" i="31"/>
  <c r="C343" i="31"/>
  <c r="C342" i="31"/>
  <c r="C341" i="31"/>
  <c r="C340" i="31"/>
  <c r="C339" i="31"/>
  <c r="C338" i="31"/>
  <c r="C337" i="31"/>
  <c r="C336" i="31"/>
  <c r="C335" i="31"/>
  <c r="C334" i="31"/>
  <c r="C333" i="31"/>
  <c r="C328" i="31"/>
  <c r="C327" i="31"/>
  <c r="C326" i="31"/>
  <c r="C325" i="31"/>
  <c r="C324" i="31"/>
  <c r="C323" i="31"/>
  <c r="C322" i="31"/>
  <c r="C321" i="31"/>
  <c r="C320" i="31"/>
  <c r="C319" i="31" l="1"/>
  <c r="C318" i="31"/>
  <c r="C316" i="31"/>
  <c r="C315" i="31"/>
  <c r="C314" i="31"/>
  <c r="C158" i="31"/>
  <c r="C39" i="31"/>
  <c r="C37" i="31"/>
  <c r="C36" i="31"/>
  <c r="C32" i="31"/>
  <c r="C306" i="31"/>
  <c r="C305" i="31"/>
  <c r="C303" i="31"/>
  <c r="C302" i="31"/>
  <c r="C301" i="31"/>
  <c r="C300" i="31"/>
  <c r="C299" i="31"/>
  <c r="C293" i="31"/>
  <c r="C304" i="31"/>
  <c r="C298" i="31"/>
  <c r="C297" i="31"/>
  <c r="C296" i="31"/>
  <c r="C295" i="31"/>
  <c r="C294" i="31"/>
  <c r="C292" i="31"/>
  <c r="C291" i="31"/>
  <c r="C290" i="31"/>
  <c r="C289" i="31"/>
  <c r="C288" i="31"/>
  <c r="C287" i="31"/>
  <c r="C276" i="31"/>
  <c r="C275" i="31"/>
  <c r="C313" i="31" l="1"/>
  <c r="C312" i="31"/>
  <c r="C311" i="31"/>
  <c r="C310" i="31"/>
  <c r="C309" i="31"/>
  <c r="C307" i="31"/>
  <c r="C286" i="31"/>
  <c r="C285" i="31"/>
  <c r="C284" i="31"/>
  <c r="C283" i="31"/>
  <c r="C282" i="31"/>
  <c r="C281" i="31"/>
  <c r="C280" i="31"/>
  <c r="C279" i="31"/>
  <c r="C278" i="31"/>
  <c r="C277" i="31"/>
  <c r="C274" i="31"/>
  <c r="C273" i="31"/>
  <c r="E271" i="31"/>
  <c r="D271" i="31"/>
  <c r="C271" i="31" s="1"/>
  <c r="C185" i="31"/>
  <c r="F106" i="32" l="1"/>
  <c r="F107" i="32" s="1"/>
  <c r="F109" i="32" l="1"/>
  <c r="F111" i="32"/>
  <c r="F108" i="32"/>
  <c r="F112" i="32"/>
  <c r="F113" i="32"/>
  <c r="F114" i="32"/>
  <c r="F110" i="32"/>
  <c r="C254" i="31"/>
  <c r="C253" i="31"/>
  <c r="C251" i="31"/>
  <c r="C250" i="31"/>
  <c r="C262" i="31" l="1"/>
  <c r="C261" i="31"/>
  <c r="C260" i="31"/>
  <c r="C258" i="31"/>
  <c r="C257" i="31"/>
  <c r="C256" i="31"/>
  <c r="C255" i="31"/>
  <c r="C252" i="31"/>
  <c r="C249" i="31"/>
  <c r="C248" i="31"/>
  <c r="C247" i="31"/>
  <c r="C246" i="31"/>
  <c r="C245" i="31"/>
  <c r="C244" i="31"/>
  <c r="C243" i="31"/>
  <c r="C242" i="31"/>
  <c r="C241" i="31"/>
  <c r="C240" i="31"/>
  <c r="C238" i="31"/>
  <c r="C237" i="31"/>
  <c r="C236" i="31"/>
  <c r="C235" i="31"/>
  <c r="C234" i="31"/>
  <c r="C233" i="31"/>
  <c r="C232" i="31"/>
  <c r="C231" i="31"/>
  <c r="C230" i="31"/>
  <c r="C229" i="31"/>
  <c r="C228" i="31"/>
  <c r="C227" i="31"/>
  <c r="C226" i="31"/>
  <c r="C225" i="31"/>
  <c r="C224" i="31"/>
  <c r="C207" i="31"/>
  <c r="C206" i="31"/>
  <c r="C205" i="31"/>
  <c r="C208" i="31"/>
  <c r="C223" i="31"/>
  <c r="C222" i="31"/>
  <c r="C221" i="31"/>
  <c r="C220" i="31"/>
  <c r="C219" i="31"/>
  <c r="C218" i="31"/>
  <c r="C217" i="31"/>
  <c r="C216" i="31"/>
  <c r="C215" i="31"/>
  <c r="C214" i="31"/>
  <c r="C213" i="31"/>
  <c r="C212" i="31"/>
  <c r="C211" i="31"/>
  <c r="C210" i="31"/>
  <c r="C209" i="31"/>
  <c r="C204" i="31"/>
  <c r="C203" i="31"/>
  <c r="C201" i="31"/>
  <c r="C198" i="31"/>
  <c r="C197" i="31"/>
  <c r="C196" i="31"/>
  <c r="C195" i="31"/>
  <c r="C194" i="31"/>
  <c r="C193" i="31"/>
  <c r="C192" i="31"/>
  <c r="C191" i="31"/>
  <c r="C190" i="31"/>
  <c r="C189" i="31"/>
  <c r="C178" i="31"/>
  <c r="C177" i="31"/>
  <c r="C188" i="31"/>
  <c r="C187" i="31"/>
  <c r="C186" i="31"/>
  <c r="C184" i="31"/>
  <c r="C183" i="31"/>
  <c r="C182" i="31"/>
  <c r="C181" i="31"/>
  <c r="C180" i="31"/>
  <c r="C179" i="31"/>
  <c r="C176" i="31"/>
  <c r="C175" i="31"/>
  <c r="C174" i="31"/>
  <c r="E147" i="31"/>
  <c r="D147" i="31"/>
  <c r="C172" i="31"/>
  <c r="C171" i="31"/>
  <c r="C170" i="31"/>
  <c r="C169" i="31"/>
  <c r="C168" i="31"/>
  <c r="C167" i="31"/>
  <c r="C166" i="31"/>
  <c r="C165" i="31"/>
  <c r="C163" i="31"/>
  <c r="C162" i="31"/>
  <c r="C161" i="31"/>
  <c r="C160" i="31"/>
  <c r="C159" i="31"/>
  <c r="C156" i="31"/>
  <c r="C155" i="31"/>
  <c r="C154" i="31"/>
  <c r="C153" i="31"/>
  <c r="C152" i="31"/>
  <c r="C150" i="31"/>
  <c r="C149" i="31"/>
  <c r="C147" i="31" l="1"/>
  <c r="E141" i="31"/>
  <c r="D141" i="31"/>
  <c r="C144" i="31"/>
  <c r="B26" i="31" s="1"/>
  <c r="C143" i="31"/>
  <c r="B5" i="31" s="1"/>
  <c r="E132" i="31"/>
  <c r="D132" i="31"/>
  <c r="C138" i="31"/>
  <c r="C137" i="31"/>
  <c r="C136" i="31"/>
  <c r="C135" i="31"/>
  <c r="C134" i="31"/>
  <c r="C132" i="31" l="1"/>
  <c r="C141" i="31"/>
  <c r="B1" i="31" s="1"/>
  <c r="C126" i="31"/>
  <c r="C125" i="31"/>
  <c r="C121" i="31"/>
  <c r="C120" i="31"/>
  <c r="C119" i="31"/>
  <c r="C114" i="31"/>
  <c r="C113" i="31"/>
  <c r="C112" i="31"/>
  <c r="C110" i="31"/>
  <c r="C109" i="31"/>
  <c r="C105" i="31"/>
  <c r="C95" i="31"/>
  <c r="C96" i="31"/>
  <c r="C93" i="31"/>
  <c r="C92" i="31"/>
  <c r="C91" i="31"/>
  <c r="C90" i="31"/>
  <c r="C88" i="31"/>
  <c r="C87" i="31"/>
  <c r="C86" i="31"/>
  <c r="C85" i="31"/>
  <c r="C84" i="31"/>
  <c r="C83" i="31"/>
  <c r="C82" i="31"/>
  <c r="C81" i="31"/>
  <c r="C80" i="31"/>
  <c r="C79" i="31"/>
  <c r="C78" i="31"/>
  <c r="C77" i="31"/>
  <c r="C76" i="31"/>
  <c r="C75" i="31"/>
  <c r="C74" i="31"/>
  <c r="C73" i="31"/>
  <c r="C72" i="31"/>
  <c r="C71" i="31"/>
  <c r="C70" i="31"/>
  <c r="C69" i="31"/>
  <c r="C68" i="31"/>
  <c r="C94" i="31"/>
  <c r="C128" i="31"/>
  <c r="C124" i="31"/>
  <c r="C123" i="31"/>
  <c r="C122" i="31"/>
  <c r="C118" i="31"/>
  <c r="C117" i="31"/>
  <c r="C116" i="31"/>
  <c r="C115" i="31"/>
  <c r="C104" i="31"/>
  <c r="C103" i="31"/>
  <c r="C102" i="31"/>
  <c r="C100" i="31"/>
  <c r="C99" i="31"/>
  <c r="C67" i="31" l="1"/>
  <c r="C66" i="31"/>
  <c r="C64" i="31"/>
  <c r="C63" i="31"/>
  <c r="C62" i="31"/>
  <c r="C61" i="31"/>
  <c r="C60" i="31"/>
  <c r="C59" i="31"/>
  <c r="C58" i="31"/>
  <c r="C57" i="31"/>
  <c r="C55" i="31"/>
  <c r="C54" i="31"/>
  <c r="C53" i="31"/>
  <c r="C52" i="31"/>
  <c r="C51" i="31"/>
  <c r="C50" i="31"/>
  <c r="C49" i="31"/>
  <c r="C48" i="31"/>
  <c r="C47" i="31"/>
  <c r="E45" i="31" l="1"/>
  <c r="D45" i="31"/>
  <c r="C45" i="31" s="1"/>
  <c r="B82" i="35" l="1"/>
  <c r="B81" i="35" s="1"/>
  <c r="B80" i="35" s="1"/>
  <c r="B79" i="35" s="1"/>
  <c r="B78" i="35" s="1"/>
  <c r="B77" i="35" s="1"/>
  <c r="B76" i="35" s="1"/>
  <c r="B75" i="35" s="1"/>
  <c r="B74" i="35" s="1"/>
  <c r="B73" i="35" s="1"/>
  <c r="B68" i="35"/>
  <c r="B67" i="35" s="1"/>
  <c r="B66" i="35" s="1"/>
  <c r="B65" i="35" s="1"/>
  <c r="B64" i="35" s="1"/>
  <c r="B63" i="35" s="1"/>
  <c r="B62" i="35" s="1"/>
  <c r="B61" i="35" s="1"/>
  <c r="B60" i="35" s="1"/>
  <c r="B59" i="35" s="1"/>
  <c r="B54" i="35"/>
  <c r="B53" i="35" s="1"/>
  <c r="B52" i="35" s="1"/>
  <c r="B51" i="35" s="1"/>
  <c r="B50" i="35" s="1"/>
  <c r="B49" i="35" s="1"/>
  <c r="B48" i="35" s="1"/>
  <c r="B47" i="35" s="1"/>
  <c r="B46" i="35" s="1"/>
  <c r="B45" i="35" s="1"/>
  <c r="B40" i="35"/>
  <c r="B39" i="35" s="1"/>
  <c r="B38" i="35" s="1"/>
  <c r="B37" i="35" s="1"/>
  <c r="B36" i="35" s="1"/>
  <c r="B35" i="35" s="1"/>
  <c r="B34" i="35" s="1"/>
  <c r="B33" i="35" s="1"/>
  <c r="B32" i="35" s="1"/>
  <c r="B31" i="35" s="1"/>
  <c r="B26" i="35"/>
  <c r="B25" i="35" s="1"/>
  <c r="B24" i="35" s="1"/>
  <c r="B23" i="35" s="1"/>
  <c r="B22" i="35" s="1"/>
  <c r="B21" i="35" s="1"/>
  <c r="B20" i="35" s="1"/>
  <c r="B19" i="35" s="1"/>
  <c r="B18" i="35" s="1"/>
  <c r="B17" i="35" s="1"/>
  <c r="F72" i="28"/>
  <c r="E72" i="28"/>
  <c r="D72" i="28"/>
  <c r="F65" i="28"/>
  <c r="E65" i="28"/>
  <c r="D65" i="28"/>
  <c r="F56" i="28"/>
  <c r="E56" i="28"/>
  <c r="D56" i="28"/>
  <c r="F49" i="28"/>
  <c r="E49" i="28"/>
  <c r="D49" i="28"/>
  <c r="F42" i="28"/>
  <c r="E42" i="28"/>
  <c r="D42" i="28"/>
  <c r="F27" i="28"/>
  <c r="E27" i="28"/>
  <c r="D27" i="28"/>
  <c r="F13" i="28"/>
  <c r="E13" i="28"/>
  <c r="D13" i="28"/>
  <c r="F7" i="28"/>
  <c r="E7" i="28"/>
  <c r="D7" i="28"/>
  <c r="G81" i="5" l="1"/>
  <c r="F81" i="5"/>
  <c r="E81" i="5"/>
  <c r="D81" i="5"/>
  <c r="C81" i="5"/>
  <c r="G80" i="5"/>
  <c r="F80" i="5"/>
  <c r="E80" i="5"/>
  <c r="D80" i="5"/>
  <c r="C80" i="5"/>
  <c r="G79" i="5"/>
  <c r="F79" i="5"/>
  <c r="E79" i="5"/>
  <c r="D79" i="5"/>
  <c r="C79" i="5"/>
  <c r="G78" i="5"/>
  <c r="F78" i="5"/>
  <c r="E78" i="5"/>
  <c r="D78" i="5"/>
  <c r="C78" i="5"/>
  <c r="G77" i="5"/>
  <c r="F77" i="5"/>
  <c r="E77" i="5"/>
  <c r="D77" i="5"/>
  <c r="C77" i="5"/>
  <c r="B2" i="9" l="1"/>
  <c r="D9" i="6"/>
  <c r="E9" i="6" s="1"/>
  <c r="F9" i="6" s="1"/>
  <c r="G9" i="6" s="1"/>
  <c r="H9" i="6" s="1"/>
  <c r="I9" i="6" s="1"/>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A26" i="6" s="1"/>
  <c r="F26" i="6" l="1"/>
  <c r="AL26" i="6"/>
  <c r="G26" i="6"/>
  <c r="O26" i="6"/>
  <c r="W26" i="6"/>
  <c r="AE26" i="6"/>
  <c r="AM26" i="6"/>
  <c r="AU26" i="6"/>
  <c r="N26" i="6"/>
  <c r="AT26" i="6"/>
  <c r="H26" i="6"/>
  <c r="P26" i="6"/>
  <c r="X26" i="6"/>
  <c r="AF26" i="6"/>
  <c r="AN26" i="6"/>
  <c r="AV26" i="6"/>
  <c r="AD26" i="6"/>
  <c r="I26" i="6"/>
  <c r="Q26" i="6"/>
  <c r="Y26" i="6"/>
  <c r="AG26" i="6"/>
  <c r="AO26" i="6"/>
  <c r="AW26" i="6"/>
  <c r="V26" i="6"/>
  <c r="J26" i="6"/>
  <c r="R26" i="6"/>
  <c r="Z26" i="6"/>
  <c r="AH26" i="6"/>
  <c r="AP26" i="6"/>
  <c r="AX26" i="6"/>
  <c r="K26" i="6"/>
  <c r="S26" i="6"/>
  <c r="AA26" i="6"/>
  <c r="AI26" i="6"/>
  <c r="AQ26" i="6"/>
  <c r="AY26" i="6"/>
  <c r="D26" i="6"/>
  <c r="L26" i="6"/>
  <c r="T26" i="6"/>
  <c r="AB26" i="6"/>
  <c r="AJ26" i="6"/>
  <c r="AR26" i="6"/>
  <c r="AZ26" i="6"/>
  <c r="E26" i="6"/>
  <c r="M26" i="6"/>
  <c r="U26" i="6"/>
  <c r="AC26" i="6"/>
  <c r="AK26" i="6"/>
  <c r="AS26" i="6"/>
  <c r="C49" i="9"/>
  <c r="C38" i="9"/>
  <c r="C37" i="9"/>
  <c r="J15" i="24" l="1"/>
  <c r="I15" i="24"/>
  <c r="H14" i="24"/>
  <c r="G14" i="24"/>
  <c r="B31" i="3" l="1"/>
  <c r="B30" i="3"/>
  <c r="B29" i="3"/>
  <c r="B28" i="3"/>
  <c r="B27" i="3"/>
  <c r="B26" i="3"/>
  <c r="B25" i="3"/>
  <c r="B24" i="3"/>
  <c r="B23" i="3"/>
  <c r="B22" i="3"/>
  <c r="B21" i="3"/>
  <c r="B20" i="3"/>
  <c r="B19" i="3"/>
  <c r="B18" i="3"/>
  <c r="B17" i="3"/>
  <c r="I16" i="24"/>
  <c r="E33" i="5"/>
  <c r="D33" i="5"/>
  <c r="C33" i="5"/>
  <c r="F30" i="5"/>
  <c r="E30" i="5"/>
  <c r="D30" i="5"/>
  <c r="F28" i="5"/>
  <c r="E28" i="5"/>
  <c r="D28" i="5"/>
  <c r="C30" i="5"/>
  <c r="C28" i="5"/>
  <c r="G98" i="35"/>
  <c r="F98" i="35"/>
  <c r="E98" i="35"/>
  <c r="D98" i="35"/>
  <c r="C98" i="35"/>
  <c r="G97" i="35"/>
  <c r="F97" i="35"/>
  <c r="E97" i="35"/>
  <c r="D97" i="35"/>
  <c r="C97" i="35"/>
  <c r="G96" i="35"/>
  <c r="F96" i="35"/>
  <c r="E96" i="35"/>
  <c r="D96" i="35"/>
  <c r="C96" i="35"/>
  <c r="G95" i="35"/>
  <c r="F95" i="35"/>
  <c r="E95" i="35"/>
  <c r="D95" i="35"/>
  <c r="C95" i="35"/>
  <c r="G94" i="35"/>
  <c r="F94" i="35"/>
  <c r="E94" i="35"/>
  <c r="D94" i="35"/>
  <c r="C94" i="35"/>
  <c r="C7" i="35"/>
  <c r="C6" i="35"/>
  <c r="B2" i="35" a="1"/>
  <c r="B2" i="35" s="1"/>
  <c r="G88" i="35"/>
  <c r="F88" i="35"/>
  <c r="E88" i="35"/>
  <c r="D88" i="35"/>
  <c r="C88" i="35"/>
  <c r="E82" i="35"/>
  <c r="E81" i="35"/>
  <c r="E80" i="35"/>
  <c r="E79" i="35"/>
  <c r="E78" i="35"/>
  <c r="G77" i="35"/>
  <c r="G87" i="35" s="1"/>
  <c r="E77" i="35"/>
  <c r="E76" i="35"/>
  <c r="E75" i="35"/>
  <c r="E74" i="35"/>
  <c r="E73" i="35"/>
  <c r="E68" i="35"/>
  <c r="E67" i="35"/>
  <c r="E66" i="35"/>
  <c r="E65" i="35"/>
  <c r="E64" i="35"/>
  <c r="G63" i="35"/>
  <c r="F87" i="35" s="1"/>
  <c r="E63" i="35"/>
  <c r="E62" i="35"/>
  <c r="E61" i="35"/>
  <c r="E60" i="35"/>
  <c r="E59" i="35"/>
  <c r="E54" i="35"/>
  <c r="E53" i="35"/>
  <c r="E52" i="35"/>
  <c r="E51" i="35"/>
  <c r="E50" i="35"/>
  <c r="G49" i="35"/>
  <c r="E87" i="35" s="1"/>
  <c r="E49" i="35"/>
  <c r="E48" i="35"/>
  <c r="E47" i="35"/>
  <c r="E46" i="35"/>
  <c r="E45" i="35"/>
  <c r="E40" i="35"/>
  <c r="E39" i="35"/>
  <c r="E38" i="35"/>
  <c r="E37" i="35"/>
  <c r="E36" i="35"/>
  <c r="G35" i="35"/>
  <c r="D87" i="35" s="1"/>
  <c r="E35" i="35"/>
  <c r="E34" i="35"/>
  <c r="E33" i="35"/>
  <c r="E32" i="35"/>
  <c r="E31" i="35"/>
  <c r="E26" i="35"/>
  <c r="E25" i="35"/>
  <c r="E24" i="35"/>
  <c r="E23" i="35"/>
  <c r="E22" i="35"/>
  <c r="G21" i="35"/>
  <c r="C87" i="35" s="1"/>
  <c r="E21" i="35"/>
  <c r="E20" i="35"/>
  <c r="E19" i="35"/>
  <c r="E18" i="35"/>
  <c r="E17" i="35"/>
  <c r="G74" i="35" l="1"/>
  <c r="G60" i="35"/>
  <c r="G59" i="35"/>
  <c r="G73" i="35"/>
  <c r="G18" i="35"/>
  <c r="G32" i="35"/>
  <c r="G46" i="35"/>
  <c r="G17" i="35"/>
  <c r="G31" i="35"/>
  <c r="C9" i="35"/>
  <c r="G45" i="35"/>
  <c r="G75" i="35" l="1"/>
  <c r="G89" i="35" s="1"/>
  <c r="G90" i="35" s="1"/>
  <c r="G19" i="35"/>
  <c r="C89" i="35" s="1"/>
  <c r="C90" i="35" s="1"/>
  <c r="G61" i="35"/>
  <c r="F89" i="35" s="1"/>
  <c r="F90" i="35" s="1"/>
  <c r="G47" i="35"/>
  <c r="E89" i="35" s="1"/>
  <c r="E90" i="35" s="1"/>
  <c r="G33" i="35"/>
  <c r="D89" i="35" s="1"/>
  <c r="D90" i="35" s="1"/>
  <c r="C10" i="35" l="1" a="1"/>
  <c r="C10" i="35" s="1"/>
  <c r="C11" i="35" s="1"/>
  <c r="C12" i="35" s="1"/>
  <c r="F33" i="5" s="1"/>
  <c r="E82" i="32" a="1"/>
  <c r="E82" i="32" s="1"/>
  <c r="B2" i="32" a="1"/>
  <c r="B2" i="32" s="1"/>
  <c r="C157" i="4"/>
  <c r="C153" i="4"/>
  <c r="C152" i="4"/>
  <c r="C151" i="4"/>
  <c r="C150" i="4"/>
  <c r="C149" i="4"/>
  <c r="C148" i="4"/>
  <c r="C155" i="4"/>
  <c r="C154" i="4"/>
  <c r="B152" i="4"/>
  <c r="B151" i="4"/>
  <c r="B150" i="4"/>
  <c r="B149" i="4"/>
  <c r="B148" i="4"/>
  <c r="B147" i="4" l="1"/>
  <c r="B146" i="4"/>
  <c r="B145" i="4"/>
  <c r="B144" i="4"/>
  <c r="B143" i="4"/>
  <c r="B142" i="4"/>
  <c r="B141" i="4"/>
  <c r="B140" i="4"/>
  <c r="B139" i="4"/>
  <c r="B138" i="4"/>
  <c r="C161" i="4"/>
  <c r="C159" i="4"/>
  <c r="C158" i="4"/>
  <c r="C156" i="4"/>
  <c r="C137" i="4"/>
  <c r="B136" i="4"/>
  <c r="E63" i="4"/>
  <c r="E67" i="4"/>
  <c r="E71" i="4"/>
  <c r="E72" i="4" s="1"/>
  <c r="E80" i="4"/>
  <c r="E88" i="4"/>
  <c r="E96" i="4"/>
  <c r="E104" i="4"/>
  <c r="E68" i="4" l="1"/>
  <c r="E64" i="4"/>
  <c r="E120" i="4" l="1"/>
  <c r="E112" i="4"/>
  <c r="E44" i="4"/>
  <c r="B135" i="4"/>
  <c r="E133" i="4"/>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AI133" i="4" s="1"/>
  <c r="AJ133" i="4" s="1"/>
  <c r="AK133" i="4" s="1"/>
  <c r="AL133" i="4" s="1"/>
  <c r="AM133" i="4" s="1"/>
  <c r="AN133" i="4" s="1"/>
  <c r="AO133" i="4" s="1"/>
  <c r="AP133" i="4" s="1"/>
  <c r="AQ133" i="4" s="1"/>
  <c r="AR133" i="4" s="1"/>
  <c r="AS133" i="4" s="1"/>
  <c r="AT133" i="4" s="1"/>
  <c r="AU133" i="4" s="1"/>
  <c r="AV133" i="4" s="1"/>
  <c r="AW133" i="4" s="1"/>
  <c r="AX133" i="4" s="1"/>
  <c r="AY133" i="4" s="1"/>
  <c r="AZ133" i="4" s="1"/>
  <c r="BA133" i="4" s="1"/>
  <c r="BB133" i="4" s="1"/>
  <c r="BE156" i="32" l="1"/>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BE155" i="32"/>
  <c r="BD155" i="32"/>
  <c r="BC155" i="32"/>
  <c r="BB155" i="32"/>
  <c r="BA155" i="32"/>
  <c r="AZ155" i="32"/>
  <c r="AY155" i="32"/>
  <c r="AX155" i="32"/>
  <c r="AW155" i="32"/>
  <c r="AV155" i="32"/>
  <c r="AU155"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BE154" i="32"/>
  <c r="BD154" i="32"/>
  <c r="BC154" i="32"/>
  <c r="BB154" i="32"/>
  <c r="BA154" i="32"/>
  <c r="AZ154" i="32"/>
  <c r="AY154" i="32"/>
  <c r="AX154" i="32"/>
  <c r="AW154" i="32"/>
  <c r="AV154" i="32"/>
  <c r="AU154" i="32"/>
  <c r="AT154" i="32"/>
  <c r="AS154" i="32"/>
  <c r="AR154" i="32"/>
  <c r="AQ154" i="32"/>
  <c r="AP154" i="32"/>
  <c r="AO154" i="32"/>
  <c r="AN154" i="32"/>
  <c r="AM154" i="32"/>
  <c r="AL154" i="32"/>
  <c r="AK154" i="32"/>
  <c r="AJ154" i="32"/>
  <c r="AI154" i="32"/>
  <c r="AH154" i="32"/>
  <c r="AG154" i="32"/>
  <c r="AF154" i="32"/>
  <c r="AE154" i="32"/>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E152" i="32"/>
  <c r="BD152" i="32"/>
  <c r="BC152" i="32"/>
  <c r="BB152" i="32"/>
  <c r="BA152" i="32"/>
  <c r="AZ152" i="32"/>
  <c r="AY152" i="32"/>
  <c r="AX152" i="32"/>
  <c r="AW152" i="32"/>
  <c r="AV152" i="32"/>
  <c r="AU152" i="32"/>
  <c r="AT152" i="32"/>
  <c r="AS152" i="32"/>
  <c r="AR152" i="32"/>
  <c r="AQ152" i="32"/>
  <c r="AP152" i="32"/>
  <c r="AO152" i="32"/>
  <c r="AN152" i="32"/>
  <c r="AM152" i="32"/>
  <c r="AL152" i="32"/>
  <c r="AK152" i="32"/>
  <c r="AJ152" i="32"/>
  <c r="AI152" i="32"/>
  <c r="AH152" i="32"/>
  <c r="AG152" i="32"/>
  <c r="AF152" i="32"/>
  <c r="AE152"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0" i="32"/>
  <c r="G149" i="32"/>
  <c r="G148" i="32"/>
  <c r="G147" i="32"/>
  <c r="G146"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4" i="32"/>
  <c r="G143" i="32"/>
  <c r="G142" i="32"/>
  <c r="G141" i="32"/>
  <c r="G140"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H137" i="32"/>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BD137" i="32" s="1"/>
  <c r="BE137" i="32" s="1"/>
  <c r="G152" i="32" l="1"/>
  <c r="I151" i="32"/>
  <c r="Q151" i="32"/>
  <c r="Y151" i="32"/>
  <c r="AG151" i="32"/>
  <c r="AO151" i="32"/>
  <c r="AW151" i="32"/>
  <c r="BE151" i="32"/>
  <c r="G156" i="32"/>
  <c r="K151" i="32"/>
  <c r="S151" i="32"/>
  <c r="AA151" i="32"/>
  <c r="AI151" i="32"/>
  <c r="AQ151" i="32"/>
  <c r="AY151" i="32"/>
  <c r="J151" i="32"/>
  <c r="R151" i="32"/>
  <c r="Z151" i="32"/>
  <c r="AH151" i="32"/>
  <c r="AP151" i="32"/>
  <c r="AX151" i="32"/>
  <c r="L151" i="32"/>
  <c r="T151" i="32"/>
  <c r="AB151" i="32"/>
  <c r="AJ151" i="32"/>
  <c r="AR151" i="32"/>
  <c r="AZ151" i="32"/>
  <c r="G139" i="32"/>
  <c r="N151" i="32"/>
  <c r="V151" i="32"/>
  <c r="AD151" i="32"/>
  <c r="AL151" i="32"/>
  <c r="AT151" i="32"/>
  <c r="BB151" i="32"/>
  <c r="G153" i="32"/>
  <c r="G154" i="32"/>
  <c r="U151" i="32"/>
  <c r="AC151" i="32"/>
  <c r="AK151" i="32"/>
  <c r="AS151" i="32"/>
  <c r="BA151" i="32"/>
  <c r="G155" i="32"/>
  <c r="O151" i="32"/>
  <c r="W151" i="32"/>
  <c r="AE151" i="32"/>
  <c r="AM151" i="32"/>
  <c r="AU151" i="32"/>
  <c r="BC151" i="32"/>
  <c r="P151" i="32"/>
  <c r="X151" i="32"/>
  <c r="AF151" i="32"/>
  <c r="AN151" i="32"/>
  <c r="AV151" i="32"/>
  <c r="BD151" i="32"/>
  <c r="M151" i="32"/>
  <c r="G145" i="32"/>
  <c r="H151" i="32"/>
  <c r="G151" i="32" l="1"/>
  <c r="BE132" i="32" l="1"/>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BE125" i="32"/>
  <c r="BD125" i="32"/>
  <c r="BC125" i="32"/>
  <c r="BB125" i="32"/>
  <c r="BA125" i="32"/>
  <c r="AZ125" i="32"/>
  <c r="AY125" i="32"/>
  <c r="AX125" i="32"/>
  <c r="AW125" i="32"/>
  <c r="AV125" i="32"/>
  <c r="AU125"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32" i="32"/>
  <c r="H131" i="32"/>
  <c r="H130" i="32"/>
  <c r="H129" i="32"/>
  <c r="H128" i="32"/>
  <c r="H127" i="32"/>
  <c r="H126" i="32"/>
  <c r="H125" i="32"/>
  <c r="G123" i="32"/>
  <c r="G122" i="32"/>
  <c r="G121" i="32"/>
  <c r="G120" i="32"/>
  <c r="G119" i="32"/>
  <c r="G118" i="32"/>
  <c r="G117" i="32"/>
  <c r="G116" i="32"/>
  <c r="G114" i="32"/>
  <c r="G113" i="32"/>
  <c r="G112" i="32"/>
  <c r="G130" i="32" s="1"/>
  <c r="G111" i="32"/>
  <c r="G110" i="32"/>
  <c r="G109" i="32"/>
  <c r="G108" i="32"/>
  <c r="G107"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G128" i="32" l="1"/>
  <c r="G132" i="32"/>
  <c r="G127" i="32"/>
  <c r="G131" i="32"/>
  <c r="G125" i="32"/>
  <c r="G129" i="32"/>
  <c r="G126" i="32"/>
  <c r="E91" i="32" l="1" a="1"/>
  <c r="E91" i="32" s="1"/>
  <c r="E90" i="32" a="1"/>
  <c r="E90" i="32" s="1"/>
  <c r="E89" i="32" a="1"/>
  <c r="E89" i="32" s="1"/>
  <c r="E85" i="32" a="1"/>
  <c r="E85" i="32" s="1"/>
  <c r="E84" i="32" a="1"/>
  <c r="E84" i="32" s="1"/>
  <c r="E83" i="32" a="1"/>
  <c r="E83" i="32" s="1"/>
  <c r="E81" i="32" a="1"/>
  <c r="E81" i="32" s="1"/>
  <c r="E87" i="32" a="1"/>
  <c r="E87" i="32" s="1"/>
  <c r="E88" i="32" a="1"/>
  <c r="E88" i="32" s="1"/>
  <c r="G86" i="32"/>
  <c r="F91" i="32" s="1"/>
  <c r="G80" i="32"/>
  <c r="F83" i="32" s="1"/>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BE56" i="32"/>
  <c r="BE106" i="32" s="1"/>
  <c r="BD56" i="32"/>
  <c r="BD106" i="32" s="1"/>
  <c r="BC56" i="32"/>
  <c r="BC106" i="32" s="1"/>
  <c r="BB56" i="32"/>
  <c r="BB106" i="32" s="1"/>
  <c r="BA56" i="32"/>
  <c r="BA106" i="32" s="1"/>
  <c r="AZ56" i="32"/>
  <c r="AZ106" i="32" s="1"/>
  <c r="AY56" i="32"/>
  <c r="AY106" i="32" s="1"/>
  <c r="AX56" i="32"/>
  <c r="AX106" i="32" s="1"/>
  <c r="AW56" i="32"/>
  <c r="AW106" i="32" s="1"/>
  <c r="AV56" i="32"/>
  <c r="AV106" i="32" s="1"/>
  <c r="AU56" i="32"/>
  <c r="AU106" i="32" s="1"/>
  <c r="AT56" i="32"/>
  <c r="AT106" i="32" s="1"/>
  <c r="AS56" i="32"/>
  <c r="AS106" i="32" s="1"/>
  <c r="AR56" i="32"/>
  <c r="AR106" i="32" s="1"/>
  <c r="AQ56" i="32"/>
  <c r="AQ106" i="32" s="1"/>
  <c r="AP56" i="32"/>
  <c r="AP106" i="32" s="1"/>
  <c r="AO56" i="32"/>
  <c r="AO106" i="32" s="1"/>
  <c r="AN56" i="32"/>
  <c r="AN106" i="32" s="1"/>
  <c r="AM56" i="32"/>
  <c r="AM106" i="32" s="1"/>
  <c r="AL56" i="32"/>
  <c r="AL106" i="32" s="1"/>
  <c r="AK56" i="32"/>
  <c r="AK106" i="32" s="1"/>
  <c r="AJ56" i="32"/>
  <c r="AJ106" i="32" s="1"/>
  <c r="AI56" i="32"/>
  <c r="AI106" i="32" s="1"/>
  <c r="AH56" i="32"/>
  <c r="AH106" i="32" s="1"/>
  <c r="AG56" i="32"/>
  <c r="AG106" i="32" s="1"/>
  <c r="AF56" i="32"/>
  <c r="AF106" i="32" s="1"/>
  <c r="AE56" i="32"/>
  <c r="AE106" i="32" s="1"/>
  <c r="AD56" i="32"/>
  <c r="AD106" i="32" s="1"/>
  <c r="AC56" i="32"/>
  <c r="AC106" i="32" s="1"/>
  <c r="AB56" i="32"/>
  <c r="AB106" i="32" s="1"/>
  <c r="AA56" i="32"/>
  <c r="AA106" i="32" s="1"/>
  <c r="Z56" i="32"/>
  <c r="Z106" i="32" s="1"/>
  <c r="Y56" i="32"/>
  <c r="Y106" i="32" s="1"/>
  <c r="X56" i="32"/>
  <c r="X106" i="32" s="1"/>
  <c r="W56" i="32"/>
  <c r="W106" i="32" s="1"/>
  <c r="V56" i="32"/>
  <c r="V106" i="32" s="1"/>
  <c r="U56" i="32"/>
  <c r="U106" i="32" s="1"/>
  <c r="T56" i="32"/>
  <c r="T106" i="32" s="1"/>
  <c r="S56" i="32"/>
  <c r="S106" i="32" s="1"/>
  <c r="R56" i="32"/>
  <c r="R106" i="32" s="1"/>
  <c r="Q56" i="32"/>
  <c r="Q106" i="32" s="1"/>
  <c r="P56" i="32"/>
  <c r="P106" i="32" s="1"/>
  <c r="O56" i="32"/>
  <c r="O106" i="32" s="1"/>
  <c r="N56" i="32"/>
  <c r="N106" i="32" s="1"/>
  <c r="M56" i="32"/>
  <c r="M106" i="32" s="1"/>
  <c r="L56" i="32"/>
  <c r="L106" i="32" s="1"/>
  <c r="K56" i="32"/>
  <c r="K106" i="32" s="1"/>
  <c r="J56" i="32"/>
  <c r="J106" i="32" s="1"/>
  <c r="I56" i="32"/>
  <c r="I106" i="32" s="1"/>
  <c r="H56" i="32"/>
  <c r="H106" i="32" s="1"/>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106" i="32" l="1"/>
  <c r="F82" i="32"/>
  <c r="F84" i="32"/>
  <c r="F85" i="32"/>
  <c r="F86" i="32"/>
  <c r="F87" i="32"/>
  <c r="E80" i="32" a="1"/>
  <c r="E80" i="32" s="1"/>
  <c r="F80" i="32"/>
  <c r="F88" i="32"/>
  <c r="F81" i="32"/>
  <c r="F89" i="32"/>
  <c r="F90" i="32"/>
  <c r="H86" i="32" l="1"/>
  <c r="BE73" i="32" l="1"/>
  <c r="BD73" i="32"/>
  <c r="BC73" i="32"/>
  <c r="BB73" i="32"/>
  <c r="BA73" i="32"/>
  <c r="AZ73" i="32"/>
  <c r="AY73" i="32"/>
  <c r="AX73" i="32"/>
  <c r="AW73" i="32"/>
  <c r="AV73" i="32"/>
  <c r="AU73"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BE71" i="32"/>
  <c r="BD71" i="32"/>
  <c r="BC71" i="32"/>
  <c r="BB71" i="32"/>
  <c r="BA71" i="32"/>
  <c r="AZ71" i="32"/>
  <c r="AY71" i="32"/>
  <c r="AX71" i="32"/>
  <c r="AW71" i="32"/>
  <c r="AV71" i="32"/>
  <c r="AU71"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BE70" i="32"/>
  <c r="BD70" i="32"/>
  <c r="BC70" i="32"/>
  <c r="BB70" i="32"/>
  <c r="BA70" i="32"/>
  <c r="AZ70" i="32"/>
  <c r="AY70" i="32"/>
  <c r="AX70" i="32"/>
  <c r="AW70" i="32"/>
  <c r="AV70" i="32"/>
  <c r="AU70" i="32"/>
  <c r="AT70" i="32"/>
  <c r="AS70" i="32"/>
  <c r="AR70" i="32"/>
  <c r="AQ70" i="32"/>
  <c r="AP70" i="32"/>
  <c r="AO70" i="32"/>
  <c r="AN70" i="32"/>
  <c r="AM70" i="32"/>
  <c r="AL70" i="32"/>
  <c r="AK70" i="32"/>
  <c r="AJ70" i="32"/>
  <c r="AI70" i="32"/>
  <c r="AH70" i="32"/>
  <c r="AG70" i="32"/>
  <c r="AF70" i="32"/>
  <c r="AE70" i="32"/>
  <c r="AD70" i="32"/>
  <c r="AC70" i="32"/>
  <c r="AB70" i="32"/>
  <c r="AA70" i="32"/>
  <c r="Z70" i="32"/>
  <c r="Y70" i="32"/>
  <c r="X70" i="32"/>
  <c r="W70" i="32"/>
  <c r="V70" i="32"/>
  <c r="U70" i="32"/>
  <c r="T70" i="32"/>
  <c r="S70" i="32"/>
  <c r="R70" i="32"/>
  <c r="Q70" i="32"/>
  <c r="P70" i="32"/>
  <c r="O70" i="32"/>
  <c r="N70" i="32"/>
  <c r="M70" i="32"/>
  <c r="L70" i="32"/>
  <c r="K70" i="32"/>
  <c r="J70" i="32"/>
  <c r="I70" i="32"/>
  <c r="H70"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7" i="32"/>
  <c r="G66" i="32"/>
  <c r="G65" i="32"/>
  <c r="G64" i="32"/>
  <c r="G63" i="32"/>
  <c r="BE62" i="32"/>
  <c r="BE115" i="32" s="1"/>
  <c r="BE124" i="32" s="1"/>
  <c r="BD62" i="32"/>
  <c r="BD115" i="32" s="1"/>
  <c r="BD124" i="32" s="1"/>
  <c r="BC62" i="32"/>
  <c r="BC115" i="32" s="1"/>
  <c r="BC124" i="32" s="1"/>
  <c r="BB62" i="32"/>
  <c r="BB115" i="32" s="1"/>
  <c r="BB124" i="32" s="1"/>
  <c r="BA62" i="32"/>
  <c r="BA115" i="32" s="1"/>
  <c r="BA124" i="32" s="1"/>
  <c r="AZ62" i="32"/>
  <c r="AZ115" i="32" s="1"/>
  <c r="AZ124" i="32" s="1"/>
  <c r="AY62" i="32"/>
  <c r="AX62" i="32"/>
  <c r="AX115" i="32" s="1"/>
  <c r="AX124" i="32" s="1"/>
  <c r="AW62" i="32"/>
  <c r="AW115" i="32" s="1"/>
  <c r="AW124" i="32" s="1"/>
  <c r="AV62" i="32"/>
  <c r="AV115" i="32" s="1"/>
  <c r="AV124" i="32" s="1"/>
  <c r="AU62" i="32"/>
  <c r="AU115" i="32" s="1"/>
  <c r="AU124" i="32" s="1"/>
  <c r="AT62" i="32"/>
  <c r="AT115" i="32" s="1"/>
  <c r="AT124" i="32" s="1"/>
  <c r="AS62" i="32"/>
  <c r="AS115" i="32" s="1"/>
  <c r="AS124" i="32" s="1"/>
  <c r="AR62" i="32"/>
  <c r="AR115" i="32" s="1"/>
  <c r="AR124" i="32" s="1"/>
  <c r="AQ62" i="32"/>
  <c r="AP62" i="32"/>
  <c r="AP115" i="32" s="1"/>
  <c r="AP124" i="32" s="1"/>
  <c r="AO62" i="32"/>
  <c r="AO115" i="32" s="1"/>
  <c r="AO124" i="32" s="1"/>
  <c r="AN62" i="32"/>
  <c r="AN115" i="32" s="1"/>
  <c r="AN124" i="32" s="1"/>
  <c r="AM62" i="32"/>
  <c r="AM115" i="32" s="1"/>
  <c r="AM124" i="32" s="1"/>
  <c r="AL62" i="32"/>
  <c r="AL115" i="32" s="1"/>
  <c r="AL124" i="32" s="1"/>
  <c r="AK62" i="32"/>
  <c r="AK115" i="32" s="1"/>
  <c r="AK124" i="32" s="1"/>
  <c r="AJ62" i="32"/>
  <c r="AJ115" i="32" s="1"/>
  <c r="AJ124" i="32" s="1"/>
  <c r="AI62" i="32"/>
  <c r="AH62" i="32"/>
  <c r="AH115" i="32" s="1"/>
  <c r="AH124" i="32" s="1"/>
  <c r="AG62" i="32"/>
  <c r="AG115" i="32" s="1"/>
  <c r="AG124" i="32" s="1"/>
  <c r="AF62" i="32"/>
  <c r="AF115" i="32" s="1"/>
  <c r="AF124" i="32" s="1"/>
  <c r="AE62" i="32"/>
  <c r="AE115" i="32" s="1"/>
  <c r="AE124" i="32" s="1"/>
  <c r="AD62" i="32"/>
  <c r="AD115" i="32" s="1"/>
  <c r="AD124" i="32" s="1"/>
  <c r="AC62" i="32"/>
  <c r="AC115" i="32" s="1"/>
  <c r="AC124" i="32" s="1"/>
  <c r="AB62" i="32"/>
  <c r="AB115" i="32" s="1"/>
  <c r="AB124" i="32" s="1"/>
  <c r="AA62" i="32"/>
  <c r="Z62" i="32"/>
  <c r="Z115" i="32" s="1"/>
  <c r="Z124" i="32" s="1"/>
  <c r="Y62" i="32"/>
  <c r="Y115" i="32" s="1"/>
  <c r="Y124" i="32" s="1"/>
  <c r="X62" i="32"/>
  <c r="X115" i="32" s="1"/>
  <c r="X124" i="32" s="1"/>
  <c r="W62" i="32"/>
  <c r="W115" i="32" s="1"/>
  <c r="W124" i="32" s="1"/>
  <c r="V62" i="32"/>
  <c r="V115" i="32" s="1"/>
  <c r="V124" i="32" s="1"/>
  <c r="U62" i="32"/>
  <c r="U115" i="32" s="1"/>
  <c r="U124" i="32" s="1"/>
  <c r="T62" i="32"/>
  <c r="T115" i="32" s="1"/>
  <c r="T124" i="32" s="1"/>
  <c r="S62" i="32"/>
  <c r="R62" i="32"/>
  <c r="R115" i="32" s="1"/>
  <c r="R124" i="32" s="1"/>
  <c r="Q62" i="32"/>
  <c r="Q115" i="32" s="1"/>
  <c r="Q124" i="32" s="1"/>
  <c r="P62" i="32"/>
  <c r="P115" i="32" s="1"/>
  <c r="P124" i="32" s="1"/>
  <c r="O62" i="32"/>
  <c r="O115" i="32" s="1"/>
  <c r="O124" i="32" s="1"/>
  <c r="N62" i="32"/>
  <c r="N115" i="32" s="1"/>
  <c r="N124" i="32" s="1"/>
  <c r="M62" i="32"/>
  <c r="M115" i="32" s="1"/>
  <c r="M124" i="32" s="1"/>
  <c r="L62" i="32"/>
  <c r="L115" i="32" s="1"/>
  <c r="L124" i="32" s="1"/>
  <c r="K62" i="32"/>
  <c r="J62" i="32"/>
  <c r="J115" i="32" s="1"/>
  <c r="J124" i="32" s="1"/>
  <c r="I62" i="32"/>
  <c r="I115" i="32" s="1"/>
  <c r="I124" i="32" s="1"/>
  <c r="H62" i="32"/>
  <c r="H115" i="32" s="1"/>
  <c r="G61" i="32"/>
  <c r="G60" i="32"/>
  <c r="G59" i="32"/>
  <c r="G58" i="32"/>
  <c r="G57" i="32"/>
  <c r="H54" i="32"/>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G78" i="32"/>
  <c r="H78" i="32"/>
  <c r="I78" i="32" s="1"/>
  <c r="J78" i="32" s="1"/>
  <c r="K78" i="32" s="1"/>
  <c r="L78"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AT78" i="32" s="1"/>
  <c r="AU78" i="32" s="1"/>
  <c r="AV78" i="32" s="1"/>
  <c r="AW78" i="32" s="1"/>
  <c r="AX78" i="32" s="1"/>
  <c r="AY78" i="32" s="1"/>
  <c r="AZ78" i="32" s="1"/>
  <c r="BA78" i="32" s="1"/>
  <c r="BB78" i="32" s="1"/>
  <c r="BC78" i="32" s="1"/>
  <c r="BD78" i="32" s="1"/>
  <c r="BE78" i="32" s="1"/>
  <c r="BE97" i="32"/>
  <c r="BD97" i="32"/>
  <c r="BC97" i="32"/>
  <c r="BB97" i="32"/>
  <c r="BA97" i="32"/>
  <c r="AZ97" i="32"/>
  <c r="AY97" i="32"/>
  <c r="AX97" i="32"/>
  <c r="AW97" i="32"/>
  <c r="AV97" i="32"/>
  <c r="AU97" i="32"/>
  <c r="AT97" i="32"/>
  <c r="AS97" i="32"/>
  <c r="AR97" i="32"/>
  <c r="AQ97" i="32"/>
  <c r="AP97" i="32"/>
  <c r="AO97" i="32"/>
  <c r="AN97" i="32"/>
  <c r="AM97" i="32"/>
  <c r="AL97" i="32"/>
  <c r="AK97" i="32"/>
  <c r="AJ97" i="32"/>
  <c r="AI97" i="32"/>
  <c r="AH97" i="32"/>
  <c r="AG97" i="32"/>
  <c r="AF97" i="32"/>
  <c r="AE97" i="32"/>
  <c r="AD97" i="32"/>
  <c r="AC97" i="32"/>
  <c r="AB97" i="32"/>
  <c r="AA97" i="32"/>
  <c r="Z97" i="32"/>
  <c r="Y97" i="32"/>
  <c r="X97" i="32"/>
  <c r="W97" i="32"/>
  <c r="V97" i="32"/>
  <c r="U97" i="32"/>
  <c r="T97" i="32"/>
  <c r="S97" i="32"/>
  <c r="R97" i="32"/>
  <c r="Q97" i="32"/>
  <c r="P97" i="32"/>
  <c r="O97" i="32"/>
  <c r="N97" i="32"/>
  <c r="M97" i="32"/>
  <c r="L97" i="32"/>
  <c r="K97" i="32"/>
  <c r="J97" i="32"/>
  <c r="I97" i="32"/>
  <c r="H97"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BE95" i="32"/>
  <c r="BD95" i="32"/>
  <c r="BC95" i="32"/>
  <c r="BB95" i="32"/>
  <c r="BA95" i="32"/>
  <c r="AZ95" i="32"/>
  <c r="AY95" i="32"/>
  <c r="AX95" i="32"/>
  <c r="AW95" i="32"/>
  <c r="AV95" i="32"/>
  <c r="AU95"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G95" i="32"/>
  <c r="G93"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9" i="32"/>
  <c r="H48" i="32"/>
  <c r="H47" i="32"/>
  <c r="H46" i="32"/>
  <c r="H45" i="32"/>
  <c r="G35" i="32"/>
  <c r="G34" i="32"/>
  <c r="H30" i="32"/>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BE30" i="32" s="1"/>
  <c r="H12" i="32"/>
  <c r="I12" i="32" s="1"/>
  <c r="J12" i="32" s="1"/>
  <c r="K12" i="32" s="1"/>
  <c r="L12" i="32" s="1"/>
  <c r="M12" i="32" s="1"/>
  <c r="N12" i="32" s="1"/>
  <c r="O12" i="32" s="1"/>
  <c r="P12" i="32" s="1"/>
  <c r="Q12" i="32" s="1"/>
  <c r="R12" i="32" s="1"/>
  <c r="S12" i="32" s="1"/>
  <c r="T12" i="32" s="1"/>
  <c r="U12" i="32" s="1"/>
  <c r="V12" i="32" s="1"/>
  <c r="W12" i="32" s="1"/>
  <c r="X12" i="32" s="1"/>
  <c r="Y12" i="32" s="1"/>
  <c r="Z12" i="32" s="1"/>
  <c r="AA12" i="32" s="1"/>
  <c r="AB12" i="32" s="1"/>
  <c r="AC12" i="32" s="1"/>
  <c r="AD12" i="32" s="1"/>
  <c r="AE12" i="32" s="1"/>
  <c r="AF12" i="32" s="1"/>
  <c r="AG12" i="32" s="1"/>
  <c r="AH12" i="32" s="1"/>
  <c r="AI12" i="32" s="1"/>
  <c r="AJ12" i="32" s="1"/>
  <c r="AK12" i="32" s="1"/>
  <c r="AL12" i="32" s="1"/>
  <c r="AM12" i="32" s="1"/>
  <c r="AN12" i="32" s="1"/>
  <c r="AO12" i="32" s="1"/>
  <c r="AP12" i="32" s="1"/>
  <c r="AQ12" i="32" s="1"/>
  <c r="AR12" i="32" s="1"/>
  <c r="AS12" i="32" s="1"/>
  <c r="AT12" i="32" s="1"/>
  <c r="AU12" i="32" s="1"/>
  <c r="AV12" i="32" s="1"/>
  <c r="AW12" i="32" s="1"/>
  <c r="AX12" i="32" s="1"/>
  <c r="AY12" i="32" s="1"/>
  <c r="AZ12" i="32" s="1"/>
  <c r="BA12" i="32" s="1"/>
  <c r="BB12" i="32" s="1"/>
  <c r="BC12" i="32" s="1"/>
  <c r="BD12" i="32" s="1"/>
  <c r="BE12" i="32" s="1"/>
  <c r="G43" i="32"/>
  <c r="G42" i="32"/>
  <c r="G41" i="32"/>
  <c r="G40" i="32"/>
  <c r="G39" i="32"/>
  <c r="BE38" i="32"/>
  <c r="BD38" i="32"/>
  <c r="BC38" i="32"/>
  <c r="BB38" i="32"/>
  <c r="BA38" i="32"/>
  <c r="AZ38" i="32"/>
  <c r="AY38" i="32"/>
  <c r="AX38" i="32"/>
  <c r="AW38" i="32"/>
  <c r="AV38" i="32"/>
  <c r="AV44" i="32" s="1"/>
  <c r="AU38" i="32"/>
  <c r="AT38" i="32"/>
  <c r="AS38" i="32"/>
  <c r="AR38" i="32"/>
  <c r="AQ38" i="32"/>
  <c r="AP38" i="32"/>
  <c r="AO38" i="32"/>
  <c r="AN38" i="32"/>
  <c r="AN44" i="32" s="1"/>
  <c r="AM38" i="32"/>
  <c r="AL38" i="32"/>
  <c r="AK38" i="32"/>
  <c r="AJ38" i="32"/>
  <c r="AI38" i="32"/>
  <c r="AH38" i="32"/>
  <c r="AG38" i="32"/>
  <c r="AF38" i="32"/>
  <c r="AF44" i="32" s="1"/>
  <c r="AE38" i="32"/>
  <c r="AD38" i="32"/>
  <c r="AC38" i="32"/>
  <c r="AB38" i="32"/>
  <c r="AA38" i="32"/>
  <c r="Z38" i="32"/>
  <c r="Y38" i="32"/>
  <c r="X38" i="32"/>
  <c r="X44" i="32" s="1"/>
  <c r="W38" i="32"/>
  <c r="V38" i="32"/>
  <c r="U38" i="32"/>
  <c r="T38" i="32"/>
  <c r="S38" i="32"/>
  <c r="R38" i="32"/>
  <c r="Q38" i="32"/>
  <c r="P38" i="32"/>
  <c r="P44" i="32" s="1"/>
  <c r="O38" i="32"/>
  <c r="N38" i="32"/>
  <c r="M38" i="32"/>
  <c r="L38" i="32"/>
  <c r="K38" i="32"/>
  <c r="J38" i="32"/>
  <c r="I38" i="32"/>
  <c r="H38" i="32"/>
  <c r="H44" i="32" s="1"/>
  <c r="G37" i="32"/>
  <c r="G36" i="32"/>
  <c r="G33"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BE24" i="32"/>
  <c r="BD24" i="32"/>
  <c r="BC24" i="32"/>
  <c r="AY10" i="6" s="1"/>
  <c r="BB24" i="32"/>
  <c r="AX10" i="6" s="1"/>
  <c r="BA24" i="32"/>
  <c r="AZ24" i="32"/>
  <c r="AY24" i="32"/>
  <c r="AU10" i="6" s="1"/>
  <c r="AX24" i="32"/>
  <c r="AT10" i="6" s="1"/>
  <c r="AW24" i="32"/>
  <c r="AV24" i="32"/>
  <c r="AU24" i="32"/>
  <c r="AQ10" i="6" s="1"/>
  <c r="AT24" i="32"/>
  <c r="AP10" i="6" s="1"/>
  <c r="AS24" i="32"/>
  <c r="AR24" i="32"/>
  <c r="AQ24" i="32"/>
  <c r="AM10" i="6" s="1"/>
  <c r="AP24" i="32"/>
  <c r="AL10" i="6" s="1"/>
  <c r="AO24" i="32"/>
  <c r="AN24" i="32"/>
  <c r="AM24" i="32"/>
  <c r="AI10" i="6" s="1"/>
  <c r="AL24" i="32"/>
  <c r="AH10" i="6" s="1"/>
  <c r="AK24" i="32"/>
  <c r="AJ24" i="32"/>
  <c r="AI24" i="32"/>
  <c r="AE10" i="6" s="1"/>
  <c r="AH24" i="32"/>
  <c r="AD10" i="6" s="1"/>
  <c r="AG24" i="32"/>
  <c r="AF24" i="32"/>
  <c r="AE24" i="32"/>
  <c r="AA10" i="6" s="1"/>
  <c r="AD24" i="32"/>
  <c r="Z10" i="6" s="1"/>
  <c r="AC24" i="32"/>
  <c r="AB24" i="32"/>
  <c r="AA24" i="32"/>
  <c r="W10" i="6" s="1"/>
  <c r="Z24" i="32"/>
  <c r="V10" i="6" s="1"/>
  <c r="Y24" i="32"/>
  <c r="X24" i="32"/>
  <c r="W24" i="32"/>
  <c r="S10" i="6" s="1"/>
  <c r="V24" i="32"/>
  <c r="R10" i="6" s="1"/>
  <c r="U24" i="32"/>
  <c r="T24" i="32"/>
  <c r="S24" i="32"/>
  <c r="O10" i="6" s="1"/>
  <c r="R24" i="32"/>
  <c r="N10" i="6" s="1"/>
  <c r="Q24" i="32"/>
  <c r="P24" i="32"/>
  <c r="O24" i="32"/>
  <c r="K10" i="6" s="1"/>
  <c r="N24" i="32"/>
  <c r="J10" i="6" s="1"/>
  <c r="M24" i="32"/>
  <c r="L24" i="32"/>
  <c r="K24" i="32"/>
  <c r="G10" i="6" s="1"/>
  <c r="J24" i="32"/>
  <c r="F10" i="6" s="1"/>
  <c r="I24" i="32"/>
  <c r="H24"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7" i="32"/>
  <c r="G16" i="32"/>
  <c r="G15" i="32"/>
  <c r="G21" i="32"/>
  <c r="G20" i="32"/>
  <c r="G19" i="32"/>
  <c r="H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0" i="6" l="1"/>
  <c r="P10" i="6"/>
  <c r="X10" i="6"/>
  <c r="AF10" i="6"/>
  <c r="AN10" i="6"/>
  <c r="AV10" i="6"/>
  <c r="I10" i="6"/>
  <c r="Q10" i="6"/>
  <c r="Y10" i="6"/>
  <c r="AG10" i="6"/>
  <c r="AO10" i="6"/>
  <c r="AW10" i="6"/>
  <c r="D10" i="6"/>
  <c r="L10" i="6"/>
  <c r="T10" i="6"/>
  <c r="AB10" i="6"/>
  <c r="AJ10" i="6"/>
  <c r="AR10" i="6"/>
  <c r="AZ10" i="6"/>
  <c r="E10" i="6"/>
  <c r="M10" i="6"/>
  <c r="U10" i="6"/>
  <c r="AC10" i="6"/>
  <c r="AK10" i="6"/>
  <c r="AS10" i="6"/>
  <c r="BA10" i="6"/>
  <c r="K68" i="32"/>
  <c r="F23" i="9" s="1"/>
  <c r="K115" i="32"/>
  <c r="K124" i="32" s="1"/>
  <c r="AI68" i="32"/>
  <c r="AD23" i="9" s="1"/>
  <c r="AI115" i="32"/>
  <c r="AI124" i="32" s="1"/>
  <c r="S68" i="32"/>
  <c r="N23" i="9" s="1"/>
  <c r="S115" i="32"/>
  <c r="S124" i="32" s="1"/>
  <c r="AY68" i="32"/>
  <c r="AT23" i="9" s="1"/>
  <c r="AY115" i="32"/>
  <c r="AY124" i="32" s="1"/>
  <c r="AA68" i="32"/>
  <c r="V23" i="9" s="1"/>
  <c r="AA115" i="32"/>
  <c r="AA124" i="32" s="1"/>
  <c r="AQ68" i="32"/>
  <c r="AL23" i="9" s="1"/>
  <c r="AQ115" i="32"/>
  <c r="AQ124" i="32" s="1"/>
  <c r="H124" i="32"/>
  <c r="G73" i="32"/>
  <c r="H13" i="5" s="1"/>
  <c r="G70" i="32"/>
  <c r="H10" i="5" s="1"/>
  <c r="E95" i="32" a="1"/>
  <c r="E95" i="32" s="1"/>
  <c r="E86" i="32" a="1"/>
  <c r="E86" i="32" s="1"/>
  <c r="E93" i="32" a="1"/>
  <c r="E93" i="32" s="1"/>
  <c r="AM92" i="32"/>
  <c r="O92" i="32"/>
  <c r="BC92" i="32"/>
  <c r="W92" i="32"/>
  <c r="AE92" i="32"/>
  <c r="AU92" i="32"/>
  <c r="G71" i="32"/>
  <c r="H11" i="5" s="1"/>
  <c r="N44" i="32"/>
  <c r="V44" i="32"/>
  <c r="AD44" i="32"/>
  <c r="AL44" i="32"/>
  <c r="AT44" i="32"/>
  <c r="BB44" i="32"/>
  <c r="O68" i="32"/>
  <c r="J23" i="9" s="1"/>
  <c r="W68" i="32"/>
  <c r="R23" i="9" s="1"/>
  <c r="AE68" i="32"/>
  <c r="Z23" i="9" s="1"/>
  <c r="AM68" i="32"/>
  <c r="AH23" i="9" s="1"/>
  <c r="AU68" i="32"/>
  <c r="AP23" i="9" s="1"/>
  <c r="BC68" i="32"/>
  <c r="AX23" i="9" s="1"/>
  <c r="G56" i="32"/>
  <c r="G72" i="32"/>
  <c r="H12" i="5" s="1"/>
  <c r="P68" i="32"/>
  <c r="K23" i="9" s="1"/>
  <c r="X68" i="32"/>
  <c r="S23" i="9" s="1"/>
  <c r="AF68" i="32"/>
  <c r="AA23" i="9" s="1"/>
  <c r="AN68" i="32"/>
  <c r="AI23" i="9" s="1"/>
  <c r="AV68" i="32"/>
  <c r="AQ23" i="9" s="1"/>
  <c r="BD68" i="32"/>
  <c r="AY23" i="9" s="1"/>
  <c r="N68" i="32"/>
  <c r="I23" i="9" s="1"/>
  <c r="V68" i="32"/>
  <c r="Q23" i="9" s="1"/>
  <c r="AD68" i="32"/>
  <c r="Y23" i="9" s="1"/>
  <c r="AL68" i="32"/>
  <c r="AG23" i="9" s="1"/>
  <c r="AT68" i="32"/>
  <c r="AO23" i="9" s="1"/>
  <c r="BB68" i="32"/>
  <c r="AW23" i="9" s="1"/>
  <c r="I68" i="32"/>
  <c r="D23" i="9" s="1"/>
  <c r="Q68" i="32"/>
  <c r="L23" i="9" s="1"/>
  <c r="Y68" i="32"/>
  <c r="T23" i="9" s="1"/>
  <c r="AG68" i="32"/>
  <c r="AB23" i="9" s="1"/>
  <c r="AO68" i="32"/>
  <c r="AJ23" i="9" s="1"/>
  <c r="AW68" i="32"/>
  <c r="AR23" i="9" s="1"/>
  <c r="BE68" i="32"/>
  <c r="AZ23" i="9" s="1"/>
  <c r="L68" i="32"/>
  <c r="G23" i="9" s="1"/>
  <c r="T68" i="32"/>
  <c r="O23" i="9" s="1"/>
  <c r="AB68" i="32"/>
  <c r="W23" i="9" s="1"/>
  <c r="AJ68" i="32"/>
  <c r="AE23" i="9" s="1"/>
  <c r="AR68" i="32"/>
  <c r="AM23" i="9" s="1"/>
  <c r="AZ68" i="32"/>
  <c r="AU23" i="9" s="1"/>
  <c r="U68" i="32"/>
  <c r="P23" i="9" s="1"/>
  <c r="AC68" i="32"/>
  <c r="X23" i="9" s="1"/>
  <c r="AK68" i="32"/>
  <c r="AF23" i="9" s="1"/>
  <c r="AS68" i="32"/>
  <c r="AN23" i="9" s="1"/>
  <c r="BA68" i="32"/>
  <c r="AV23" i="9" s="1"/>
  <c r="G69" i="32"/>
  <c r="H9" i="5" s="1"/>
  <c r="G62" i="32"/>
  <c r="J68" i="32"/>
  <c r="E23" i="9" s="1"/>
  <c r="R68" i="32"/>
  <c r="M23" i="9" s="1"/>
  <c r="Z68" i="32"/>
  <c r="U23" i="9" s="1"/>
  <c r="AH68" i="32"/>
  <c r="AC23" i="9" s="1"/>
  <c r="AP68" i="32"/>
  <c r="AK23" i="9" s="1"/>
  <c r="AX68" i="32"/>
  <c r="AS23" i="9" s="1"/>
  <c r="M68" i="32"/>
  <c r="H23" i="9" s="1"/>
  <c r="H68" i="32"/>
  <c r="G94" i="32"/>
  <c r="BD44" i="32"/>
  <c r="M44" i="32"/>
  <c r="AS44" i="32"/>
  <c r="I44" i="32"/>
  <c r="Q44" i="32"/>
  <c r="Y44" i="32"/>
  <c r="AG44" i="32"/>
  <c r="AO44" i="32"/>
  <c r="AW44" i="32"/>
  <c r="BE44" i="32"/>
  <c r="N92" i="32"/>
  <c r="V92" i="32"/>
  <c r="AD92" i="32"/>
  <c r="AL92" i="32"/>
  <c r="AT92" i="32"/>
  <c r="BB92" i="32"/>
  <c r="R44" i="32"/>
  <c r="AH44" i="32"/>
  <c r="AP44" i="32"/>
  <c r="AX44" i="32"/>
  <c r="J44" i="32"/>
  <c r="Z44" i="32"/>
  <c r="G45" i="32"/>
  <c r="F9" i="5" s="1"/>
  <c r="G9" i="5" s="1"/>
  <c r="AY92" i="32"/>
  <c r="K44" i="32"/>
  <c r="S44" i="32"/>
  <c r="AA44" i="32"/>
  <c r="AI44" i="32"/>
  <c r="AQ44" i="32"/>
  <c r="AY44" i="32"/>
  <c r="G97" i="32"/>
  <c r="L44" i="32"/>
  <c r="T44" i="32"/>
  <c r="AB44" i="32"/>
  <c r="AJ44" i="32"/>
  <c r="AR44" i="32"/>
  <c r="AZ44" i="32"/>
  <c r="G96" i="32"/>
  <c r="U44" i="32"/>
  <c r="AC44" i="32"/>
  <c r="AK44" i="32"/>
  <c r="BA44" i="32"/>
  <c r="P92" i="32"/>
  <c r="I92" i="32"/>
  <c r="Q92" i="32"/>
  <c r="Y92" i="32"/>
  <c r="AG92" i="32"/>
  <c r="AO92" i="32"/>
  <c r="AW92" i="32"/>
  <c r="BE92" i="32"/>
  <c r="G48" i="32"/>
  <c r="F12" i="5" s="1"/>
  <c r="X92" i="32"/>
  <c r="G49" i="32"/>
  <c r="F13" i="5" s="1"/>
  <c r="G13" i="5" s="1"/>
  <c r="G46" i="32"/>
  <c r="F10" i="5" s="1"/>
  <c r="G47" i="32"/>
  <c r="F11" i="5" s="1"/>
  <c r="J92" i="32"/>
  <c r="R92" i="32"/>
  <c r="Z92" i="32"/>
  <c r="AH92" i="32"/>
  <c r="AP92" i="32"/>
  <c r="AX92" i="32"/>
  <c r="O44" i="32"/>
  <c r="W44" i="32"/>
  <c r="AE44" i="32"/>
  <c r="AM44" i="32"/>
  <c r="AU44" i="32"/>
  <c r="BC44" i="32"/>
  <c r="L92" i="32"/>
  <c r="T92" i="32"/>
  <c r="AB92" i="32"/>
  <c r="AJ92" i="32"/>
  <c r="AR92" i="32"/>
  <c r="AZ92" i="32"/>
  <c r="AF92" i="32"/>
  <c r="AN92" i="32"/>
  <c r="AV92" i="32"/>
  <c r="BD92" i="32"/>
  <c r="K92" i="32"/>
  <c r="S92" i="32"/>
  <c r="AA92" i="32"/>
  <c r="AI92" i="32"/>
  <c r="AQ92" i="32"/>
  <c r="M92" i="32"/>
  <c r="U92" i="32"/>
  <c r="AC92" i="32"/>
  <c r="AK92" i="32"/>
  <c r="AS92" i="32"/>
  <c r="BA92" i="32"/>
  <c r="H92" i="32"/>
  <c r="G23" i="32"/>
  <c r="J22" i="32"/>
  <c r="AH22" i="32"/>
  <c r="AP22" i="32"/>
  <c r="AX22" i="32"/>
  <c r="K22" i="32"/>
  <c r="S22" i="32"/>
  <c r="AA22" i="32"/>
  <c r="AI22" i="32"/>
  <c r="AQ22" i="32"/>
  <c r="AY22" i="32"/>
  <c r="M22" i="32"/>
  <c r="AS22" i="32"/>
  <c r="U22" i="32"/>
  <c r="AC22" i="32"/>
  <c r="AK22" i="32"/>
  <c r="BA22" i="32"/>
  <c r="G25" i="32"/>
  <c r="AF22" i="32"/>
  <c r="R22" i="32"/>
  <c r="Q22" i="32"/>
  <c r="P22" i="32"/>
  <c r="X22" i="32"/>
  <c r="AN22" i="32"/>
  <c r="AV22" i="32"/>
  <c r="BD22" i="32"/>
  <c r="AO22" i="32"/>
  <c r="AG22" i="32"/>
  <c r="Z22" i="32"/>
  <c r="I22" i="32"/>
  <c r="BE22" i="32"/>
  <c r="AW22" i="32"/>
  <c r="H22" i="32"/>
  <c r="Y22" i="32"/>
  <c r="BB22" i="32"/>
  <c r="G24" i="32"/>
  <c r="N22" i="32"/>
  <c r="V22" i="32"/>
  <c r="AD22" i="32"/>
  <c r="AL22" i="32"/>
  <c r="AT22" i="32"/>
  <c r="O22" i="32"/>
  <c r="AE22" i="32"/>
  <c r="AM22" i="32"/>
  <c r="AU22" i="32"/>
  <c r="BC22" i="32"/>
  <c r="W22" i="32"/>
  <c r="G18" i="32"/>
  <c r="L22" i="32"/>
  <c r="T22" i="32"/>
  <c r="AB22" i="32"/>
  <c r="AJ22" i="32"/>
  <c r="AR22" i="32"/>
  <c r="AZ22" i="32"/>
  <c r="G14" i="32"/>
  <c r="G38" i="32"/>
  <c r="G32" i="32"/>
  <c r="F124" i="32" l="1"/>
  <c r="G12" i="5"/>
  <c r="G10" i="5"/>
  <c r="F115" i="32"/>
  <c r="G11" i="5"/>
  <c r="G115" i="32"/>
  <c r="G124" i="32" s="1"/>
  <c r="E94" i="32" a="1"/>
  <c r="E94" i="32" s="1"/>
  <c r="E96" i="32" a="1"/>
  <c r="E96" i="32" s="1"/>
  <c r="E97" i="32" a="1"/>
  <c r="E97" i="32" s="1"/>
  <c r="G68" i="32"/>
  <c r="H8" i="5" s="1"/>
  <c r="G92" i="32"/>
  <c r="F96" i="32" s="1"/>
  <c r="G44" i="32"/>
  <c r="F8" i="5" s="1"/>
  <c r="G22" i="32"/>
  <c r="F132" i="32" l="1"/>
  <c r="F131" i="32"/>
  <c r="F125" i="32"/>
  <c r="F130" i="32"/>
  <c r="F129" i="32"/>
  <c r="F128" i="32"/>
  <c r="F127" i="32"/>
  <c r="F126" i="32"/>
  <c r="F123" i="32"/>
  <c r="F117" i="32"/>
  <c r="F122" i="32"/>
  <c r="F118" i="32"/>
  <c r="F121" i="32"/>
  <c r="F120" i="32"/>
  <c r="F119" i="32"/>
  <c r="F116" i="32"/>
  <c r="G8" i="5"/>
  <c r="E92" i="32" a="1"/>
  <c r="E92" i="32" s="1"/>
  <c r="F92" i="32"/>
  <c r="F95" i="32"/>
  <c r="F93" i="32"/>
  <c r="F97" i="32"/>
  <c r="F94" i="32"/>
  <c r="E10" i="4"/>
  <c r="S9" i="21"/>
  <c r="BD125" i="24" l="1"/>
  <c r="BC125" i="24"/>
  <c r="BD124" i="24"/>
  <c r="BC124" i="24"/>
  <c r="BD123" i="24"/>
  <c r="BC123" i="24"/>
  <c r="BD122" i="24"/>
  <c r="BC122" i="24"/>
  <c r="BD121" i="24"/>
  <c r="BC121" i="24"/>
  <c r="BD120" i="24"/>
  <c r="BC120" i="24"/>
  <c r="BD119" i="24"/>
  <c r="BC119" i="24"/>
  <c r="BD118" i="24"/>
  <c r="BC118" i="24"/>
  <c r="BD117" i="24"/>
  <c r="BC117" i="24"/>
  <c r="BD116" i="24"/>
  <c r="BC116" i="24"/>
  <c r="BS125" i="24"/>
  <c r="BR125" i="24"/>
  <c r="BS124" i="24"/>
  <c r="BR124" i="24"/>
  <c r="BS123" i="24"/>
  <c r="BR123" i="24"/>
  <c r="BS122" i="24"/>
  <c r="BR122" i="24"/>
  <c r="BS121" i="24"/>
  <c r="BR121" i="24"/>
  <c r="BS120" i="24"/>
  <c r="BR120" i="24"/>
  <c r="BS119" i="24"/>
  <c r="BR119" i="24"/>
  <c r="BS118" i="24"/>
  <c r="BR118" i="24"/>
  <c r="BS117" i="24"/>
  <c r="BR117" i="24"/>
  <c r="BS116" i="24"/>
  <c r="BR116" i="24"/>
  <c r="AO125" i="24"/>
  <c r="AN125" i="24"/>
  <c r="AO124" i="24"/>
  <c r="AN124" i="24"/>
  <c r="AO123" i="24"/>
  <c r="AN123" i="24"/>
  <c r="AO122" i="24"/>
  <c r="AN122" i="24"/>
  <c r="AO121" i="24"/>
  <c r="AN121" i="24"/>
  <c r="AO120" i="24"/>
  <c r="AN120" i="24"/>
  <c r="AO119" i="24"/>
  <c r="AN119" i="24"/>
  <c r="AO118" i="24"/>
  <c r="AN118" i="24"/>
  <c r="AO117" i="24"/>
  <c r="AN117" i="24"/>
  <c r="AO116" i="24"/>
  <c r="AN116" i="24"/>
  <c r="BZ125" i="24"/>
  <c r="BZ124" i="24"/>
  <c r="BZ123" i="24"/>
  <c r="BZ122" i="24"/>
  <c r="BZ121" i="24"/>
  <c r="BZ120" i="24"/>
  <c r="BZ119" i="24"/>
  <c r="BZ118" i="24"/>
  <c r="BZ117" i="24"/>
  <c r="BZ116" i="24"/>
  <c r="BZ115" i="24"/>
  <c r="BZ114" i="24"/>
  <c r="BZ113" i="24"/>
  <c r="BZ112" i="24"/>
  <c r="BZ111" i="24"/>
  <c r="BZ110" i="24"/>
  <c r="BZ109" i="24"/>
  <c r="BZ108" i="24"/>
  <c r="BZ107" i="24"/>
  <c r="BZ106" i="24"/>
  <c r="BZ105" i="24"/>
  <c r="BZ104" i="24"/>
  <c r="BZ103" i="24"/>
  <c r="BZ102" i="24"/>
  <c r="BZ101" i="24"/>
  <c r="BZ100" i="24"/>
  <c r="BZ99" i="24"/>
  <c r="BZ98" i="24"/>
  <c r="BZ97" i="24"/>
  <c r="BZ96" i="24"/>
  <c r="BZ95" i="24"/>
  <c r="BZ94" i="24"/>
  <c r="BZ93" i="24"/>
  <c r="BZ92" i="24"/>
  <c r="BZ91" i="24"/>
  <c r="BZ90" i="24"/>
  <c r="BZ89" i="24"/>
  <c r="BZ88" i="24"/>
  <c r="BZ87" i="24"/>
  <c r="BZ86" i="24"/>
  <c r="BZ85" i="24"/>
  <c r="BZ84" i="24"/>
  <c r="BZ83" i="24"/>
  <c r="BZ82" i="24"/>
  <c r="BZ81" i="24"/>
  <c r="BZ80" i="24"/>
  <c r="BZ79" i="24"/>
  <c r="BZ78" i="24"/>
  <c r="BZ77" i="24"/>
  <c r="BZ76" i="24"/>
  <c r="BZ75" i="24"/>
  <c r="BZ74" i="24"/>
  <c r="BZ73" i="24"/>
  <c r="BZ72" i="24"/>
  <c r="BZ71" i="24"/>
  <c r="BZ70" i="24"/>
  <c r="BZ69" i="24"/>
  <c r="BZ68" i="24"/>
  <c r="BZ67" i="24"/>
  <c r="BZ66" i="24"/>
  <c r="BZ65" i="24"/>
  <c r="BZ64" i="24"/>
  <c r="BZ63" i="24"/>
  <c r="BZ62" i="24"/>
  <c r="BZ61" i="24"/>
  <c r="BZ60" i="24"/>
  <c r="BZ59" i="24"/>
  <c r="BZ58" i="24"/>
  <c r="BZ57" i="24"/>
  <c r="BZ56" i="24"/>
  <c r="BZ55" i="24"/>
  <c r="BZ54" i="24"/>
  <c r="BZ53" i="24"/>
  <c r="BZ52" i="24"/>
  <c r="BZ51" i="24"/>
  <c r="BZ50" i="24"/>
  <c r="BZ49" i="24"/>
  <c r="BZ48" i="24"/>
  <c r="BZ47" i="24"/>
  <c r="BZ46" i="24"/>
  <c r="BZ45" i="24"/>
  <c r="BZ44" i="24"/>
  <c r="BZ43" i="24"/>
  <c r="BZ42" i="24"/>
  <c r="BZ41" i="24"/>
  <c r="BZ40" i="24"/>
  <c r="BZ39" i="24"/>
  <c r="BZ38" i="24"/>
  <c r="BZ37" i="24"/>
  <c r="BZ36" i="24"/>
  <c r="BZ35" i="24"/>
  <c r="BZ34" i="24"/>
  <c r="BZ33" i="24"/>
  <c r="BZ32" i="24"/>
  <c r="BZ31" i="24"/>
  <c r="BZ30" i="24"/>
  <c r="BZ29" i="24"/>
  <c r="BZ28" i="24"/>
  <c r="BZ27" i="24"/>
  <c r="BZ26" i="24"/>
  <c r="BZ25" i="24"/>
  <c r="BZ24" i="24"/>
  <c r="BZ23" i="24"/>
  <c r="BZ22" i="24"/>
  <c r="BZ21" i="24"/>
  <c r="BZ20" i="24"/>
  <c r="BZ19" i="24"/>
  <c r="BZ18" i="24"/>
  <c r="BZ17" i="24"/>
  <c r="BZ16" i="24"/>
  <c r="BZ15"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W125" i="24"/>
  <c r="BV125" i="24"/>
  <c r="BW124" i="24"/>
  <c r="BV124" i="24"/>
  <c r="BW123" i="24"/>
  <c r="BV123" i="24"/>
  <c r="BW122" i="24"/>
  <c r="BV122" i="24"/>
  <c r="BW121" i="24"/>
  <c r="BV121" i="24"/>
  <c r="BW120" i="24"/>
  <c r="BV120" i="24"/>
  <c r="BW119" i="24"/>
  <c r="BV119" i="24"/>
  <c r="BW118" i="24"/>
  <c r="BV118" i="24"/>
  <c r="BW117" i="24"/>
  <c r="BV117" i="24"/>
  <c r="BW116" i="24"/>
  <c r="BV116" i="24"/>
  <c r="BW15" i="24"/>
  <c r="BV15" i="24"/>
  <c r="BQ14" i="24"/>
  <c r="BP14" i="24"/>
  <c r="BO14" i="24"/>
  <c r="BN14" i="24"/>
  <c r="BM14" i="24"/>
  <c r="BL14" i="24"/>
  <c r="AV125" i="24"/>
  <c r="AV124" i="24"/>
  <c r="AV123" i="24"/>
  <c r="AV122" i="24"/>
  <c r="AV121" i="24"/>
  <c r="AV120" i="24"/>
  <c r="AV119" i="24"/>
  <c r="AV118" i="24"/>
  <c r="AV117" i="24"/>
  <c r="AV116" i="24"/>
  <c r="AV115" i="24"/>
  <c r="AV114" i="24"/>
  <c r="AV113" i="24"/>
  <c r="AV112" i="24"/>
  <c r="AV111" i="24"/>
  <c r="AV110" i="24"/>
  <c r="AV109" i="24"/>
  <c r="AV108" i="24"/>
  <c r="AV107" i="24"/>
  <c r="AV106" i="24"/>
  <c r="AV105" i="24"/>
  <c r="AV104" i="24"/>
  <c r="AV103" i="24"/>
  <c r="AV102" i="24"/>
  <c r="AV101" i="24"/>
  <c r="AV100" i="24"/>
  <c r="AV99" i="24"/>
  <c r="AV98" i="24"/>
  <c r="AV97" i="24"/>
  <c r="AV96" i="24"/>
  <c r="AV95" i="24"/>
  <c r="AV94" i="24"/>
  <c r="AV93" i="24"/>
  <c r="AV92" i="24"/>
  <c r="AV91" i="24"/>
  <c r="AV90" i="24"/>
  <c r="AV89" i="24"/>
  <c r="AV88" i="24"/>
  <c r="AV87" i="24"/>
  <c r="AV86" i="24"/>
  <c r="AV85" i="24"/>
  <c r="AV84" i="24"/>
  <c r="AV83" i="24"/>
  <c r="AV82" i="24"/>
  <c r="AV81" i="24"/>
  <c r="AV80" i="24"/>
  <c r="AV79" i="24"/>
  <c r="AV78" i="24"/>
  <c r="AV77" i="24"/>
  <c r="AV76" i="24"/>
  <c r="AV75" i="24"/>
  <c r="AV74" i="24"/>
  <c r="AV73" i="24"/>
  <c r="AV72" i="24"/>
  <c r="AV71" i="24"/>
  <c r="AV70" i="24"/>
  <c r="AV69" i="24"/>
  <c r="AV68" i="24"/>
  <c r="AV67" i="24"/>
  <c r="AV66" i="24"/>
  <c r="AV65" i="24"/>
  <c r="AV64" i="24"/>
  <c r="AV63" i="24"/>
  <c r="AV62" i="24"/>
  <c r="AV61" i="24"/>
  <c r="AV60" i="24"/>
  <c r="AV59" i="24"/>
  <c r="AV58" i="24"/>
  <c r="AV57" i="24"/>
  <c r="AV56" i="24"/>
  <c r="AV55" i="24"/>
  <c r="AV54" i="24"/>
  <c r="AV53" i="24"/>
  <c r="AV52" i="24"/>
  <c r="AV51" i="24"/>
  <c r="AV50" i="24"/>
  <c r="AV49" i="24"/>
  <c r="AV48" i="24"/>
  <c r="AV47" i="24"/>
  <c r="AV46" i="24"/>
  <c r="AV45" i="24"/>
  <c r="AV44" i="24"/>
  <c r="AV43" i="24"/>
  <c r="AV42" i="24"/>
  <c r="AV41" i="24"/>
  <c r="AV40" i="24"/>
  <c r="AV39" i="24"/>
  <c r="AV38" i="24"/>
  <c r="AV37" i="24"/>
  <c r="AV36" i="24"/>
  <c r="AV35" i="24"/>
  <c r="AV34" i="24"/>
  <c r="AV33" i="24"/>
  <c r="AV32" i="24"/>
  <c r="AV31" i="24"/>
  <c r="AV30" i="24"/>
  <c r="AV29" i="24"/>
  <c r="AV28" i="24"/>
  <c r="AV27" i="24"/>
  <c r="AV26" i="24"/>
  <c r="AV25" i="24"/>
  <c r="AV24" i="24"/>
  <c r="AV23" i="24"/>
  <c r="AV22" i="24"/>
  <c r="AV21" i="24"/>
  <c r="AV20" i="24"/>
  <c r="AV19" i="24"/>
  <c r="AV18" i="24"/>
  <c r="AV17" i="24"/>
  <c r="AV16" i="24"/>
  <c r="AV15" i="24"/>
  <c r="BH125" i="24"/>
  <c r="BG125" i="24"/>
  <c r="BH124" i="24"/>
  <c r="BG124" i="24"/>
  <c r="BH123" i="24"/>
  <c r="BG123" i="24"/>
  <c r="BH122" i="24"/>
  <c r="BG122" i="24"/>
  <c r="BH121" i="24"/>
  <c r="BG121" i="24"/>
  <c r="BH120" i="24"/>
  <c r="BG120" i="24"/>
  <c r="BH119" i="24"/>
  <c r="BG119" i="24"/>
  <c r="BH118" i="24"/>
  <c r="BG118" i="24"/>
  <c r="BH117" i="24"/>
  <c r="BG117" i="24"/>
  <c r="BH116" i="24"/>
  <c r="BG116" i="24"/>
  <c r="BH15" i="24"/>
  <c r="BG15" i="24"/>
  <c r="BB14" i="24"/>
  <c r="BA14" i="24"/>
  <c r="AZ14" i="24"/>
  <c r="AY14" i="24"/>
  <c r="AX14" i="24"/>
  <c r="AW14" i="24"/>
  <c r="I82" i="20"/>
  <c r="H82" i="20"/>
  <c r="G82" i="20"/>
  <c r="BT14" i="24" l="1"/>
  <c r="BU14" i="24"/>
  <c r="AS15" i="24" l="1"/>
  <c r="AR15" i="24"/>
  <c r="AS125" i="24"/>
  <c r="AR125" i="24"/>
  <c r="AS124" i="24"/>
  <c r="AR124" i="24"/>
  <c r="AS123" i="24"/>
  <c r="AR123" i="24"/>
  <c r="AS122" i="24"/>
  <c r="AR122" i="24"/>
  <c r="AS121" i="24"/>
  <c r="AR121" i="24"/>
  <c r="AS120" i="24"/>
  <c r="AR120" i="24"/>
  <c r="AS119" i="24"/>
  <c r="AR119" i="24"/>
  <c r="AS118" i="24"/>
  <c r="AR118" i="24"/>
  <c r="AS117" i="24"/>
  <c r="AR117" i="24"/>
  <c r="AS116" i="24"/>
  <c r="AR116" i="24"/>
  <c r="AG125" i="24"/>
  <c r="AG124" i="24"/>
  <c r="AG123" i="24"/>
  <c r="AG122" i="24"/>
  <c r="AG121" i="24"/>
  <c r="AG120" i="24"/>
  <c r="AG119" i="24"/>
  <c r="AG118" i="24"/>
  <c r="AG117" i="24"/>
  <c r="AG116" i="24"/>
  <c r="AG115" i="24"/>
  <c r="AG114" i="24"/>
  <c r="AG113" i="24"/>
  <c r="AG112" i="24"/>
  <c r="AG111" i="24"/>
  <c r="AG110" i="24"/>
  <c r="AG109" i="24"/>
  <c r="AG108" i="24"/>
  <c r="AG107" i="24"/>
  <c r="AG106" i="24"/>
  <c r="AG105" i="24"/>
  <c r="AG104" i="24"/>
  <c r="AG103" i="24"/>
  <c r="AG102" i="24"/>
  <c r="AG101" i="24"/>
  <c r="AG100" i="24"/>
  <c r="AG99" i="24"/>
  <c r="AG98" i="24"/>
  <c r="AG97" i="24"/>
  <c r="AG96" i="24"/>
  <c r="AG95" i="24"/>
  <c r="AG94" i="24"/>
  <c r="AG93" i="24"/>
  <c r="AG92" i="24"/>
  <c r="AG91" i="24"/>
  <c r="AG90" i="24"/>
  <c r="AG89" i="24"/>
  <c r="AG88" i="24"/>
  <c r="AG87" i="24"/>
  <c r="AG86" i="24"/>
  <c r="AG85" i="24"/>
  <c r="AG84" i="24"/>
  <c r="AG83" i="24"/>
  <c r="AG82" i="24"/>
  <c r="AG81" i="24"/>
  <c r="AG80" i="24"/>
  <c r="AG79" i="24"/>
  <c r="AG78" i="24"/>
  <c r="AG77" i="24"/>
  <c r="AG76" i="24"/>
  <c r="AG75" i="24"/>
  <c r="AG74" i="24"/>
  <c r="AG73" i="24"/>
  <c r="AG72" i="24"/>
  <c r="AG71" i="24"/>
  <c r="AG70" i="24"/>
  <c r="AG69" i="24"/>
  <c r="AG68" i="24"/>
  <c r="AG67" i="24"/>
  <c r="AG66" i="24"/>
  <c r="AG65" i="24"/>
  <c r="AG64" i="24"/>
  <c r="AG63" i="24"/>
  <c r="AG62" i="24"/>
  <c r="AG61" i="24"/>
  <c r="AG60" i="24"/>
  <c r="AG59" i="24"/>
  <c r="AG58" i="24"/>
  <c r="AG57" i="24"/>
  <c r="AG56" i="24"/>
  <c r="AG55" i="24"/>
  <c r="AG54" i="24"/>
  <c r="AG53" i="24"/>
  <c r="AG52" i="24"/>
  <c r="AG51" i="24"/>
  <c r="AG50" i="24"/>
  <c r="AG49" i="24"/>
  <c r="AG48" i="24"/>
  <c r="AG47" i="24"/>
  <c r="AG46" i="24"/>
  <c r="AG45" i="24"/>
  <c r="AG44" i="24"/>
  <c r="AG43" i="24"/>
  <c r="AG42" i="24"/>
  <c r="AG41" i="24"/>
  <c r="AG40" i="24"/>
  <c r="AG39" i="24"/>
  <c r="AG38" i="24"/>
  <c r="AG37" i="24"/>
  <c r="AG36" i="24"/>
  <c r="AG35" i="24"/>
  <c r="AG34" i="24"/>
  <c r="AG33" i="24"/>
  <c r="AG32" i="24"/>
  <c r="AG31" i="24"/>
  <c r="AG30" i="24"/>
  <c r="AG29" i="24"/>
  <c r="AG28" i="24"/>
  <c r="AG27" i="24"/>
  <c r="AG26" i="24"/>
  <c r="AG25" i="24"/>
  <c r="AG24" i="24"/>
  <c r="AG23" i="24"/>
  <c r="AG22" i="24"/>
  <c r="AG21" i="24"/>
  <c r="AG20" i="24"/>
  <c r="AG19" i="24"/>
  <c r="AG18" i="24"/>
  <c r="AG17" i="24"/>
  <c r="AG16" i="24"/>
  <c r="AG15" i="24"/>
  <c r="Z125" i="24" l="1"/>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D125" i="24" l="1"/>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Q15" i="24"/>
  <c r="P3" i="24"/>
  <c r="AO15" i="24" l="1"/>
  <c r="AN15" i="24"/>
  <c r="BS15" i="24"/>
  <c r="BR15" i="24"/>
  <c r="BD15" i="24"/>
  <c r="BC15" i="24"/>
  <c r="D17" i="3"/>
  <c r="BD113" i="24"/>
  <c r="BD109" i="24"/>
  <c r="BD105" i="24"/>
  <c r="BD101" i="24"/>
  <c r="BD97" i="24"/>
  <c r="BD93" i="24"/>
  <c r="BD89" i="24"/>
  <c r="BD85" i="24"/>
  <c r="BD81" i="24"/>
  <c r="BD77" i="24"/>
  <c r="BD73" i="24"/>
  <c r="BD69" i="24"/>
  <c r="BD65" i="24"/>
  <c r="BD61" i="24"/>
  <c r="BD57" i="24"/>
  <c r="BD53" i="24"/>
  <c r="BD49" i="24"/>
  <c r="BD45" i="24"/>
  <c r="BD41" i="24"/>
  <c r="BD37" i="24"/>
  <c r="BD33" i="24"/>
  <c r="BD29" i="24"/>
  <c r="BD25" i="24"/>
  <c r="BD21" i="24"/>
  <c r="BD17" i="24"/>
  <c r="BS112" i="24"/>
  <c r="BS108" i="24"/>
  <c r="BS104" i="24"/>
  <c r="BS100" i="24"/>
  <c r="BS96" i="24"/>
  <c r="BS92" i="24"/>
  <c r="BS88" i="24"/>
  <c r="BS84" i="24"/>
  <c r="BS80" i="24"/>
  <c r="BS76" i="24"/>
  <c r="BS72" i="24"/>
  <c r="BS68" i="24"/>
  <c r="BS64" i="24"/>
  <c r="BS60" i="24"/>
  <c r="BS56" i="24"/>
  <c r="BS52" i="24"/>
  <c r="BS48" i="24"/>
  <c r="BS44" i="24"/>
  <c r="BS40" i="24"/>
  <c r="BS36" i="24"/>
  <c r="BS32" i="24"/>
  <c r="BS28" i="24"/>
  <c r="BS24" i="24"/>
  <c r="BS20" i="24"/>
  <c r="BS16" i="24"/>
  <c r="AO115" i="24"/>
  <c r="AO111" i="24"/>
  <c r="AO107" i="24"/>
  <c r="AO103" i="24"/>
  <c r="AO99" i="24"/>
  <c r="AO95" i="24"/>
  <c r="AO91" i="24"/>
  <c r="AO87" i="24"/>
  <c r="AO83" i="24"/>
  <c r="AO79" i="24"/>
  <c r="AO75" i="24"/>
  <c r="AO71" i="24"/>
  <c r="AO67" i="24"/>
  <c r="AO63" i="24"/>
  <c r="AO59" i="24"/>
  <c r="AO55" i="24"/>
  <c r="AO51" i="24"/>
  <c r="AO47" i="24"/>
  <c r="AO43" i="24"/>
  <c r="AO39" i="24"/>
  <c r="AO35" i="24"/>
  <c r="AO31" i="24"/>
  <c r="AO27" i="24"/>
  <c r="AO23" i="24"/>
  <c r="AO19" i="24"/>
  <c r="BC111" i="24"/>
  <c r="BC79" i="24"/>
  <c r="BC55" i="24"/>
  <c r="BC113" i="24"/>
  <c r="BC109" i="24"/>
  <c r="BC105" i="24"/>
  <c r="BC101" i="24"/>
  <c r="BC97" i="24"/>
  <c r="BC93" i="24"/>
  <c r="BC89" i="24"/>
  <c r="BC85" i="24"/>
  <c r="BC81" i="24"/>
  <c r="BC77" i="24"/>
  <c r="BC73" i="24"/>
  <c r="BC69" i="24"/>
  <c r="BC65" i="24"/>
  <c r="BC61" i="24"/>
  <c r="BC57" i="24"/>
  <c r="BC53" i="24"/>
  <c r="BC49" i="24"/>
  <c r="BC45" i="24"/>
  <c r="BC41" i="24"/>
  <c r="BC37" i="24"/>
  <c r="BC33" i="24"/>
  <c r="BC29" i="24"/>
  <c r="BC25" i="24"/>
  <c r="BC21" i="24"/>
  <c r="BC17" i="24"/>
  <c r="BR112" i="24"/>
  <c r="BR108" i="24"/>
  <c r="BR104" i="24"/>
  <c r="BR100" i="24"/>
  <c r="BR96" i="24"/>
  <c r="BR92" i="24"/>
  <c r="BR88" i="24"/>
  <c r="BR84" i="24"/>
  <c r="BR80" i="24"/>
  <c r="BR76" i="24"/>
  <c r="BR72" i="24"/>
  <c r="BR68" i="24"/>
  <c r="BR64" i="24"/>
  <c r="BR60" i="24"/>
  <c r="BR56" i="24"/>
  <c r="BR52" i="24"/>
  <c r="BR48" i="24"/>
  <c r="BR44" i="24"/>
  <c r="BR40" i="24"/>
  <c r="BR36" i="24"/>
  <c r="BR32" i="24"/>
  <c r="BR28" i="24"/>
  <c r="BR24" i="24"/>
  <c r="BR20" i="24"/>
  <c r="BR16" i="24"/>
  <c r="AN115" i="24"/>
  <c r="AN111" i="24"/>
  <c r="AN107" i="24"/>
  <c r="AN103" i="24"/>
  <c r="AN99" i="24"/>
  <c r="AN95" i="24"/>
  <c r="AN91" i="24"/>
  <c r="AN87" i="24"/>
  <c r="AN83" i="24"/>
  <c r="AN79" i="24"/>
  <c r="AN75" i="24"/>
  <c r="AN71" i="24"/>
  <c r="AN67" i="24"/>
  <c r="AN63" i="24"/>
  <c r="AN59" i="24"/>
  <c r="AN55" i="24"/>
  <c r="AN51" i="24"/>
  <c r="AN47" i="24"/>
  <c r="AN43" i="24"/>
  <c r="AN39" i="24"/>
  <c r="AN35" i="24"/>
  <c r="AN31" i="24"/>
  <c r="AN27" i="24"/>
  <c r="AN23" i="24"/>
  <c r="AN19" i="24"/>
  <c r="BC95" i="24"/>
  <c r="BC71" i="24"/>
  <c r="BC47" i="24"/>
  <c r="BD112" i="24"/>
  <c r="BD108" i="24"/>
  <c r="BD104" i="24"/>
  <c r="BD100" i="24"/>
  <c r="BD96" i="24"/>
  <c r="BD92" i="24"/>
  <c r="BD88" i="24"/>
  <c r="BD84" i="24"/>
  <c r="BD80" i="24"/>
  <c r="BD76" i="24"/>
  <c r="BD72" i="24"/>
  <c r="BD68" i="24"/>
  <c r="BD64" i="24"/>
  <c r="BD60" i="24"/>
  <c r="BD56" i="24"/>
  <c r="BD52" i="24"/>
  <c r="BD48" i="24"/>
  <c r="BD44" i="24"/>
  <c r="BD40" i="24"/>
  <c r="BD36" i="24"/>
  <c r="BD32" i="24"/>
  <c r="BD28" i="24"/>
  <c r="BD24" i="24"/>
  <c r="BD20" i="24"/>
  <c r="BD16" i="24"/>
  <c r="BS115" i="24"/>
  <c r="BS111" i="24"/>
  <c r="BS107" i="24"/>
  <c r="BS103" i="24"/>
  <c r="BS99" i="24"/>
  <c r="BS95" i="24"/>
  <c r="BS91" i="24"/>
  <c r="BS87" i="24"/>
  <c r="BS83" i="24"/>
  <c r="BS79" i="24"/>
  <c r="BS75" i="24"/>
  <c r="BS71" i="24"/>
  <c r="BS67" i="24"/>
  <c r="BS63" i="24"/>
  <c r="BS59" i="24"/>
  <c r="BS55" i="24"/>
  <c r="BS51" i="24"/>
  <c r="BS47" i="24"/>
  <c r="BS43" i="24"/>
  <c r="BS39" i="24"/>
  <c r="BS35" i="24"/>
  <c r="BS31" i="24"/>
  <c r="BS27" i="24"/>
  <c r="BS23" i="24"/>
  <c r="BS19" i="24"/>
  <c r="AO114" i="24"/>
  <c r="AO110" i="24"/>
  <c r="AO106" i="24"/>
  <c r="AO102" i="24"/>
  <c r="AO98" i="24"/>
  <c r="AO94" i="24"/>
  <c r="AO90" i="24"/>
  <c r="AO86" i="24"/>
  <c r="AO82" i="24"/>
  <c r="AO78" i="24"/>
  <c r="AO74" i="24"/>
  <c r="AO70" i="24"/>
  <c r="AO66" i="24"/>
  <c r="AO62" i="24"/>
  <c r="AO58" i="24"/>
  <c r="AO54" i="24"/>
  <c r="AO50" i="24"/>
  <c r="AO46" i="24"/>
  <c r="AO42" i="24"/>
  <c r="AO38" i="24"/>
  <c r="AO34" i="24"/>
  <c r="AO30" i="24"/>
  <c r="AO26" i="24"/>
  <c r="AO22" i="24"/>
  <c r="AO18" i="24"/>
  <c r="BC115" i="24"/>
  <c r="BC75" i="24"/>
  <c r="BC59" i="24"/>
  <c r="BC112" i="24"/>
  <c r="BC108" i="24"/>
  <c r="BC104" i="24"/>
  <c r="BC100" i="24"/>
  <c r="BC96" i="24"/>
  <c r="BC92" i="24"/>
  <c r="BC88" i="24"/>
  <c r="BC84" i="24"/>
  <c r="BC80" i="24"/>
  <c r="BC76" i="24"/>
  <c r="BC72" i="24"/>
  <c r="BC68" i="24"/>
  <c r="BC64" i="24"/>
  <c r="BC60" i="24"/>
  <c r="BC56" i="24"/>
  <c r="BC52" i="24"/>
  <c r="BC48" i="24"/>
  <c r="BC44" i="24"/>
  <c r="BC40" i="24"/>
  <c r="BC36" i="24"/>
  <c r="BC32" i="24"/>
  <c r="BC28" i="24"/>
  <c r="BC24" i="24"/>
  <c r="BC20" i="24"/>
  <c r="BC16" i="24"/>
  <c r="BR115" i="24"/>
  <c r="BR111" i="24"/>
  <c r="BR107" i="24"/>
  <c r="BR103" i="24"/>
  <c r="BR99" i="24"/>
  <c r="BR95" i="24"/>
  <c r="BR91" i="24"/>
  <c r="BR87" i="24"/>
  <c r="BR83" i="24"/>
  <c r="BR79" i="24"/>
  <c r="BR75" i="24"/>
  <c r="BR71" i="24"/>
  <c r="BR67" i="24"/>
  <c r="BR63" i="24"/>
  <c r="BR59" i="24"/>
  <c r="BR55" i="24"/>
  <c r="BR51" i="24"/>
  <c r="BR47" i="24"/>
  <c r="BR43" i="24"/>
  <c r="BR39" i="24"/>
  <c r="BR35" i="24"/>
  <c r="BR31" i="24"/>
  <c r="BR27" i="24"/>
  <c r="BR23" i="24"/>
  <c r="BR19" i="24"/>
  <c r="AN114" i="24"/>
  <c r="AN110" i="24"/>
  <c r="AN106" i="24"/>
  <c r="AN102" i="24"/>
  <c r="AN98" i="24"/>
  <c r="AN94" i="24"/>
  <c r="AN90" i="24"/>
  <c r="AN86" i="24"/>
  <c r="AN82" i="24"/>
  <c r="AN78" i="24"/>
  <c r="AN74" i="24"/>
  <c r="AN70" i="24"/>
  <c r="AN66" i="24"/>
  <c r="AN62" i="24"/>
  <c r="AN58" i="24"/>
  <c r="AN54" i="24"/>
  <c r="AN50" i="24"/>
  <c r="AN46" i="24"/>
  <c r="AN42" i="24"/>
  <c r="AN38" i="24"/>
  <c r="AN34" i="24"/>
  <c r="AN30" i="24"/>
  <c r="AN26" i="24"/>
  <c r="AN22" i="24"/>
  <c r="AN18" i="24"/>
  <c r="BC103" i="24"/>
  <c r="BC99" i="24"/>
  <c r="BC91" i="24"/>
  <c r="BC83" i="24"/>
  <c r="BC63" i="24"/>
  <c r="BC43" i="24"/>
  <c r="BD115" i="24"/>
  <c r="BD111" i="24"/>
  <c r="BD107" i="24"/>
  <c r="BD103" i="24"/>
  <c r="BD99" i="24"/>
  <c r="BD95" i="24"/>
  <c r="BD91" i="24"/>
  <c r="BD87" i="24"/>
  <c r="BD83" i="24"/>
  <c r="BD79" i="24"/>
  <c r="BD75" i="24"/>
  <c r="BD71" i="24"/>
  <c r="BD67" i="24"/>
  <c r="BD63" i="24"/>
  <c r="BD59" i="24"/>
  <c r="BD55" i="24"/>
  <c r="BD51" i="24"/>
  <c r="BD47" i="24"/>
  <c r="BD43" i="24"/>
  <c r="BD39" i="24"/>
  <c r="BD35" i="24"/>
  <c r="BD31" i="24"/>
  <c r="BD27" i="24"/>
  <c r="BD23" i="24"/>
  <c r="BD19" i="24"/>
  <c r="BS114" i="24"/>
  <c r="BS110" i="24"/>
  <c r="BS106" i="24"/>
  <c r="BS102" i="24"/>
  <c r="BS98" i="24"/>
  <c r="BS94" i="24"/>
  <c r="BS90" i="24"/>
  <c r="BS86" i="24"/>
  <c r="BS82" i="24"/>
  <c r="BS78" i="24"/>
  <c r="BS74" i="24"/>
  <c r="BS70" i="24"/>
  <c r="BS66" i="24"/>
  <c r="BS62" i="24"/>
  <c r="BS58" i="24"/>
  <c r="BS54" i="24"/>
  <c r="BS50" i="24"/>
  <c r="BS46" i="24"/>
  <c r="BS42" i="24"/>
  <c r="BS38" i="24"/>
  <c r="BS34" i="24"/>
  <c r="BS30" i="24"/>
  <c r="BS26" i="24"/>
  <c r="BS22" i="24"/>
  <c r="BS18" i="24"/>
  <c r="AO113" i="24"/>
  <c r="AO109" i="24"/>
  <c r="AO105" i="24"/>
  <c r="AO101" i="24"/>
  <c r="AO97" i="24"/>
  <c r="AO93" i="24"/>
  <c r="AO89" i="24"/>
  <c r="AO85" i="24"/>
  <c r="AO81" i="24"/>
  <c r="AO77" i="24"/>
  <c r="AO73" i="24"/>
  <c r="AO69" i="24"/>
  <c r="AO65" i="24"/>
  <c r="AO61" i="24"/>
  <c r="AO57" i="24"/>
  <c r="AO53" i="24"/>
  <c r="AO49" i="24"/>
  <c r="AO45" i="24"/>
  <c r="AO41" i="24"/>
  <c r="AO37" i="24"/>
  <c r="AO33" i="24"/>
  <c r="AO29" i="24"/>
  <c r="AO25" i="24"/>
  <c r="AO21" i="24"/>
  <c r="AO17" i="24"/>
  <c r="BC107" i="24"/>
  <c r="BC87" i="24"/>
  <c r="BC67" i="24"/>
  <c r="BC51" i="24"/>
  <c r="BD114" i="24"/>
  <c r="BD110" i="24"/>
  <c r="BD106" i="24"/>
  <c r="BD102" i="24"/>
  <c r="BD98" i="24"/>
  <c r="BD94" i="24"/>
  <c r="BD90" i="24"/>
  <c r="BD86" i="24"/>
  <c r="BD82" i="24"/>
  <c r="BD78" i="24"/>
  <c r="BD74" i="24"/>
  <c r="BD70" i="24"/>
  <c r="BD66" i="24"/>
  <c r="BD62" i="24"/>
  <c r="BD58" i="24"/>
  <c r="BD54" i="24"/>
  <c r="BD50" i="24"/>
  <c r="BD46" i="24"/>
  <c r="BD42" i="24"/>
  <c r="BD38" i="24"/>
  <c r="BD34" i="24"/>
  <c r="BD30" i="24"/>
  <c r="BD26" i="24"/>
  <c r="BD22" i="24"/>
  <c r="BD18" i="24"/>
  <c r="BS113" i="24"/>
  <c r="BS109" i="24"/>
  <c r="BS105" i="24"/>
  <c r="BS101" i="24"/>
  <c r="BS97" i="24"/>
  <c r="BS93" i="24"/>
  <c r="BS89" i="24"/>
  <c r="BS85" i="24"/>
  <c r="BS81" i="24"/>
  <c r="BS77" i="24"/>
  <c r="BS73" i="24"/>
  <c r="BS69" i="24"/>
  <c r="BS65" i="24"/>
  <c r="BS61" i="24"/>
  <c r="BS57" i="24"/>
  <c r="BS53" i="24"/>
  <c r="BS49" i="24"/>
  <c r="BS45" i="24"/>
  <c r="BS41" i="24"/>
  <c r="BS37" i="24"/>
  <c r="BS33" i="24"/>
  <c r="BS29" i="24"/>
  <c r="BS25" i="24"/>
  <c r="BS21" i="24"/>
  <c r="BS17" i="24"/>
  <c r="AO112" i="24"/>
  <c r="AO108" i="24"/>
  <c r="AO104" i="24"/>
  <c r="AO100" i="24"/>
  <c r="AO96" i="24"/>
  <c r="AO92" i="24"/>
  <c r="AO88" i="24"/>
  <c r="AO84" i="24"/>
  <c r="AO80" i="24"/>
  <c r="AO76" i="24"/>
  <c r="AO72" i="24"/>
  <c r="AO68" i="24"/>
  <c r="AO64" i="24"/>
  <c r="AO60" i="24"/>
  <c r="AO56" i="24"/>
  <c r="AO52" i="24"/>
  <c r="AO48" i="24"/>
  <c r="AO44" i="24"/>
  <c r="AO40" i="24"/>
  <c r="AO36" i="24"/>
  <c r="AO32" i="24"/>
  <c r="AO28" i="24"/>
  <c r="AO24" i="24"/>
  <c r="AO20" i="24"/>
  <c r="AO16" i="24"/>
  <c r="BC114" i="24"/>
  <c r="BC110" i="24"/>
  <c r="BC106" i="24"/>
  <c r="BC102" i="24"/>
  <c r="BC98" i="24"/>
  <c r="BC94" i="24"/>
  <c r="BC90" i="24"/>
  <c r="BC70" i="24"/>
  <c r="BC39" i="24"/>
  <c r="BC23" i="24"/>
  <c r="BR102" i="24"/>
  <c r="BR86" i="24"/>
  <c r="BR70" i="24"/>
  <c r="BR54" i="24"/>
  <c r="BR38" i="24"/>
  <c r="BR22" i="24"/>
  <c r="AN101" i="24"/>
  <c r="AN85" i="24"/>
  <c r="AN69" i="24"/>
  <c r="AN53" i="24"/>
  <c r="AN37" i="24"/>
  <c r="AN21" i="24"/>
  <c r="BC66" i="24"/>
  <c r="BC38" i="24"/>
  <c r="BC22" i="24"/>
  <c r="BR101" i="24"/>
  <c r="BR85" i="24"/>
  <c r="BR69" i="24"/>
  <c r="BR53" i="24"/>
  <c r="BR37" i="24"/>
  <c r="BR21" i="24"/>
  <c r="AN100" i="24"/>
  <c r="AN84" i="24"/>
  <c r="AN68" i="24"/>
  <c r="AN52" i="24"/>
  <c r="AN36" i="24"/>
  <c r="AN20" i="24"/>
  <c r="BC62" i="24"/>
  <c r="BC35" i="24"/>
  <c r="BC19" i="24"/>
  <c r="BR114" i="24"/>
  <c r="BR98" i="24"/>
  <c r="BR82" i="24"/>
  <c r="BR66" i="24"/>
  <c r="BR50" i="24"/>
  <c r="BR34" i="24"/>
  <c r="BR18" i="24"/>
  <c r="AN113" i="24"/>
  <c r="AN97" i="24"/>
  <c r="AN81" i="24"/>
  <c r="AN65" i="24"/>
  <c r="AN49" i="24"/>
  <c r="AN33" i="24"/>
  <c r="AN17" i="24"/>
  <c r="BC58" i="24"/>
  <c r="BC34" i="24"/>
  <c r="BC18" i="24"/>
  <c r="BR113" i="24"/>
  <c r="BR97" i="24"/>
  <c r="BR81" i="24"/>
  <c r="BR65" i="24"/>
  <c r="BR49" i="24"/>
  <c r="BR33" i="24"/>
  <c r="BR17" i="24"/>
  <c r="AN112" i="24"/>
  <c r="AN96" i="24"/>
  <c r="AN80" i="24"/>
  <c r="AN64" i="24"/>
  <c r="AN48" i="24"/>
  <c r="AN32" i="24"/>
  <c r="AN16" i="24"/>
  <c r="BC86" i="24"/>
  <c r="BC54" i="24"/>
  <c r="BC31" i="24"/>
  <c r="BR110" i="24"/>
  <c r="BR94" i="24"/>
  <c r="BR78" i="24"/>
  <c r="BR62" i="24"/>
  <c r="BR46" i="24"/>
  <c r="BR30" i="24"/>
  <c r="AN109" i="24"/>
  <c r="AN93" i="24"/>
  <c r="AN77" i="24"/>
  <c r="AN61" i="24"/>
  <c r="AN45" i="24"/>
  <c r="AN29" i="24"/>
  <c r="BC82" i="24"/>
  <c r="BC50" i="24"/>
  <c r="BC30" i="24"/>
  <c r="BR109" i="24"/>
  <c r="BR93" i="24"/>
  <c r="BR77" i="24"/>
  <c r="BR61" i="24"/>
  <c r="BR45" i="24"/>
  <c r="BR29" i="24"/>
  <c r="AN108" i="24"/>
  <c r="AN92" i="24"/>
  <c r="AN76" i="24"/>
  <c r="AN60" i="24"/>
  <c r="AN44" i="24"/>
  <c r="AN28" i="24"/>
  <c r="BC78" i="24"/>
  <c r="BC46" i="24"/>
  <c r="BC27" i="24"/>
  <c r="BR106" i="24"/>
  <c r="BR90" i="24"/>
  <c r="BR74" i="24"/>
  <c r="BR58" i="24"/>
  <c r="BR42" i="24"/>
  <c r="BR26" i="24"/>
  <c r="AN105" i="24"/>
  <c r="AN89" i="24"/>
  <c r="AN73" i="24"/>
  <c r="AN57" i="24"/>
  <c r="AN41" i="24"/>
  <c r="AN25" i="24"/>
  <c r="BR89" i="24"/>
  <c r="BR57" i="24"/>
  <c r="BR25" i="24"/>
  <c r="AN104" i="24"/>
  <c r="AN72" i="24"/>
  <c r="AN40" i="24"/>
  <c r="BC74" i="24"/>
  <c r="BC42" i="24"/>
  <c r="BC26" i="24"/>
  <c r="BR105" i="24"/>
  <c r="BR73" i="24"/>
  <c r="BR41" i="24"/>
  <c r="AN88" i="24"/>
  <c r="AN56" i="24"/>
  <c r="AN24" i="24"/>
  <c r="BC14" i="24"/>
  <c r="BR14" i="24"/>
  <c r="BD14" i="24"/>
  <c r="BS14" i="24"/>
  <c r="X123" i="24"/>
  <c r="Y123" i="24"/>
  <c r="X124" i="24"/>
  <c r="X117" i="24"/>
  <c r="X121" i="24"/>
  <c r="X125" i="24"/>
  <c r="Y117" i="24"/>
  <c r="Y121" i="24"/>
  <c r="Y125" i="24"/>
  <c r="Y120" i="24"/>
  <c r="X118" i="24"/>
  <c r="X122" i="24"/>
  <c r="X119" i="24"/>
  <c r="Y119" i="24"/>
  <c r="X120" i="24"/>
  <c r="Y124" i="24"/>
  <c r="Y118" i="24"/>
  <c r="Y122" i="24"/>
  <c r="AZ13" i="20" l="1"/>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I24" i="21"/>
  <c r="L5" i="49" s="1" a="1"/>
  <c r="L5" i="49" s="1"/>
  <c r="H24" i="21"/>
  <c r="L4" i="49" s="1" a="1"/>
  <c r="L4" i="49" s="1"/>
  <c r="G24" i="21"/>
  <c r="F24" i="21"/>
  <c r="N5" i="49" s="1" a="1"/>
  <c r="N5" i="49" s="1"/>
  <c r="I23" i="21"/>
  <c r="L5" i="48" s="1" a="1"/>
  <c r="L5" i="48" s="1"/>
  <c r="H23" i="21"/>
  <c r="L4" i="48" s="1" a="1"/>
  <c r="L4" i="48" s="1"/>
  <c r="G23" i="21"/>
  <c r="F23" i="21"/>
  <c r="N5" i="48" s="1" a="1"/>
  <c r="N5" i="48" s="1"/>
  <c r="I22" i="21"/>
  <c r="L5" i="47" s="1" a="1"/>
  <c r="L5" i="47" s="1"/>
  <c r="H22" i="21"/>
  <c r="L4" i="47" s="1" a="1"/>
  <c r="L4" i="47" s="1"/>
  <c r="G22" i="21"/>
  <c r="F22" i="21"/>
  <c r="N5" i="47" s="1" a="1"/>
  <c r="N5" i="47" s="1"/>
  <c r="I21" i="21"/>
  <c r="L5" i="46" s="1" a="1"/>
  <c r="L5" i="46" s="1"/>
  <c r="H21" i="21"/>
  <c r="L4" i="46" s="1" a="1"/>
  <c r="L4" i="46" s="1"/>
  <c r="G21" i="21"/>
  <c r="F21" i="21"/>
  <c r="N5" i="46" s="1" a="1"/>
  <c r="N5" i="46" s="1"/>
  <c r="I20" i="21"/>
  <c r="L5" i="45" s="1" a="1"/>
  <c r="L5" i="45" s="1"/>
  <c r="H20" i="21"/>
  <c r="L4" i="45" s="1" a="1"/>
  <c r="L4" i="45" s="1"/>
  <c r="G20" i="21"/>
  <c r="F20" i="21"/>
  <c r="N5" i="45" s="1" a="1"/>
  <c r="N5" i="45" s="1"/>
  <c r="I19" i="21"/>
  <c r="L5" i="44" s="1" a="1"/>
  <c r="L5" i="44" s="1"/>
  <c r="H19" i="21"/>
  <c r="L4" i="44" s="1" a="1"/>
  <c r="L4" i="44" s="1"/>
  <c r="G19" i="21"/>
  <c r="F19" i="21"/>
  <c r="N5" i="44" s="1" a="1"/>
  <c r="N5" i="44" s="1"/>
  <c r="I18" i="21"/>
  <c r="L5" i="43" s="1" a="1"/>
  <c r="L5" i="43" s="1"/>
  <c r="H18" i="21"/>
  <c r="L4" i="43" s="1" a="1"/>
  <c r="L4" i="43" s="1"/>
  <c r="G18" i="21"/>
  <c r="F18" i="21"/>
  <c r="N5" i="43" s="1" a="1"/>
  <c r="N5" i="43" s="1"/>
  <c r="I17" i="21"/>
  <c r="L5" i="42" s="1" a="1"/>
  <c r="L5" i="42" s="1"/>
  <c r="H17" i="21"/>
  <c r="L4" i="42" s="1" a="1"/>
  <c r="L4" i="42" s="1"/>
  <c r="G17" i="21"/>
  <c r="F17" i="21"/>
  <c r="N5" i="42" s="1" a="1"/>
  <c r="N5" i="42" s="1"/>
  <c r="I16" i="21"/>
  <c r="L5" i="41" s="1" a="1"/>
  <c r="L5" i="41" s="1"/>
  <c r="H16" i="21"/>
  <c r="L4" i="41" s="1" a="1"/>
  <c r="L4" i="41" s="1"/>
  <c r="G16" i="21"/>
  <c r="F16" i="21"/>
  <c r="N5" i="41" s="1" a="1"/>
  <c r="N5" i="41" s="1"/>
  <c r="I15" i="21"/>
  <c r="L5" i="40" s="1" a="1"/>
  <c r="L5" i="40" s="1"/>
  <c r="H15" i="21"/>
  <c r="L4" i="40" s="1" a="1"/>
  <c r="L4" i="40" s="1"/>
  <c r="G15" i="21"/>
  <c r="F15" i="21"/>
  <c r="N5" i="40" s="1" a="1"/>
  <c r="N5" i="40" s="1"/>
  <c r="I14" i="21"/>
  <c r="L5" i="39" s="1" a="1"/>
  <c r="L5" i="39" s="1"/>
  <c r="H14" i="21"/>
  <c r="L4" i="39" s="1" a="1"/>
  <c r="L4" i="39" s="1"/>
  <c r="G14" i="21"/>
  <c r="F14" i="21"/>
  <c r="N5" i="39" s="1" a="1"/>
  <c r="N5" i="39" s="1"/>
  <c r="I13" i="21"/>
  <c r="L5" i="38" s="1" a="1"/>
  <c r="L5" i="38" s="1"/>
  <c r="H13" i="21"/>
  <c r="L4" i="38" s="1" a="1"/>
  <c r="L4" i="38" s="1"/>
  <c r="G13" i="21"/>
  <c r="F13" i="21"/>
  <c r="N5" i="38" s="1" a="1"/>
  <c r="N5" i="38" s="1"/>
  <c r="I12" i="21"/>
  <c r="L5" i="37" s="1" a="1"/>
  <c r="L5" i="37" s="1"/>
  <c r="H12" i="21"/>
  <c r="L4" i="37" s="1" a="1"/>
  <c r="L4" i="37" s="1"/>
  <c r="G12" i="21"/>
  <c r="F12" i="21"/>
  <c r="N5" i="37" s="1" a="1"/>
  <c r="N5" i="37" s="1"/>
  <c r="I11" i="21"/>
  <c r="L5" i="36" s="1" a="1"/>
  <c r="L5" i="36" s="1"/>
  <c r="H11" i="21"/>
  <c r="L4" i="36" s="1" a="1"/>
  <c r="L4" i="36" s="1"/>
  <c r="G11" i="21"/>
  <c r="F11" i="21"/>
  <c r="I10" i="21"/>
  <c r="H10" i="21"/>
  <c r="F10" i="21"/>
  <c r="D15" i="24"/>
  <c r="L3" i="48" l="1" a="1"/>
  <c r="L3" i="48" s="1"/>
  <c r="C30" i="3"/>
  <c r="L3" i="47" a="1"/>
  <c r="L3" i="47" s="1"/>
  <c r="C29" i="3"/>
  <c r="L3" i="49" a="1"/>
  <c r="L3" i="49" s="1"/>
  <c r="C31" i="3"/>
  <c r="B11" i="21"/>
  <c r="N4" i="36" s="1" a="1"/>
  <c r="N4" i="36" s="1"/>
  <c r="N5" i="36" a="1"/>
  <c r="N5" i="36" s="1"/>
  <c r="C18" i="3"/>
  <c r="L3" i="36" a="1"/>
  <c r="L3" i="36" s="1"/>
  <c r="L7" i="36" s="1"/>
  <c r="L3" i="38" a="1"/>
  <c r="L3" i="38" s="1"/>
  <c r="C20" i="3"/>
  <c r="L3" i="40" a="1"/>
  <c r="L3" i="40" s="1"/>
  <c r="C22" i="3"/>
  <c r="L3" i="42" a="1"/>
  <c r="L3" i="42" s="1"/>
  <c r="C24" i="3"/>
  <c r="L3" i="44" a="1"/>
  <c r="L3" i="44" s="1"/>
  <c r="C26" i="3"/>
  <c r="L3" i="46" a="1"/>
  <c r="L3" i="46" s="1"/>
  <c r="C28" i="3"/>
  <c r="L3" i="37" a="1"/>
  <c r="L3" i="37" s="1"/>
  <c r="C19" i="3"/>
  <c r="L3" i="39" a="1"/>
  <c r="L3" i="39" s="1"/>
  <c r="C21" i="3"/>
  <c r="L3" i="41" a="1"/>
  <c r="L3" i="41" s="1"/>
  <c r="C23" i="3"/>
  <c r="L3" i="43" a="1"/>
  <c r="L3" i="43" s="1"/>
  <c r="C25" i="3"/>
  <c r="L3" i="45" a="1"/>
  <c r="L3" i="45" s="1"/>
  <c r="C27" i="3"/>
  <c r="AL15" i="20"/>
  <c r="AM11" i="6" s="1" a="1"/>
  <c r="AM11" i="6" s="1"/>
  <c r="AF11" i="6" a="1"/>
  <c r="AF11" i="6" s="1"/>
  <c r="AE15" i="20"/>
  <c r="X15" i="20"/>
  <c r="Y11" i="6" s="1" a="1"/>
  <c r="Y11" i="6" s="1"/>
  <c r="Q15" i="20"/>
  <c r="R11" i="6" s="1" a="1"/>
  <c r="R11" i="6" s="1"/>
  <c r="Y15" i="20"/>
  <c r="Z11" i="6" s="1" a="1"/>
  <c r="Z11" i="6" s="1"/>
  <c r="AG15" i="20"/>
  <c r="AH11" i="6" s="1" a="1"/>
  <c r="AH11" i="6" s="1"/>
  <c r="AO15" i="20"/>
  <c r="AP11" i="6" s="1" a="1"/>
  <c r="AP11" i="6" s="1"/>
  <c r="AW15" i="20"/>
  <c r="AX11" i="6" s="1" a="1"/>
  <c r="AX11" i="6" s="1"/>
  <c r="V15" i="20"/>
  <c r="W11" i="6" s="1" a="1"/>
  <c r="W11" i="6" s="1"/>
  <c r="AU15" i="20"/>
  <c r="AV11" i="6" s="1" a="1"/>
  <c r="AV11" i="6" s="1"/>
  <c r="AN15" i="20"/>
  <c r="AO11" i="6" s="1" a="1"/>
  <c r="AO11" i="6" s="1"/>
  <c r="J15" i="20"/>
  <c r="K11" i="6" s="1" a="1"/>
  <c r="K11" i="6" s="1"/>
  <c r="R15" i="20"/>
  <c r="S11" i="6" s="1" a="1"/>
  <c r="S11" i="6" s="1"/>
  <c r="Z15" i="20"/>
  <c r="AA11" i="6" s="1" a="1"/>
  <c r="AA11" i="6" s="1"/>
  <c r="AH15" i="20"/>
  <c r="AI11" i="6" s="1" a="1"/>
  <c r="AI11" i="6" s="1"/>
  <c r="AP15" i="20"/>
  <c r="AQ11" i="6" s="1" a="1"/>
  <c r="AQ11" i="6" s="1"/>
  <c r="AX15" i="20"/>
  <c r="AY11" i="6" s="1" a="1"/>
  <c r="AY11" i="6" s="1"/>
  <c r="AT15" i="20"/>
  <c r="AU11" i="6" s="1" a="1"/>
  <c r="AU11" i="6" s="1"/>
  <c r="AM15" i="20"/>
  <c r="AN11" i="6" s="1" a="1"/>
  <c r="AN11" i="6" s="1"/>
  <c r="AV15" i="20"/>
  <c r="AW11" i="6" s="1" a="1"/>
  <c r="AW11" i="6" s="1"/>
  <c r="S15" i="20"/>
  <c r="T11" i="6" s="1" a="1"/>
  <c r="T11" i="6" s="1"/>
  <c r="AA15" i="20"/>
  <c r="AB11" i="6" s="1" a="1"/>
  <c r="AB11" i="6" s="1"/>
  <c r="AI15" i="20"/>
  <c r="AJ11" i="6" s="1" a="1"/>
  <c r="AJ11" i="6" s="1"/>
  <c r="AQ15" i="20"/>
  <c r="AR11" i="6" s="1" a="1"/>
  <c r="AR11" i="6" s="1"/>
  <c r="AY15" i="20"/>
  <c r="AZ11" i="6" s="1" a="1"/>
  <c r="AZ11" i="6" s="1"/>
  <c r="AD15" i="20"/>
  <c r="AE11" i="6" s="1" a="1"/>
  <c r="AE11" i="6" s="1"/>
  <c r="W15" i="20"/>
  <c r="X11" i="6" s="1" a="1"/>
  <c r="X11" i="6" s="1"/>
  <c r="P15" i="20"/>
  <c r="Q11" i="6" s="1" a="1"/>
  <c r="Q11" i="6" s="1"/>
  <c r="I15" i="20"/>
  <c r="J11" i="6" s="1" a="1"/>
  <c r="J11" i="6" s="1"/>
  <c r="L15" i="20"/>
  <c r="M11" i="6" s="1" a="1"/>
  <c r="M11" i="6" s="1"/>
  <c r="T15" i="20"/>
  <c r="U11" i="6" s="1" a="1"/>
  <c r="U11" i="6" s="1"/>
  <c r="AB15" i="20"/>
  <c r="AC11" i="6" s="1" a="1"/>
  <c r="AC11" i="6" s="1"/>
  <c r="AJ15" i="20"/>
  <c r="AK11" i="6" s="1" a="1"/>
  <c r="AK11" i="6" s="1"/>
  <c r="AR15" i="20"/>
  <c r="AS11" i="6" s="1" a="1"/>
  <c r="AS11" i="6" s="1"/>
  <c r="AZ15" i="20"/>
  <c r="BA11" i="6" s="1" a="1"/>
  <c r="BA11" i="6" s="1"/>
  <c r="N15" i="20"/>
  <c r="O11" i="6" s="1" a="1"/>
  <c r="O11" i="6" s="1"/>
  <c r="O15" i="20"/>
  <c r="P11" i="6" s="1" a="1"/>
  <c r="P11" i="6" s="1"/>
  <c r="H15" i="20"/>
  <c r="I11" i="6" s="1" a="1"/>
  <c r="I11" i="6" s="1"/>
  <c r="AF15" i="20"/>
  <c r="AG11" i="6" s="1" a="1"/>
  <c r="AG11" i="6" s="1"/>
  <c r="K15" i="20"/>
  <c r="L11" i="6" s="1" a="1"/>
  <c r="L11" i="6" s="1"/>
  <c r="M15" i="20"/>
  <c r="N11" i="6" s="1" a="1"/>
  <c r="N11" i="6" s="1"/>
  <c r="U15" i="20"/>
  <c r="V11" i="6" s="1" a="1"/>
  <c r="V11" i="6" s="1"/>
  <c r="AC15" i="20"/>
  <c r="AD11" i="6" s="1" a="1"/>
  <c r="AD11" i="6" s="1"/>
  <c r="AK15" i="20"/>
  <c r="AL11" i="6" s="1" a="1"/>
  <c r="AL11" i="6" s="1"/>
  <c r="AS15" i="20"/>
  <c r="AT11" i="6" s="1" a="1"/>
  <c r="AT11" i="6" s="1"/>
  <c r="A1" i="24"/>
  <c r="N3" i="24" s="1"/>
  <c r="B2" i="24" a="1"/>
  <c r="B2" i="24" s="1"/>
  <c r="L24" i="21"/>
  <c r="L23" i="21"/>
  <c r="L22" i="21"/>
  <c r="L21" i="21"/>
  <c r="L20" i="21"/>
  <c r="L19" i="21"/>
  <c r="L18" i="21"/>
  <c r="L17" i="21"/>
  <c r="L16" i="21"/>
  <c r="L15" i="21"/>
  <c r="L14" i="21"/>
  <c r="L13" i="21"/>
  <c r="L12" i="21"/>
  <c r="L11" i="21"/>
  <c r="L10" i="21"/>
  <c r="F82" i="20"/>
  <c r="E82" i="20"/>
  <c r="D82" i="20"/>
  <c r="C82" i="20"/>
  <c r="E26" i="20"/>
  <c r="D26" i="20"/>
  <c r="C26" i="20"/>
  <c r="F132" i="21" a="1"/>
  <c r="F132" i="21" s="1"/>
  <c r="F131" i="21" a="1"/>
  <c r="F131" i="21" s="1"/>
  <c r="F130" i="21" a="1"/>
  <c r="F130" i="21" s="1"/>
  <c r="F129" i="21" a="1"/>
  <c r="F129" i="21" s="1"/>
  <c r="F128" i="21" a="1"/>
  <c r="F128" i="21" s="1"/>
  <c r="F127" i="21" a="1"/>
  <c r="F127" i="21" s="1"/>
  <c r="F126" i="21" a="1"/>
  <c r="F126" i="21" s="1"/>
  <c r="F125" i="21" a="1"/>
  <c r="F125" i="21" s="1"/>
  <c r="F124" i="21" a="1"/>
  <c r="F124" i="21" s="1"/>
  <c r="F123" i="21" a="1"/>
  <c r="F123" i="21" s="1"/>
  <c r="F122" i="21" a="1"/>
  <c r="F122" i="21" s="1"/>
  <c r="F121" i="21" a="1"/>
  <c r="F121" i="21" s="1"/>
  <c r="F120" i="21" a="1"/>
  <c r="F120" i="21" s="1"/>
  <c r="F119" i="21" a="1"/>
  <c r="F119" i="21" s="1"/>
  <c r="F118" i="21" a="1"/>
  <c r="F118" i="21" s="1"/>
  <c r="F117" i="21" a="1"/>
  <c r="F117" i="21" s="1"/>
  <c r="F116" i="21" a="1"/>
  <c r="F116" i="21" s="1"/>
  <c r="F115" i="21" a="1"/>
  <c r="F115" i="21" s="1"/>
  <c r="F114" i="21" a="1"/>
  <c r="F114" i="21" s="1"/>
  <c r="F113" i="21" a="1"/>
  <c r="F113" i="21" s="1"/>
  <c r="F112" i="21" a="1"/>
  <c r="F112" i="21" s="1"/>
  <c r="F111" i="21" a="1"/>
  <c r="F111" i="21" s="1"/>
  <c r="F110" i="21" a="1"/>
  <c r="F110" i="21" s="1"/>
  <c r="F109" i="21" a="1"/>
  <c r="F109" i="21" s="1"/>
  <c r="F108" i="21" a="1"/>
  <c r="F108" i="21" s="1"/>
  <c r="F107" i="21" a="1"/>
  <c r="F107" i="21" s="1"/>
  <c r="F106" i="21" a="1"/>
  <c r="F106" i="21" s="1"/>
  <c r="F105" i="21" a="1"/>
  <c r="F105" i="21" s="1"/>
  <c r="F104" i="21" a="1"/>
  <c r="F104" i="21" s="1"/>
  <c r="F103" i="21" a="1"/>
  <c r="F103" i="21" s="1"/>
  <c r="F102" i="21" a="1"/>
  <c r="F102" i="21" s="1"/>
  <c r="F101" i="21" a="1"/>
  <c r="F101" i="21" s="1"/>
  <c r="F100" i="21" a="1"/>
  <c r="F100" i="21" s="1"/>
  <c r="F99" i="21" a="1"/>
  <c r="F99" i="21" s="1"/>
  <c r="F98" i="21" a="1"/>
  <c r="F98" i="21" s="1"/>
  <c r="F97" i="21" a="1"/>
  <c r="F97" i="21" s="1"/>
  <c r="F96" i="21" a="1"/>
  <c r="F96" i="21" s="1"/>
  <c r="F95" i="21" a="1"/>
  <c r="F95" i="21" s="1"/>
  <c r="F94" i="21" a="1"/>
  <c r="F94" i="21" s="1"/>
  <c r="F93" i="21" a="1"/>
  <c r="F93" i="21" s="1"/>
  <c r="F92" i="21" a="1"/>
  <c r="F92" i="21" s="1"/>
  <c r="F91" i="21" a="1"/>
  <c r="F91" i="21" s="1"/>
  <c r="F90" i="21" a="1"/>
  <c r="F90" i="21" s="1"/>
  <c r="F89" i="21" a="1"/>
  <c r="F89" i="21" s="1"/>
  <c r="F88" i="21" a="1"/>
  <c r="F88" i="21" s="1"/>
  <c r="F87" i="21" a="1"/>
  <c r="F87" i="21" s="1"/>
  <c r="F86" i="21" a="1"/>
  <c r="F86" i="21" s="1"/>
  <c r="F85" i="21" a="1"/>
  <c r="F85" i="21" s="1"/>
  <c r="F84" i="21" a="1"/>
  <c r="F84" i="21" s="1"/>
  <c r="F83" i="21" a="1"/>
  <c r="F83" i="21" s="1"/>
  <c r="F82" i="21" a="1"/>
  <c r="F82" i="21" s="1"/>
  <c r="F81" i="21" a="1"/>
  <c r="F81" i="21" s="1"/>
  <c r="F80" i="21" a="1"/>
  <c r="F80" i="21" s="1"/>
  <c r="F79" i="21" a="1"/>
  <c r="F79" i="21" s="1"/>
  <c r="F78" i="21" a="1"/>
  <c r="F78" i="21" s="1"/>
  <c r="F77" i="21" a="1"/>
  <c r="F77" i="21" s="1"/>
  <c r="F76" i="21" a="1"/>
  <c r="F76" i="21" s="1"/>
  <c r="F75" i="21" a="1"/>
  <c r="F75" i="21" s="1"/>
  <c r="F74" i="21" a="1"/>
  <c r="F74" i="21" s="1"/>
  <c r="F73" i="21" a="1"/>
  <c r="F73" i="21" s="1"/>
  <c r="F72" i="21" a="1"/>
  <c r="F72" i="21" s="1"/>
  <c r="F71" i="21" a="1"/>
  <c r="F71" i="21" s="1"/>
  <c r="F70" i="21" a="1"/>
  <c r="F70" i="21" s="1"/>
  <c r="F69" i="21" a="1"/>
  <c r="F69" i="21" s="1"/>
  <c r="F68" i="21" a="1"/>
  <c r="F68" i="21" s="1"/>
  <c r="F67" i="21" a="1"/>
  <c r="F67" i="21" s="1"/>
  <c r="F66" i="21" a="1"/>
  <c r="F66" i="21" s="1"/>
  <c r="F65" i="21" a="1"/>
  <c r="F65" i="21" s="1"/>
  <c r="F64" i="21" a="1"/>
  <c r="F64" i="21" s="1"/>
  <c r="F63" i="21" a="1"/>
  <c r="F63" i="21" s="1"/>
  <c r="F62" i="21" a="1"/>
  <c r="F62" i="21" s="1"/>
  <c r="F61" i="21" a="1"/>
  <c r="F61" i="21" s="1"/>
  <c r="F60" i="21" a="1"/>
  <c r="F60" i="21" s="1"/>
  <c r="F59" i="21" a="1"/>
  <c r="F59" i="21" s="1"/>
  <c r="F58" i="21" a="1"/>
  <c r="F58" i="21" s="1"/>
  <c r="F57" i="21" a="1"/>
  <c r="F57" i="21" s="1"/>
  <c r="F56" i="21" a="1"/>
  <c r="F56" i="21" s="1"/>
  <c r="F55" i="21" a="1"/>
  <c r="F55" i="21" s="1"/>
  <c r="F54" i="21" a="1"/>
  <c r="F54" i="21" s="1"/>
  <c r="F53" i="21" a="1"/>
  <c r="F53" i="21" s="1"/>
  <c r="F52" i="21" a="1"/>
  <c r="F52" i="21" s="1"/>
  <c r="F51" i="21" a="1"/>
  <c r="F51" i="21" s="1"/>
  <c r="F50" i="21" a="1"/>
  <c r="F50" i="21" s="1"/>
  <c r="F49" i="21" a="1"/>
  <c r="F49" i="21" s="1"/>
  <c r="F48" i="21" a="1"/>
  <c r="F48" i="21" s="1"/>
  <c r="F47" i="21" a="1"/>
  <c r="F47" i="21" s="1"/>
  <c r="F46" i="21" a="1"/>
  <c r="F46" i="21" s="1"/>
  <c r="F45" i="21" a="1"/>
  <c r="F45" i="21" s="1"/>
  <c r="F44" i="21" a="1"/>
  <c r="F44" i="21" s="1"/>
  <c r="F43" i="21" a="1"/>
  <c r="F43" i="21" s="1"/>
  <c r="F42" i="21" a="1"/>
  <c r="F42" i="21" s="1"/>
  <c r="F41" i="21" a="1"/>
  <c r="F41" i="21" s="1"/>
  <c r="F40" i="21" a="1"/>
  <c r="F40" i="21" s="1"/>
  <c r="F39" i="21" a="1"/>
  <c r="F39" i="21" s="1"/>
  <c r="F38" i="21" a="1"/>
  <c r="F38" i="21" s="1"/>
  <c r="F37" i="21" a="1"/>
  <c r="F37" i="21" s="1"/>
  <c r="F36" i="21" a="1"/>
  <c r="F36" i="21" s="1"/>
  <c r="F35" i="21" a="1"/>
  <c r="F35" i="21" s="1"/>
  <c r="F34" i="21" a="1"/>
  <c r="F34" i="21" s="1"/>
  <c r="P6" i="49" l="1" a="1"/>
  <c r="P6" i="49" s="1"/>
  <c r="P5" i="49" a="1"/>
  <c r="P5" i="49" s="1"/>
  <c r="P4" i="49" a="1"/>
  <c r="P4" i="49" s="1"/>
  <c r="L7" i="49"/>
  <c r="P7" i="49" a="1"/>
  <c r="P7" i="49" s="1"/>
  <c r="P7" i="47" a="1"/>
  <c r="P7" i="47" s="1"/>
  <c r="P4" i="47" a="1"/>
  <c r="P4" i="47" s="1"/>
  <c r="P6" i="47" a="1"/>
  <c r="P6" i="47" s="1"/>
  <c r="P5" i="47" a="1"/>
  <c r="P5" i="47" s="1"/>
  <c r="L7" i="47"/>
  <c r="P7" i="48" a="1"/>
  <c r="P7" i="48" s="1"/>
  <c r="P6" i="48" a="1"/>
  <c r="P6" i="48" s="1"/>
  <c r="P4" i="48" a="1"/>
  <c r="P4" i="48" s="1"/>
  <c r="L7" i="48"/>
  <c r="P5" i="48" a="1"/>
  <c r="P5" i="48" s="1"/>
  <c r="P7" i="46" a="1"/>
  <c r="P7" i="46" s="1"/>
  <c r="L7" i="46"/>
  <c r="P6" i="46" a="1"/>
  <c r="P6" i="46" s="1"/>
  <c r="P5" i="46" a="1"/>
  <c r="P5" i="46" s="1"/>
  <c r="P4" i="46" a="1"/>
  <c r="P4" i="46" s="1"/>
  <c r="P7" i="45" a="1"/>
  <c r="P7" i="45" s="1"/>
  <c r="P6" i="45" a="1"/>
  <c r="P6" i="45" s="1"/>
  <c r="P5" i="45" a="1"/>
  <c r="P5" i="45" s="1"/>
  <c r="L7" i="45"/>
  <c r="P4" i="45" a="1"/>
  <c r="P4" i="45" s="1"/>
  <c r="P6" i="44" a="1"/>
  <c r="P6" i="44" s="1"/>
  <c r="P5" i="44" a="1"/>
  <c r="P5" i="44" s="1"/>
  <c r="P4" i="44" a="1"/>
  <c r="P4" i="44" s="1"/>
  <c r="L7" i="44"/>
  <c r="P7" i="44" a="1"/>
  <c r="P7" i="44" s="1"/>
  <c r="P7" i="43" a="1"/>
  <c r="P7" i="43" s="1"/>
  <c r="P6" i="43" a="1"/>
  <c r="P6" i="43" s="1"/>
  <c r="L7" i="43"/>
  <c r="P5" i="43" a="1"/>
  <c r="P5" i="43" s="1"/>
  <c r="P4" i="43" a="1"/>
  <c r="P4" i="43" s="1"/>
  <c r="P7" i="42" a="1"/>
  <c r="P7" i="42" s="1"/>
  <c r="P6" i="42" a="1"/>
  <c r="P6" i="42" s="1"/>
  <c r="P5" i="42" a="1"/>
  <c r="P5" i="42" s="1"/>
  <c r="P4" i="42" a="1"/>
  <c r="P4" i="42" s="1"/>
  <c r="L7" i="42"/>
  <c r="P6" i="41" a="1"/>
  <c r="P6" i="41" s="1"/>
  <c r="L7" i="41"/>
  <c r="P5" i="41" a="1"/>
  <c r="P5" i="41" s="1"/>
  <c r="P4" i="41" a="1"/>
  <c r="P4" i="41" s="1"/>
  <c r="P7" i="41" a="1"/>
  <c r="P7" i="41" s="1"/>
  <c r="P6" i="40" a="1"/>
  <c r="P6" i="40" s="1"/>
  <c r="P5" i="40" a="1"/>
  <c r="P5" i="40" s="1"/>
  <c r="P4" i="40" a="1"/>
  <c r="P4" i="40" s="1"/>
  <c r="L7" i="40"/>
  <c r="P7" i="40" a="1"/>
  <c r="P7" i="40" s="1"/>
  <c r="P6" i="39" a="1"/>
  <c r="P6" i="39" s="1"/>
  <c r="P7" i="39" a="1"/>
  <c r="P7" i="39" s="1"/>
  <c r="L7" i="39"/>
  <c r="P5" i="39" a="1"/>
  <c r="P5" i="39" s="1"/>
  <c r="P4" i="39" a="1"/>
  <c r="P4" i="39" s="1"/>
  <c r="P4" i="38" a="1"/>
  <c r="P4" i="38" s="1"/>
  <c r="L7" i="38"/>
  <c r="P7" i="38" a="1"/>
  <c r="P7" i="38" s="1"/>
  <c r="P6" i="38" a="1"/>
  <c r="P6" i="38" s="1"/>
  <c r="P5" i="38" a="1"/>
  <c r="P5" i="38" s="1"/>
  <c r="P7" i="37" a="1"/>
  <c r="P7" i="37" s="1"/>
  <c r="L7" i="37"/>
  <c r="P6" i="37" a="1"/>
  <c r="P6" i="37" s="1"/>
  <c r="P5" i="37" a="1"/>
  <c r="P5" i="37" s="1"/>
  <c r="P4" i="37" a="1"/>
  <c r="P4" i="37" s="1"/>
  <c r="P7" i="36" a="1"/>
  <c r="P7" i="36" s="1"/>
  <c r="P6" i="36" a="1"/>
  <c r="P6" i="36" s="1"/>
  <c r="P5" i="36" a="1"/>
  <c r="P5" i="36" s="1"/>
  <c r="P4" i="36" a="1"/>
  <c r="P4" i="36" s="1"/>
  <c r="G86" i="20"/>
  <c r="G83" i="20"/>
  <c r="G85" i="20"/>
  <c r="G84" i="20"/>
  <c r="G87" i="20"/>
  <c r="H83" i="20"/>
  <c r="H85" i="20"/>
  <c r="H87" i="20"/>
  <c r="H86" i="20"/>
  <c r="H84" i="20"/>
  <c r="I85" i="20"/>
  <c r="I87" i="20"/>
  <c r="I84" i="20"/>
  <c r="I86" i="20"/>
  <c r="I83" i="20"/>
  <c r="B6" i="24" a="1"/>
  <c r="B6" i="24" s="1"/>
  <c r="CJ14" i="24" s="1"/>
  <c r="B5" i="24" a="1"/>
  <c r="B5" i="24" s="1"/>
  <c r="CJ13" i="24" s="1"/>
  <c r="B4" i="24" a="1"/>
  <c r="B4" i="24" s="1"/>
  <c r="CJ12" i="24" s="1"/>
  <c r="L4" i="24" a="1"/>
  <c r="L4" i="24" s="1"/>
  <c r="N5" i="24" a="1"/>
  <c r="N5" i="24" s="1"/>
  <c r="K24" i="21"/>
  <c r="B24" i="21"/>
  <c r="N4" i="49" s="1" a="1"/>
  <c r="N4" i="49" s="1"/>
  <c r="K23" i="21"/>
  <c r="B23" i="21"/>
  <c r="N4" i="48" s="1" a="1"/>
  <c r="N4" i="48" s="1"/>
  <c r="K22" i="21"/>
  <c r="B22" i="21"/>
  <c r="N4" i="47" s="1" a="1"/>
  <c r="N4" i="47" s="1"/>
  <c r="K21" i="21"/>
  <c r="K20" i="21"/>
  <c r="B20" i="21"/>
  <c r="N4" i="45" s="1" a="1"/>
  <c r="N4" i="45" s="1"/>
  <c r="K19" i="21"/>
  <c r="B19" i="21"/>
  <c r="N4" i="44" s="1" a="1"/>
  <c r="N4" i="44" s="1"/>
  <c r="K18" i="21"/>
  <c r="B18" i="21"/>
  <c r="N4" i="43" s="1" a="1"/>
  <c r="N4" i="43" s="1"/>
  <c r="K17" i="21"/>
  <c r="B17" i="21"/>
  <c r="N4" i="42" s="1" a="1"/>
  <c r="N4" i="42" s="1"/>
  <c r="K16" i="21"/>
  <c r="B16" i="21"/>
  <c r="N4" i="41" s="1" a="1"/>
  <c r="N4" i="41" s="1"/>
  <c r="K15" i="21"/>
  <c r="B15" i="21"/>
  <c r="N4" i="40" s="1" a="1"/>
  <c r="N4" i="40" s="1"/>
  <c r="K14" i="21"/>
  <c r="B14" i="21"/>
  <c r="N4" i="39" s="1" a="1"/>
  <c r="N4" i="39" s="1"/>
  <c r="K13" i="21"/>
  <c r="B13" i="21"/>
  <c r="N4" i="38" s="1" a="1"/>
  <c r="N4" i="38" s="1"/>
  <c r="K12" i="21"/>
  <c r="B12" i="21"/>
  <c r="N4" i="37" s="1" a="1"/>
  <c r="N4" i="37" s="1"/>
  <c r="K11" i="21"/>
  <c r="K10" i="21"/>
  <c r="N6" i="24" s="1" a="1"/>
  <c r="N6" i="24" s="1"/>
  <c r="B10" i="21"/>
  <c r="L5" i="24" a="1"/>
  <c r="L5" i="24" s="1"/>
  <c r="BJ109" i="47" l="1"/>
  <c r="BJ104" i="47"/>
  <c r="BI95" i="47"/>
  <c r="BJ102" i="47"/>
  <c r="BI76" i="47"/>
  <c r="BJ74" i="47"/>
  <c r="BI75" i="47"/>
  <c r="BI60" i="47"/>
  <c r="BJ45" i="47"/>
  <c r="BJ51" i="47"/>
  <c r="BJ44" i="47"/>
  <c r="BJ32" i="47"/>
  <c r="BJ110" i="47"/>
  <c r="BI125" i="47"/>
  <c r="BI117" i="47"/>
  <c r="BI92" i="47"/>
  <c r="BI102" i="47"/>
  <c r="BJ77" i="47"/>
  <c r="BJ97" i="47"/>
  <c r="BJ80" i="47"/>
  <c r="BJ68" i="47"/>
  <c r="BJ37" i="47"/>
  <c r="BJ43" i="47"/>
  <c r="BJ36" i="47"/>
  <c r="BJ24" i="47"/>
  <c r="BJ22" i="47"/>
  <c r="BI18" i="47"/>
  <c r="BJ55" i="47"/>
  <c r="BJ99" i="47"/>
  <c r="BI114" i="47"/>
  <c r="BI77" i="47"/>
  <c r="BJ54" i="47"/>
  <c r="BJ66" i="47"/>
  <c r="BI106" i="47"/>
  <c r="BI54" i="47"/>
  <c r="BI46" i="47"/>
  <c r="BJ91" i="47"/>
  <c r="BI22" i="47"/>
  <c r="BI42" i="47"/>
  <c r="BI110" i="47"/>
  <c r="BJ106" i="47"/>
  <c r="BJ116" i="47"/>
  <c r="BI88" i="47"/>
  <c r="BI121" i="47"/>
  <c r="BJ88" i="47"/>
  <c r="BI68" i="47"/>
  <c r="BI65" i="47"/>
  <c r="BJ52" i="47"/>
  <c r="BI48" i="47"/>
  <c r="BJ20" i="47"/>
  <c r="BJ19" i="47"/>
  <c r="BJ18" i="47"/>
  <c r="BJ75" i="47"/>
  <c r="BI16" i="47"/>
  <c r="BI70" i="47"/>
  <c r="BI27" i="47"/>
  <c r="BJ67" i="47"/>
  <c r="BI63" i="47"/>
  <c r="BI52" i="47"/>
  <c r="BI116" i="47"/>
  <c r="BI59" i="47"/>
  <c r="BI39" i="47"/>
  <c r="BJ124" i="47"/>
  <c r="BJ73" i="47"/>
  <c r="BJ39" i="47"/>
  <c r="BI118" i="47"/>
  <c r="BJ58" i="47"/>
  <c r="BJ29" i="47"/>
  <c r="BJ125" i="47"/>
  <c r="BI123" i="47"/>
  <c r="BI113" i="47"/>
  <c r="BI115" i="47"/>
  <c r="BI107" i="47"/>
  <c r="BJ69" i="47"/>
  <c r="BJ94" i="47"/>
  <c r="BJ72" i="47"/>
  <c r="BI61" i="47"/>
  <c r="BJ53" i="47"/>
  <c r="BJ35" i="47"/>
  <c r="BI40" i="47"/>
  <c r="BJ117" i="47"/>
  <c r="BI105" i="47"/>
  <c r="BI119" i="47"/>
  <c r="BI100" i="47"/>
  <c r="BJ83" i="47"/>
  <c r="BJ82" i="47"/>
  <c r="BJ92" i="47"/>
  <c r="BI90" i="47"/>
  <c r="BJ65" i="47"/>
  <c r="BI41" i="47"/>
  <c r="BI53" i="47"/>
  <c r="BJ27" i="47"/>
  <c r="BI33" i="47"/>
  <c r="BI19" i="47"/>
  <c r="BI14" i="47"/>
  <c r="BI83" i="47"/>
  <c r="BI23" i="47"/>
  <c r="BJ46" i="47"/>
  <c r="BI98" i="47"/>
  <c r="BI28" i="47"/>
  <c r="BJ89" i="47"/>
  <c r="BJ17" i="47"/>
  <c r="BJ90" i="47"/>
  <c r="BI55" i="47"/>
  <c r="BI67" i="47"/>
  <c r="BI36" i="47"/>
  <c r="BI73" i="47"/>
  <c r="BJ64" i="47"/>
  <c r="BJ100" i="47"/>
  <c r="BJ113" i="47"/>
  <c r="BI99" i="47"/>
  <c r="BJ121" i="47"/>
  <c r="BJ108" i="47"/>
  <c r="BI84" i="47"/>
  <c r="BI49" i="47"/>
  <c r="BJ23" i="47"/>
  <c r="BI15" i="47"/>
  <c r="BI79" i="47"/>
  <c r="BJ103" i="47"/>
  <c r="BI91" i="47"/>
  <c r="BJ62" i="47"/>
  <c r="BI31" i="47"/>
  <c r="BI51" i="47"/>
  <c r="BJ85" i="47"/>
  <c r="BJ56" i="47"/>
  <c r="BI108" i="47"/>
  <c r="BJ76" i="47"/>
  <c r="BJ33" i="47"/>
  <c r="BI87" i="47"/>
  <c r="BI120" i="47"/>
  <c r="BI50" i="47"/>
  <c r="BI78" i="47"/>
  <c r="BI72" i="47"/>
  <c r="BJ47" i="47"/>
  <c r="BI43" i="47"/>
  <c r="BJ107" i="47"/>
  <c r="BI35" i="47"/>
  <c r="BJ105" i="47"/>
  <c r="BI86" i="47"/>
  <c r="BI71" i="47"/>
  <c r="BI45" i="47"/>
  <c r="BJ28" i="47"/>
  <c r="BJ14" i="47"/>
  <c r="BI93" i="47"/>
  <c r="BI103" i="47"/>
  <c r="BJ118" i="47"/>
  <c r="BI82" i="47"/>
  <c r="BI34" i="47"/>
  <c r="BJ38" i="47"/>
  <c r="BI112" i="47"/>
  <c r="BJ96" i="47"/>
  <c r="BI80" i="47"/>
  <c r="BJ57" i="47"/>
  <c r="BJ30" i="47"/>
  <c r="BJ25" i="47"/>
  <c r="BJ71" i="47"/>
  <c r="BJ87" i="47"/>
  <c r="BI101" i="47"/>
  <c r="BI109" i="47"/>
  <c r="BI64" i="47"/>
  <c r="BI104" i="47"/>
  <c r="BI24" i="47"/>
  <c r="BI81" i="47"/>
  <c r="BJ112" i="47"/>
  <c r="BI96" i="47"/>
  <c r="BI56" i="47"/>
  <c r="BJ61" i="47"/>
  <c r="BI25" i="47"/>
  <c r="BI21" i="47"/>
  <c r="BJ115" i="47"/>
  <c r="BJ34" i="47"/>
  <c r="BI20" i="47"/>
  <c r="BJ101" i="47"/>
  <c r="BI89" i="47"/>
  <c r="BI85" i="47"/>
  <c r="BI26" i="47"/>
  <c r="BI58" i="47"/>
  <c r="BJ120" i="47"/>
  <c r="BJ49" i="47"/>
  <c r="BJ15" i="47"/>
  <c r="BI17" i="47"/>
  <c r="BJ50" i="47"/>
  <c r="BI122" i="47"/>
  <c r="BJ21" i="47"/>
  <c r="BJ84" i="47"/>
  <c r="BJ31" i="47"/>
  <c r="BI38" i="47"/>
  <c r="BJ79" i="47"/>
  <c r="BJ81" i="47"/>
  <c r="BI69" i="47"/>
  <c r="BJ60" i="47"/>
  <c r="BI37" i="47"/>
  <c r="BJ93" i="47"/>
  <c r="BI94" i="47"/>
  <c r="BJ78" i="47"/>
  <c r="BI57" i="47"/>
  <c r="BJ48" i="47"/>
  <c r="BI44" i="47"/>
  <c r="BJ16" i="47"/>
  <c r="BJ123" i="47"/>
  <c r="BI66" i="47"/>
  <c r="BI30" i="47"/>
  <c r="BJ119" i="47"/>
  <c r="BJ111" i="47"/>
  <c r="BJ95" i="47"/>
  <c r="BI32" i="47"/>
  <c r="BI124" i="47"/>
  <c r="BJ70" i="47"/>
  <c r="BJ40" i="47"/>
  <c r="BJ42" i="47"/>
  <c r="BJ59" i="47"/>
  <c r="BJ86" i="47"/>
  <c r="BJ122" i="47"/>
  <c r="BI74" i="47"/>
  <c r="BJ114" i="47"/>
  <c r="BJ98" i="47"/>
  <c r="BJ41" i="47"/>
  <c r="BJ26" i="47"/>
  <c r="BI62" i="47"/>
  <c r="BJ63" i="47"/>
  <c r="BI47" i="47"/>
  <c r="BI97" i="47"/>
  <c r="BI29" i="47"/>
  <c r="BI111" i="47"/>
  <c r="AT123" i="48"/>
  <c r="AT113" i="48"/>
  <c r="AU114" i="48"/>
  <c r="AU109" i="48"/>
  <c r="AT85" i="48"/>
  <c r="AU88" i="48"/>
  <c r="AT111" i="48"/>
  <c r="AU106" i="48"/>
  <c r="AU100" i="48"/>
  <c r="AU89" i="48"/>
  <c r="AU95" i="48"/>
  <c r="AU71" i="48"/>
  <c r="AU69" i="48"/>
  <c r="AT117" i="48"/>
  <c r="AT103" i="48"/>
  <c r="AU81" i="48"/>
  <c r="AT95" i="48"/>
  <c r="AT79" i="48"/>
  <c r="AU65" i="48"/>
  <c r="AU63" i="48"/>
  <c r="AU45" i="48"/>
  <c r="AT48" i="48"/>
  <c r="AT43" i="48"/>
  <c r="AU25" i="48"/>
  <c r="AT34" i="48"/>
  <c r="AU15" i="48"/>
  <c r="AT90" i="48"/>
  <c r="AT38" i="48"/>
  <c r="AU34" i="48"/>
  <c r="AT54" i="48"/>
  <c r="AT106" i="48"/>
  <c r="AT46" i="48"/>
  <c r="AT100" i="48"/>
  <c r="AT25" i="48"/>
  <c r="AT80" i="48"/>
  <c r="AU124" i="48"/>
  <c r="AU51" i="48"/>
  <c r="AU18" i="48"/>
  <c r="AU99" i="48"/>
  <c r="AT119" i="48"/>
  <c r="AT101" i="48"/>
  <c r="AT76" i="48"/>
  <c r="AT81" i="48"/>
  <c r="AT87" i="48"/>
  <c r="AT75" i="48"/>
  <c r="AT62" i="48"/>
  <c r="AT57" i="48"/>
  <c r="AT59" i="48"/>
  <c r="AT41" i="48"/>
  <c r="AU39" i="48"/>
  <c r="AU38" i="48"/>
  <c r="AT16" i="48"/>
  <c r="AU64" i="48"/>
  <c r="AU102" i="48"/>
  <c r="AT17" i="48"/>
  <c r="AU59" i="48"/>
  <c r="AT24" i="48"/>
  <c r="AT15" i="48"/>
  <c r="AT78" i="48"/>
  <c r="AU120" i="48"/>
  <c r="AT50" i="48"/>
  <c r="AT114" i="48"/>
  <c r="AT27" i="48"/>
  <c r="AT110" i="48"/>
  <c r="AU55" i="48"/>
  <c r="AU117" i="48"/>
  <c r="AT115" i="48"/>
  <c r="AT97" i="48"/>
  <c r="AU118" i="48"/>
  <c r="AT77" i="48"/>
  <c r="AU104" i="48"/>
  <c r="AT67" i="48"/>
  <c r="AU60" i="48"/>
  <c r="AU54" i="48"/>
  <c r="AT56" i="48"/>
  <c r="AT69" i="48"/>
  <c r="AT37" i="48"/>
  <c r="AU31" i="48"/>
  <c r="AT26" i="48"/>
  <c r="AT58" i="48"/>
  <c r="AU119" i="48"/>
  <c r="AT21" i="48"/>
  <c r="AU77" i="48"/>
  <c r="AT29" i="48"/>
  <c r="AT19" i="48"/>
  <c r="AU66" i="48"/>
  <c r="AT108" i="48"/>
  <c r="AT64" i="48"/>
  <c r="AT122" i="48"/>
  <c r="AT23" i="48"/>
  <c r="AT118" i="48"/>
  <c r="AU57" i="48"/>
  <c r="AU125" i="48"/>
  <c r="AT107" i="48"/>
  <c r="AT93" i="48"/>
  <c r="AU105" i="48"/>
  <c r="AU90" i="48"/>
  <c r="AU91" i="48"/>
  <c r="AT71" i="48"/>
  <c r="AU56" i="48"/>
  <c r="AT53" i="48"/>
  <c r="AT55" i="48"/>
  <c r="AU68" i="48"/>
  <c r="AU41" i="48"/>
  <c r="AU27" i="48"/>
  <c r="AU23" i="48"/>
  <c r="AU61" i="48"/>
  <c r="AU113" i="48"/>
  <c r="AU24" i="48"/>
  <c r="AU97" i="48"/>
  <c r="AU46" i="48"/>
  <c r="AU28" i="48"/>
  <c r="AT68" i="48"/>
  <c r="AT104" i="48"/>
  <c r="AT86" i="48"/>
  <c r="AT116" i="48"/>
  <c r="AU49" i="48"/>
  <c r="AU107" i="48"/>
  <c r="AU79" i="48"/>
  <c r="AT94" i="48"/>
  <c r="AT121" i="48"/>
  <c r="AU110" i="48"/>
  <c r="AU85" i="48"/>
  <c r="AU82" i="48"/>
  <c r="AU72" i="48"/>
  <c r="AU78" i="48"/>
  <c r="AT66" i="48"/>
  <c r="AU48" i="48"/>
  <c r="AT51" i="48"/>
  <c r="AT73" i="48"/>
  <c r="AU29" i="48"/>
  <c r="AU20" i="48"/>
  <c r="AU19" i="48"/>
  <c r="AU76" i="48"/>
  <c r="AU14" i="48"/>
  <c r="AU22" i="48"/>
  <c r="AU115" i="48"/>
  <c r="AU98" i="48"/>
  <c r="AU30" i="48"/>
  <c r="AT92" i="48"/>
  <c r="AU16" i="48"/>
  <c r="AU70" i="48"/>
  <c r="AU116" i="48"/>
  <c r="AT60" i="48"/>
  <c r="AU21" i="48"/>
  <c r="AU93" i="48"/>
  <c r="AT91" i="48"/>
  <c r="AU73" i="48"/>
  <c r="AU50" i="48"/>
  <c r="AU35" i="48"/>
  <c r="AT33" i="48"/>
  <c r="AU37" i="48"/>
  <c r="AT124" i="48"/>
  <c r="AT31" i="48"/>
  <c r="AU36" i="48"/>
  <c r="AU123" i="48"/>
  <c r="AT99" i="48"/>
  <c r="AU80" i="48"/>
  <c r="AT65" i="48"/>
  <c r="AU33" i="48"/>
  <c r="AT42" i="48"/>
  <c r="AT44" i="48"/>
  <c r="AT36" i="48"/>
  <c r="AT32" i="48"/>
  <c r="AT102" i="48"/>
  <c r="AU96" i="48"/>
  <c r="AT63" i="48"/>
  <c r="AU62" i="48"/>
  <c r="AU43" i="48"/>
  <c r="AT74" i="48"/>
  <c r="AU44" i="48"/>
  <c r="AU40" i="48"/>
  <c r="AT72" i="48"/>
  <c r="AT112" i="48"/>
  <c r="AT125" i="48"/>
  <c r="AT89" i="48"/>
  <c r="AT70" i="48"/>
  <c r="AT52" i="48"/>
  <c r="AU42" i="48"/>
  <c r="AU83" i="48"/>
  <c r="AU103" i="48"/>
  <c r="AU47" i="48"/>
  <c r="AT88" i="48"/>
  <c r="AT28" i="48"/>
  <c r="AT109" i="48"/>
  <c r="AU86" i="48"/>
  <c r="AU67" i="48"/>
  <c r="AT47" i="48"/>
  <c r="AT18" i="48"/>
  <c r="AU94" i="48"/>
  <c r="AT14" i="48"/>
  <c r="AU87" i="48"/>
  <c r="AT98" i="48"/>
  <c r="AT35" i="48"/>
  <c r="AT105" i="48"/>
  <c r="AU84" i="48"/>
  <c r="AU52" i="48"/>
  <c r="AT45" i="48"/>
  <c r="AT22" i="48"/>
  <c r="AU121" i="48"/>
  <c r="AU32" i="48"/>
  <c r="AT120" i="48"/>
  <c r="AU108" i="48"/>
  <c r="AT40" i="48"/>
  <c r="AU122" i="48"/>
  <c r="AU75" i="48"/>
  <c r="AT61" i="48"/>
  <c r="AT49" i="48"/>
  <c r="AT20" i="48"/>
  <c r="AU53" i="48"/>
  <c r="AT96" i="48"/>
  <c r="AU112" i="48"/>
  <c r="AU17" i="48"/>
  <c r="AT84" i="48"/>
  <c r="AU92" i="48"/>
  <c r="AT83" i="48"/>
  <c r="AU58" i="48"/>
  <c r="AT39" i="48"/>
  <c r="AT30" i="48"/>
  <c r="AU74" i="48"/>
  <c r="AU111" i="48"/>
  <c r="AT82" i="48"/>
  <c r="AU26" i="48"/>
  <c r="AU101" i="48"/>
  <c r="AB118" i="47"/>
  <c r="AF118" i="47" s="1"/>
  <c r="AA106" i="47"/>
  <c r="AE106" i="47" s="1"/>
  <c r="AA120" i="47"/>
  <c r="AE120" i="47" s="1"/>
  <c r="AB105" i="47"/>
  <c r="AF105" i="47" s="1"/>
  <c r="AA103" i="47"/>
  <c r="AE103" i="47" s="1"/>
  <c r="AB120" i="47"/>
  <c r="AF120" i="47" s="1"/>
  <c r="AA94" i="47"/>
  <c r="AE94" i="47" s="1"/>
  <c r="AB124" i="47"/>
  <c r="AF124" i="47" s="1"/>
  <c r="AA115" i="47"/>
  <c r="AE115" i="47" s="1"/>
  <c r="AA91" i="47"/>
  <c r="AE91" i="47" s="1"/>
  <c r="AB94" i="47"/>
  <c r="AF94" i="47" s="1"/>
  <c r="AA77" i="47"/>
  <c r="AE77" i="47" s="1"/>
  <c r="AB74" i="47"/>
  <c r="AF74" i="47" s="1"/>
  <c r="AB79" i="47"/>
  <c r="AF79" i="47" s="1"/>
  <c r="AB58" i="47"/>
  <c r="AF58" i="47" s="1"/>
  <c r="AB55" i="47"/>
  <c r="AF55" i="47" s="1"/>
  <c r="AB72" i="47"/>
  <c r="AF72" i="47" s="1"/>
  <c r="AA57" i="47"/>
  <c r="AE57" i="47" s="1"/>
  <c r="AA45" i="47"/>
  <c r="AE45" i="47" s="1"/>
  <c r="AB34" i="47"/>
  <c r="AF34" i="47" s="1"/>
  <c r="AB43" i="47"/>
  <c r="AF43" i="47" s="1"/>
  <c r="AB83" i="47"/>
  <c r="AF83" i="47" s="1"/>
  <c r="AA31" i="47"/>
  <c r="AE31" i="47" s="1"/>
  <c r="AB20" i="47"/>
  <c r="AF20" i="47" s="1"/>
  <c r="AB33" i="47"/>
  <c r="AF33" i="47" s="1"/>
  <c r="AB57" i="47"/>
  <c r="AF57" i="47" s="1"/>
  <c r="AA19" i="47"/>
  <c r="AE19" i="47" s="1"/>
  <c r="AA17" i="47"/>
  <c r="AE17" i="47" s="1"/>
  <c r="AB114" i="47"/>
  <c r="AF114" i="47" s="1"/>
  <c r="AB123" i="47"/>
  <c r="AF123" i="47" s="1"/>
  <c r="AA116" i="47"/>
  <c r="AE116" i="47" s="1"/>
  <c r="AB100" i="47"/>
  <c r="AF100" i="47" s="1"/>
  <c r="AB101" i="47"/>
  <c r="AF101" i="47" s="1"/>
  <c r="AA92" i="47"/>
  <c r="AE92" i="47" s="1"/>
  <c r="AB93" i="47"/>
  <c r="AF93" i="47" s="1"/>
  <c r="AB96" i="47"/>
  <c r="AF96" i="47" s="1"/>
  <c r="AA87" i="47"/>
  <c r="AE87" i="47" s="1"/>
  <c r="AA73" i="47"/>
  <c r="AE73" i="47" s="1"/>
  <c r="AB70" i="47"/>
  <c r="AF70" i="47" s="1"/>
  <c r="AB75" i="47"/>
  <c r="AF75" i="47" s="1"/>
  <c r="AB54" i="47"/>
  <c r="AF54" i="47" s="1"/>
  <c r="AA63" i="47"/>
  <c r="AE63" i="47" s="1"/>
  <c r="AA64" i="47"/>
  <c r="AE64" i="47" s="1"/>
  <c r="AA67" i="47"/>
  <c r="AE67" i="47" s="1"/>
  <c r="AA41" i="47"/>
  <c r="AE41" i="47" s="1"/>
  <c r="AB39" i="47"/>
  <c r="AF39" i="47" s="1"/>
  <c r="AA53" i="47"/>
  <c r="AE53" i="47" s="1"/>
  <c r="AA27" i="47"/>
  <c r="AE27" i="47" s="1"/>
  <c r="AA48" i="47"/>
  <c r="AE48" i="47" s="1"/>
  <c r="AB29" i="47"/>
  <c r="AF29" i="47" s="1"/>
  <c r="AA40" i="47"/>
  <c r="AE40" i="47" s="1"/>
  <c r="AA15" i="47"/>
  <c r="AE15" i="47" s="1"/>
  <c r="AB30" i="47"/>
  <c r="AF30" i="47" s="1"/>
  <c r="AB108" i="47"/>
  <c r="AF108" i="47" s="1"/>
  <c r="AB81" i="47"/>
  <c r="AF81" i="47" s="1"/>
  <c r="AA50" i="47"/>
  <c r="AE50" i="47" s="1"/>
  <c r="AA122" i="47"/>
  <c r="AE122" i="47" s="1"/>
  <c r="AB111" i="47"/>
  <c r="AF111" i="47" s="1"/>
  <c r="AB121" i="47"/>
  <c r="AF121" i="47" s="1"/>
  <c r="AB95" i="47"/>
  <c r="AF95" i="47" s="1"/>
  <c r="AB112" i="47"/>
  <c r="AF112" i="47" s="1"/>
  <c r="AA117" i="47"/>
  <c r="AE117" i="47" s="1"/>
  <c r="AA108" i="47"/>
  <c r="AE108" i="47" s="1"/>
  <c r="AA119" i="47"/>
  <c r="AE119" i="47" s="1"/>
  <c r="AA99" i="47"/>
  <c r="AE99" i="47" s="1"/>
  <c r="AA80" i="47"/>
  <c r="AE80" i="47" s="1"/>
  <c r="AB69" i="47"/>
  <c r="AF69" i="47" s="1"/>
  <c r="AA86" i="47"/>
  <c r="AE86" i="47" s="1"/>
  <c r="AA82" i="47"/>
  <c r="AE82" i="47" s="1"/>
  <c r="AA79" i="47"/>
  <c r="AE79" i="47" s="1"/>
  <c r="AA58" i="47"/>
  <c r="AE58" i="47" s="1"/>
  <c r="AB80" i="47"/>
  <c r="AF80" i="47" s="1"/>
  <c r="AB76" i="47"/>
  <c r="AF76" i="47" s="1"/>
  <c r="AB41" i="47"/>
  <c r="AF41" i="47" s="1"/>
  <c r="AB50" i="47"/>
  <c r="AF50" i="47" s="1"/>
  <c r="AA38" i="47"/>
  <c r="AE38" i="47" s="1"/>
  <c r="AA51" i="47"/>
  <c r="AE51" i="47" s="1"/>
  <c r="AB40" i="47"/>
  <c r="AF40" i="47" s="1"/>
  <c r="AB36" i="47"/>
  <c r="AF36" i="47" s="1"/>
  <c r="AA32" i="47"/>
  <c r="AE32" i="47" s="1"/>
  <c r="AB35" i="47"/>
  <c r="AF35" i="47" s="1"/>
  <c r="AA22" i="47"/>
  <c r="AE22" i="47" s="1"/>
  <c r="AA16" i="47"/>
  <c r="AE16" i="47" s="1"/>
  <c r="AA18" i="47"/>
  <c r="AE18" i="47" s="1"/>
  <c r="AB122" i="47"/>
  <c r="AF122" i="47" s="1"/>
  <c r="AB107" i="47"/>
  <c r="AF107" i="47" s="1"/>
  <c r="AA105" i="47"/>
  <c r="AE105" i="47" s="1"/>
  <c r="AA104" i="47"/>
  <c r="AE104" i="47" s="1"/>
  <c r="AA113" i="47"/>
  <c r="AE113" i="47" s="1"/>
  <c r="AB86" i="47"/>
  <c r="AF86" i="47" s="1"/>
  <c r="AA76" i="47"/>
  <c r="AE76" i="47" s="1"/>
  <c r="AA69" i="47"/>
  <c r="AE69" i="47" s="1"/>
  <c r="AA74" i="47"/>
  <c r="AE74" i="47" s="1"/>
  <c r="AA62" i="47"/>
  <c r="AE62" i="47" s="1"/>
  <c r="AB56" i="47"/>
  <c r="AF56" i="47" s="1"/>
  <c r="AB37" i="47"/>
  <c r="AF37" i="47" s="1"/>
  <c r="AA46" i="47"/>
  <c r="AE46" i="47" s="1"/>
  <c r="AA43" i="47"/>
  <c r="AE43" i="47" s="1"/>
  <c r="AA44" i="47"/>
  <c r="AE44" i="47" s="1"/>
  <c r="AA34" i="47"/>
  <c r="AE34" i="47" s="1"/>
  <c r="AA35" i="47"/>
  <c r="AE35" i="47" s="1"/>
  <c r="AB22" i="47"/>
  <c r="AF22" i="47" s="1"/>
  <c r="AB106" i="47"/>
  <c r="AF106" i="47" s="1"/>
  <c r="AA121" i="47"/>
  <c r="AE121" i="47" s="1"/>
  <c r="AB89" i="47"/>
  <c r="AF89" i="47" s="1"/>
  <c r="AB98" i="47"/>
  <c r="AF98" i="47" s="1"/>
  <c r="AB71" i="47"/>
  <c r="AF71" i="47" s="1"/>
  <c r="AA56" i="47"/>
  <c r="AE56" i="47" s="1"/>
  <c r="AB65" i="47"/>
  <c r="AF65" i="47" s="1"/>
  <c r="AB28" i="47"/>
  <c r="AF28" i="47" s="1"/>
  <c r="AB15" i="47"/>
  <c r="AF15" i="47" s="1"/>
  <c r="AA112" i="47"/>
  <c r="AE112" i="47" s="1"/>
  <c r="AB97" i="47"/>
  <c r="AF97" i="47" s="1"/>
  <c r="AA68" i="47"/>
  <c r="AE68" i="47" s="1"/>
  <c r="AB110" i="47"/>
  <c r="AF110" i="47" s="1"/>
  <c r="AB103" i="47"/>
  <c r="AF103" i="47" s="1"/>
  <c r="AB99" i="47"/>
  <c r="AF99" i="47" s="1"/>
  <c r="AA125" i="47"/>
  <c r="AE125" i="47" s="1"/>
  <c r="AA102" i="47"/>
  <c r="AE102" i="47" s="1"/>
  <c r="AB91" i="47"/>
  <c r="AF91" i="47" s="1"/>
  <c r="AA72" i="47"/>
  <c r="AE72" i="47" s="1"/>
  <c r="AA100" i="47"/>
  <c r="AE100" i="47" s="1"/>
  <c r="AA70" i="47"/>
  <c r="AE70" i="47" s="1"/>
  <c r="AA54" i="47"/>
  <c r="AE54" i="47" s="1"/>
  <c r="AA60" i="47"/>
  <c r="AE60" i="47" s="1"/>
  <c r="AB52" i="47"/>
  <c r="AF52" i="47" s="1"/>
  <c r="AA42" i="47"/>
  <c r="AE42" i="47" s="1"/>
  <c r="AA39" i="47"/>
  <c r="AE39" i="47" s="1"/>
  <c r="AB32" i="47"/>
  <c r="AF32" i="47" s="1"/>
  <c r="AB25" i="47"/>
  <c r="AF25" i="47" s="1"/>
  <c r="AB19" i="47"/>
  <c r="AF19" i="47" s="1"/>
  <c r="AB18" i="47"/>
  <c r="AF18" i="47" s="1"/>
  <c r="AA124" i="47"/>
  <c r="AE124" i="47" s="1"/>
  <c r="AA101" i="47"/>
  <c r="AE101" i="47" s="1"/>
  <c r="AB87" i="47"/>
  <c r="AF87" i="47" s="1"/>
  <c r="AB84" i="47"/>
  <c r="AF84" i="47" s="1"/>
  <c r="AB63" i="47"/>
  <c r="AF63" i="47" s="1"/>
  <c r="AA49" i="47"/>
  <c r="AE49" i="47" s="1"/>
  <c r="AB48" i="47"/>
  <c r="AF48" i="47" s="1"/>
  <c r="AB21" i="47"/>
  <c r="AF21" i="47" s="1"/>
  <c r="AA118" i="47"/>
  <c r="AE118" i="47" s="1"/>
  <c r="AB85" i="47"/>
  <c r="AF85" i="47" s="1"/>
  <c r="AB67" i="47"/>
  <c r="AF67" i="47" s="1"/>
  <c r="AB24" i="47"/>
  <c r="AF24" i="47" s="1"/>
  <c r="AA114" i="47"/>
  <c r="AE114" i="47" s="1"/>
  <c r="AB125" i="47"/>
  <c r="AF125" i="47" s="1"/>
  <c r="AB104" i="47"/>
  <c r="AF104" i="47" s="1"/>
  <c r="AA107" i="47"/>
  <c r="AE107" i="47" s="1"/>
  <c r="AA89" i="47"/>
  <c r="AE89" i="47" s="1"/>
  <c r="AA96" i="47"/>
  <c r="AE96" i="47" s="1"/>
  <c r="AB73" i="47"/>
  <c r="AF73" i="47" s="1"/>
  <c r="AB78" i="47"/>
  <c r="AF78" i="47" s="1"/>
  <c r="AA75" i="47"/>
  <c r="AE75" i="47" s="1"/>
  <c r="AA59" i="47"/>
  <c r="AE59" i="47" s="1"/>
  <c r="AA65" i="47"/>
  <c r="AE65" i="47" s="1"/>
  <c r="AA52" i="47"/>
  <c r="AE52" i="47" s="1"/>
  <c r="AB47" i="47"/>
  <c r="AF47" i="47" s="1"/>
  <c r="AB31" i="47"/>
  <c r="AF31" i="47" s="1"/>
  <c r="AA37" i="47"/>
  <c r="AE37" i="47" s="1"/>
  <c r="AA29" i="47"/>
  <c r="AE29" i="47" s="1"/>
  <c r="AB16" i="47"/>
  <c r="AF16" i="47" s="1"/>
  <c r="AB119" i="47"/>
  <c r="AF119" i="47" s="1"/>
  <c r="AB116" i="47"/>
  <c r="AF116" i="47" s="1"/>
  <c r="AA93" i="47"/>
  <c r="AE93" i="47" s="1"/>
  <c r="AA90" i="47"/>
  <c r="AE90" i="47" s="1"/>
  <c r="AB62" i="47"/>
  <c r="AF62" i="47" s="1"/>
  <c r="AB49" i="47"/>
  <c r="AF49" i="47" s="1"/>
  <c r="AB53" i="47"/>
  <c r="AF53" i="47" s="1"/>
  <c r="AA28" i="47"/>
  <c r="AE28" i="47" s="1"/>
  <c r="AB17" i="47"/>
  <c r="AF17" i="47" s="1"/>
  <c r="AB115" i="47"/>
  <c r="AF115" i="47" s="1"/>
  <c r="AA111" i="47"/>
  <c r="AE111" i="47" s="1"/>
  <c r="AB90" i="47"/>
  <c r="AF90" i="47" s="1"/>
  <c r="AA81" i="47"/>
  <c r="AE81" i="47" s="1"/>
  <c r="AA66" i="47"/>
  <c r="AE66" i="47" s="1"/>
  <c r="AB45" i="47"/>
  <c r="AF45" i="47" s="1"/>
  <c r="AA47" i="47"/>
  <c r="AE47" i="47" s="1"/>
  <c r="AA24" i="47"/>
  <c r="AE24" i="47" s="1"/>
  <c r="AB26" i="47"/>
  <c r="AF26" i="47" s="1"/>
  <c r="AA109" i="47"/>
  <c r="AE109" i="47" s="1"/>
  <c r="AB82" i="47"/>
  <c r="AF82" i="47" s="1"/>
  <c r="AB61" i="47"/>
  <c r="AF61" i="47" s="1"/>
  <c r="AB44" i="47"/>
  <c r="AF44" i="47" s="1"/>
  <c r="AA20" i="47"/>
  <c r="AE20" i="47" s="1"/>
  <c r="AA110" i="47"/>
  <c r="AE110" i="47" s="1"/>
  <c r="AB117" i="47"/>
  <c r="AF117" i="47" s="1"/>
  <c r="AA123" i="47"/>
  <c r="AE123" i="47" s="1"/>
  <c r="AB102" i="47"/>
  <c r="AF102" i="47" s="1"/>
  <c r="AA85" i="47"/>
  <c r="AE85" i="47" s="1"/>
  <c r="AA95" i="47"/>
  <c r="AE95" i="47" s="1"/>
  <c r="AB92" i="47"/>
  <c r="AF92" i="47" s="1"/>
  <c r="AB66" i="47"/>
  <c r="AF66" i="47" s="1"/>
  <c r="AA71" i="47"/>
  <c r="AE71" i="47" s="1"/>
  <c r="AA55" i="47"/>
  <c r="AE55" i="47" s="1"/>
  <c r="AA61" i="47"/>
  <c r="AE61" i="47" s="1"/>
  <c r="AB46" i="47"/>
  <c r="AF46" i="47" s="1"/>
  <c r="AB68" i="47"/>
  <c r="AF68" i="47" s="1"/>
  <c r="AB27" i="47"/>
  <c r="AF27" i="47" s="1"/>
  <c r="AA36" i="47"/>
  <c r="AE36" i="47" s="1"/>
  <c r="AA25" i="47"/>
  <c r="AE25" i="47" s="1"/>
  <c r="AA21" i="47"/>
  <c r="AE21" i="47" s="1"/>
  <c r="AB113" i="47"/>
  <c r="AF113" i="47" s="1"/>
  <c r="AA98" i="47"/>
  <c r="AE98" i="47" s="1"/>
  <c r="AB88" i="47"/>
  <c r="AF88" i="47" s="1"/>
  <c r="AA84" i="47"/>
  <c r="AE84" i="47" s="1"/>
  <c r="AB64" i="47"/>
  <c r="AF64" i="47" s="1"/>
  <c r="AB42" i="47"/>
  <c r="AF42" i="47" s="1"/>
  <c r="AB23" i="47"/>
  <c r="AF23" i="47" s="1"/>
  <c r="AA30" i="47"/>
  <c r="AE30" i="47" s="1"/>
  <c r="AB109" i="47"/>
  <c r="AF109" i="47" s="1"/>
  <c r="AA88" i="47"/>
  <c r="AE88" i="47" s="1"/>
  <c r="AA83" i="47"/>
  <c r="AE83" i="47" s="1"/>
  <c r="AA78" i="47"/>
  <c r="AE78" i="47" s="1"/>
  <c r="AB60" i="47"/>
  <c r="AF60" i="47" s="1"/>
  <c r="AB38" i="47"/>
  <c r="AF38" i="47" s="1"/>
  <c r="AA23" i="47"/>
  <c r="AE23" i="47" s="1"/>
  <c r="AA26" i="47"/>
  <c r="AE26" i="47" s="1"/>
  <c r="AA97" i="47"/>
  <c r="AE97" i="47" s="1"/>
  <c r="AB77" i="47"/>
  <c r="AF77" i="47" s="1"/>
  <c r="AB59" i="47"/>
  <c r="AF59" i="47" s="1"/>
  <c r="AB51" i="47"/>
  <c r="AF51" i="47" s="1"/>
  <c r="AA33" i="47"/>
  <c r="AE33" i="47" s="1"/>
  <c r="M91" i="48" a="1"/>
  <c r="M91" i="48" s="1"/>
  <c r="N97" i="48" a="1"/>
  <c r="N97" i="48" s="1"/>
  <c r="N74" i="48" a="1"/>
  <c r="N74" i="48" s="1"/>
  <c r="N81" i="48" a="1"/>
  <c r="N81" i="48" s="1"/>
  <c r="N59" i="48" a="1"/>
  <c r="N59" i="48" s="1"/>
  <c r="M58" i="48" a="1"/>
  <c r="M58" i="48" s="1"/>
  <c r="N30" i="48" a="1"/>
  <c r="N30" i="48" s="1"/>
  <c r="N21" i="48" a="1"/>
  <c r="N21" i="48" s="1"/>
  <c r="M30" i="48" a="1"/>
  <c r="M30" i="48" s="1"/>
  <c r="M69" i="48" a="1"/>
  <c r="M69" i="48" s="1"/>
  <c r="N103" i="48" a="1"/>
  <c r="N103" i="48" s="1"/>
  <c r="M40" i="48" a="1"/>
  <c r="M40" i="48" s="1"/>
  <c r="M118" i="48" a="1"/>
  <c r="M118" i="48" s="1"/>
  <c r="N18" i="48" a="1"/>
  <c r="N18" i="48" s="1"/>
  <c r="M57" i="48" a="1"/>
  <c r="M57" i="48" s="1"/>
  <c r="M86" i="48" a="1"/>
  <c r="M86" i="48" s="1"/>
  <c r="M20" i="48" a="1"/>
  <c r="M20" i="48" s="1"/>
  <c r="M44" i="48" a="1"/>
  <c r="M44" i="48" s="1"/>
  <c r="M88" i="48" a="1"/>
  <c r="M88" i="48" s="1"/>
  <c r="M108" i="48" a="1"/>
  <c r="M108" i="48" s="1"/>
  <c r="M50" i="48" a="1"/>
  <c r="M50" i="48" s="1"/>
  <c r="M90" i="48" a="1"/>
  <c r="M90" i="48" s="1"/>
  <c r="M16" i="48" a="1"/>
  <c r="M16" i="48" s="1"/>
  <c r="N82" i="48" a="1"/>
  <c r="N82" i="48" s="1"/>
  <c r="N109" i="48" a="1"/>
  <c r="N109" i="48" s="1"/>
  <c r="N43" i="48" a="1"/>
  <c r="N43" i="48" s="1"/>
  <c r="M95" i="48" a="1"/>
  <c r="M95" i="48" s="1"/>
  <c r="N123" i="48" a="1"/>
  <c r="N123" i="48" s="1"/>
  <c r="N93" i="48" a="1"/>
  <c r="N93" i="48" s="1"/>
  <c r="M80" i="48" a="1"/>
  <c r="M80" i="48" s="1"/>
  <c r="N70" i="48" a="1"/>
  <c r="N70" i="48" s="1"/>
  <c r="N77" i="48" a="1"/>
  <c r="N77" i="48" s="1"/>
  <c r="N55" i="48" a="1"/>
  <c r="N55" i="48" s="1"/>
  <c r="M54" i="48" a="1"/>
  <c r="M54" i="48" s="1"/>
  <c r="N26" i="48" a="1"/>
  <c r="N26" i="48" s="1"/>
  <c r="M22" i="48" a="1"/>
  <c r="M22" i="48" s="1"/>
  <c r="N31" i="48" a="1"/>
  <c r="N31" i="48" s="1"/>
  <c r="M66" i="48" a="1"/>
  <c r="M66" i="48" s="1"/>
  <c r="N119" i="48" a="1"/>
  <c r="N119" i="48" s="1"/>
  <c r="N79" i="48" a="1"/>
  <c r="N79" i="48" s="1"/>
  <c r="N73" i="48" a="1"/>
  <c r="N73" i="48" s="1"/>
  <c r="M68" i="48" a="1"/>
  <c r="M68" i="48" s="1"/>
  <c r="N53" i="48" a="1"/>
  <c r="N53" i="48" s="1"/>
  <c r="N89" i="48" a="1"/>
  <c r="N89" i="48" s="1"/>
  <c r="M41" i="48" a="1"/>
  <c r="M41" i="48" s="1"/>
  <c r="N40" i="48" a="1"/>
  <c r="N40" i="48" s="1"/>
  <c r="N16" i="48" a="1"/>
  <c r="N16" i="48" s="1"/>
  <c r="N48" i="48" a="1"/>
  <c r="N48" i="48" s="1"/>
  <c r="N118" i="48" a="1"/>
  <c r="N118" i="48" s="1"/>
  <c r="N38" i="48" a="1"/>
  <c r="N38" i="48" s="1"/>
  <c r="M52" i="48" a="1"/>
  <c r="M52" i="48" s="1"/>
  <c r="M111" i="48" a="1"/>
  <c r="M111" i="48" s="1"/>
  <c r="M38" i="48" a="1"/>
  <c r="M38" i="48" s="1"/>
  <c r="M92" i="48" a="1"/>
  <c r="M92" i="48" s="1"/>
  <c r="N120" i="48" a="1"/>
  <c r="N120" i="48" s="1"/>
  <c r="M15" i="48" a="1"/>
  <c r="M15" i="48" s="1"/>
  <c r="N91" i="48" a="1"/>
  <c r="N91" i="48" s="1"/>
  <c r="M96" i="48" a="1"/>
  <c r="M96" i="48" s="1"/>
  <c r="M39" i="48" a="1"/>
  <c r="M39" i="48" s="1"/>
  <c r="N60" i="48" a="1"/>
  <c r="N60" i="48" s="1"/>
  <c r="M94" i="48" a="1"/>
  <c r="M94" i="48" s="1"/>
  <c r="M33" i="48" a="1"/>
  <c r="M33" i="48" s="1"/>
  <c r="N102" i="48" a="1"/>
  <c r="N102" i="48" s="1"/>
  <c r="N88" i="48" a="1"/>
  <c r="N88" i="48" s="1"/>
  <c r="N76" i="48" a="1"/>
  <c r="N76" i="48" s="1"/>
  <c r="N117" i="48" a="1"/>
  <c r="N117" i="48" s="1"/>
  <c r="N83" i="48" a="1"/>
  <c r="N83" i="48" s="1"/>
  <c r="M122" i="48" a="1"/>
  <c r="M122" i="48" s="1"/>
  <c r="N68" i="48" a="1"/>
  <c r="N68" i="48" s="1"/>
  <c r="N49" i="48" a="1"/>
  <c r="N49" i="48" s="1"/>
  <c r="N28" i="48" a="1"/>
  <c r="N28" i="48" s="1"/>
  <c r="M36" i="48" a="1"/>
  <c r="M36" i="48" s="1"/>
  <c r="M93" i="48" a="1"/>
  <c r="M93" i="48" s="1"/>
  <c r="M53" i="48" a="1"/>
  <c r="M53" i="48" s="1"/>
  <c r="M121" i="48" a="1"/>
  <c r="M121" i="48" s="1"/>
  <c r="M46" i="48" a="1"/>
  <c r="M46" i="48" s="1"/>
  <c r="N104" i="48" a="1"/>
  <c r="N104" i="48" s="1"/>
  <c r="N25" i="48" a="1"/>
  <c r="N25" i="48" s="1"/>
  <c r="M59" i="48" a="1"/>
  <c r="M59" i="48" s="1"/>
  <c r="N101" i="48" a="1"/>
  <c r="N101" i="48" s="1"/>
  <c r="N85" i="48" a="1"/>
  <c r="N85" i="48" s="1"/>
  <c r="N63" i="48" a="1"/>
  <c r="N63" i="48" s="1"/>
  <c r="N44" i="48" a="1"/>
  <c r="N44" i="48" s="1"/>
  <c r="N24" i="48" a="1"/>
  <c r="N24" i="48" s="1"/>
  <c r="N58" i="48" a="1"/>
  <c r="N58" i="48" s="1"/>
  <c r="M107" i="48" a="1"/>
  <c r="M107" i="48" s="1"/>
  <c r="M48" i="48" a="1"/>
  <c r="M48" i="48" s="1"/>
  <c r="N121" i="48" a="1"/>
  <c r="N121" i="48" s="1"/>
  <c r="M56" i="48" a="1"/>
  <c r="M56" i="48" s="1"/>
  <c r="N112" i="48" a="1"/>
  <c r="N112" i="48" s="1"/>
  <c r="M37" i="48" a="1"/>
  <c r="M37" i="48" s="1"/>
  <c r="N84" i="48" a="1"/>
  <c r="N84" i="48" s="1"/>
  <c r="M28" i="48" a="1"/>
  <c r="M28" i="48" s="1"/>
  <c r="N86" i="48" a="1"/>
  <c r="N86" i="48" s="1"/>
  <c r="M17" i="48" a="1"/>
  <c r="M17" i="48" s="1"/>
  <c r="M115" i="48" a="1"/>
  <c r="M115" i="48" s="1"/>
  <c r="M34" i="48" a="1"/>
  <c r="M34" i="48" s="1"/>
  <c r="M102" i="48" a="1"/>
  <c r="M102" i="48" s="1"/>
  <c r="N111" i="48" a="1"/>
  <c r="N111" i="48" s="1"/>
  <c r="N72" i="48" a="1"/>
  <c r="N72" i="48" s="1"/>
  <c r="M78" i="48" a="1"/>
  <c r="M78" i="48" s="1"/>
  <c r="N46" i="48" a="1"/>
  <c r="N46" i="48" s="1"/>
  <c r="N34" i="48" a="1"/>
  <c r="N34" i="48" s="1"/>
  <c r="N29" i="48" a="1"/>
  <c r="N29" i="48" s="1"/>
  <c r="N65" i="48" a="1"/>
  <c r="N65" i="48" s="1"/>
  <c r="M24" i="48" a="1"/>
  <c r="M24" i="48" s="1"/>
  <c r="N75" i="48" a="1"/>
  <c r="N75" i="48" s="1"/>
  <c r="M105" i="48" a="1"/>
  <c r="M105" i="48" s="1"/>
  <c r="M76" i="48" a="1"/>
  <c r="M76" i="48" s="1"/>
  <c r="M124" i="48" a="1"/>
  <c r="M124" i="48" s="1"/>
  <c r="M29" i="48" a="1"/>
  <c r="M29" i="48" s="1"/>
  <c r="M123" i="48" a="1"/>
  <c r="M123" i="48" s="1"/>
  <c r="N45" i="48" a="1"/>
  <c r="N45" i="48" s="1"/>
  <c r="M99" i="48" a="1"/>
  <c r="M99" i="48" s="1"/>
  <c r="N54" i="48" a="1"/>
  <c r="N54" i="48" s="1"/>
  <c r="M98" i="48" a="1"/>
  <c r="M98" i="48" s="1"/>
  <c r="M51" i="48" a="1"/>
  <c r="M51" i="48" s="1"/>
  <c r="N94" i="48" a="1"/>
  <c r="N94" i="48" s="1"/>
  <c r="M109" i="48" a="1"/>
  <c r="M109" i="48" s="1"/>
  <c r="N66" i="48" a="1"/>
  <c r="N66" i="48" s="1"/>
  <c r="M64" i="48" a="1"/>
  <c r="M64" i="48" s="1"/>
  <c r="N22" i="48" a="1"/>
  <c r="N22" i="48" s="1"/>
  <c r="M117" i="48" a="1"/>
  <c r="M117" i="48" s="1"/>
  <c r="N114" i="48" a="1"/>
  <c r="N114" i="48" s="1"/>
  <c r="N56" i="48" a="1"/>
  <c r="N56" i="48" s="1"/>
  <c r="M116" i="48" a="1"/>
  <c r="M116" i="48" s="1"/>
  <c r="N116" i="48" a="1"/>
  <c r="N116" i="48" s="1"/>
  <c r="M74" i="48" a="1"/>
  <c r="M74" i="48" s="1"/>
  <c r="M27" i="48" a="1"/>
  <c r="M27" i="48" s="1"/>
  <c r="N113" i="48" a="1"/>
  <c r="N113" i="48" s="1"/>
  <c r="M83" i="48" a="1"/>
  <c r="M83" i="48" s="1"/>
  <c r="N87" i="48" a="1"/>
  <c r="N87" i="48" s="1"/>
  <c r="M65" i="48" a="1"/>
  <c r="M65" i="48" s="1"/>
  <c r="M43" i="48" a="1"/>
  <c r="M43" i="48" s="1"/>
  <c r="M32" i="48" a="1"/>
  <c r="M32" i="48" s="1"/>
  <c r="M120" i="48" a="1"/>
  <c r="M120" i="48" s="1"/>
  <c r="N122" i="48" a="1"/>
  <c r="N122" i="48" s="1"/>
  <c r="N80" i="48" a="1"/>
  <c r="N80" i="48" s="1"/>
  <c r="N39" i="48" a="1"/>
  <c r="N39" i="48" s="1"/>
  <c r="N124" i="48" a="1"/>
  <c r="N124" i="48" s="1"/>
  <c r="N67" i="48" a="1"/>
  <c r="N67" i="48" s="1"/>
  <c r="N27" i="48" a="1"/>
  <c r="N27" i="48" s="1"/>
  <c r="M21" i="48" a="1"/>
  <c r="M21" i="48" s="1"/>
  <c r="N90" i="48" a="1"/>
  <c r="N90" i="48" s="1"/>
  <c r="N105" i="48" a="1"/>
  <c r="N105" i="48" s="1"/>
  <c r="N62" i="48" a="1"/>
  <c r="N62" i="48" s="1"/>
  <c r="N42" i="48" a="1"/>
  <c r="N42" i="48" s="1"/>
  <c r="N52" i="48" a="1"/>
  <c r="N52" i="48" s="1"/>
  <c r="M67" i="48" a="1"/>
  <c r="M67" i="48" s="1"/>
  <c r="N99" i="48" a="1"/>
  <c r="N99" i="48" s="1"/>
  <c r="N108" i="48" a="1"/>
  <c r="N108" i="48" s="1"/>
  <c r="M62" i="48" a="1"/>
  <c r="M62" i="48" s="1"/>
  <c r="N23" i="48" a="1"/>
  <c r="N23" i="48" s="1"/>
  <c r="M110" i="48" a="1"/>
  <c r="M110" i="48" s="1"/>
  <c r="M81" i="48" a="1"/>
  <c r="M81" i="48" s="1"/>
  <c r="M35" i="48" a="1"/>
  <c r="M35" i="48" s="1"/>
  <c r="N106" i="48" a="1"/>
  <c r="N106" i="48" s="1"/>
  <c r="M100" i="48" a="1"/>
  <c r="M100" i="48" s="1"/>
  <c r="N47" i="48" a="1"/>
  <c r="N47" i="48" s="1"/>
  <c r="M82" i="48" a="1"/>
  <c r="M82" i="48" s="1"/>
  <c r="N37" i="48" a="1"/>
  <c r="N37" i="48" s="1"/>
  <c r="N35" i="48" a="1"/>
  <c r="N35" i="48" s="1"/>
  <c r="N41" i="48" a="1"/>
  <c r="N41" i="48" s="1"/>
  <c r="M71" i="48" a="1"/>
  <c r="M71" i="48" s="1"/>
  <c r="M79" i="48" a="1"/>
  <c r="M79" i="48" s="1"/>
  <c r="M104" i="48" a="1"/>
  <c r="M104" i="48" s="1"/>
  <c r="N57" i="48" a="1"/>
  <c r="N57" i="48" s="1"/>
  <c r="N20" i="48" a="1"/>
  <c r="N20" i="48" s="1"/>
  <c r="M55" i="48" a="1"/>
  <c r="M55" i="48" s="1"/>
  <c r="M106" i="48" a="1"/>
  <c r="M106" i="48" s="1"/>
  <c r="N98" i="48" a="1"/>
  <c r="N98" i="48" s="1"/>
  <c r="M101" i="48" a="1"/>
  <c r="M101" i="48" s="1"/>
  <c r="M103" i="48" a="1"/>
  <c r="M103" i="48" s="1"/>
  <c r="N107" i="48" a="1"/>
  <c r="N107" i="48" s="1"/>
  <c r="N51" i="48" a="1"/>
  <c r="N51" i="48" s="1"/>
  <c r="M42" i="48" a="1"/>
  <c r="M42" i="48" s="1"/>
  <c r="M75" i="48" a="1"/>
  <c r="M75" i="48" s="1"/>
  <c r="N100" i="48" a="1"/>
  <c r="N100" i="48" s="1"/>
  <c r="M97" i="48" a="1"/>
  <c r="M97" i="48" s="1"/>
  <c r="M112" i="48" a="1"/>
  <c r="M112" i="48" s="1"/>
  <c r="M19" i="48" a="1"/>
  <c r="M19" i="48" s="1"/>
  <c r="M114" i="48" a="1"/>
  <c r="M114" i="48" s="1"/>
  <c r="N64" i="48" a="1"/>
  <c r="N64" i="48" s="1"/>
  <c r="M47" i="48" a="1"/>
  <c r="M47" i="48" s="1"/>
  <c r="N96" i="48" a="1"/>
  <c r="N96" i="48" s="1"/>
  <c r="M125" i="48" a="1"/>
  <c r="M125" i="48" s="1"/>
  <c r="N125" i="48" a="1"/>
  <c r="N125" i="48" s="1"/>
  <c r="N71" i="48" a="1"/>
  <c r="N71" i="48" s="1"/>
  <c r="N19" i="48" a="1"/>
  <c r="N19" i="48" s="1"/>
  <c r="N69" i="48" a="1"/>
  <c r="N69" i="48" s="1"/>
  <c r="N36" i="48" a="1"/>
  <c r="N36" i="48" s="1"/>
  <c r="N110" i="48" a="1"/>
  <c r="N110" i="48" s="1"/>
  <c r="M72" i="48" a="1"/>
  <c r="M72" i="48" s="1"/>
  <c r="M73" i="48" a="1"/>
  <c r="M73" i="48" s="1"/>
  <c r="M26" i="48" a="1"/>
  <c r="M26" i="48" s="1"/>
  <c r="M70" i="48" a="1"/>
  <c r="M70" i="48" s="1"/>
  <c r="M87" i="48" a="1"/>
  <c r="M87" i="48" s="1"/>
  <c r="M23" i="48" a="1"/>
  <c r="M23" i="48" s="1"/>
  <c r="M61" i="48" a="1"/>
  <c r="M61" i="48" s="1"/>
  <c r="M45" i="48" a="1"/>
  <c r="M45" i="48" s="1"/>
  <c r="M85" i="48" a="1"/>
  <c r="M85" i="48" s="1"/>
  <c r="M60" i="48" a="1"/>
  <c r="M60" i="48" s="1"/>
  <c r="M119" i="48" a="1"/>
  <c r="M119" i="48" s="1"/>
  <c r="N115" i="48" a="1"/>
  <c r="N115" i="48" s="1"/>
  <c r="N33" i="48" a="1"/>
  <c r="N33" i="48" s="1"/>
  <c r="N15" i="48" a="1"/>
  <c r="N15" i="48" s="1"/>
  <c r="M113" i="48" a="1"/>
  <c r="M113" i="48" s="1"/>
  <c r="M84" i="48" a="1"/>
  <c r="M84" i="48" s="1"/>
  <c r="M25" i="48" a="1"/>
  <c r="M25" i="48" s="1"/>
  <c r="N50" i="48" a="1"/>
  <c r="N50" i="48" s="1"/>
  <c r="M77" i="48" a="1"/>
  <c r="M77" i="48" s="1"/>
  <c r="M18" i="48" a="1"/>
  <c r="M18" i="48" s="1"/>
  <c r="N92" i="48" a="1"/>
  <c r="N92" i="48" s="1"/>
  <c r="N61" i="48" a="1"/>
  <c r="N61" i="48" s="1"/>
  <c r="M49" i="48" a="1"/>
  <c r="M49" i="48" s="1"/>
  <c r="N17" i="48" a="1"/>
  <c r="N17" i="48" s="1"/>
  <c r="M63" i="48" a="1"/>
  <c r="M63" i="48" s="1"/>
  <c r="N78" i="48" a="1"/>
  <c r="N78" i="48" s="1"/>
  <c r="M89" i="48" a="1"/>
  <c r="M89" i="48" s="1"/>
  <c r="N32" i="48" a="1"/>
  <c r="N32" i="48" s="1"/>
  <c r="M31" i="48" a="1"/>
  <c r="M31" i="48" s="1"/>
  <c r="N95" i="48" a="1"/>
  <c r="N95" i="48" s="1"/>
  <c r="BY125" i="47"/>
  <c r="BY92" i="47"/>
  <c r="BY115" i="47"/>
  <c r="BY76" i="47"/>
  <c r="BX83" i="47"/>
  <c r="BY71" i="47"/>
  <c r="BY64" i="47"/>
  <c r="BX36" i="47"/>
  <c r="BX46" i="47"/>
  <c r="BY37" i="47"/>
  <c r="BX35" i="47"/>
  <c r="BX18" i="47"/>
  <c r="BX17" i="47"/>
  <c r="BY46" i="47"/>
  <c r="BX65" i="47"/>
  <c r="BY63" i="47"/>
  <c r="BY17" i="47"/>
  <c r="BX104" i="47"/>
  <c r="BX70" i="47"/>
  <c r="BY106" i="47"/>
  <c r="BX32" i="47"/>
  <c r="BY81" i="47"/>
  <c r="BY43" i="47"/>
  <c r="BX98" i="47"/>
  <c r="BY52" i="47"/>
  <c r="BX57" i="47"/>
  <c r="BX124" i="47"/>
  <c r="BX14" i="47"/>
  <c r="BX105" i="47"/>
  <c r="BX111" i="47"/>
  <c r="BY113" i="47"/>
  <c r="BY98" i="47"/>
  <c r="BY90" i="47"/>
  <c r="BX77" i="47"/>
  <c r="BY68" i="47"/>
  <c r="BY56" i="47"/>
  <c r="BY49" i="47"/>
  <c r="BX38" i="47"/>
  <c r="BX30" i="47"/>
  <c r="BX23" i="47"/>
  <c r="BY19" i="47"/>
  <c r="BY18" i="47"/>
  <c r="BX59" i="47"/>
  <c r="BY93" i="47"/>
  <c r="BX125" i="47"/>
  <c r="BX49" i="47"/>
  <c r="BX120" i="47"/>
  <c r="BY79" i="47"/>
  <c r="BX121" i="47"/>
  <c r="BX45" i="47"/>
  <c r="BX92" i="47"/>
  <c r="BX37" i="47"/>
  <c r="BX106" i="47"/>
  <c r="BY120" i="47"/>
  <c r="BX62" i="47"/>
  <c r="BY122" i="47"/>
  <c r="BY29" i="47"/>
  <c r="BY14" i="47"/>
  <c r="BY58" i="47"/>
  <c r="BX28" i="47"/>
  <c r="BX84" i="47"/>
  <c r="BX58" i="47"/>
  <c r="BX19" i="47"/>
  <c r="BX20" i="47"/>
  <c r="BY121" i="47"/>
  <c r="BX99" i="47"/>
  <c r="BX97" i="47"/>
  <c r="BX93" i="47"/>
  <c r="BX87" i="47"/>
  <c r="BX73" i="47"/>
  <c r="BY84" i="47"/>
  <c r="BY61" i="47"/>
  <c r="BY45" i="47"/>
  <c r="BY66" i="47"/>
  <c r="BX26" i="47"/>
  <c r="BY15" i="47"/>
  <c r="BY16" i="47"/>
  <c r="BY51" i="47"/>
  <c r="BX102" i="47"/>
  <c r="BY27" i="47"/>
  <c r="BX95" i="47"/>
  <c r="BY39" i="47"/>
  <c r="BX118" i="47"/>
  <c r="BX72" i="47"/>
  <c r="BX119" i="47"/>
  <c r="BY108" i="47"/>
  <c r="BY95" i="47"/>
  <c r="BY102" i="47"/>
  <c r="BX68" i="47"/>
  <c r="BX69" i="47"/>
  <c r="BX79" i="47"/>
  <c r="BY57" i="47"/>
  <c r="BY41" i="47"/>
  <c r="BX51" i="47"/>
  <c r="BX22" i="47"/>
  <c r="BY25" i="47"/>
  <c r="BX25" i="47"/>
  <c r="BY26" i="47"/>
  <c r="BY59" i="47"/>
  <c r="BY85" i="47"/>
  <c r="BX31" i="47"/>
  <c r="BX61" i="47"/>
  <c r="BY99" i="47"/>
  <c r="BX90" i="47"/>
  <c r="BY73" i="47"/>
  <c r="BX55" i="47"/>
  <c r="BX74" i="47"/>
  <c r="BY54" i="47"/>
  <c r="BY124" i="47"/>
  <c r="BY30" i="47"/>
  <c r="BX86" i="47"/>
  <c r="BX66" i="47"/>
  <c r="BX107" i="47"/>
  <c r="BY117" i="47"/>
  <c r="BY119" i="47"/>
  <c r="BX101" i="47"/>
  <c r="BX91" i="47"/>
  <c r="BY96" i="47"/>
  <c r="BX67" i="47"/>
  <c r="BX44" i="47"/>
  <c r="BX56" i="47"/>
  <c r="BX43" i="47"/>
  <c r="BY53" i="47"/>
  <c r="BY40" i="47"/>
  <c r="BY36" i="47"/>
  <c r="BY24" i="47"/>
  <c r="BX82" i="47"/>
  <c r="BY103" i="47"/>
  <c r="BY70" i="47"/>
  <c r="BY87" i="47"/>
  <c r="BY32" i="47"/>
  <c r="BY101" i="47"/>
  <c r="BX34" i="47"/>
  <c r="BY69" i="47"/>
  <c r="BX16" i="47"/>
  <c r="BX85" i="47"/>
  <c r="BY114" i="47"/>
  <c r="BY62" i="47"/>
  <c r="BX100" i="47"/>
  <c r="BX113" i="47"/>
  <c r="BY123" i="47"/>
  <c r="BY109" i="47"/>
  <c r="BY86" i="47"/>
  <c r="BX75" i="47"/>
  <c r="BX40" i="47"/>
  <c r="BX39" i="47"/>
  <c r="BY21" i="47"/>
  <c r="BY35" i="47"/>
  <c r="BY118" i="47"/>
  <c r="BX88" i="47"/>
  <c r="BX117" i="47"/>
  <c r="BY74" i="47"/>
  <c r="BX116" i="47"/>
  <c r="BY50" i="47"/>
  <c r="BX112" i="47"/>
  <c r="BX96" i="47"/>
  <c r="BY80" i="47"/>
  <c r="BY75" i="47"/>
  <c r="BX50" i="47"/>
  <c r="BY48" i="47"/>
  <c r="BY33" i="47"/>
  <c r="BX80" i="47"/>
  <c r="BX15" i="47"/>
  <c r="BX54" i="47"/>
  <c r="BY104" i="47"/>
  <c r="BY31" i="47"/>
  <c r="BY116" i="47"/>
  <c r="BY97" i="47"/>
  <c r="BX115" i="47"/>
  <c r="BX103" i="47"/>
  <c r="BX52" i="47"/>
  <c r="BX29" i="47"/>
  <c r="BX41" i="47"/>
  <c r="BX110" i="47"/>
  <c r="BX94" i="47"/>
  <c r="BY107" i="47"/>
  <c r="BY23" i="47"/>
  <c r="BX63" i="47"/>
  <c r="BY88" i="47"/>
  <c r="BY34" i="47"/>
  <c r="BX108" i="47"/>
  <c r="BY55" i="47"/>
  <c r="BX123" i="47"/>
  <c r="BX81" i="47"/>
  <c r="BX42" i="47"/>
  <c r="BY20" i="47"/>
  <c r="BX24" i="47"/>
  <c r="BY22" i="47"/>
  <c r="BY67" i="47"/>
  <c r="BY105" i="47"/>
  <c r="BX47" i="47"/>
  <c r="BY78" i="47"/>
  <c r="BY28" i="47"/>
  <c r="BY65" i="47"/>
  <c r="BY42" i="47"/>
  <c r="BY91" i="47"/>
  <c r="BY94" i="47"/>
  <c r="BX71" i="47"/>
  <c r="BY44" i="47"/>
  <c r="BX76" i="47"/>
  <c r="BX33" i="47"/>
  <c r="BY47" i="47"/>
  <c r="BY83" i="47"/>
  <c r="BX48" i="47"/>
  <c r="BX122" i="47"/>
  <c r="BX53" i="47"/>
  <c r="BX109" i="47"/>
  <c r="BX64" i="47"/>
  <c r="BY77" i="47"/>
  <c r="BY110" i="47"/>
  <c r="BY100" i="47"/>
  <c r="BY60" i="47"/>
  <c r="BX27" i="47"/>
  <c r="BX78" i="47"/>
  <c r="BY82" i="47"/>
  <c r="BY38" i="47"/>
  <c r="BY112" i="47"/>
  <c r="BY111" i="47"/>
  <c r="BX60" i="47"/>
  <c r="BX89" i="47"/>
  <c r="BY89" i="47"/>
  <c r="BY72" i="47"/>
  <c r="BX21" i="47"/>
  <c r="BX114" i="47"/>
  <c r="AB114" i="48"/>
  <c r="AF114" i="48" s="1"/>
  <c r="AB123" i="48"/>
  <c r="AF123" i="48" s="1"/>
  <c r="AA111" i="48"/>
  <c r="AE111" i="48" s="1"/>
  <c r="AA124" i="48"/>
  <c r="AE124" i="48" s="1"/>
  <c r="AB109" i="48"/>
  <c r="AF109" i="48" s="1"/>
  <c r="AA125" i="48"/>
  <c r="AE125" i="48" s="1"/>
  <c r="AB102" i="48"/>
  <c r="AF102" i="48" s="1"/>
  <c r="AA118" i="48"/>
  <c r="AE118" i="48" s="1"/>
  <c r="AB107" i="48"/>
  <c r="AF107" i="48" s="1"/>
  <c r="AB116" i="48"/>
  <c r="AF116" i="48" s="1"/>
  <c r="AB125" i="48"/>
  <c r="AF125" i="48" s="1"/>
  <c r="AB92" i="48"/>
  <c r="AF92" i="48" s="1"/>
  <c r="AB93" i="48"/>
  <c r="AF93" i="48" s="1"/>
  <c r="AB118" i="48"/>
  <c r="AF118" i="48" s="1"/>
  <c r="AB115" i="48"/>
  <c r="AF115" i="48" s="1"/>
  <c r="AB112" i="48"/>
  <c r="AF112" i="48" s="1"/>
  <c r="AB113" i="48"/>
  <c r="AF113" i="48" s="1"/>
  <c r="AB101" i="48"/>
  <c r="AF101" i="48" s="1"/>
  <c r="AA98" i="48"/>
  <c r="AE98" i="48" s="1"/>
  <c r="AA88" i="48"/>
  <c r="AE88" i="48" s="1"/>
  <c r="AB77" i="48"/>
  <c r="AF77" i="48" s="1"/>
  <c r="AB86" i="48"/>
  <c r="AF86" i="48" s="1"/>
  <c r="AA104" i="48"/>
  <c r="AE104" i="48" s="1"/>
  <c r="AA83" i="48"/>
  <c r="AE83" i="48" s="1"/>
  <c r="AB64" i="48"/>
  <c r="AF64" i="48" s="1"/>
  <c r="AB67" i="48"/>
  <c r="AF67" i="48" s="1"/>
  <c r="AA48" i="48"/>
  <c r="AE48" i="48" s="1"/>
  <c r="AA64" i="48"/>
  <c r="AE64" i="48" s="1"/>
  <c r="AA59" i="48"/>
  <c r="AE59" i="48" s="1"/>
  <c r="AB59" i="48"/>
  <c r="AF59" i="48" s="1"/>
  <c r="AA62" i="48"/>
  <c r="AE62" i="48" s="1"/>
  <c r="AB48" i="48"/>
  <c r="AF48" i="48" s="1"/>
  <c r="AA49" i="48"/>
  <c r="AE49" i="48" s="1"/>
  <c r="AB31" i="48"/>
  <c r="AF31" i="48" s="1"/>
  <c r="AA23" i="48"/>
  <c r="AE23" i="48" s="1"/>
  <c r="AB25" i="48"/>
  <c r="AF25" i="48" s="1"/>
  <c r="AA34" i="48"/>
  <c r="AE34" i="48" s="1"/>
  <c r="AA15" i="48"/>
  <c r="AE15" i="48" s="1"/>
  <c r="AA16" i="48"/>
  <c r="AE16" i="48" s="1"/>
  <c r="AA122" i="48"/>
  <c r="AE122" i="48" s="1"/>
  <c r="AA119" i="48"/>
  <c r="AE119" i="48" s="1"/>
  <c r="AA120" i="48"/>
  <c r="AE120" i="48" s="1"/>
  <c r="AB96" i="48"/>
  <c r="AF96" i="48" s="1"/>
  <c r="AA97" i="48"/>
  <c r="AE97" i="48" s="1"/>
  <c r="AA91" i="48"/>
  <c r="AE91" i="48" s="1"/>
  <c r="AA113" i="48"/>
  <c r="AE113" i="48" s="1"/>
  <c r="AA89" i="48"/>
  <c r="AE89" i="48" s="1"/>
  <c r="AA90" i="48"/>
  <c r="AE90" i="48" s="1"/>
  <c r="AB83" i="48"/>
  <c r="AF83" i="48" s="1"/>
  <c r="AA75" i="48"/>
  <c r="AE75" i="48" s="1"/>
  <c r="AA72" i="48"/>
  <c r="AE72" i="48" s="1"/>
  <c r="AB71" i="48"/>
  <c r="AF71" i="48" s="1"/>
  <c r="AB63" i="48"/>
  <c r="AF63" i="48" s="1"/>
  <c r="AA54" i="48"/>
  <c r="AE54" i="48" s="1"/>
  <c r="AA43" i="48"/>
  <c r="AE43" i="48" s="1"/>
  <c r="AB53" i="48"/>
  <c r="AF53" i="48" s="1"/>
  <c r="AA57" i="48"/>
  <c r="AE57" i="48" s="1"/>
  <c r="AB41" i="48"/>
  <c r="AF41" i="48" s="1"/>
  <c r="AB38" i="48"/>
  <c r="AF38" i="48" s="1"/>
  <c r="AA41" i="48"/>
  <c r="AE41" i="48" s="1"/>
  <c r="AB24" i="48"/>
  <c r="AF24" i="48" s="1"/>
  <c r="AA33" i="48"/>
  <c r="AE33" i="48" s="1"/>
  <c r="AB34" i="48"/>
  <c r="AF34" i="48" s="1"/>
  <c r="AB22" i="48"/>
  <c r="AF22" i="48" s="1"/>
  <c r="AB17" i="48"/>
  <c r="AF17" i="48" s="1"/>
  <c r="AB106" i="48"/>
  <c r="AF106" i="48" s="1"/>
  <c r="AA107" i="48"/>
  <c r="AE107" i="48" s="1"/>
  <c r="AB117" i="48"/>
  <c r="AF117" i="48" s="1"/>
  <c r="AA101" i="48"/>
  <c r="AE101" i="48" s="1"/>
  <c r="AB84" i="48"/>
  <c r="AF84" i="48" s="1"/>
  <c r="AB81" i="48"/>
  <c r="AF81" i="48" s="1"/>
  <c r="AB78" i="48"/>
  <c r="AF78" i="48" s="1"/>
  <c r="AA70" i="48"/>
  <c r="AE70" i="48" s="1"/>
  <c r="AB68" i="48"/>
  <c r="AF68" i="48" s="1"/>
  <c r="AB73" i="48"/>
  <c r="AF73" i="48" s="1"/>
  <c r="AB54" i="48"/>
  <c r="AF54" i="48" s="1"/>
  <c r="AB62" i="48"/>
  <c r="AF62" i="48" s="1"/>
  <c r="AB55" i="48"/>
  <c r="AF55" i="48" s="1"/>
  <c r="AA53" i="48"/>
  <c r="AE53" i="48" s="1"/>
  <c r="AA45" i="48"/>
  <c r="AE45" i="48" s="1"/>
  <c r="AB23" i="48"/>
  <c r="AF23" i="48" s="1"/>
  <c r="AA28" i="48"/>
  <c r="AE28" i="48" s="1"/>
  <c r="AB36" i="48"/>
  <c r="AF36" i="48" s="1"/>
  <c r="AB26" i="48"/>
  <c r="AF26" i="48" s="1"/>
  <c r="AA21" i="48"/>
  <c r="AE21" i="48" s="1"/>
  <c r="AA106" i="48"/>
  <c r="AE106" i="48" s="1"/>
  <c r="AB108" i="48"/>
  <c r="AF108" i="48" s="1"/>
  <c r="AA100" i="48"/>
  <c r="AE100" i="48" s="1"/>
  <c r="AB94" i="48"/>
  <c r="AF94" i="48" s="1"/>
  <c r="AA84" i="48"/>
  <c r="AE84" i="48" s="1"/>
  <c r="AA85" i="48"/>
  <c r="AE85" i="48" s="1"/>
  <c r="AA78" i="48"/>
  <c r="AE78" i="48" s="1"/>
  <c r="AB103" i="48"/>
  <c r="AF103" i="48" s="1"/>
  <c r="AA68" i="48"/>
  <c r="AE68" i="48" s="1"/>
  <c r="AA56" i="48"/>
  <c r="AE56" i="48" s="1"/>
  <c r="AA63" i="48"/>
  <c r="AE63" i="48" s="1"/>
  <c r="AA39" i="48"/>
  <c r="AE39" i="48" s="1"/>
  <c r="AB40" i="48"/>
  <c r="AF40" i="48" s="1"/>
  <c r="AB47" i="48"/>
  <c r="AF47" i="48" s="1"/>
  <c r="AB43" i="48"/>
  <c r="AF43" i="48" s="1"/>
  <c r="AA31" i="48"/>
  <c r="AE31" i="48" s="1"/>
  <c r="AA46" i="48"/>
  <c r="AE46" i="48" s="1"/>
  <c r="AB19" i="48"/>
  <c r="AF19" i="48" s="1"/>
  <c r="AA22" i="48"/>
  <c r="AE22" i="48" s="1"/>
  <c r="AB119" i="48"/>
  <c r="AF119" i="48" s="1"/>
  <c r="AB104" i="48"/>
  <c r="AF104" i="48" s="1"/>
  <c r="AA96" i="48"/>
  <c r="AE96" i="48" s="1"/>
  <c r="AA102" i="48"/>
  <c r="AE102" i="48" s="1"/>
  <c r="AA80" i="48"/>
  <c r="AE80" i="48" s="1"/>
  <c r="AA81" i="48"/>
  <c r="AE81" i="48" s="1"/>
  <c r="AB87" i="48"/>
  <c r="AF87" i="48" s="1"/>
  <c r="AA79" i="48"/>
  <c r="AE79" i="48" s="1"/>
  <c r="AA73" i="48"/>
  <c r="AE73" i="48" s="1"/>
  <c r="AA52" i="48"/>
  <c r="AE52" i="48" s="1"/>
  <c r="AA58" i="48"/>
  <c r="AE58" i="48" s="1"/>
  <c r="AA35" i="48"/>
  <c r="AE35" i="48" s="1"/>
  <c r="AB70" i="48"/>
  <c r="AF70" i="48" s="1"/>
  <c r="AB45" i="48"/>
  <c r="AF45" i="48" s="1"/>
  <c r="AB39" i="48"/>
  <c r="AF39" i="48" s="1"/>
  <c r="AA27" i="48"/>
  <c r="AE27" i="48" s="1"/>
  <c r="AA40" i="48"/>
  <c r="AE40" i="48" s="1"/>
  <c r="AB15" i="48"/>
  <c r="AF15" i="48" s="1"/>
  <c r="AA20" i="48"/>
  <c r="AE20" i="48" s="1"/>
  <c r="AB111" i="48"/>
  <c r="AF111" i="48" s="1"/>
  <c r="AA116" i="48"/>
  <c r="AE116" i="48" s="1"/>
  <c r="AA92" i="48"/>
  <c r="AE92" i="48" s="1"/>
  <c r="AA99" i="48"/>
  <c r="AE99" i="48" s="1"/>
  <c r="AA108" i="48"/>
  <c r="AE108" i="48" s="1"/>
  <c r="AA95" i="48"/>
  <c r="AE95" i="48" s="1"/>
  <c r="AB99" i="48"/>
  <c r="AF99" i="48" s="1"/>
  <c r="AA71" i="48"/>
  <c r="AE71" i="48" s="1"/>
  <c r="AA69" i="48"/>
  <c r="AE69" i="48" s="1"/>
  <c r="AB74" i="48"/>
  <c r="AF74" i="48" s="1"/>
  <c r="AA50" i="48"/>
  <c r="AE50" i="48" s="1"/>
  <c r="AA66" i="48"/>
  <c r="AE66" i="48" s="1"/>
  <c r="AA61" i="48"/>
  <c r="AE61" i="48" s="1"/>
  <c r="AB79" i="48"/>
  <c r="AF79" i="48" s="1"/>
  <c r="AB37" i="48"/>
  <c r="AF37" i="48" s="1"/>
  <c r="AB32" i="48"/>
  <c r="AF32" i="48" s="1"/>
  <c r="AA29" i="48"/>
  <c r="AE29" i="48" s="1"/>
  <c r="AA24" i="48"/>
  <c r="AE24" i="48" s="1"/>
  <c r="AA42" i="48"/>
  <c r="AE42" i="48" s="1"/>
  <c r="AB110" i="48"/>
  <c r="AF110" i="48" s="1"/>
  <c r="AA115" i="48"/>
  <c r="AE115" i="48" s="1"/>
  <c r="AB121" i="48"/>
  <c r="AF121" i="48" s="1"/>
  <c r="AB97" i="48"/>
  <c r="AF97" i="48" s="1"/>
  <c r="AB88" i="48"/>
  <c r="AF88" i="48" s="1"/>
  <c r="AB85" i="48"/>
  <c r="AF85" i="48" s="1"/>
  <c r="AB82" i="48"/>
  <c r="AF82" i="48" s="1"/>
  <c r="AA74" i="48"/>
  <c r="AE74" i="48" s="1"/>
  <c r="AB72" i="48"/>
  <c r="AF72" i="48" s="1"/>
  <c r="AA77" i="48"/>
  <c r="AE77" i="48" s="1"/>
  <c r="AB58" i="48"/>
  <c r="AF58" i="48" s="1"/>
  <c r="AB66" i="48"/>
  <c r="AF66" i="48" s="1"/>
  <c r="AB57" i="48"/>
  <c r="AF57" i="48" s="1"/>
  <c r="AB56" i="48"/>
  <c r="AF56" i="48" s="1"/>
  <c r="AA47" i="48"/>
  <c r="AE47" i="48" s="1"/>
  <c r="AB27" i="48"/>
  <c r="AF27" i="48" s="1"/>
  <c r="AA32" i="48"/>
  <c r="AE32" i="48" s="1"/>
  <c r="AA38" i="48"/>
  <c r="AE38" i="48" s="1"/>
  <c r="AB18" i="48"/>
  <c r="AF18" i="48" s="1"/>
  <c r="AB30" i="48"/>
  <c r="AF30" i="48" s="1"/>
  <c r="AA114" i="48"/>
  <c r="AE114" i="48" s="1"/>
  <c r="AA117" i="48"/>
  <c r="AE117" i="48" s="1"/>
  <c r="AB95" i="48"/>
  <c r="AF95" i="48" s="1"/>
  <c r="AA105" i="48"/>
  <c r="AE105" i="48" s="1"/>
  <c r="AB75" i="48"/>
  <c r="AF75" i="48" s="1"/>
  <c r="AA44" i="48"/>
  <c r="AE44" i="48" s="1"/>
  <c r="AB33" i="48"/>
  <c r="AF33" i="48" s="1"/>
  <c r="AB21" i="48"/>
  <c r="AF21" i="48" s="1"/>
  <c r="AA110" i="48"/>
  <c r="AE110" i="48" s="1"/>
  <c r="AA93" i="48"/>
  <c r="AE93" i="48" s="1"/>
  <c r="AB90" i="48"/>
  <c r="AF90" i="48" s="1"/>
  <c r="AA76" i="48"/>
  <c r="AE76" i="48" s="1"/>
  <c r="AA55" i="48"/>
  <c r="AE55" i="48" s="1"/>
  <c r="AB49" i="48"/>
  <c r="AF49" i="48" s="1"/>
  <c r="AB29" i="48"/>
  <c r="AF29" i="48" s="1"/>
  <c r="AA17" i="48"/>
  <c r="AE17" i="48" s="1"/>
  <c r="AA123" i="48"/>
  <c r="AE123" i="48" s="1"/>
  <c r="AB98" i="48"/>
  <c r="AF98" i="48" s="1"/>
  <c r="AA86" i="48"/>
  <c r="AE86" i="48" s="1"/>
  <c r="AA65" i="48"/>
  <c r="AE65" i="48" s="1"/>
  <c r="AA51" i="48"/>
  <c r="AE51" i="48" s="1"/>
  <c r="AB46" i="48"/>
  <c r="AF46" i="48" s="1"/>
  <c r="AA25" i="48"/>
  <c r="AE25" i="48" s="1"/>
  <c r="AA18" i="48"/>
  <c r="AE18" i="48" s="1"/>
  <c r="AB124" i="48"/>
  <c r="AF124" i="48" s="1"/>
  <c r="AA94" i="48"/>
  <c r="AE94" i="48" s="1"/>
  <c r="AA82" i="48"/>
  <c r="AE82" i="48" s="1"/>
  <c r="AA67" i="48"/>
  <c r="AE67" i="48" s="1"/>
  <c r="AB61" i="48"/>
  <c r="AF61" i="48" s="1"/>
  <c r="AB42" i="48"/>
  <c r="AF42" i="48" s="1"/>
  <c r="AA30" i="48"/>
  <c r="AE30" i="48" s="1"/>
  <c r="AB120" i="48"/>
  <c r="AF120" i="48" s="1"/>
  <c r="AB80" i="48"/>
  <c r="AF80" i="48" s="1"/>
  <c r="AA87" i="48"/>
  <c r="AE87" i="48" s="1"/>
  <c r="AA60" i="48"/>
  <c r="AE60" i="48" s="1"/>
  <c r="AB51" i="48"/>
  <c r="AF51" i="48" s="1"/>
  <c r="AA36" i="48"/>
  <c r="AE36" i="48" s="1"/>
  <c r="AA26" i="48"/>
  <c r="AE26" i="48" s="1"/>
  <c r="AA112" i="48"/>
  <c r="AE112" i="48" s="1"/>
  <c r="AB76" i="48"/>
  <c r="AF76" i="48" s="1"/>
  <c r="AA109" i="48"/>
  <c r="AE109" i="48" s="1"/>
  <c r="AB69" i="48"/>
  <c r="AF69" i="48" s="1"/>
  <c r="AB44" i="48"/>
  <c r="AF44" i="48" s="1"/>
  <c r="AA37" i="48"/>
  <c r="AE37" i="48" s="1"/>
  <c r="AA19" i="48"/>
  <c r="AE19" i="48" s="1"/>
  <c r="AB105" i="48"/>
  <c r="AF105" i="48" s="1"/>
  <c r="AB89" i="48"/>
  <c r="AF89" i="48" s="1"/>
  <c r="AB91" i="48"/>
  <c r="AF91" i="48" s="1"/>
  <c r="AB50" i="48"/>
  <c r="AF50" i="48" s="1"/>
  <c r="AB60" i="48"/>
  <c r="AF60" i="48" s="1"/>
  <c r="AB35" i="48"/>
  <c r="AF35" i="48" s="1"/>
  <c r="AB20" i="48"/>
  <c r="AF20" i="48" s="1"/>
  <c r="AB122" i="48"/>
  <c r="AF122" i="48" s="1"/>
  <c r="AB100" i="48"/>
  <c r="AF100" i="48" s="1"/>
  <c r="AA121" i="48"/>
  <c r="AE121" i="48" s="1"/>
  <c r="AA103" i="48"/>
  <c r="AE103" i="48" s="1"/>
  <c r="AB65" i="48"/>
  <c r="AF65" i="48" s="1"/>
  <c r="AB52" i="48"/>
  <c r="AF52" i="48" s="1"/>
  <c r="AB28" i="48"/>
  <c r="AF28" i="48" s="1"/>
  <c r="AB16" i="48"/>
  <c r="AF16" i="48" s="1"/>
  <c r="BX93" i="49"/>
  <c r="BY105" i="49"/>
  <c r="BY97" i="49"/>
  <c r="BY86" i="49"/>
  <c r="BX86" i="49"/>
  <c r="BY63" i="49"/>
  <c r="BY49" i="49"/>
  <c r="BX50" i="49"/>
  <c r="BX46" i="49"/>
  <c r="BY28" i="49"/>
  <c r="BX24" i="49"/>
  <c r="BY22" i="49"/>
  <c r="BX30" i="49"/>
  <c r="BX94" i="49"/>
  <c r="BY27" i="49"/>
  <c r="BX118" i="49"/>
  <c r="BX40" i="49"/>
  <c r="BX100" i="49"/>
  <c r="BX21" i="49"/>
  <c r="BY52" i="49"/>
  <c r="BX103" i="49"/>
  <c r="BY48" i="49"/>
  <c r="BY118" i="49"/>
  <c r="BX51" i="49"/>
  <c r="BX57" i="49"/>
  <c r="BY73" i="49"/>
  <c r="BY56" i="49"/>
  <c r="BX115" i="49"/>
  <c r="BX125" i="49"/>
  <c r="BY125" i="49"/>
  <c r="BY103" i="49"/>
  <c r="BY88" i="49"/>
  <c r="BY82" i="49"/>
  <c r="BY108" i="49"/>
  <c r="BY76" i="49"/>
  <c r="BX39" i="49"/>
  <c r="BY43" i="49"/>
  <c r="BX45" i="49"/>
  <c r="BY24" i="49"/>
  <c r="BX20" i="49"/>
  <c r="BX37" i="49"/>
  <c r="BX87" i="49"/>
  <c r="BX98" i="49"/>
  <c r="BX34" i="49"/>
  <c r="BX120" i="49"/>
  <c r="BY44" i="49"/>
  <c r="BY116" i="49"/>
  <c r="BX15" i="49"/>
  <c r="BX67" i="49"/>
  <c r="BX122" i="49"/>
  <c r="BX55" i="49"/>
  <c r="BX112" i="49"/>
  <c r="BX71" i="49"/>
  <c r="BX63" i="49"/>
  <c r="BY62" i="49"/>
  <c r="BY74" i="49"/>
  <c r="BX113" i="49"/>
  <c r="BY99" i="49"/>
  <c r="BY83" i="49"/>
  <c r="BX95" i="49"/>
  <c r="BX82" i="49"/>
  <c r="BX62" i="49"/>
  <c r="BX70" i="49"/>
  <c r="BX48" i="49"/>
  <c r="BX26" i="49"/>
  <c r="BY41" i="49"/>
  <c r="BY47" i="49"/>
  <c r="BX33" i="49"/>
  <c r="BX29" i="49"/>
  <c r="BX79" i="49"/>
  <c r="BY120" i="49"/>
  <c r="BX84" i="49"/>
  <c r="BY25" i="49"/>
  <c r="BX59" i="49"/>
  <c r="BX111" i="49"/>
  <c r="BY70" i="49"/>
  <c r="BY107" i="49"/>
  <c r="BX19" i="49"/>
  <c r="BX88" i="49"/>
  <c r="BY110" i="49"/>
  <c r="BY14" i="49"/>
  <c r="BX123" i="49"/>
  <c r="BY42" i="49"/>
  <c r="BY92" i="49"/>
  <c r="BX109" i="49"/>
  <c r="BY101" i="49"/>
  <c r="BX105" i="49"/>
  <c r="BY71" i="49"/>
  <c r="BY90" i="49"/>
  <c r="BX22" i="49"/>
  <c r="BY20" i="49"/>
  <c r="BY26" i="49"/>
  <c r="BY77" i="49"/>
  <c r="BY35" i="49"/>
  <c r="BX14" i="49"/>
  <c r="BY115" i="49"/>
  <c r="BX60" i="49"/>
  <c r="BX69" i="49"/>
  <c r="BX90" i="49"/>
  <c r="BX23" i="49"/>
  <c r="BX116" i="49"/>
  <c r="BY114" i="49"/>
  <c r="BX101" i="49"/>
  <c r="BY87" i="49"/>
  <c r="BY93" i="49"/>
  <c r="BX58" i="49"/>
  <c r="BX35" i="49"/>
  <c r="BX18" i="49"/>
  <c r="BY16" i="49"/>
  <c r="BY18" i="49"/>
  <c r="BY85" i="49"/>
  <c r="BY39" i="49"/>
  <c r="BY32" i="49"/>
  <c r="BY112" i="49"/>
  <c r="BX47" i="49"/>
  <c r="BY36" i="49"/>
  <c r="BX114" i="49"/>
  <c r="BX49" i="49"/>
  <c r="BY21" i="49"/>
  <c r="BX96" i="49"/>
  <c r="BY117" i="49"/>
  <c r="BX99" i="49"/>
  <c r="BY72" i="49"/>
  <c r="BY78" i="49"/>
  <c r="BY53" i="49"/>
  <c r="BX54" i="49"/>
  <c r="BX28" i="49"/>
  <c r="BY19" i="49"/>
  <c r="BY98" i="49"/>
  <c r="BX107" i="49"/>
  <c r="BX61" i="49"/>
  <c r="BY29" i="49"/>
  <c r="BX104" i="49"/>
  <c r="BY54" i="49"/>
  <c r="BX72" i="49"/>
  <c r="BX89" i="49"/>
  <c r="BY38" i="49"/>
  <c r="BX97" i="49"/>
  <c r="BY80" i="49"/>
  <c r="BY60" i="49"/>
  <c r="BX43" i="49"/>
  <c r="BX16" i="49"/>
  <c r="BY81" i="49"/>
  <c r="BX119" i="49"/>
  <c r="BX27" i="49"/>
  <c r="BX110" i="49"/>
  <c r="BY40" i="49"/>
  <c r="BX25" i="49"/>
  <c r="BY109" i="49"/>
  <c r="BX91" i="49"/>
  <c r="BX74" i="49"/>
  <c r="BY57" i="49"/>
  <c r="BY55" i="49"/>
  <c r="BY100" i="49"/>
  <c r="BY65" i="49"/>
  <c r="BY30" i="49"/>
  <c r="BY50" i="49"/>
  <c r="BX65" i="49"/>
  <c r="BX73" i="49"/>
  <c r="BY113" i="49"/>
  <c r="BY68" i="49"/>
  <c r="BY59" i="49"/>
  <c r="BX41" i="49"/>
  <c r="BX32" i="49"/>
  <c r="BY123" i="49"/>
  <c r="BX81" i="49"/>
  <c r="BY61" i="49"/>
  <c r="BX80" i="49"/>
  <c r="BX77" i="49"/>
  <c r="BX106" i="49"/>
  <c r="BY79" i="49"/>
  <c r="BY58" i="49"/>
  <c r="BY33" i="49"/>
  <c r="BY94" i="49"/>
  <c r="BY119" i="49"/>
  <c r="BY124" i="49"/>
  <c r="BY89" i="49"/>
  <c r="BX83" i="49"/>
  <c r="BX56" i="49"/>
  <c r="BX31" i="49"/>
  <c r="BX68" i="49"/>
  <c r="BY84" i="49"/>
  <c r="BX66" i="49"/>
  <c r="BY37" i="49"/>
  <c r="BX76" i="49"/>
  <c r="BX78" i="49"/>
  <c r="BY51" i="49"/>
  <c r="BY23" i="49"/>
  <c r="BX108" i="49"/>
  <c r="BX85" i="49"/>
  <c r="BY17" i="49"/>
  <c r="BX121" i="49"/>
  <c r="BX75" i="49"/>
  <c r="BY45" i="49"/>
  <c r="BX17" i="49"/>
  <c r="BX53" i="49"/>
  <c r="BX102" i="49"/>
  <c r="BY69" i="49"/>
  <c r="BX117" i="49"/>
  <c r="BY64" i="49"/>
  <c r="BX44" i="49"/>
  <c r="BX38" i="49"/>
  <c r="BX42" i="49"/>
  <c r="BY102" i="49"/>
  <c r="BY106" i="49"/>
  <c r="BY121" i="49"/>
  <c r="BY67" i="49"/>
  <c r="BY31" i="49"/>
  <c r="BY96" i="49"/>
  <c r="BX92" i="49"/>
  <c r="BX64" i="49"/>
  <c r="BX124" i="49"/>
  <c r="BX52" i="49"/>
  <c r="BY122" i="49"/>
  <c r="BY66" i="49"/>
  <c r="BY91" i="49"/>
  <c r="BY104" i="49"/>
  <c r="BY34" i="49"/>
  <c r="BY46" i="49"/>
  <c r="BX36" i="49"/>
  <c r="BY95" i="49"/>
  <c r="BY111" i="49"/>
  <c r="BY75" i="49"/>
  <c r="BY15" i="49"/>
  <c r="BJ115" i="48"/>
  <c r="BJ105" i="48"/>
  <c r="BI113" i="48"/>
  <c r="BJ85" i="48"/>
  <c r="BJ125" i="48"/>
  <c r="BI104" i="48"/>
  <c r="BJ103" i="48"/>
  <c r="BI99" i="48"/>
  <c r="BI74" i="48"/>
  <c r="BJ79" i="48"/>
  <c r="BJ71" i="48"/>
  <c r="BJ61" i="48"/>
  <c r="BJ48" i="48"/>
  <c r="BI42" i="48"/>
  <c r="BI30" i="48"/>
  <c r="BJ16" i="48"/>
  <c r="BI36" i="48"/>
  <c r="BJ51" i="48"/>
  <c r="BI50" i="48"/>
  <c r="BJ96" i="48"/>
  <c r="BJ24" i="48"/>
  <c r="BI80" i="48"/>
  <c r="BI41" i="48"/>
  <c r="BJ42" i="48"/>
  <c r="BI86" i="48"/>
  <c r="BI96" i="48"/>
  <c r="BI54" i="48"/>
  <c r="BI90" i="48"/>
  <c r="BJ78" i="48"/>
  <c r="BI101" i="48"/>
  <c r="BI67" i="48"/>
  <c r="BI120" i="48"/>
  <c r="BJ121" i="48"/>
  <c r="BJ101" i="48"/>
  <c r="BI91" i="48"/>
  <c r="BI89" i="48"/>
  <c r="BI70" i="48"/>
  <c r="BI72" i="48"/>
  <c r="BJ63" i="48"/>
  <c r="BJ57" i="48"/>
  <c r="BI62" i="48"/>
  <c r="BI38" i="48"/>
  <c r="BI26" i="48"/>
  <c r="BI125" i="48"/>
  <c r="BJ32" i="48"/>
  <c r="BJ65" i="48"/>
  <c r="BI52" i="48"/>
  <c r="BJ102" i="48"/>
  <c r="BI27" i="48"/>
  <c r="BI65" i="48"/>
  <c r="BI94" i="48"/>
  <c r="BJ60" i="48"/>
  <c r="BJ86" i="48"/>
  <c r="BI122" i="48"/>
  <c r="BI63" i="48"/>
  <c r="BI92" i="48"/>
  <c r="BI20" i="48"/>
  <c r="BI116" i="48"/>
  <c r="BJ73" i="48"/>
  <c r="BJ90" i="48"/>
  <c r="BJ117" i="48"/>
  <c r="BJ97" i="48"/>
  <c r="BI103" i="48"/>
  <c r="BI85" i="48"/>
  <c r="BJ119" i="48"/>
  <c r="BJ109" i="48"/>
  <c r="BI121" i="48"/>
  <c r="BJ89" i="48"/>
  <c r="BJ95" i="48"/>
  <c r="BI71" i="48"/>
  <c r="BJ69" i="48"/>
  <c r="BI59" i="48"/>
  <c r="BJ41" i="48"/>
  <c r="BJ43" i="48"/>
  <c r="BJ35" i="48"/>
  <c r="BJ26" i="48"/>
  <c r="BI22" i="48"/>
  <c r="BI37" i="48"/>
  <c r="BJ98" i="48"/>
  <c r="BI31" i="48"/>
  <c r="BJ112" i="48"/>
  <c r="BI58" i="48"/>
  <c r="BJ82" i="48"/>
  <c r="BI124" i="48"/>
  <c r="BI82" i="48"/>
  <c r="BJ108" i="48"/>
  <c r="BI15" i="48"/>
  <c r="BJ64" i="48"/>
  <c r="BI110" i="48"/>
  <c r="BJ56" i="48"/>
  <c r="BJ28" i="48"/>
  <c r="BJ88" i="48"/>
  <c r="BJ91" i="48"/>
  <c r="BI77" i="48"/>
  <c r="BJ67" i="48"/>
  <c r="BJ53" i="48"/>
  <c r="BJ23" i="48"/>
  <c r="BI19" i="48"/>
  <c r="BJ19" i="48"/>
  <c r="BJ114" i="48"/>
  <c r="BJ106" i="48"/>
  <c r="BJ74" i="48"/>
  <c r="BJ92" i="48"/>
  <c r="BI78" i="48"/>
  <c r="BJ25" i="48"/>
  <c r="BI93" i="48"/>
  <c r="BJ58" i="48"/>
  <c r="BJ72" i="48"/>
  <c r="BJ123" i="48"/>
  <c r="BJ76" i="48"/>
  <c r="BJ87" i="48"/>
  <c r="BJ75" i="48"/>
  <c r="BJ45" i="48"/>
  <c r="BJ49" i="48"/>
  <c r="BI24" i="48"/>
  <c r="BJ31" i="48"/>
  <c r="BI114" i="48"/>
  <c r="BI123" i="48"/>
  <c r="BI76" i="48"/>
  <c r="BJ14" i="48"/>
  <c r="BJ100" i="48"/>
  <c r="BI40" i="48"/>
  <c r="BI111" i="48"/>
  <c r="BI88" i="48"/>
  <c r="BI106" i="48"/>
  <c r="BJ111" i="48"/>
  <c r="BJ99" i="48"/>
  <c r="BI75" i="48"/>
  <c r="BI66" i="48"/>
  <c r="BI61" i="48"/>
  <c r="BJ37" i="48"/>
  <c r="BJ18" i="48"/>
  <c r="BI25" i="48"/>
  <c r="BJ110" i="48"/>
  <c r="BI29" i="48"/>
  <c r="BI98" i="48"/>
  <c r="BJ27" i="48"/>
  <c r="BI108" i="48"/>
  <c r="BI45" i="48"/>
  <c r="BI118" i="48"/>
  <c r="BJ104" i="48"/>
  <c r="BJ116" i="48"/>
  <c r="BJ107" i="48"/>
  <c r="BJ81" i="48"/>
  <c r="BI87" i="48"/>
  <c r="BI64" i="48"/>
  <c r="BI57" i="48"/>
  <c r="BI46" i="48"/>
  <c r="BJ20" i="48"/>
  <c r="BJ55" i="48"/>
  <c r="BJ66" i="48"/>
  <c r="BI100" i="48"/>
  <c r="BI97" i="48"/>
  <c r="BJ44" i="48"/>
  <c r="BJ124" i="48"/>
  <c r="BJ52" i="48"/>
  <c r="BJ120" i="48"/>
  <c r="BJ17" i="48"/>
  <c r="BI112" i="48"/>
  <c r="BJ113" i="48"/>
  <c r="BJ77" i="48"/>
  <c r="BJ83" i="48"/>
  <c r="BJ62" i="48"/>
  <c r="BI53" i="48"/>
  <c r="BI32" i="48"/>
  <c r="BJ22" i="48"/>
  <c r="BJ40" i="48"/>
  <c r="BJ15" i="48"/>
  <c r="BI21" i="48"/>
  <c r="BI119" i="48"/>
  <c r="BI48" i="48"/>
  <c r="BI115" i="48"/>
  <c r="BJ54" i="48"/>
  <c r="BI60" i="48"/>
  <c r="BI23" i="48"/>
  <c r="BJ118" i="48"/>
  <c r="BI109" i="48"/>
  <c r="BI81" i="48"/>
  <c r="BI83" i="48"/>
  <c r="BI55" i="48"/>
  <c r="BI47" i="48"/>
  <c r="BI28" i="48"/>
  <c r="BJ34" i="48"/>
  <c r="BJ38" i="48"/>
  <c r="BJ33" i="48"/>
  <c r="BJ36" i="48"/>
  <c r="BJ122" i="48"/>
  <c r="BJ50" i="48"/>
  <c r="BI39" i="48"/>
  <c r="BJ68" i="48"/>
  <c r="BI17" i="48"/>
  <c r="BI35" i="48"/>
  <c r="BI105" i="48"/>
  <c r="BI117" i="48"/>
  <c r="BI68" i="48"/>
  <c r="BI51" i="48"/>
  <c r="BI49" i="48"/>
  <c r="BI34" i="48"/>
  <c r="BI18" i="48"/>
  <c r="BI43" i="48"/>
  <c r="BI33" i="48"/>
  <c r="BJ47" i="48"/>
  <c r="BI107" i="48"/>
  <c r="BI69" i="48"/>
  <c r="BI16" i="48"/>
  <c r="BI84" i="48"/>
  <c r="BJ29" i="48"/>
  <c r="BJ59" i="48"/>
  <c r="BJ93" i="48"/>
  <c r="BI95" i="48"/>
  <c r="BI79" i="48"/>
  <c r="BI44" i="48"/>
  <c r="BJ39" i="48"/>
  <c r="BJ30" i="48"/>
  <c r="BJ21" i="48"/>
  <c r="BJ70" i="48"/>
  <c r="BJ94" i="48"/>
  <c r="BI56" i="48"/>
  <c r="BI102" i="48"/>
  <c r="BJ80" i="48"/>
  <c r="BI14" i="48"/>
  <c r="BJ84" i="48"/>
  <c r="BJ46" i="48"/>
  <c r="BI73" i="48"/>
  <c r="N106" i="49" a="1"/>
  <c r="N106" i="49" s="1"/>
  <c r="M106" i="49" a="1"/>
  <c r="M106" i="49" s="1"/>
  <c r="M110" i="49" a="1"/>
  <c r="M110" i="49" s="1"/>
  <c r="M108" i="49" a="1"/>
  <c r="M108" i="49" s="1"/>
  <c r="N89" i="49" a="1"/>
  <c r="N89" i="49" s="1"/>
  <c r="N78" i="49" a="1"/>
  <c r="N78" i="49" s="1"/>
  <c r="N88" i="49" a="1"/>
  <c r="N88" i="49" s="1"/>
  <c r="M76" i="49" a="1"/>
  <c r="M76" i="49" s="1"/>
  <c r="N62" i="49" a="1"/>
  <c r="N62" i="49" s="1"/>
  <c r="M61" i="49" a="1"/>
  <c r="M61" i="49" s="1"/>
  <c r="N35" i="49" a="1"/>
  <c r="N35" i="49" s="1"/>
  <c r="N20" i="49" a="1"/>
  <c r="N20" i="49" s="1"/>
  <c r="M45" i="49" a="1"/>
  <c r="M45" i="49" s="1"/>
  <c r="M36" i="49" a="1"/>
  <c r="M36" i="49" s="1"/>
  <c r="M107" i="49" a="1"/>
  <c r="M107" i="49" s="1"/>
  <c r="M21" i="49" a="1"/>
  <c r="M21" i="49" s="1"/>
  <c r="M67" i="49" a="1"/>
  <c r="M67" i="49" s="1"/>
  <c r="M124" i="49" a="1"/>
  <c r="M124" i="49" s="1"/>
  <c r="M25" i="49" a="1"/>
  <c r="M25" i="49" s="1"/>
  <c r="M78" i="49" a="1"/>
  <c r="M78" i="49" s="1"/>
  <c r="M38" i="49" a="1"/>
  <c r="M38" i="49" s="1"/>
  <c r="N41" i="49" a="1"/>
  <c r="N41" i="49" s="1"/>
  <c r="M95" i="49" a="1"/>
  <c r="M95" i="49" s="1"/>
  <c r="M73" i="49" a="1"/>
  <c r="M73" i="49" s="1"/>
  <c r="N112" i="49" a="1"/>
  <c r="N112" i="49" s="1"/>
  <c r="M58" i="49" a="1"/>
  <c r="M58" i="49" s="1"/>
  <c r="M77" i="49" a="1"/>
  <c r="M77" i="49" s="1"/>
  <c r="M63" i="49" a="1"/>
  <c r="M63" i="49" s="1"/>
  <c r="N56" i="49" a="1"/>
  <c r="N56" i="49" s="1"/>
  <c r="N102" i="49" a="1"/>
  <c r="N102" i="49" s="1"/>
  <c r="M51" i="49" a="1"/>
  <c r="M51" i="49" s="1"/>
  <c r="M104" i="49" a="1"/>
  <c r="M104" i="49" s="1"/>
  <c r="N85" i="49" a="1"/>
  <c r="N85" i="49" s="1"/>
  <c r="N105" i="49" a="1"/>
  <c r="N105" i="49" s="1"/>
  <c r="N84" i="49" a="1"/>
  <c r="N84" i="49" s="1"/>
  <c r="N73" i="49" a="1"/>
  <c r="N73" i="49" s="1"/>
  <c r="M79" i="49" a="1"/>
  <c r="M79" i="49" s="1"/>
  <c r="M60" i="49" a="1"/>
  <c r="M60" i="49" s="1"/>
  <c r="N26" i="49" a="1"/>
  <c r="N26" i="49" s="1"/>
  <c r="N28" i="49" a="1"/>
  <c r="N28" i="49" s="1"/>
  <c r="M47" i="49" a="1"/>
  <c r="M47" i="49" s="1"/>
  <c r="N52" i="49" a="1"/>
  <c r="N52" i="49" s="1"/>
  <c r="M117" i="49" a="1"/>
  <c r="M117" i="49" s="1"/>
  <c r="M31" i="49" a="1"/>
  <c r="M31" i="49" s="1"/>
  <c r="N98" i="49" a="1"/>
  <c r="N98" i="49" s="1"/>
  <c r="N29" i="49" a="1"/>
  <c r="N29" i="49" s="1"/>
  <c r="M56" i="49" a="1"/>
  <c r="M56" i="49" s="1"/>
  <c r="M102" i="49" a="1"/>
  <c r="M102" i="49" s="1"/>
  <c r="N21" i="49" a="1"/>
  <c r="N21" i="49" s="1"/>
  <c r="N67" i="49" a="1"/>
  <c r="N67" i="49" s="1"/>
  <c r="M101" i="49" a="1"/>
  <c r="M101" i="49" s="1"/>
  <c r="N63" i="49" a="1"/>
  <c r="N63" i="49" s="1"/>
  <c r="M123" i="49" a="1"/>
  <c r="M123" i="49" s="1"/>
  <c r="M18" i="49" a="1"/>
  <c r="M18" i="49" s="1"/>
  <c r="M87" i="49" a="1"/>
  <c r="M87" i="49" s="1"/>
  <c r="N91" i="49" a="1"/>
  <c r="N91" i="49" s="1"/>
  <c r="M66" i="49" a="1"/>
  <c r="M66" i="49" s="1"/>
  <c r="M91" i="49" a="1"/>
  <c r="M91" i="49" s="1"/>
  <c r="N97" i="49" a="1"/>
  <c r="N97" i="49" s="1"/>
  <c r="N95" i="49" a="1"/>
  <c r="N95" i="49" s="1"/>
  <c r="M94" i="49" a="1"/>
  <c r="M94" i="49" s="1"/>
  <c r="N70" i="49" a="1"/>
  <c r="N70" i="49" s="1"/>
  <c r="M68" i="49" a="1"/>
  <c r="M68" i="49" s="1"/>
  <c r="N55" i="49" a="1"/>
  <c r="N55" i="49" s="1"/>
  <c r="N31" i="49" a="1"/>
  <c r="N31" i="49" s="1"/>
  <c r="N45" i="49" a="1"/>
  <c r="N45" i="49" s="1"/>
  <c r="N16" i="49" a="1"/>
  <c r="N16" i="49" s="1"/>
  <c r="M17" i="49" a="1"/>
  <c r="M17" i="49" s="1"/>
  <c r="N108" i="49" a="1"/>
  <c r="N108" i="49" s="1"/>
  <c r="M74" i="49" a="1"/>
  <c r="M74" i="49" s="1"/>
  <c r="N46" i="49" a="1"/>
  <c r="N46" i="49" s="1"/>
  <c r="M103" i="49" a="1"/>
  <c r="M103" i="49" s="1"/>
  <c r="M113" i="49" a="1"/>
  <c r="M113" i="49" s="1"/>
  <c r="N54" i="49" a="1"/>
  <c r="N54" i="49" s="1"/>
  <c r="M125" i="49" a="1"/>
  <c r="M125" i="49" s="1"/>
  <c r="M29" i="49" a="1"/>
  <c r="M29" i="49" s="1"/>
  <c r="M89" i="49" a="1"/>
  <c r="M89" i="49" s="1"/>
  <c r="N42" i="49" a="1"/>
  <c r="N42" i="49" s="1"/>
  <c r="N68" i="49" a="1"/>
  <c r="N68" i="49" s="1"/>
  <c r="M28" i="49" a="1"/>
  <c r="M28" i="49" s="1"/>
  <c r="M39" i="49" a="1"/>
  <c r="M39" i="49" s="1"/>
  <c r="M96" i="49" a="1"/>
  <c r="M96" i="49" s="1"/>
  <c r="N50" i="49" a="1"/>
  <c r="N50" i="49" s="1"/>
  <c r="M75" i="49" a="1"/>
  <c r="M75" i="49" s="1"/>
  <c r="N116" i="49" a="1"/>
  <c r="N116" i="49" s="1"/>
  <c r="N123" i="49" a="1"/>
  <c r="N123" i="49" s="1"/>
  <c r="N104" i="49" a="1"/>
  <c r="N104" i="49" s="1"/>
  <c r="M92" i="49" a="1"/>
  <c r="M92" i="49" s="1"/>
  <c r="N53" i="49" a="1"/>
  <c r="N53" i="49" s="1"/>
  <c r="M59" i="49" a="1"/>
  <c r="M59" i="49" s="1"/>
  <c r="N43" i="49" a="1"/>
  <c r="N43" i="49" s="1"/>
  <c r="M50" i="49" a="1"/>
  <c r="M50" i="49" s="1"/>
  <c r="M119" i="49" a="1"/>
  <c r="M119" i="49" s="1"/>
  <c r="M62" i="49" a="1"/>
  <c r="M62" i="49" s="1"/>
  <c r="M57" i="49" a="1"/>
  <c r="M57" i="49" s="1"/>
  <c r="M88" i="49" a="1"/>
  <c r="M88" i="49" s="1"/>
  <c r="N19" i="49" a="1"/>
  <c r="N19" i="49" s="1"/>
  <c r="N94" i="49" a="1"/>
  <c r="N94" i="49" s="1"/>
  <c r="M82" i="49" a="1"/>
  <c r="M82" i="49" s="1"/>
  <c r="N101" i="49" a="1"/>
  <c r="N101" i="49" s="1"/>
  <c r="N82" i="49" a="1"/>
  <c r="N82" i="49" s="1"/>
  <c r="N66" i="49" a="1"/>
  <c r="N66" i="49" s="1"/>
  <c r="N61" i="49" a="1"/>
  <c r="N61" i="49" s="1"/>
  <c r="M44" i="49" a="1"/>
  <c r="M44" i="49" s="1"/>
  <c r="M23" i="49" a="1"/>
  <c r="M23" i="49" s="1"/>
  <c r="N58" i="49" a="1"/>
  <c r="N58" i="49" s="1"/>
  <c r="N15" i="49" a="1"/>
  <c r="N15" i="49" s="1"/>
  <c r="M86" i="49" a="1"/>
  <c r="M86" i="49" s="1"/>
  <c r="N17" i="49" a="1"/>
  <c r="N17" i="49" s="1"/>
  <c r="M111" i="49" a="1"/>
  <c r="M111" i="49" s="1"/>
  <c r="M37" i="49" a="1"/>
  <c r="M37" i="49" s="1"/>
  <c r="M26" i="49" a="1"/>
  <c r="M26" i="49" s="1"/>
  <c r="N122" i="49" a="1"/>
  <c r="N122" i="49" s="1"/>
  <c r="N71" i="49" a="1"/>
  <c r="N71" i="49" s="1"/>
  <c r="M20" i="49" a="1"/>
  <c r="M20" i="49" s="1"/>
  <c r="N92" i="49" a="1"/>
  <c r="N92" i="49" s="1"/>
  <c r="N119" i="49" a="1"/>
  <c r="N119" i="49" s="1"/>
  <c r="N110" i="49" a="1"/>
  <c r="N110" i="49" s="1"/>
  <c r="N80" i="49" a="1"/>
  <c r="N80" i="49" s="1"/>
  <c r="N57" i="49" a="1"/>
  <c r="N57" i="49" s="1"/>
  <c r="N69" i="49" a="1"/>
  <c r="N69" i="49" s="1"/>
  <c r="M15" i="49" a="1"/>
  <c r="M15" i="49" s="1"/>
  <c r="M55" i="49" a="1"/>
  <c r="M55" i="49" s="1"/>
  <c r="N27" i="49" a="1"/>
  <c r="N27" i="49" s="1"/>
  <c r="M99" i="49" a="1"/>
  <c r="M99" i="49" s="1"/>
  <c r="N44" i="49" a="1"/>
  <c r="N44" i="49" s="1"/>
  <c r="N125" i="49" a="1"/>
  <c r="N125" i="49" s="1"/>
  <c r="M71" i="49" a="1"/>
  <c r="M71" i="49" s="1"/>
  <c r="M35" i="49" a="1"/>
  <c r="M35" i="49" s="1"/>
  <c r="N113" i="49" a="1"/>
  <c r="N113" i="49" s="1"/>
  <c r="M90" i="49" a="1"/>
  <c r="M90" i="49" s="1"/>
  <c r="N76" i="49" a="1"/>
  <c r="N76" i="49" s="1"/>
  <c r="M115" i="49" a="1"/>
  <c r="M115" i="49" s="1"/>
  <c r="M118" i="49" a="1"/>
  <c r="M118" i="49" s="1"/>
  <c r="N103" i="49" a="1"/>
  <c r="N103" i="49" s="1"/>
  <c r="N77" i="49" a="1"/>
  <c r="N77" i="49" s="1"/>
  <c r="M54" i="49" a="1"/>
  <c r="M54" i="49" s="1"/>
  <c r="N22" i="49" a="1"/>
  <c r="N22" i="49" s="1"/>
  <c r="M27" i="49" a="1"/>
  <c r="M27" i="49" s="1"/>
  <c r="N83" i="49" a="1"/>
  <c r="N83" i="49" s="1"/>
  <c r="N32" i="49" a="1"/>
  <c r="N32" i="49" s="1"/>
  <c r="M97" i="49" a="1"/>
  <c r="M97" i="49" s="1"/>
  <c r="N59" i="49" a="1"/>
  <c r="N59" i="49" s="1"/>
  <c r="M93" i="49" a="1"/>
  <c r="M93" i="49" s="1"/>
  <c r="M80" i="49" a="1"/>
  <c r="M80" i="49" s="1"/>
  <c r="M41" i="49" a="1"/>
  <c r="M41" i="49" s="1"/>
  <c r="N81" i="49" a="1"/>
  <c r="N81" i="49" s="1"/>
  <c r="M122" i="49" a="1"/>
  <c r="M122" i="49" s="1"/>
  <c r="M64" i="49" a="1"/>
  <c r="M64" i="49" s="1"/>
  <c r="M48" i="49" a="1"/>
  <c r="M48" i="49" s="1"/>
  <c r="N49" i="49" a="1"/>
  <c r="N49" i="49" s="1"/>
  <c r="M22" i="49" a="1"/>
  <c r="M22" i="49" s="1"/>
  <c r="M109" i="49" a="1"/>
  <c r="M109" i="49" s="1"/>
  <c r="M53" i="49" a="1"/>
  <c r="M53" i="49" s="1"/>
  <c r="M121" i="49" a="1"/>
  <c r="M121" i="49" s="1"/>
  <c r="M46" i="49" a="1"/>
  <c r="M46" i="49" s="1"/>
  <c r="N25" i="49" a="1"/>
  <c r="N25" i="49" s="1"/>
  <c r="N87" i="49" a="1"/>
  <c r="N87" i="49" s="1"/>
  <c r="N64" i="49" a="1"/>
  <c r="N64" i="49" s="1"/>
  <c r="M42" i="49" a="1"/>
  <c r="M42" i="49" s="1"/>
  <c r="N124" i="49" a="1"/>
  <c r="N124" i="49" s="1"/>
  <c r="M65" i="49" a="1"/>
  <c r="M65" i="49" s="1"/>
  <c r="M16" i="49" a="1"/>
  <c r="M16" i="49" s="1"/>
  <c r="N93" i="49" a="1"/>
  <c r="N93" i="49" s="1"/>
  <c r="M30" i="49" a="1"/>
  <c r="M30" i="49" s="1"/>
  <c r="N121" i="49" a="1"/>
  <c r="N121" i="49" s="1"/>
  <c r="M40" i="49" a="1"/>
  <c r="M40" i="49" s="1"/>
  <c r="M112" i="49" a="1"/>
  <c r="M112" i="49" s="1"/>
  <c r="M70" i="49" a="1"/>
  <c r="M70" i="49" s="1"/>
  <c r="M69" i="49" a="1"/>
  <c r="M69" i="49" s="1"/>
  <c r="N99" i="49" a="1"/>
  <c r="N99" i="49" s="1"/>
  <c r="N18" i="49" a="1"/>
  <c r="N18" i="49" s="1"/>
  <c r="M24" i="49" a="1"/>
  <c r="M24" i="49" s="1"/>
  <c r="M98" i="49" a="1"/>
  <c r="M98" i="49" s="1"/>
  <c r="N48" i="49" a="1"/>
  <c r="N48" i="49" s="1"/>
  <c r="N96" i="49" a="1"/>
  <c r="N96" i="49" s="1"/>
  <c r="N79" i="49" a="1"/>
  <c r="N79" i="49" s="1"/>
  <c r="N107" i="49" a="1"/>
  <c r="N107" i="49" s="1"/>
  <c r="N51" i="49" a="1"/>
  <c r="N51" i="49" s="1"/>
  <c r="M34" i="49" a="1"/>
  <c r="M34" i="49" s="1"/>
  <c r="N75" i="49" a="1"/>
  <c r="N75" i="49" s="1"/>
  <c r="M33" i="49" a="1"/>
  <c r="M33" i="49" s="1"/>
  <c r="N34" i="49" a="1"/>
  <c r="N34" i="49" s="1"/>
  <c r="M116" i="49" a="1"/>
  <c r="M116" i="49" s="1"/>
  <c r="N117" i="49" a="1"/>
  <c r="N117" i="49" s="1"/>
  <c r="N111" i="49" a="1"/>
  <c r="N111" i="49" s="1"/>
  <c r="M32" i="49" a="1"/>
  <c r="M32" i="49" s="1"/>
  <c r="M81" i="49" a="1"/>
  <c r="M81" i="49" s="1"/>
  <c r="M83" i="49" a="1"/>
  <c r="M83" i="49" s="1"/>
  <c r="N72" i="49" a="1"/>
  <c r="N72" i="49" s="1"/>
  <c r="N90" i="49" a="1"/>
  <c r="N90" i="49" s="1"/>
  <c r="N24" i="49" a="1"/>
  <c r="N24" i="49" s="1"/>
  <c r="M19" i="49" a="1"/>
  <c r="M19" i="49" s="1"/>
  <c r="N30" i="49" a="1"/>
  <c r="N30" i="49" s="1"/>
  <c r="M84" i="49" a="1"/>
  <c r="M84" i="49" s="1"/>
  <c r="N86" i="49" a="1"/>
  <c r="N86" i="49" s="1"/>
  <c r="N36" i="49" a="1"/>
  <c r="N36" i="49" s="1"/>
  <c r="N120" i="49" a="1"/>
  <c r="N120" i="49" s="1"/>
  <c r="M49" i="49" a="1"/>
  <c r="M49" i="49" s="1"/>
  <c r="M100" i="49" a="1"/>
  <c r="M100" i="49" s="1"/>
  <c r="N74" i="49" a="1"/>
  <c r="N74" i="49" s="1"/>
  <c r="N47" i="49" a="1"/>
  <c r="N47" i="49" s="1"/>
  <c r="M120" i="49" a="1"/>
  <c r="M120" i="49" s="1"/>
  <c r="N38" i="49" a="1"/>
  <c r="N38" i="49" s="1"/>
  <c r="M72" i="49" a="1"/>
  <c r="M72" i="49" s="1"/>
  <c r="N65" i="49" a="1"/>
  <c r="N65" i="49" s="1"/>
  <c r="N114" i="49" a="1"/>
  <c r="N114" i="49" s="1"/>
  <c r="N33" i="49" a="1"/>
  <c r="N33" i="49" s="1"/>
  <c r="M105" i="49" a="1"/>
  <c r="M105" i="49" s="1"/>
  <c r="M43" i="49" a="1"/>
  <c r="M43" i="49" s="1"/>
  <c r="N37" i="49" a="1"/>
  <c r="N37" i="49" s="1"/>
  <c r="N100" i="49" a="1"/>
  <c r="N100" i="49" s="1"/>
  <c r="M114" i="49" a="1"/>
  <c r="M114" i="49" s="1"/>
  <c r="N115" i="49" a="1"/>
  <c r="N115" i="49" s="1"/>
  <c r="N39" i="49" a="1"/>
  <c r="N39" i="49" s="1"/>
  <c r="N109" i="49" a="1"/>
  <c r="N109" i="49" s="1"/>
  <c r="M85" i="49" a="1"/>
  <c r="M85" i="49" s="1"/>
  <c r="N40" i="49" a="1"/>
  <c r="N40" i="49" s="1"/>
  <c r="M52" i="49" a="1"/>
  <c r="M52" i="49" s="1"/>
  <c r="N60" i="49" a="1"/>
  <c r="N60" i="49" s="1"/>
  <c r="N118" i="49" a="1"/>
  <c r="N118" i="49" s="1"/>
  <c r="N23" i="49" a="1"/>
  <c r="N23" i="49" s="1"/>
  <c r="BX14" i="48"/>
  <c r="BX118" i="48"/>
  <c r="BX108" i="48"/>
  <c r="BY109" i="48"/>
  <c r="BY81" i="48"/>
  <c r="BX82" i="48"/>
  <c r="BX102" i="48"/>
  <c r="BY67" i="48"/>
  <c r="BX68" i="48"/>
  <c r="BY53" i="48"/>
  <c r="BX56" i="48"/>
  <c r="BY42" i="48"/>
  <c r="BX47" i="48"/>
  <c r="BX29" i="48"/>
  <c r="BX49" i="48"/>
  <c r="BY111" i="48"/>
  <c r="BY31" i="48"/>
  <c r="BX80" i="48"/>
  <c r="BX89" i="48"/>
  <c r="BY86" i="48"/>
  <c r="BY37" i="48"/>
  <c r="BX117" i="48"/>
  <c r="BX26" i="48"/>
  <c r="BY107" i="48"/>
  <c r="BX27" i="48"/>
  <c r="BX71" i="48"/>
  <c r="BY112" i="48"/>
  <c r="BX50" i="48"/>
  <c r="BY93" i="48"/>
  <c r="BX124" i="48"/>
  <c r="BY117" i="48"/>
  <c r="BY91" i="48"/>
  <c r="BY74" i="48"/>
  <c r="BY87" i="48"/>
  <c r="BY83" i="48"/>
  <c r="BY55" i="48"/>
  <c r="BX72" i="48"/>
  <c r="BY62" i="48"/>
  <c r="BX46" i="48"/>
  <c r="BY28" i="48"/>
  <c r="BX17" i="48"/>
  <c r="BY18" i="48"/>
  <c r="BX79" i="48"/>
  <c r="BY21" i="48"/>
  <c r="BY78" i="48"/>
  <c r="BY114" i="48"/>
  <c r="BY45" i="48"/>
  <c r="BX45" i="48"/>
  <c r="BY69" i="48"/>
  <c r="BY105" i="48"/>
  <c r="BX63" i="48"/>
  <c r="BY115" i="48"/>
  <c r="BX41" i="48"/>
  <c r="BY97" i="48"/>
  <c r="BY20" i="48"/>
  <c r="BY65" i="48"/>
  <c r="BY58" i="48"/>
  <c r="BX106" i="48"/>
  <c r="BX96" i="48"/>
  <c r="BY99" i="48"/>
  <c r="BY71" i="48"/>
  <c r="BX62" i="48"/>
  <c r="BY44" i="48"/>
  <c r="BY63" i="48"/>
  <c r="BX38" i="48"/>
  <c r="BY34" i="48"/>
  <c r="BX33" i="48"/>
  <c r="BX109" i="48"/>
  <c r="BX112" i="48"/>
  <c r="BY113" i="48"/>
  <c r="BY70" i="48"/>
  <c r="BY68" i="48"/>
  <c r="BX73" i="48"/>
  <c r="BY64" i="48"/>
  <c r="BX58" i="48"/>
  <c r="BX36" i="48"/>
  <c r="BX25" i="48"/>
  <c r="BX30" i="48"/>
  <c r="BX64" i="48"/>
  <c r="BY84" i="48"/>
  <c r="BX77" i="48"/>
  <c r="BX121" i="48"/>
  <c r="BY52" i="48"/>
  <c r="BX18" i="48"/>
  <c r="BX103" i="48"/>
  <c r="BX120" i="48"/>
  <c r="BX98" i="48"/>
  <c r="BY77" i="48"/>
  <c r="BX69" i="48"/>
  <c r="BY61" i="48"/>
  <c r="BX52" i="48"/>
  <c r="BX116" i="48"/>
  <c r="BX84" i="48"/>
  <c r="BY75" i="48"/>
  <c r="BY66" i="48"/>
  <c r="BY57" i="48"/>
  <c r="BX42" i="48"/>
  <c r="BY26" i="48"/>
  <c r="BY100" i="48"/>
  <c r="BX32" i="48"/>
  <c r="BY123" i="48"/>
  <c r="BY50" i="48"/>
  <c r="BX75" i="48"/>
  <c r="BY36" i="48"/>
  <c r="BX111" i="48"/>
  <c r="BX67" i="48"/>
  <c r="BX34" i="48"/>
  <c r="BY82" i="48"/>
  <c r="BY125" i="48"/>
  <c r="BY90" i="48"/>
  <c r="BX94" i="48"/>
  <c r="BY49" i="48"/>
  <c r="BX60" i="48"/>
  <c r="BY32" i="48"/>
  <c r="BY22" i="48"/>
  <c r="BY118" i="48"/>
  <c r="BY48" i="48"/>
  <c r="BY16" i="48"/>
  <c r="BX81" i="48"/>
  <c r="BX125" i="48"/>
  <c r="BY54" i="48"/>
  <c r="BX28" i="48"/>
  <c r="BX113" i="48"/>
  <c r="BY27" i="48"/>
  <c r="BY106" i="48"/>
  <c r="BX100" i="48"/>
  <c r="BX78" i="48"/>
  <c r="BX44" i="48"/>
  <c r="BY38" i="48"/>
  <c r="BY14" i="48"/>
  <c r="BY23" i="48"/>
  <c r="BY73" i="48"/>
  <c r="BY25" i="48"/>
  <c r="BX119" i="48"/>
  <c r="BY15" i="48"/>
  <c r="BX115" i="48"/>
  <c r="BY60" i="48"/>
  <c r="BX122" i="48"/>
  <c r="BY89" i="48"/>
  <c r="BY94" i="48"/>
  <c r="BX66" i="48"/>
  <c r="BY40" i="48"/>
  <c r="BY92" i="48"/>
  <c r="BY101" i="48"/>
  <c r="BX39" i="48"/>
  <c r="BX99" i="48"/>
  <c r="BX87" i="48"/>
  <c r="BX65" i="48"/>
  <c r="BX15" i="48"/>
  <c r="BX107" i="48"/>
  <c r="BX114" i="48"/>
  <c r="BY85" i="48"/>
  <c r="BX74" i="48"/>
  <c r="BX59" i="48"/>
  <c r="BY30" i="48"/>
  <c r="BY108" i="48"/>
  <c r="BX85" i="48"/>
  <c r="BY80" i="48"/>
  <c r="BX91" i="48"/>
  <c r="BX76" i="48"/>
  <c r="BY56" i="48"/>
  <c r="BY29" i="48"/>
  <c r="BX20" i="48"/>
  <c r="BX110" i="48"/>
  <c r="BX90" i="48"/>
  <c r="BY59" i="48"/>
  <c r="BX55" i="48"/>
  <c r="BY19" i="48"/>
  <c r="BX31" i="48"/>
  <c r="BY116" i="48"/>
  <c r="BX83" i="48"/>
  <c r="BY119" i="48"/>
  <c r="BY96" i="48"/>
  <c r="BX88" i="48"/>
  <c r="BX51" i="48"/>
  <c r="BX97" i="48"/>
  <c r="BY103" i="48"/>
  <c r="BY95" i="48"/>
  <c r="BX70" i="48"/>
  <c r="BX48" i="48"/>
  <c r="BY41" i="48"/>
  <c r="BY17" i="48"/>
  <c r="BY122" i="48"/>
  <c r="BY98" i="48"/>
  <c r="BY124" i="48"/>
  <c r="BX19" i="48"/>
  <c r="BX101" i="48"/>
  <c r="BX61" i="48"/>
  <c r="BY79" i="48"/>
  <c r="BX22" i="48"/>
  <c r="BX95" i="48"/>
  <c r="BX37" i="48"/>
  <c r="BY51" i="48"/>
  <c r="BY76" i="48"/>
  <c r="BX35" i="48"/>
  <c r="BX93" i="48"/>
  <c r="BX40" i="48"/>
  <c r="BX105" i="48"/>
  <c r="BX57" i="48"/>
  <c r="BX123" i="48"/>
  <c r="BX104" i="48"/>
  <c r="BY47" i="48"/>
  <c r="BY39" i="48"/>
  <c r="BX16" i="48"/>
  <c r="BY120" i="48"/>
  <c r="BX92" i="48"/>
  <c r="BX54" i="48"/>
  <c r="BX43" i="48"/>
  <c r="BY35" i="48"/>
  <c r="BX53" i="48"/>
  <c r="BY121" i="48"/>
  <c r="BY24" i="48"/>
  <c r="BY110" i="48"/>
  <c r="BY43" i="48"/>
  <c r="BY102" i="48"/>
  <c r="BX86" i="48"/>
  <c r="BY46" i="48"/>
  <c r="BX23" i="48"/>
  <c r="BY88" i="48"/>
  <c r="BY104" i="48"/>
  <c r="BY72" i="48"/>
  <c r="BX21" i="48"/>
  <c r="BX24" i="48"/>
  <c r="BY33" i="48"/>
  <c r="AA122" i="49"/>
  <c r="AE122" i="49" s="1"/>
  <c r="AB111" i="49"/>
  <c r="AF111" i="49" s="1"/>
  <c r="AB116" i="49"/>
  <c r="AF116" i="49" s="1"/>
  <c r="AB125" i="49"/>
  <c r="AF125" i="49" s="1"/>
  <c r="AB98" i="49"/>
  <c r="AF98" i="49" s="1"/>
  <c r="AB99" i="49"/>
  <c r="AF99" i="49" s="1"/>
  <c r="AA104" i="49"/>
  <c r="AE104" i="49" s="1"/>
  <c r="AA93" i="49"/>
  <c r="AE93" i="49" s="1"/>
  <c r="AA101" i="49"/>
  <c r="AE101" i="49" s="1"/>
  <c r="AB85" i="49"/>
  <c r="AF85" i="49" s="1"/>
  <c r="AA77" i="49"/>
  <c r="AE77" i="49" s="1"/>
  <c r="AA82" i="49"/>
  <c r="AE82" i="49" s="1"/>
  <c r="AA64" i="49"/>
  <c r="AE64" i="49" s="1"/>
  <c r="AA73" i="49"/>
  <c r="AE73" i="49" s="1"/>
  <c r="AA108" i="49"/>
  <c r="AE108" i="49" s="1"/>
  <c r="AB52" i="49"/>
  <c r="AF52" i="49" s="1"/>
  <c r="AB67" i="49"/>
  <c r="AF67" i="49" s="1"/>
  <c r="AA50" i="49"/>
  <c r="AE50" i="49" s="1"/>
  <c r="AA53" i="49"/>
  <c r="AE53" i="49" s="1"/>
  <c r="AB55" i="49"/>
  <c r="AF55" i="49" s="1"/>
  <c r="AB40" i="49"/>
  <c r="AF40" i="49" s="1"/>
  <c r="AA43" i="49"/>
  <c r="AE43" i="49" s="1"/>
  <c r="AB15" i="49"/>
  <c r="AF15" i="49" s="1"/>
  <c r="AB42" i="49"/>
  <c r="AF42" i="49" s="1"/>
  <c r="AA28" i="49"/>
  <c r="AE28" i="49" s="1"/>
  <c r="AB17" i="49"/>
  <c r="AF17" i="49" s="1"/>
  <c r="AB49" i="49"/>
  <c r="AF49" i="49" s="1"/>
  <c r="AA18" i="49"/>
  <c r="AE18" i="49" s="1"/>
  <c r="AA118" i="49"/>
  <c r="AE118" i="49" s="1"/>
  <c r="AB107" i="49"/>
  <c r="AF107" i="49" s="1"/>
  <c r="AB112" i="49"/>
  <c r="AF112" i="49" s="1"/>
  <c r="AB121" i="49"/>
  <c r="AF121" i="49" s="1"/>
  <c r="AB94" i="49"/>
  <c r="AF94" i="49" s="1"/>
  <c r="AB95" i="49"/>
  <c r="AF95" i="49" s="1"/>
  <c r="AA100" i="49"/>
  <c r="AE100" i="49" s="1"/>
  <c r="AA87" i="49"/>
  <c r="AE87" i="49" s="1"/>
  <c r="AB96" i="49"/>
  <c r="AF96" i="49" s="1"/>
  <c r="AB81" i="49"/>
  <c r="AF81" i="49" s="1"/>
  <c r="AB90" i="49"/>
  <c r="AF90" i="49" s="1"/>
  <c r="AB72" i="49"/>
  <c r="AF72" i="49" s="1"/>
  <c r="AA113" i="49"/>
  <c r="AE113" i="49" s="1"/>
  <c r="AA69" i="49"/>
  <c r="AE69" i="49" s="1"/>
  <c r="AA74" i="49"/>
  <c r="AE74" i="49" s="1"/>
  <c r="AB48" i="49"/>
  <c r="AF48" i="49" s="1"/>
  <c r="AB54" i="49"/>
  <c r="AF54" i="49" s="1"/>
  <c r="AB53" i="49"/>
  <c r="AF53" i="49" s="1"/>
  <c r="AA51" i="49"/>
  <c r="AE51" i="49" s="1"/>
  <c r="AB45" i="49"/>
  <c r="AF45" i="49" s="1"/>
  <c r="AB36" i="49"/>
  <c r="AF36" i="49" s="1"/>
  <c r="AB41" i="49"/>
  <c r="AF41" i="49" s="1"/>
  <c r="AB34" i="49"/>
  <c r="AF34" i="49" s="1"/>
  <c r="AB32" i="49"/>
  <c r="AF32" i="49" s="1"/>
  <c r="AA24" i="49"/>
  <c r="AE24" i="49" s="1"/>
  <c r="AB71" i="49"/>
  <c r="AF71" i="49" s="1"/>
  <c r="AB38" i="49"/>
  <c r="AF38" i="49" s="1"/>
  <c r="AA22" i="49"/>
  <c r="AE22" i="49" s="1"/>
  <c r="AB122" i="49"/>
  <c r="AF122" i="49" s="1"/>
  <c r="AA106" i="49"/>
  <c r="AE106" i="49" s="1"/>
  <c r="AA115" i="49"/>
  <c r="AE115" i="49" s="1"/>
  <c r="AA124" i="49"/>
  <c r="AE124" i="49" s="1"/>
  <c r="AB109" i="49"/>
  <c r="AF109" i="49" s="1"/>
  <c r="AA94" i="49"/>
  <c r="AE94" i="49" s="1"/>
  <c r="AA107" i="49"/>
  <c r="AE107" i="49" s="1"/>
  <c r="AB101" i="49"/>
  <c r="AF101" i="49" s="1"/>
  <c r="AB88" i="49"/>
  <c r="AF88" i="49" s="1"/>
  <c r="AA84" i="49"/>
  <c r="AE84" i="49" s="1"/>
  <c r="AA97" i="49"/>
  <c r="AE97" i="49" s="1"/>
  <c r="AB78" i="49"/>
  <c r="AF78" i="49" s="1"/>
  <c r="AB60" i="49"/>
  <c r="AF60" i="49" s="1"/>
  <c r="AB69" i="49"/>
  <c r="AF69" i="49" s="1"/>
  <c r="AB74" i="49"/>
  <c r="AF74" i="49" s="1"/>
  <c r="AA62" i="49"/>
  <c r="AE62" i="49" s="1"/>
  <c r="AA48" i="49"/>
  <c r="AE48" i="49" s="1"/>
  <c r="AB63" i="49"/>
  <c r="AF63" i="49" s="1"/>
  <c r="AA38" i="49"/>
  <c r="AE38" i="49" s="1"/>
  <c r="AB35" i="49"/>
  <c r="AF35" i="49" s="1"/>
  <c r="AA58" i="49"/>
  <c r="AE58" i="49" s="1"/>
  <c r="AA40" i="49"/>
  <c r="AE40" i="49" s="1"/>
  <c r="AA37" i="49"/>
  <c r="AE37" i="49" s="1"/>
  <c r="AA23" i="49"/>
  <c r="AE23" i="49" s="1"/>
  <c r="AB20" i="49"/>
  <c r="AF20" i="49" s="1"/>
  <c r="AA41" i="49"/>
  <c r="AE41" i="49" s="1"/>
  <c r="AA29" i="49"/>
  <c r="AE29" i="49" s="1"/>
  <c r="AB22" i="49"/>
  <c r="AF22" i="49" s="1"/>
  <c r="AB110" i="49"/>
  <c r="AF110" i="49" s="1"/>
  <c r="AA111" i="49"/>
  <c r="AE111" i="49" s="1"/>
  <c r="AB117" i="49"/>
  <c r="AF117" i="49" s="1"/>
  <c r="AA105" i="49"/>
  <c r="AE105" i="49" s="1"/>
  <c r="AA121" i="49"/>
  <c r="AE121" i="49" s="1"/>
  <c r="AB76" i="49"/>
  <c r="AF76" i="49" s="1"/>
  <c r="AA89" i="49"/>
  <c r="AE89" i="49" s="1"/>
  <c r="AB68" i="49"/>
  <c r="AF68" i="49" s="1"/>
  <c r="AB61" i="49"/>
  <c r="AF61" i="49" s="1"/>
  <c r="AA66" i="49"/>
  <c r="AE66" i="49" s="1"/>
  <c r="AA71" i="49"/>
  <c r="AE71" i="49" s="1"/>
  <c r="AA34" i="49"/>
  <c r="AE34" i="49" s="1"/>
  <c r="AA39" i="49"/>
  <c r="AE39" i="49" s="1"/>
  <c r="AB47" i="49"/>
  <c r="AF47" i="49" s="1"/>
  <c r="AA27" i="49"/>
  <c r="AE27" i="49" s="1"/>
  <c r="AB30" i="49"/>
  <c r="AF30" i="49" s="1"/>
  <c r="AA25" i="49"/>
  <c r="AE25" i="49" s="1"/>
  <c r="AA114" i="49"/>
  <c r="AE114" i="49" s="1"/>
  <c r="AB124" i="49"/>
  <c r="AF124" i="49" s="1"/>
  <c r="AB113" i="49"/>
  <c r="AF113" i="49" s="1"/>
  <c r="AB103" i="49"/>
  <c r="AF103" i="49" s="1"/>
  <c r="AB97" i="49"/>
  <c r="AF97" i="49" s="1"/>
  <c r="AB92" i="49"/>
  <c r="AF92" i="49" s="1"/>
  <c r="AA85" i="49"/>
  <c r="AE85" i="49" s="1"/>
  <c r="AB64" i="49"/>
  <c r="AF64" i="49" s="1"/>
  <c r="AB83" i="49"/>
  <c r="AF83" i="49" s="1"/>
  <c r="AB79" i="49"/>
  <c r="AF79" i="49" s="1"/>
  <c r="AB50" i="49"/>
  <c r="AF50" i="49" s="1"/>
  <c r="AA30" i="49"/>
  <c r="AE30" i="49" s="1"/>
  <c r="AA35" i="49"/>
  <c r="AE35" i="49" s="1"/>
  <c r="AA46" i="49"/>
  <c r="AE46" i="49" s="1"/>
  <c r="AA19" i="49"/>
  <c r="AE19" i="49" s="1"/>
  <c r="AA20" i="49"/>
  <c r="AE20" i="49" s="1"/>
  <c r="AA21" i="49"/>
  <c r="AE21" i="49" s="1"/>
  <c r="AA110" i="49"/>
  <c r="AE110" i="49" s="1"/>
  <c r="AB120" i="49"/>
  <c r="AF120" i="49" s="1"/>
  <c r="AB105" i="49"/>
  <c r="AF105" i="49" s="1"/>
  <c r="AB91" i="49"/>
  <c r="AF91" i="49" s="1"/>
  <c r="AB93" i="49"/>
  <c r="AF93" i="49" s="1"/>
  <c r="AA88" i="49"/>
  <c r="AE88" i="49" s="1"/>
  <c r="AA81" i="49"/>
  <c r="AE81" i="49" s="1"/>
  <c r="AA78" i="49"/>
  <c r="AE78" i="49" s="1"/>
  <c r="AA65" i="49"/>
  <c r="AE65" i="49" s="1"/>
  <c r="AA59" i="49"/>
  <c r="AE59" i="49" s="1"/>
  <c r="AA67" i="49"/>
  <c r="AE67" i="49" s="1"/>
  <c r="AB75" i="49"/>
  <c r="AF75" i="49" s="1"/>
  <c r="AA57" i="49"/>
  <c r="AE57" i="49" s="1"/>
  <c r="AB37" i="49"/>
  <c r="AF37" i="49" s="1"/>
  <c r="AA15" i="49"/>
  <c r="AE15" i="49" s="1"/>
  <c r="AA16" i="49"/>
  <c r="AE16" i="49" s="1"/>
  <c r="AA17" i="49"/>
  <c r="AE17" i="49" s="1"/>
  <c r="AB123" i="49"/>
  <c r="AF123" i="49" s="1"/>
  <c r="AB108" i="49"/>
  <c r="AF108" i="49" s="1"/>
  <c r="AB106" i="49"/>
  <c r="AF106" i="49" s="1"/>
  <c r="AA117" i="49"/>
  <c r="AE117" i="49" s="1"/>
  <c r="AB100" i="49"/>
  <c r="AF100" i="49" s="1"/>
  <c r="AA80" i="49"/>
  <c r="AE80" i="49" s="1"/>
  <c r="AB86" i="49"/>
  <c r="AF86" i="49" s="1"/>
  <c r="AA72" i="49"/>
  <c r="AE72" i="49" s="1"/>
  <c r="AA61" i="49"/>
  <c r="AE61" i="49" s="1"/>
  <c r="AB56" i="49"/>
  <c r="AF56" i="49" s="1"/>
  <c r="AA60" i="49"/>
  <c r="AE60" i="49" s="1"/>
  <c r="AB44" i="49"/>
  <c r="AF44" i="49" s="1"/>
  <c r="AA55" i="49"/>
  <c r="AE55" i="49" s="1"/>
  <c r="AB33" i="49"/>
  <c r="AF33" i="49" s="1"/>
  <c r="AA63" i="49"/>
  <c r="AE63" i="49" s="1"/>
  <c r="AB29" i="49"/>
  <c r="AF29" i="49" s="1"/>
  <c r="AA31" i="49"/>
  <c r="AE31" i="49" s="1"/>
  <c r="AB119" i="49"/>
  <c r="AF119" i="49" s="1"/>
  <c r="AB104" i="49"/>
  <c r="AF104" i="49" s="1"/>
  <c r="AB102" i="49"/>
  <c r="AF102" i="49" s="1"/>
  <c r="AA103" i="49"/>
  <c r="AE103" i="49" s="1"/>
  <c r="AA83" i="49"/>
  <c r="AE83" i="49" s="1"/>
  <c r="AA92" i="49"/>
  <c r="AE92" i="49" s="1"/>
  <c r="AB82" i="49"/>
  <c r="AF82" i="49" s="1"/>
  <c r="AA68" i="49"/>
  <c r="AE68" i="49" s="1"/>
  <c r="AB70" i="49"/>
  <c r="AF70" i="49" s="1"/>
  <c r="AA56" i="49"/>
  <c r="AE56" i="49" s="1"/>
  <c r="AB58" i="49"/>
  <c r="AF58" i="49" s="1"/>
  <c r="AB39" i="49"/>
  <c r="AF39" i="49" s="1"/>
  <c r="AA45" i="49"/>
  <c r="AE45" i="49" s="1"/>
  <c r="AB27" i="49"/>
  <c r="AF27" i="49" s="1"/>
  <c r="AB28" i="49"/>
  <c r="AF28" i="49" s="1"/>
  <c r="AB25" i="49"/>
  <c r="AF25" i="49" s="1"/>
  <c r="AB26" i="49"/>
  <c r="AF26" i="49" s="1"/>
  <c r="AB115" i="49"/>
  <c r="AF115" i="49" s="1"/>
  <c r="AA120" i="49"/>
  <c r="AE120" i="49" s="1"/>
  <c r="AA102" i="49"/>
  <c r="AE102" i="49" s="1"/>
  <c r="AA99" i="49"/>
  <c r="AE99" i="49" s="1"/>
  <c r="AA79" i="49"/>
  <c r="AE79" i="49" s="1"/>
  <c r="AB89" i="49"/>
  <c r="AF89" i="49" s="1"/>
  <c r="AA91" i="49"/>
  <c r="AE91" i="49" s="1"/>
  <c r="AA76" i="49"/>
  <c r="AE76" i="49" s="1"/>
  <c r="AB66" i="49"/>
  <c r="AF66" i="49" s="1"/>
  <c r="AA52" i="49"/>
  <c r="AE52" i="49" s="1"/>
  <c r="AA54" i="49"/>
  <c r="AE54" i="49" s="1"/>
  <c r="AB31" i="49"/>
  <c r="AF31" i="49" s="1"/>
  <c r="AB46" i="49"/>
  <c r="AF46" i="49" s="1"/>
  <c r="AB23" i="49"/>
  <c r="AF23" i="49" s="1"/>
  <c r="AB24" i="49"/>
  <c r="AF24" i="49" s="1"/>
  <c r="AB21" i="49"/>
  <c r="AF21" i="49" s="1"/>
  <c r="AB18" i="49"/>
  <c r="AF18" i="49" s="1"/>
  <c r="AB118" i="49"/>
  <c r="AF118" i="49" s="1"/>
  <c r="AA123" i="49"/>
  <c r="AE123" i="49" s="1"/>
  <c r="AA116" i="49"/>
  <c r="AE116" i="49" s="1"/>
  <c r="AA98" i="49"/>
  <c r="AE98" i="49" s="1"/>
  <c r="AA95" i="49"/>
  <c r="AE95" i="49" s="1"/>
  <c r="AB84" i="49"/>
  <c r="AF84" i="49" s="1"/>
  <c r="AB77" i="49"/>
  <c r="AF77" i="49" s="1"/>
  <c r="AA90" i="49"/>
  <c r="AE90" i="49" s="1"/>
  <c r="AB73" i="49"/>
  <c r="AF73" i="49" s="1"/>
  <c r="AB62" i="49"/>
  <c r="AF62" i="49" s="1"/>
  <c r="AA44" i="49"/>
  <c r="AE44" i="49" s="1"/>
  <c r="AB51" i="49"/>
  <c r="AF51" i="49" s="1"/>
  <c r="AB87" i="49"/>
  <c r="AF87" i="49" s="1"/>
  <c r="AB43" i="49"/>
  <c r="AF43" i="49" s="1"/>
  <c r="AB19" i="49"/>
  <c r="AF19" i="49" s="1"/>
  <c r="AB16" i="49"/>
  <c r="AF16" i="49" s="1"/>
  <c r="AB59" i="49"/>
  <c r="AF59" i="49" s="1"/>
  <c r="AA49" i="49"/>
  <c r="AE49" i="49" s="1"/>
  <c r="AA112" i="49"/>
  <c r="AE112" i="49" s="1"/>
  <c r="AA75" i="49"/>
  <c r="AE75" i="49" s="1"/>
  <c r="AB80" i="49"/>
  <c r="AF80" i="49" s="1"/>
  <c r="AA36" i="49"/>
  <c r="AE36" i="49" s="1"/>
  <c r="AA109" i="49"/>
  <c r="AE109" i="49" s="1"/>
  <c r="AA33" i="49"/>
  <c r="AE33" i="49" s="1"/>
  <c r="AA86" i="49"/>
  <c r="AE86" i="49" s="1"/>
  <c r="AA32" i="49"/>
  <c r="AE32" i="49" s="1"/>
  <c r="AA119" i="49"/>
  <c r="AE119" i="49" s="1"/>
  <c r="AA70" i="49"/>
  <c r="AE70" i="49" s="1"/>
  <c r="AA26" i="49"/>
  <c r="AE26" i="49" s="1"/>
  <c r="AB57" i="49"/>
  <c r="AF57" i="49" s="1"/>
  <c r="AA47" i="49"/>
  <c r="AE47" i="49" s="1"/>
  <c r="AA125" i="49"/>
  <c r="AE125" i="49" s="1"/>
  <c r="AB65" i="49"/>
  <c r="AF65" i="49" s="1"/>
  <c r="AA42" i="49"/>
  <c r="AE42" i="49" s="1"/>
  <c r="AA96" i="49"/>
  <c r="AE96" i="49" s="1"/>
  <c r="AB114" i="49"/>
  <c r="AF114" i="49" s="1"/>
  <c r="M105" i="47" a="1"/>
  <c r="M105" i="47" s="1"/>
  <c r="N95" i="47" a="1"/>
  <c r="N95" i="47" s="1"/>
  <c r="M103" i="47" a="1"/>
  <c r="M103" i="47" s="1"/>
  <c r="N88" i="47" a="1"/>
  <c r="N88" i="47" s="1"/>
  <c r="N63" i="47" a="1"/>
  <c r="N63" i="47" s="1"/>
  <c r="N102" i="47" a="1"/>
  <c r="N102" i="47" s="1"/>
  <c r="M114" i="47" a="1"/>
  <c r="M114" i="47" s="1"/>
  <c r="N113" i="47" a="1"/>
  <c r="N113" i="47" s="1"/>
  <c r="M85" i="47" a="1"/>
  <c r="M85" i="47" s="1"/>
  <c r="N59" i="47" a="1"/>
  <c r="N59" i="47" s="1"/>
  <c r="N52" i="47" a="1"/>
  <c r="N52" i="47" s="1"/>
  <c r="M45" i="47" a="1"/>
  <c r="M45" i="47" s="1"/>
  <c r="N23" i="47" a="1"/>
  <c r="N23" i="47" s="1"/>
  <c r="N22" i="47" a="1"/>
  <c r="N22" i="47" s="1"/>
  <c r="M58" i="47" a="1"/>
  <c r="M58" i="47" s="1"/>
  <c r="M104" i="47" a="1"/>
  <c r="M104" i="47" s="1"/>
  <c r="M35" i="47" a="1"/>
  <c r="M35" i="47" s="1"/>
  <c r="N36" i="47" a="1"/>
  <c r="N36" i="47" s="1"/>
  <c r="N89" i="47" a="1"/>
  <c r="N89" i="47" s="1"/>
  <c r="N119" i="47" a="1"/>
  <c r="N119" i="47" s="1"/>
  <c r="N90" i="47" a="1"/>
  <c r="N90" i="47" s="1"/>
  <c r="N121" i="47" a="1"/>
  <c r="N121" i="47" s="1"/>
  <c r="N74" i="47" a="1"/>
  <c r="N74" i="47" s="1"/>
  <c r="N70" i="47" a="1"/>
  <c r="N70" i="47" s="1"/>
  <c r="N47" i="47" a="1"/>
  <c r="N47" i="47" s="1"/>
  <c r="M41" i="47" a="1"/>
  <c r="M41" i="47" s="1"/>
  <c r="M38" i="47" a="1"/>
  <c r="M38" i="47" s="1"/>
  <c r="N21" i="47" a="1"/>
  <c r="N21" i="47" s="1"/>
  <c r="M18" i="47" a="1"/>
  <c r="M18" i="47" s="1"/>
  <c r="M69" i="47" a="1"/>
  <c r="M69" i="47" s="1"/>
  <c r="M111" i="47" a="1"/>
  <c r="M111" i="47" s="1"/>
  <c r="M72" i="47" a="1"/>
  <c r="M72" i="47" s="1"/>
  <c r="N53" i="47" a="1"/>
  <c r="N53" i="47" s="1"/>
  <c r="N120" i="47" a="1"/>
  <c r="N120" i="47" s="1"/>
  <c r="N123" i="47" a="1"/>
  <c r="N123" i="47" s="1"/>
  <c r="N92" i="47" a="1"/>
  <c r="N92" i="47" s="1"/>
  <c r="N77" i="47" a="1"/>
  <c r="N77" i="47" s="1"/>
  <c r="N39" i="47" a="1"/>
  <c r="N39" i="47" s="1"/>
  <c r="N46" i="47" a="1"/>
  <c r="N46" i="47" s="1"/>
  <c r="N50" i="47" a="1"/>
  <c r="N50" i="47" s="1"/>
  <c r="N24" i="47" a="1"/>
  <c r="N24" i="47" s="1"/>
  <c r="M91" i="47" a="1"/>
  <c r="M91" i="47" s="1"/>
  <c r="M61" i="47" a="1"/>
  <c r="M61" i="47" s="1"/>
  <c r="N61" i="47" a="1"/>
  <c r="N61" i="47" s="1"/>
  <c r="M74" i="47" a="1"/>
  <c r="M74" i="47" s="1"/>
  <c r="N49" i="47" a="1"/>
  <c r="N49" i="47" s="1"/>
  <c r="M83" i="47" a="1"/>
  <c r="M83" i="47" s="1"/>
  <c r="N66" i="47" a="1"/>
  <c r="N66" i="47" s="1"/>
  <c r="M51" i="47" a="1"/>
  <c r="M51" i="47" s="1"/>
  <c r="M84" i="47" a="1"/>
  <c r="M84" i="47" s="1"/>
  <c r="M52" i="47" a="1"/>
  <c r="M52" i="47" s="1"/>
  <c r="N34" i="47" a="1"/>
  <c r="N34" i="47" s="1"/>
  <c r="M90" i="47" a="1"/>
  <c r="M90" i="47" s="1"/>
  <c r="M16" i="47" a="1"/>
  <c r="M16" i="47" s="1"/>
  <c r="M40" i="47" a="1"/>
  <c r="M40" i="47" s="1"/>
  <c r="M93" i="47" a="1"/>
  <c r="M93" i="47" s="1"/>
  <c r="N112" i="47" a="1"/>
  <c r="N112" i="47" s="1"/>
  <c r="M79" i="47" a="1"/>
  <c r="M79" i="47" s="1"/>
  <c r="N111" i="47" a="1"/>
  <c r="N111" i="47" s="1"/>
  <c r="N117" i="47" a="1"/>
  <c r="N117" i="47" s="1"/>
  <c r="N73" i="47" a="1"/>
  <c r="N73" i="47" s="1"/>
  <c r="N68" i="47" a="1"/>
  <c r="N68" i="47" s="1"/>
  <c r="N37" i="47" a="1"/>
  <c r="N37" i="47" s="1"/>
  <c r="M21" i="47" a="1"/>
  <c r="M21" i="47" s="1"/>
  <c r="N26" i="47" a="1"/>
  <c r="N26" i="47" s="1"/>
  <c r="N109" i="47" a="1"/>
  <c r="N109" i="47" s="1"/>
  <c r="N85" i="47" a="1"/>
  <c r="N85" i="47" s="1"/>
  <c r="M70" i="47" a="1"/>
  <c r="M70" i="47" s="1"/>
  <c r="M121" i="47" a="1"/>
  <c r="M121" i="47" s="1"/>
  <c r="N40" i="47" a="1"/>
  <c r="N40" i="47" s="1"/>
  <c r="N99" i="47" a="1"/>
  <c r="N99" i="47" s="1"/>
  <c r="M89" i="47" a="1"/>
  <c r="M89" i="47" s="1"/>
  <c r="M33" i="47" a="1"/>
  <c r="M33" i="47" s="1"/>
  <c r="M99" i="47" a="1"/>
  <c r="M99" i="47" s="1"/>
  <c r="N48" i="47" a="1"/>
  <c r="N48" i="47" s="1"/>
  <c r="M50" i="47" a="1"/>
  <c r="M50" i="47" s="1"/>
  <c r="M75" i="47" a="1"/>
  <c r="M75" i="47" s="1"/>
  <c r="M44" i="47" a="1"/>
  <c r="M44" i="47" s="1"/>
  <c r="M77" i="47" a="1"/>
  <c r="M77" i="47" s="1"/>
  <c r="M86" i="47" a="1"/>
  <c r="M86" i="47" s="1"/>
  <c r="N108" i="47" a="1"/>
  <c r="N108" i="47" s="1"/>
  <c r="N97" i="47" a="1"/>
  <c r="N97" i="47" s="1"/>
  <c r="N104" i="47" a="1"/>
  <c r="N104" i="47" s="1"/>
  <c r="M66" i="47" a="1"/>
  <c r="M66" i="47" s="1"/>
  <c r="N54" i="47" a="1"/>
  <c r="N54" i="47" s="1"/>
  <c r="M37" i="47" a="1"/>
  <c r="M37" i="47" s="1"/>
  <c r="N20" i="47" a="1"/>
  <c r="N20" i="47" s="1"/>
  <c r="M55" i="47" a="1"/>
  <c r="M55" i="47" s="1"/>
  <c r="M116" i="47" a="1"/>
  <c r="M116" i="47" s="1"/>
  <c r="M102" i="47" a="1"/>
  <c r="M102" i="47" s="1"/>
  <c r="M71" i="47" a="1"/>
  <c r="M71" i="47" s="1"/>
  <c r="M17" i="47" a="1"/>
  <c r="M17" i="47" s="1"/>
  <c r="N60" i="47" a="1"/>
  <c r="N60" i="47" s="1"/>
  <c r="M108" i="47" a="1"/>
  <c r="M108" i="47" s="1"/>
  <c r="M30" i="47" a="1"/>
  <c r="M30" i="47" s="1"/>
  <c r="M46" i="47" a="1"/>
  <c r="M46" i="47" s="1"/>
  <c r="N93" i="47" a="1"/>
  <c r="N93" i="47" s="1"/>
  <c r="M98" i="47" a="1"/>
  <c r="M98" i="47" s="1"/>
  <c r="N44" i="47" a="1"/>
  <c r="N44" i="47" s="1"/>
  <c r="N79" i="47" a="1"/>
  <c r="N79" i="47" s="1"/>
  <c r="M115" i="47" a="1"/>
  <c r="M115" i="47" s="1"/>
  <c r="M56" i="47" a="1"/>
  <c r="M56" i="47" s="1"/>
  <c r="N91" i="47" a="1"/>
  <c r="N91" i="47" s="1"/>
  <c r="M113" i="47" a="1"/>
  <c r="M113" i="47" s="1"/>
  <c r="N86" i="47" a="1"/>
  <c r="N86" i="47" s="1"/>
  <c r="N82" i="47" a="1"/>
  <c r="N82" i="47" s="1"/>
  <c r="N62" i="47" a="1"/>
  <c r="N62" i="47" s="1"/>
  <c r="N69" i="47" a="1"/>
  <c r="N69" i="47" s="1"/>
  <c r="M36" i="47" a="1"/>
  <c r="M36" i="47" s="1"/>
  <c r="M20" i="47" a="1"/>
  <c r="M20" i="47" s="1"/>
  <c r="M65" i="47" a="1"/>
  <c r="M65" i="47" s="1"/>
  <c r="N118" i="47" a="1"/>
  <c r="N118" i="47" s="1"/>
  <c r="N29" i="47" a="1"/>
  <c r="N29" i="47" s="1"/>
  <c r="M109" i="47" a="1"/>
  <c r="M109" i="47" s="1"/>
  <c r="M32" i="47" a="1"/>
  <c r="M32" i="47" s="1"/>
  <c r="N56" i="47" a="1"/>
  <c r="N56" i="47" s="1"/>
  <c r="M106" i="47" a="1"/>
  <c r="M106" i="47" s="1"/>
  <c r="M25" i="47" a="1"/>
  <c r="M25" i="47" s="1"/>
  <c r="N64" i="47" a="1"/>
  <c r="N64" i="47" s="1"/>
  <c r="M94" i="47" a="1"/>
  <c r="M94" i="47" s="1"/>
  <c r="M87" i="47" a="1"/>
  <c r="M87" i="47" s="1"/>
  <c r="M59" i="47" a="1"/>
  <c r="M59" i="47" s="1"/>
  <c r="M97" i="47" a="1"/>
  <c r="M97" i="47" s="1"/>
  <c r="N101" i="47" a="1"/>
  <c r="N101" i="47" s="1"/>
  <c r="N65" i="47" a="1"/>
  <c r="N65" i="47" s="1"/>
  <c r="N76" i="47" a="1"/>
  <c r="N76" i="47" s="1"/>
  <c r="M49" i="47" a="1"/>
  <c r="M49" i="47" s="1"/>
  <c r="M122" i="47" a="1"/>
  <c r="M122" i="47" s="1"/>
  <c r="N78" i="47" a="1"/>
  <c r="N78" i="47" s="1"/>
  <c r="N58" i="47" a="1"/>
  <c r="N58" i="47" s="1"/>
  <c r="M54" i="47" a="1"/>
  <c r="M54" i="47" s="1"/>
  <c r="N31" i="47" a="1"/>
  <c r="N31" i="47" s="1"/>
  <c r="M15" i="47" a="1"/>
  <c r="M15" i="47" s="1"/>
  <c r="M60" i="47" a="1"/>
  <c r="M60" i="47" s="1"/>
  <c r="M125" i="47" a="1"/>
  <c r="M125" i="47" s="1"/>
  <c r="N19" i="47" a="1"/>
  <c r="N19" i="47" s="1"/>
  <c r="N103" i="47" a="1"/>
  <c r="N103" i="47" s="1"/>
  <c r="M24" i="47" a="1"/>
  <c r="M24" i="47" s="1"/>
  <c r="M62" i="47" a="1"/>
  <c r="M62" i="47" s="1"/>
  <c r="M119" i="47" a="1"/>
  <c r="M119" i="47" s="1"/>
  <c r="M19" i="47" a="1"/>
  <c r="M19" i="47" s="1"/>
  <c r="M63" i="47" a="1"/>
  <c r="M63" i="47" s="1"/>
  <c r="N105" i="47" a="1"/>
  <c r="N105" i="47" s="1"/>
  <c r="N96" i="47" a="1"/>
  <c r="N96" i="47" s="1"/>
  <c r="M68" i="47" a="1"/>
  <c r="M68" i="47" s="1"/>
  <c r="N110" i="47" a="1"/>
  <c r="N110" i="47" s="1"/>
  <c r="N124" i="47" a="1"/>
  <c r="N124" i="47" s="1"/>
  <c r="N87" i="47" a="1"/>
  <c r="N87" i="47" s="1"/>
  <c r="N106" i="47" a="1"/>
  <c r="N106" i="47" s="1"/>
  <c r="N57" i="47" a="1"/>
  <c r="N57" i="47" s="1"/>
  <c r="M124" i="47" a="1"/>
  <c r="M124" i="47" s="1"/>
  <c r="M118" i="47" a="1"/>
  <c r="M118" i="47" s="1"/>
  <c r="N107" i="47" a="1"/>
  <c r="N107" i="47" s="1"/>
  <c r="N55" i="47" a="1"/>
  <c r="N55" i="47" s="1"/>
  <c r="N35" i="47" a="1"/>
  <c r="N35" i="47" s="1"/>
  <c r="N27" i="47" a="1"/>
  <c r="N27" i="47" s="1"/>
  <c r="M22" i="47" a="1"/>
  <c r="M22" i="47" s="1"/>
  <c r="M76" i="47" a="1"/>
  <c r="M76" i="47" s="1"/>
  <c r="M78" i="47" a="1"/>
  <c r="M78" i="47" s="1"/>
  <c r="M29" i="47" a="1"/>
  <c r="M29" i="47" s="1"/>
  <c r="M57" i="47" a="1"/>
  <c r="M57" i="47" s="1"/>
  <c r="N38" i="47" a="1"/>
  <c r="N38" i="47" s="1"/>
  <c r="M81" i="47" a="1"/>
  <c r="M81" i="47" s="1"/>
  <c r="M107" i="47" a="1"/>
  <c r="M107" i="47" s="1"/>
  <c r="M27" i="47" a="1"/>
  <c r="M27" i="47" s="1"/>
  <c r="N71" i="47" a="1"/>
  <c r="N71" i="47" s="1"/>
  <c r="N114" i="47" a="1"/>
  <c r="N114" i="47" s="1"/>
  <c r="N18" i="47" a="1"/>
  <c r="N18" i="47" s="1"/>
  <c r="M92" i="47" a="1"/>
  <c r="M92" i="47" s="1"/>
  <c r="M120" i="47" a="1"/>
  <c r="M120" i="47" s="1"/>
  <c r="M23" i="47" a="1"/>
  <c r="M23" i="47" s="1"/>
  <c r="M73" i="47" a="1"/>
  <c r="M73" i="47" s="1"/>
  <c r="N94" i="47" a="1"/>
  <c r="N94" i="47" s="1"/>
  <c r="M112" i="47" a="1"/>
  <c r="M112" i="47" s="1"/>
  <c r="N115" i="47" a="1"/>
  <c r="N115" i="47" s="1"/>
  <c r="N98" i="47" a="1"/>
  <c r="N98" i="47" s="1"/>
  <c r="N100" i="47" a="1"/>
  <c r="N100" i="47" s="1"/>
  <c r="N51" i="47" a="1"/>
  <c r="N51" i="47" s="1"/>
  <c r="M34" i="47" a="1"/>
  <c r="M34" i="47" s="1"/>
  <c r="M53" i="47" a="1"/>
  <c r="M53" i="47" s="1"/>
  <c r="N16" i="47" a="1"/>
  <c r="N16" i="47" s="1"/>
  <c r="N80" i="47" a="1"/>
  <c r="N80" i="47" s="1"/>
  <c r="M117" i="47" a="1"/>
  <c r="M117" i="47" s="1"/>
  <c r="M43" i="47" a="1"/>
  <c r="M43" i="47" s="1"/>
  <c r="M100" i="47" a="1"/>
  <c r="M100" i="47" s="1"/>
  <c r="M47" i="47" a="1"/>
  <c r="M47" i="47" s="1"/>
  <c r="M80" i="47" a="1"/>
  <c r="M80" i="47" s="1"/>
  <c r="M42" i="47" a="1"/>
  <c r="M42" i="47" s="1"/>
  <c r="N28" i="47" a="1"/>
  <c r="N28" i="47" s="1"/>
  <c r="N81" i="47" a="1"/>
  <c r="N81" i="47" s="1"/>
  <c r="M123" i="47" a="1"/>
  <c r="M123" i="47" s="1"/>
  <c r="N15" i="47" a="1"/>
  <c r="N15" i="47" s="1"/>
  <c r="M64" i="47" a="1"/>
  <c r="M64" i="47" s="1"/>
  <c r="N122" i="47" a="1"/>
  <c r="N122" i="47" s="1"/>
  <c r="N25" i="47" a="1"/>
  <c r="N25" i="47" s="1"/>
  <c r="M67" i="47" a="1"/>
  <c r="M67" i="47" s="1"/>
  <c r="M96" i="47" a="1"/>
  <c r="M96" i="47" s="1"/>
  <c r="N41" i="47" a="1"/>
  <c r="N41" i="47" s="1"/>
  <c r="M39" i="47" a="1"/>
  <c r="M39" i="47" s="1"/>
  <c r="N125" i="47" a="1"/>
  <c r="N125" i="47" s="1"/>
  <c r="M95" i="47" a="1"/>
  <c r="M95" i="47" s="1"/>
  <c r="N84" i="47" a="1"/>
  <c r="N84" i="47" s="1"/>
  <c r="N43" i="47" a="1"/>
  <c r="N43" i="47" s="1"/>
  <c r="N42" i="47" a="1"/>
  <c r="N42" i="47" s="1"/>
  <c r="N17" i="47" a="1"/>
  <c r="N17" i="47" s="1"/>
  <c r="M31" i="47" a="1"/>
  <c r="M31" i="47" s="1"/>
  <c r="M101" i="47" a="1"/>
  <c r="M101" i="47" s="1"/>
  <c r="N45" i="47" a="1"/>
  <c r="N45" i="47" s="1"/>
  <c r="M82" i="47" a="1"/>
  <c r="M82" i="47" s="1"/>
  <c r="N67" i="47" a="1"/>
  <c r="N67" i="47" s="1"/>
  <c r="N30" i="47" a="1"/>
  <c r="N30" i="47" s="1"/>
  <c r="N72" i="47" a="1"/>
  <c r="N72" i="47" s="1"/>
  <c r="M26" i="47" a="1"/>
  <c r="M26" i="47" s="1"/>
  <c r="M88" i="47" a="1"/>
  <c r="M88" i="47" s="1"/>
  <c r="N32" i="47" a="1"/>
  <c r="N32" i="47" s="1"/>
  <c r="M28" i="47" a="1"/>
  <c r="M28" i="47" s="1"/>
  <c r="N75" i="47" a="1"/>
  <c r="N75" i="47" s="1"/>
  <c r="N116" i="47" a="1"/>
  <c r="N116" i="47" s="1"/>
  <c r="N33" i="47" a="1"/>
  <c r="N33" i="47" s="1"/>
  <c r="N83" i="47" a="1"/>
  <c r="N83" i="47" s="1"/>
  <c r="M110" i="47" a="1"/>
  <c r="M110" i="47" s="1"/>
  <c r="M48" i="47" a="1"/>
  <c r="M48" i="47" s="1"/>
  <c r="AT120" i="49"/>
  <c r="AT98" i="49"/>
  <c r="AU88" i="49"/>
  <c r="AT100" i="49"/>
  <c r="AU98" i="49"/>
  <c r="AU65" i="49"/>
  <c r="AT75" i="49"/>
  <c r="AU54" i="49"/>
  <c r="AT57" i="49"/>
  <c r="AT15" i="49"/>
  <c r="AT32" i="49"/>
  <c r="AT25" i="49"/>
  <c r="AU27" i="49"/>
  <c r="AT74" i="49"/>
  <c r="AU116" i="49"/>
  <c r="AT24" i="49"/>
  <c r="AU66" i="49"/>
  <c r="AU104" i="49"/>
  <c r="AT14" i="49"/>
  <c r="AT66" i="49"/>
  <c r="AU119" i="49"/>
  <c r="AT69" i="49"/>
  <c r="AT16" i="49"/>
  <c r="AU86" i="49"/>
  <c r="AT39" i="49"/>
  <c r="AT50" i="49"/>
  <c r="AU14" i="49"/>
  <c r="AT115" i="49"/>
  <c r="AT116" i="49"/>
  <c r="AT94" i="49"/>
  <c r="AU84" i="49"/>
  <c r="AU92" i="49"/>
  <c r="AT96" i="49"/>
  <c r="AU118" i="49"/>
  <c r="AT71" i="49"/>
  <c r="AT53" i="49"/>
  <c r="AU56" i="49"/>
  <c r="AU48" i="49"/>
  <c r="AT30" i="49"/>
  <c r="AT21" i="49"/>
  <c r="AU19" i="49"/>
  <c r="AT61" i="49"/>
  <c r="AT22" i="49"/>
  <c r="AU18" i="49"/>
  <c r="AU63" i="49"/>
  <c r="AU103" i="49"/>
  <c r="AT56" i="49"/>
  <c r="AU82" i="49"/>
  <c r="AU124" i="49"/>
  <c r="AT73" i="49"/>
  <c r="AU32" i="49"/>
  <c r="AT89" i="49"/>
  <c r="AT20" i="49"/>
  <c r="AT48" i="49"/>
  <c r="AU35" i="49"/>
  <c r="AU107" i="49"/>
  <c r="AT114" i="49"/>
  <c r="AT104" i="49"/>
  <c r="AU122" i="49"/>
  <c r="AT84" i="49"/>
  <c r="AU81" i="49"/>
  <c r="AU83" i="49"/>
  <c r="AT59" i="49"/>
  <c r="AT49" i="49"/>
  <c r="AU46" i="49"/>
  <c r="AT47" i="49"/>
  <c r="AT34" i="49"/>
  <c r="AU21" i="49"/>
  <c r="AU59" i="49"/>
  <c r="AU22" i="49"/>
  <c r="AU91" i="49"/>
  <c r="AT33" i="49"/>
  <c r="AU58" i="49"/>
  <c r="AU76" i="49"/>
  <c r="AT109" i="49"/>
  <c r="AU57" i="49"/>
  <c r="AT103" i="49"/>
  <c r="AT46" i="49"/>
  <c r="AU123" i="49"/>
  <c r="AU33" i="49"/>
  <c r="AT105" i="49"/>
  <c r="AT35" i="49"/>
  <c r="AU90" i="49"/>
  <c r="AT90" i="49"/>
  <c r="AT122" i="49"/>
  <c r="AU106" i="49"/>
  <c r="AT88" i="49"/>
  <c r="AT77" i="49"/>
  <c r="AU79" i="49"/>
  <c r="AU52" i="49"/>
  <c r="AT23" i="49"/>
  <c r="AU25" i="49"/>
  <c r="AT38" i="49"/>
  <c r="AT107" i="49"/>
  <c r="AT45" i="49"/>
  <c r="AT81" i="49"/>
  <c r="AU31" i="49"/>
  <c r="AU105" i="49"/>
  <c r="AT111" i="49"/>
  <c r="AU115" i="49"/>
  <c r="AU47" i="49"/>
  <c r="AU49" i="49"/>
  <c r="AT118" i="49"/>
  <c r="AT102" i="49"/>
  <c r="AT80" i="49"/>
  <c r="AU94" i="49"/>
  <c r="AT79" i="49"/>
  <c r="AT51" i="49"/>
  <c r="AT19" i="49"/>
  <c r="AU17" i="49"/>
  <c r="AU16" i="49"/>
  <c r="AU117" i="49"/>
  <c r="AT41" i="49"/>
  <c r="AU99" i="49"/>
  <c r="AT85" i="49"/>
  <c r="AT26" i="49"/>
  <c r="AT113" i="49"/>
  <c r="AT95" i="49"/>
  <c r="AU75" i="49"/>
  <c r="AT125" i="49"/>
  <c r="AT110" i="49"/>
  <c r="AT106" i="49"/>
  <c r="AT76" i="49"/>
  <c r="AU87" i="49"/>
  <c r="AU72" i="49"/>
  <c r="AU43" i="49"/>
  <c r="AU34" i="49"/>
  <c r="AU64" i="49"/>
  <c r="AU28" i="49"/>
  <c r="AU112" i="49"/>
  <c r="AU55" i="49"/>
  <c r="AU93" i="49"/>
  <c r="AU71" i="49"/>
  <c r="AU24" i="49"/>
  <c r="AU113" i="49"/>
  <c r="AU121" i="49"/>
  <c r="AT64" i="49"/>
  <c r="AU120" i="49"/>
  <c r="AT123" i="49"/>
  <c r="AU110" i="49"/>
  <c r="AU102" i="49"/>
  <c r="AT87" i="49"/>
  <c r="AU68" i="49"/>
  <c r="AT40" i="49"/>
  <c r="AU42" i="49"/>
  <c r="AT29" i="49"/>
  <c r="AT97" i="49"/>
  <c r="AU20" i="49"/>
  <c r="AT54" i="49"/>
  <c r="AT117" i="49"/>
  <c r="AU62" i="49"/>
  <c r="AT43" i="49"/>
  <c r="AU26" i="49"/>
  <c r="AT37" i="49"/>
  <c r="AT68" i="49"/>
  <c r="AT124" i="49"/>
  <c r="AT119" i="49"/>
  <c r="AU114" i="49"/>
  <c r="AU89" i="49"/>
  <c r="AU73" i="49"/>
  <c r="AU50" i="49"/>
  <c r="AT36" i="49"/>
  <c r="AU30" i="49"/>
  <c r="AT17" i="49"/>
  <c r="AT52" i="49"/>
  <c r="AU40" i="49"/>
  <c r="AT65" i="49"/>
  <c r="AU125" i="49"/>
  <c r="AT86" i="49"/>
  <c r="AU45" i="49"/>
  <c r="AU41" i="49"/>
  <c r="AU36" i="49"/>
  <c r="AT91" i="49"/>
  <c r="AT112" i="49"/>
  <c r="AU100" i="49"/>
  <c r="AU85" i="49"/>
  <c r="AU69" i="49"/>
  <c r="AT67" i="49"/>
  <c r="AT55" i="49"/>
  <c r="AU61" i="49"/>
  <c r="AU38" i="49"/>
  <c r="AT60" i="49"/>
  <c r="AT72" i="49"/>
  <c r="AU70" i="49"/>
  <c r="AU111" i="49"/>
  <c r="AT99" i="49"/>
  <c r="AU51" i="49"/>
  <c r="AU53" i="49"/>
  <c r="AU39" i="49"/>
  <c r="AT44" i="49"/>
  <c r="AT108" i="49"/>
  <c r="AU96" i="49"/>
  <c r="AU77" i="49"/>
  <c r="AU74" i="49"/>
  <c r="AT63" i="49"/>
  <c r="AT58" i="49"/>
  <c r="AT42" i="49"/>
  <c r="AU23" i="49"/>
  <c r="AU97" i="49"/>
  <c r="AU78" i="49"/>
  <c r="AU67" i="49"/>
  <c r="AT28" i="49"/>
  <c r="AT121" i="49"/>
  <c r="AT82" i="49"/>
  <c r="AT62" i="49"/>
  <c r="AU60" i="49"/>
  <c r="AT18" i="49"/>
  <c r="AU108" i="49"/>
  <c r="AU101" i="49"/>
  <c r="AU109" i="49"/>
  <c r="AT83" i="49"/>
  <c r="AU37" i="49"/>
  <c r="AU44" i="49"/>
  <c r="AT93" i="49"/>
  <c r="AT27" i="49"/>
  <c r="AT101" i="49"/>
  <c r="AU15" i="49"/>
  <c r="AT31" i="49"/>
  <c r="AU29" i="49"/>
  <c r="AU80" i="49"/>
  <c r="AT92" i="49"/>
  <c r="AU95" i="49"/>
  <c r="AT78" i="49"/>
  <c r="AT70" i="49"/>
  <c r="AT109" i="47"/>
  <c r="AU110" i="47"/>
  <c r="CB110" i="47" s="1"/>
  <c r="AU101" i="47"/>
  <c r="AU97" i="47"/>
  <c r="CB97" i="47" s="1"/>
  <c r="AT88" i="47"/>
  <c r="AT84" i="47"/>
  <c r="AU66" i="47"/>
  <c r="AU62" i="47"/>
  <c r="AT37" i="47"/>
  <c r="AU53" i="47"/>
  <c r="AT44" i="47"/>
  <c r="AT24" i="47"/>
  <c r="AU16" i="47"/>
  <c r="AU15" i="47"/>
  <c r="AU92" i="47"/>
  <c r="AU31" i="47"/>
  <c r="AU125" i="47"/>
  <c r="CB125" i="47" s="1"/>
  <c r="AU117" i="47"/>
  <c r="AT62" i="47"/>
  <c r="AU17" i="47"/>
  <c r="AT60" i="47"/>
  <c r="AT123" i="47"/>
  <c r="AT118" i="47"/>
  <c r="AU59" i="47"/>
  <c r="AT25" i="47"/>
  <c r="AT59" i="47"/>
  <c r="AU25" i="47"/>
  <c r="CB25" i="47" s="1"/>
  <c r="AT122" i="47"/>
  <c r="AT114" i="47"/>
  <c r="AT105" i="47"/>
  <c r="AT104" i="47"/>
  <c r="AT98" i="47"/>
  <c r="CA98" i="47" s="1"/>
  <c r="AU114" i="47"/>
  <c r="AT94" i="47"/>
  <c r="AU79" i="47"/>
  <c r="CB79" i="47" s="1"/>
  <c r="AU65" i="47"/>
  <c r="AU58" i="47"/>
  <c r="AT57" i="47"/>
  <c r="AT51" i="47"/>
  <c r="AT40" i="47"/>
  <c r="AT20" i="47"/>
  <c r="AU68" i="47"/>
  <c r="AU21" i="47"/>
  <c r="AT97" i="47"/>
  <c r="AU34" i="47"/>
  <c r="AT103" i="47"/>
  <c r="AT110" i="47"/>
  <c r="AT124" i="47"/>
  <c r="AU120" i="47"/>
  <c r="AT108" i="47"/>
  <c r="AU81" i="47"/>
  <c r="AT82" i="47"/>
  <c r="CA82" i="47" s="1"/>
  <c r="AU85" i="47"/>
  <c r="AU61" i="47"/>
  <c r="AU54" i="47"/>
  <c r="AT52" i="47"/>
  <c r="AT47" i="47"/>
  <c r="AT36" i="47"/>
  <c r="AU41" i="47"/>
  <c r="AU45" i="47"/>
  <c r="AU37" i="47"/>
  <c r="AU78" i="47"/>
  <c r="AU56" i="47"/>
  <c r="AU119" i="47"/>
  <c r="AU44" i="47"/>
  <c r="AT93" i="47"/>
  <c r="AU75" i="47"/>
  <c r="AT85" i="47"/>
  <c r="AT115" i="47"/>
  <c r="AT21" i="47"/>
  <c r="AU108" i="47"/>
  <c r="AT16" i="47"/>
  <c r="AU90" i="47"/>
  <c r="AU33" i="47"/>
  <c r="AT106" i="47"/>
  <c r="AU106" i="47"/>
  <c r="CB106" i="47" s="1"/>
  <c r="AT116" i="47"/>
  <c r="AT102" i="47"/>
  <c r="AU77" i="47"/>
  <c r="AT78" i="47"/>
  <c r="AU80" i="47"/>
  <c r="AU57" i="47"/>
  <c r="AT80" i="47"/>
  <c r="AU50" i="47"/>
  <c r="AT43" i="47"/>
  <c r="AT31" i="47"/>
  <c r="AU30" i="47"/>
  <c r="AU22" i="47"/>
  <c r="AT34" i="47"/>
  <c r="AU98" i="47"/>
  <c r="AT66" i="47"/>
  <c r="AU113" i="47"/>
  <c r="AT58" i="47"/>
  <c r="AU102" i="47"/>
  <c r="AT89" i="47"/>
  <c r="AT86" i="47"/>
  <c r="AU107" i="47"/>
  <c r="AT35" i="47"/>
  <c r="AU111" i="47"/>
  <c r="AU48" i="47"/>
  <c r="AU99" i="47"/>
  <c r="AT15" i="47"/>
  <c r="AT125" i="47"/>
  <c r="AU104" i="47"/>
  <c r="AT112" i="47"/>
  <c r="AU124" i="47"/>
  <c r="AU73" i="47"/>
  <c r="AT74" i="47"/>
  <c r="AU76" i="47"/>
  <c r="AT72" i="47"/>
  <c r="AU52" i="47"/>
  <c r="AU46" i="47"/>
  <c r="AT39" i="47"/>
  <c r="AT27" i="47"/>
  <c r="AU26" i="47"/>
  <c r="AT18" i="47"/>
  <c r="CA18" i="47" s="1"/>
  <c r="AT64" i="47"/>
  <c r="AT17" i="47"/>
  <c r="AT81" i="47"/>
  <c r="AT33" i="47"/>
  <c r="AT46" i="47"/>
  <c r="AU103" i="47"/>
  <c r="AU14" i="47"/>
  <c r="AT90" i="47"/>
  <c r="CA90" i="47" s="1"/>
  <c r="AU40" i="47"/>
  <c r="AU24" i="47"/>
  <c r="AT95" i="47"/>
  <c r="AT54" i="47"/>
  <c r="AT111" i="47"/>
  <c r="AU23" i="47"/>
  <c r="CB23" i="47" s="1"/>
  <c r="AT121" i="47"/>
  <c r="AT100" i="47"/>
  <c r="AT120" i="47"/>
  <c r="AU122" i="47"/>
  <c r="AT77" i="47"/>
  <c r="AT70" i="47"/>
  <c r="AU72" i="47"/>
  <c r="AU69" i="47"/>
  <c r="AT49" i="47"/>
  <c r="AU42" i="47"/>
  <c r="AT53" i="47"/>
  <c r="AT23" i="47"/>
  <c r="AU49" i="47"/>
  <c r="AT26" i="47"/>
  <c r="AU74" i="47"/>
  <c r="AU18" i="47"/>
  <c r="CB18" i="47" s="1"/>
  <c r="AU94" i="47"/>
  <c r="AT50" i="47"/>
  <c r="CA50" i="47" s="1"/>
  <c r="AU43" i="47"/>
  <c r="AT117" i="47"/>
  <c r="AU116" i="47"/>
  <c r="AU100" i="47"/>
  <c r="AU91" i="47"/>
  <c r="AT73" i="47"/>
  <c r="AT92" i="47"/>
  <c r="AT83" i="47"/>
  <c r="AT68" i="47"/>
  <c r="AT45" i="47"/>
  <c r="AU38" i="47"/>
  <c r="AT65" i="47"/>
  <c r="AT32" i="47"/>
  <c r="AT30" i="47"/>
  <c r="AT22" i="47"/>
  <c r="AU60" i="47"/>
  <c r="AU39" i="47"/>
  <c r="AU88" i="47"/>
  <c r="AT42" i="47"/>
  <c r="AU35" i="47"/>
  <c r="AU86" i="47"/>
  <c r="AT29" i="47"/>
  <c r="AU109" i="47"/>
  <c r="AT91" i="47"/>
  <c r="AT63" i="47"/>
  <c r="AT71" i="47"/>
  <c r="AU64" i="47"/>
  <c r="AT119" i="47"/>
  <c r="AT87" i="47"/>
  <c r="AU67" i="47"/>
  <c r="AT48" i="47"/>
  <c r="AT19" i="47"/>
  <c r="AU96" i="47"/>
  <c r="AT101" i="47"/>
  <c r="AU82" i="47"/>
  <c r="AU47" i="47"/>
  <c r="AU105" i="47"/>
  <c r="AU63" i="47"/>
  <c r="CB63" i="47" s="1"/>
  <c r="AU71" i="47"/>
  <c r="AU115" i="47"/>
  <c r="AT113" i="47"/>
  <c r="AU112" i="47"/>
  <c r="AU89" i="47"/>
  <c r="AU118" i="47"/>
  <c r="AT69" i="47"/>
  <c r="AU87" i="47"/>
  <c r="CB87" i="47" s="1"/>
  <c r="AT76" i="47"/>
  <c r="AT41" i="47"/>
  <c r="AT61" i="47"/>
  <c r="AT28" i="47"/>
  <c r="AU19" i="47"/>
  <c r="AU28" i="47"/>
  <c r="AU83" i="47"/>
  <c r="AU93" i="47"/>
  <c r="AT107" i="47"/>
  <c r="AT67" i="47"/>
  <c r="CA67" i="47" s="1"/>
  <c r="AU20" i="47"/>
  <c r="AT38" i="47"/>
  <c r="CA38" i="47" s="1"/>
  <c r="AT79" i="47"/>
  <c r="AT96" i="47"/>
  <c r="AU123" i="47"/>
  <c r="AT56" i="47"/>
  <c r="CA56" i="47" s="1"/>
  <c r="AU95" i="47"/>
  <c r="AT55" i="47"/>
  <c r="AT75" i="47"/>
  <c r="AU29" i="47"/>
  <c r="AU51" i="47"/>
  <c r="AT99" i="47"/>
  <c r="AU121" i="47"/>
  <c r="AU36" i="47"/>
  <c r="AU55" i="47"/>
  <c r="AU84" i="47"/>
  <c r="CB84" i="47" s="1"/>
  <c r="AT14" i="47"/>
  <c r="AU32" i="47"/>
  <c r="AU27" i="47"/>
  <c r="AU70" i="47"/>
  <c r="BJ120" i="49"/>
  <c r="BJ102" i="49"/>
  <c r="BI113" i="49"/>
  <c r="BJ84" i="49"/>
  <c r="BJ100" i="49"/>
  <c r="BI82" i="49"/>
  <c r="BJ67" i="49"/>
  <c r="BI49" i="49"/>
  <c r="BJ57" i="49"/>
  <c r="BJ15" i="49"/>
  <c r="BJ34" i="49"/>
  <c r="BI32" i="49"/>
  <c r="BI45" i="49"/>
  <c r="BJ74" i="49"/>
  <c r="BJ103" i="49"/>
  <c r="BI29" i="49"/>
  <c r="BJ113" i="49"/>
  <c r="BI59" i="49"/>
  <c r="BJ93" i="49"/>
  <c r="BJ62" i="49"/>
  <c r="BJ109" i="49"/>
  <c r="BI46" i="49"/>
  <c r="BJ124" i="49"/>
  <c r="BI36" i="49"/>
  <c r="BJ82" i="49"/>
  <c r="BJ115" i="49"/>
  <c r="BI66" i="49"/>
  <c r="BI118" i="49"/>
  <c r="BJ116" i="49"/>
  <c r="BJ98" i="49"/>
  <c r="BI105" i="49"/>
  <c r="BJ80" i="49"/>
  <c r="BI93" i="49"/>
  <c r="BJ79" i="49"/>
  <c r="BI67" i="49"/>
  <c r="BJ53" i="49"/>
  <c r="BJ55" i="49"/>
  <c r="BI78" i="49"/>
  <c r="BI33" i="49"/>
  <c r="BJ30" i="49"/>
  <c r="BI26" i="49"/>
  <c r="BI48" i="49"/>
  <c r="BI124" i="49"/>
  <c r="BJ16" i="49"/>
  <c r="BJ117" i="49"/>
  <c r="BI69" i="49"/>
  <c r="BI15" i="49"/>
  <c r="BI70" i="49"/>
  <c r="BI92" i="49"/>
  <c r="BJ48" i="49"/>
  <c r="BI115" i="49"/>
  <c r="BJ35" i="49"/>
  <c r="BJ90" i="49"/>
  <c r="BI112" i="49"/>
  <c r="BJ78" i="49"/>
  <c r="BJ125" i="49"/>
  <c r="BJ114" i="49"/>
  <c r="BJ104" i="49"/>
  <c r="BI121" i="49"/>
  <c r="BI83" i="49"/>
  <c r="BI88" i="49"/>
  <c r="BI101" i="49"/>
  <c r="BI64" i="49"/>
  <c r="BI63" i="49"/>
  <c r="BJ36" i="49"/>
  <c r="BJ38" i="49"/>
  <c r="BI41" i="49"/>
  <c r="BI24" i="49"/>
  <c r="BJ21" i="49"/>
  <c r="BI27" i="49"/>
  <c r="BJ64" i="49"/>
  <c r="BI73" i="49"/>
  <c r="BI76" i="49"/>
  <c r="BJ24" i="49"/>
  <c r="BI106" i="49"/>
  <c r="BI34" i="49"/>
  <c r="BJ86" i="49"/>
  <c r="BI21" i="49"/>
  <c r="BJ89" i="49"/>
  <c r="BI50" i="49"/>
  <c r="BI54" i="49"/>
  <c r="BI114" i="49"/>
  <c r="BI42" i="49"/>
  <c r="BI102" i="49"/>
  <c r="BJ119" i="49"/>
  <c r="BI103" i="49"/>
  <c r="BJ112" i="49"/>
  <c r="BI99" i="49"/>
  <c r="BI91" i="49"/>
  <c r="BI86" i="49"/>
  <c r="BJ83" i="49"/>
  <c r="BJ47" i="49"/>
  <c r="BJ108" i="49"/>
  <c r="BI95" i="49"/>
  <c r="BI84" i="49"/>
  <c r="BI72" i="49"/>
  <c r="BI60" i="49"/>
  <c r="BI43" i="49"/>
  <c r="BI55" i="49"/>
  <c r="BJ17" i="49"/>
  <c r="BI61" i="49"/>
  <c r="BI98" i="49"/>
  <c r="BI31" i="49"/>
  <c r="BJ101" i="49"/>
  <c r="BJ111" i="49"/>
  <c r="BI74" i="49"/>
  <c r="BJ22" i="49"/>
  <c r="BI100" i="49"/>
  <c r="BI56" i="49"/>
  <c r="BI117" i="49"/>
  <c r="BI97" i="49"/>
  <c r="BI80" i="49"/>
  <c r="BI68" i="49"/>
  <c r="BJ49" i="49"/>
  <c r="BJ27" i="49"/>
  <c r="BJ32" i="49"/>
  <c r="BI37" i="49"/>
  <c r="BJ66" i="49"/>
  <c r="BJ14" i="49"/>
  <c r="BI40" i="49"/>
  <c r="BI17" i="49"/>
  <c r="BI116" i="49"/>
  <c r="BI81" i="49"/>
  <c r="BJ26" i="49"/>
  <c r="BI122" i="49"/>
  <c r="BJ61" i="49"/>
  <c r="BJ122" i="49"/>
  <c r="BI107" i="49"/>
  <c r="BJ118" i="49"/>
  <c r="BI104" i="49"/>
  <c r="BI79" i="49"/>
  <c r="BJ92" i="49"/>
  <c r="BI75" i="49"/>
  <c r="BJ40" i="49"/>
  <c r="BJ19" i="49"/>
  <c r="BJ110" i="49"/>
  <c r="BJ94" i="49"/>
  <c r="BI109" i="49"/>
  <c r="BI125" i="49"/>
  <c r="BI71" i="49"/>
  <c r="BJ71" i="49"/>
  <c r="BJ75" i="49"/>
  <c r="BI16" i="49"/>
  <c r="BI22" i="49"/>
  <c r="BJ85" i="49"/>
  <c r="BJ73" i="49"/>
  <c r="BI85" i="49"/>
  <c r="BJ45" i="49"/>
  <c r="BJ18" i="49"/>
  <c r="BI119" i="49"/>
  <c r="BJ44" i="49"/>
  <c r="BJ28" i="49"/>
  <c r="BJ95" i="49"/>
  <c r="BI90" i="49"/>
  <c r="BJ58" i="49"/>
  <c r="BI57" i="49"/>
  <c r="BI14" i="49"/>
  <c r="BJ50" i="49"/>
  <c r="BI77" i="49"/>
  <c r="BJ43" i="49"/>
  <c r="BJ105" i="49"/>
  <c r="BI87" i="49"/>
  <c r="BJ59" i="49"/>
  <c r="BI28" i="49"/>
  <c r="BI39" i="49"/>
  <c r="BJ39" i="49"/>
  <c r="BJ121" i="49"/>
  <c r="BJ37" i="49"/>
  <c r="BJ31" i="49"/>
  <c r="BJ52" i="49"/>
  <c r="BJ88" i="49"/>
  <c r="BJ51" i="49"/>
  <c r="BI20" i="49"/>
  <c r="BJ54" i="49"/>
  <c r="BJ97" i="49"/>
  <c r="BJ46" i="49"/>
  <c r="BJ56" i="49"/>
  <c r="BI52" i="49"/>
  <c r="BJ70" i="49"/>
  <c r="BJ76" i="49"/>
  <c r="BI53" i="49"/>
  <c r="BJ42" i="49"/>
  <c r="BJ68" i="49"/>
  <c r="BJ99" i="49"/>
  <c r="BJ33" i="49"/>
  <c r="BI35" i="49"/>
  <c r="BJ69" i="49"/>
  <c r="BJ60" i="49"/>
  <c r="BJ96" i="49"/>
  <c r="BJ23" i="49"/>
  <c r="BJ25" i="49"/>
  <c r="BJ107" i="49"/>
  <c r="BI44" i="49"/>
  <c r="BJ81" i="49"/>
  <c r="BI94" i="49"/>
  <c r="BI89" i="49"/>
  <c r="BI96" i="49"/>
  <c r="BJ123" i="49"/>
  <c r="BJ29" i="49"/>
  <c r="BI110" i="49"/>
  <c r="BI123" i="49"/>
  <c r="BJ106" i="49"/>
  <c r="BI18" i="49"/>
  <c r="BI62" i="49"/>
  <c r="BI25" i="49"/>
  <c r="BJ63" i="49"/>
  <c r="BJ65" i="49"/>
  <c r="BI111" i="49"/>
  <c r="BJ87" i="49"/>
  <c r="BI108" i="49"/>
  <c r="BI51" i="49"/>
  <c r="BI120" i="49"/>
  <c r="BI58" i="49"/>
  <c r="BI19" i="49"/>
  <c r="BI47" i="49"/>
  <c r="BI38" i="49"/>
  <c r="BI30" i="49"/>
  <c r="BI23" i="49"/>
  <c r="BJ72" i="49"/>
  <c r="BI65" i="49"/>
  <c r="BJ77" i="49"/>
  <c r="BJ20" i="49"/>
  <c r="BJ41" i="49"/>
  <c r="BJ91" i="49"/>
  <c r="N116" i="40" a="1"/>
  <c r="N116" i="40" s="1"/>
  <c r="M109" i="40" a="1"/>
  <c r="M109" i="40" s="1"/>
  <c r="N94" i="40" a="1"/>
  <c r="N94" i="40" s="1"/>
  <c r="M90" i="40" a="1"/>
  <c r="M90" i="40" s="1"/>
  <c r="M54" i="40" a="1"/>
  <c r="M54" i="40" s="1"/>
  <c r="M33" i="40" a="1"/>
  <c r="M33" i="40" s="1"/>
  <c r="N15" i="40" a="1"/>
  <c r="N15" i="40" s="1"/>
  <c r="M60" i="40" a="1"/>
  <c r="M60" i="40" s="1"/>
  <c r="M25" i="40" a="1"/>
  <c r="M25" i="40" s="1"/>
  <c r="N75" i="40" a="1"/>
  <c r="N75" i="40" s="1"/>
  <c r="M28" i="40" a="1"/>
  <c r="M28" i="40" s="1"/>
  <c r="N71" i="40" a="1"/>
  <c r="N71" i="40" s="1"/>
  <c r="M96" i="40" a="1"/>
  <c r="M96" i="40" s="1"/>
  <c r="N45" i="40" a="1"/>
  <c r="N45" i="40" s="1"/>
  <c r="M85" i="40" a="1"/>
  <c r="M85" i="40" s="1"/>
  <c r="M16" i="40" a="1"/>
  <c r="M16" i="40" s="1"/>
  <c r="N77" i="40" a="1"/>
  <c r="N77" i="40" s="1"/>
  <c r="M84" i="40" a="1"/>
  <c r="M84" i="40" s="1"/>
  <c r="M20" i="40" a="1"/>
  <c r="M20" i="40" s="1"/>
  <c r="N93" i="40" a="1"/>
  <c r="N93" i="40" s="1"/>
  <c r="N22" i="40" a="1"/>
  <c r="N22" i="40" s="1"/>
  <c r="M93" i="40" a="1"/>
  <c r="M93" i="40" s="1"/>
  <c r="N122" i="40" a="1"/>
  <c r="N122" i="40" s="1"/>
  <c r="N18" i="40" a="1"/>
  <c r="N18" i="40" s="1"/>
  <c r="M47" i="40" a="1"/>
  <c r="M47" i="40" s="1"/>
  <c r="M114" i="40" a="1"/>
  <c r="M114" i="40" s="1"/>
  <c r="N121" i="40" a="1"/>
  <c r="N121" i="40" s="1"/>
  <c r="M70" i="40" a="1"/>
  <c r="M70" i="40" s="1"/>
  <c r="N112" i="40" a="1"/>
  <c r="N112" i="40" s="1"/>
  <c r="N107" i="40" a="1"/>
  <c r="N107" i="40" s="1"/>
  <c r="N115" i="40" a="1"/>
  <c r="N115" i="40" s="1"/>
  <c r="N73" i="40" a="1"/>
  <c r="N73" i="40" s="1"/>
  <c r="M56" i="40" a="1"/>
  <c r="M56" i="40" s="1"/>
  <c r="M64" i="40" a="1"/>
  <c r="M64" i="40" s="1"/>
  <c r="N34" i="40" a="1"/>
  <c r="N34" i="40" s="1"/>
  <c r="N29" i="40" a="1"/>
  <c r="N29" i="40" s="1"/>
  <c r="N47" i="40" a="1"/>
  <c r="N47" i="40" s="1"/>
  <c r="M89" i="40" a="1"/>
  <c r="M89" i="40" s="1"/>
  <c r="M19" i="40" a="1"/>
  <c r="M19" i="40" s="1"/>
  <c r="M80" i="40" a="1"/>
  <c r="M80" i="40" s="1"/>
  <c r="M107" i="40" a="1"/>
  <c r="M107" i="40" s="1"/>
  <c r="N39" i="40" a="1"/>
  <c r="N39" i="40" s="1"/>
  <c r="N81" i="40" a="1"/>
  <c r="N81" i="40" s="1"/>
  <c r="M36" i="40" a="1"/>
  <c r="M36" i="40" s="1"/>
  <c r="M81" i="40" a="1"/>
  <c r="M81" i="40" s="1"/>
  <c r="M83" i="40" a="1"/>
  <c r="M83" i="40" s="1"/>
  <c r="M52" i="40" a="1"/>
  <c r="M52" i="40" s="1"/>
  <c r="M82" i="40" a="1"/>
  <c r="M82" i="40" s="1"/>
  <c r="N16" i="40" a="1"/>
  <c r="N16" i="40" s="1"/>
  <c r="M97" i="40" a="1"/>
  <c r="M97" i="40" s="1"/>
  <c r="M111" i="40" a="1"/>
  <c r="M111" i="40" s="1"/>
  <c r="M26" i="40" a="1"/>
  <c r="M26" i="40" s="1"/>
  <c r="N87" i="40" a="1"/>
  <c r="N87" i="40" s="1"/>
  <c r="N103" i="40" a="1"/>
  <c r="N103" i="40" s="1"/>
  <c r="N37" i="40" a="1"/>
  <c r="N37" i="40" s="1"/>
  <c r="N79" i="40" a="1"/>
  <c r="N79" i="40" s="1"/>
  <c r="N108" i="40" a="1"/>
  <c r="N108" i="40" s="1"/>
  <c r="N86" i="40" a="1"/>
  <c r="N86" i="40" s="1"/>
  <c r="M92" i="40" a="1"/>
  <c r="M92" i="40" s="1"/>
  <c r="N69" i="40" a="1"/>
  <c r="N69" i="40" s="1"/>
  <c r="N51" i="40" a="1"/>
  <c r="N51" i="40" s="1"/>
  <c r="M57" i="40" a="1"/>
  <c r="M57" i="40" s="1"/>
  <c r="N42" i="40" a="1"/>
  <c r="N42" i="40" s="1"/>
  <c r="N25" i="40" a="1"/>
  <c r="N25" i="40" s="1"/>
  <c r="M39" i="40" a="1"/>
  <c r="M39" i="40" s="1"/>
  <c r="M79" i="40" a="1"/>
  <c r="M79" i="40" s="1"/>
  <c r="M27" i="40" a="1"/>
  <c r="M27" i="40" s="1"/>
  <c r="N80" i="40" a="1"/>
  <c r="N80" i="40" s="1"/>
  <c r="N125" i="40" a="1"/>
  <c r="N125" i="40" s="1"/>
  <c r="M63" i="40" a="1"/>
  <c r="M63" i="40" s="1"/>
  <c r="N101" i="40" a="1"/>
  <c r="N101" i="40" s="1"/>
  <c r="M43" i="40" a="1"/>
  <c r="M43" i="40" s="1"/>
  <c r="N104" i="40" a="1"/>
  <c r="N104" i="40" s="1"/>
  <c r="M116" i="40" a="1"/>
  <c r="M116" i="40" s="1"/>
  <c r="M15" i="40" a="1"/>
  <c r="M15" i="40" s="1"/>
  <c r="N97" i="40" a="1"/>
  <c r="N97" i="40" s="1"/>
  <c r="N24" i="40" a="1"/>
  <c r="N24" i="40" s="1"/>
  <c r="N67" i="40" a="1"/>
  <c r="N67" i="40" s="1"/>
  <c r="N41" i="40" a="1"/>
  <c r="N41" i="40" s="1"/>
  <c r="N43" i="40" a="1"/>
  <c r="N43" i="40" s="1"/>
  <c r="N88" i="40" a="1"/>
  <c r="N88" i="40" s="1"/>
  <c r="M94" i="40" a="1"/>
  <c r="M94" i="40" s="1"/>
  <c r="M124" i="40" a="1"/>
  <c r="M124" i="40" s="1"/>
  <c r="M102" i="40" a="1"/>
  <c r="M102" i="40" s="1"/>
  <c r="N123" i="40" a="1"/>
  <c r="N123" i="40" s="1"/>
  <c r="N82" i="40" a="1"/>
  <c r="N82" i="40" s="1"/>
  <c r="N74" i="40" a="1"/>
  <c r="N74" i="40" s="1"/>
  <c r="N62" i="40" a="1"/>
  <c r="N62" i="40" s="1"/>
  <c r="N64" i="40" a="1"/>
  <c r="N64" i="40" s="1"/>
  <c r="M41" i="40" a="1"/>
  <c r="M41" i="40" s="1"/>
  <c r="N40" i="40" a="1"/>
  <c r="N40" i="40" s="1"/>
  <c r="N21" i="40" a="1"/>
  <c r="N21" i="40" s="1"/>
  <c r="M50" i="40" a="1"/>
  <c r="M50" i="40" s="1"/>
  <c r="M101" i="40" a="1"/>
  <c r="M101" i="40" s="1"/>
  <c r="N30" i="40" a="1"/>
  <c r="N30" i="40" s="1"/>
  <c r="N95" i="40" a="1"/>
  <c r="N95" i="40" s="1"/>
  <c r="M29" i="40" a="1"/>
  <c r="M29" i="40" s="1"/>
  <c r="N48" i="40" a="1"/>
  <c r="N48" i="40" s="1"/>
  <c r="M110" i="40" a="1"/>
  <c r="M110" i="40" s="1"/>
  <c r="M31" i="40" a="1"/>
  <c r="M31" i="40" s="1"/>
  <c r="M75" i="40" a="1"/>
  <c r="M75" i="40" s="1"/>
  <c r="M100" i="40" a="1"/>
  <c r="M100" i="40" s="1"/>
  <c r="M23" i="40" a="1"/>
  <c r="M23" i="40" s="1"/>
  <c r="M88" i="40" a="1"/>
  <c r="M88" i="40" s="1"/>
  <c r="M18" i="40" a="1"/>
  <c r="M18" i="40" s="1"/>
  <c r="N89" i="40" a="1"/>
  <c r="N89" i="40" s="1"/>
  <c r="M65" i="40" a="1"/>
  <c r="M65" i="40" s="1"/>
  <c r="N52" i="40" a="1"/>
  <c r="N52" i="40" s="1"/>
  <c r="M67" i="40" a="1"/>
  <c r="M67" i="40" s="1"/>
  <c r="M24" i="40" a="1"/>
  <c r="M24" i="40" s="1"/>
  <c r="N50" i="40" a="1"/>
  <c r="N50" i="40" s="1"/>
  <c r="M99" i="40" a="1"/>
  <c r="M99" i="40" s="1"/>
  <c r="N100" i="40" a="1"/>
  <c r="N100" i="40" s="1"/>
  <c r="N102" i="40" a="1"/>
  <c r="N102" i="40" s="1"/>
  <c r="N70" i="40" a="1"/>
  <c r="N70" i="40" s="1"/>
  <c r="N65" i="40" a="1"/>
  <c r="N65" i="40" s="1"/>
  <c r="N59" i="40" a="1"/>
  <c r="N59" i="40" s="1"/>
  <c r="M37" i="40" a="1"/>
  <c r="M37" i="40" s="1"/>
  <c r="N38" i="40" a="1"/>
  <c r="N38" i="40" s="1"/>
  <c r="N17" i="40" a="1"/>
  <c r="N17" i="40" s="1"/>
  <c r="N53" i="40" a="1"/>
  <c r="N53" i="40" s="1"/>
  <c r="M103" i="40" a="1"/>
  <c r="M103" i="40" s="1"/>
  <c r="M22" i="40" a="1"/>
  <c r="M22" i="40" s="1"/>
  <c r="N110" i="40" a="1"/>
  <c r="N110" i="40" s="1"/>
  <c r="N31" i="40" a="1"/>
  <c r="N31" i="40" s="1"/>
  <c r="N44" i="40" a="1"/>
  <c r="N44" i="40" s="1"/>
  <c r="M98" i="40" a="1"/>
  <c r="M98" i="40" s="1"/>
  <c r="M46" i="40" a="1"/>
  <c r="M46" i="40" s="1"/>
  <c r="N83" i="40" a="1"/>
  <c r="N83" i="40" s="1"/>
  <c r="M120" i="40" a="1"/>
  <c r="M120" i="40" s="1"/>
  <c r="M35" i="40" a="1"/>
  <c r="M35" i="40" s="1"/>
  <c r="M123" i="40" a="1"/>
  <c r="M123" i="40" s="1"/>
  <c r="M40" i="40" a="1"/>
  <c r="M40" i="40" s="1"/>
  <c r="M87" i="40" a="1"/>
  <c r="M87" i="40" s="1"/>
  <c r="M86" i="40" a="1"/>
  <c r="M86" i="40" s="1"/>
  <c r="M104" i="40" a="1"/>
  <c r="M104" i="40" s="1"/>
  <c r="N49" i="40" a="1"/>
  <c r="N49" i="40" s="1"/>
  <c r="N56" i="40" a="1"/>
  <c r="N56" i="40" s="1"/>
  <c r="N35" i="40" a="1"/>
  <c r="N35" i="40" s="1"/>
  <c r="N96" i="40" a="1"/>
  <c r="N96" i="40" s="1"/>
  <c r="N91" i="40" a="1"/>
  <c r="N91" i="40" s="1"/>
  <c r="N66" i="40" a="1"/>
  <c r="N66" i="40" s="1"/>
  <c r="N76" i="40" a="1"/>
  <c r="N76" i="40" s="1"/>
  <c r="N55" i="40" a="1"/>
  <c r="N55" i="40" s="1"/>
  <c r="N27" i="40" a="1"/>
  <c r="N27" i="40" s="1"/>
  <c r="N36" i="40" a="1"/>
  <c r="N36" i="40" s="1"/>
  <c r="M30" i="40" a="1"/>
  <c r="M30" i="40" s="1"/>
  <c r="M62" i="40" a="1"/>
  <c r="M62" i="40" s="1"/>
  <c r="M125" i="40" a="1"/>
  <c r="M125" i="40" s="1"/>
  <c r="M55" i="40" a="1"/>
  <c r="M55" i="40" s="1"/>
  <c r="N99" i="40" a="1"/>
  <c r="N99" i="40" s="1"/>
  <c r="N20" i="40" a="1"/>
  <c r="N20" i="40" s="1"/>
  <c r="N54" i="40" a="1"/>
  <c r="N54" i="40" s="1"/>
  <c r="M105" i="40" a="1"/>
  <c r="M105" i="40" s="1"/>
  <c r="M45" i="40" a="1"/>
  <c r="M45" i="40" s="1"/>
  <c r="N106" i="40" a="1"/>
  <c r="N106" i="40" s="1"/>
  <c r="M108" i="40" a="1"/>
  <c r="M108" i="40" s="1"/>
  <c r="M73" i="40" a="1"/>
  <c r="M73" i="40" s="1"/>
  <c r="N109" i="40" a="1"/>
  <c r="N109" i="40" s="1"/>
  <c r="N46" i="40" a="1"/>
  <c r="N46" i="40" s="1"/>
  <c r="M115" i="40" a="1"/>
  <c r="M115" i="40" s="1"/>
  <c r="N84" i="40" a="1"/>
  <c r="N84" i="40" s="1"/>
  <c r="N33" i="40" a="1"/>
  <c r="N33" i="40" s="1"/>
  <c r="M77" i="40" a="1"/>
  <c r="M77" i="40" s="1"/>
  <c r="M66" i="40" a="1"/>
  <c r="M66" i="40" s="1"/>
  <c r="M61" i="40" a="1"/>
  <c r="M61" i="40" s="1"/>
  <c r="N124" i="40" a="1"/>
  <c r="N124" i="40" s="1"/>
  <c r="N119" i="40" a="1"/>
  <c r="N119" i="40" s="1"/>
  <c r="N98" i="40" a="1"/>
  <c r="N98" i="40" s="1"/>
  <c r="N78" i="40" a="1"/>
  <c r="N78" i="40" s="1"/>
  <c r="N61" i="40" a="1"/>
  <c r="N61" i="40" s="1"/>
  <c r="M44" i="40" a="1"/>
  <c r="M44" i="40" s="1"/>
  <c r="N23" i="40" a="1"/>
  <c r="N23" i="40" s="1"/>
  <c r="M34" i="40" a="1"/>
  <c r="M34" i="40" s="1"/>
  <c r="M38" i="40" a="1"/>
  <c r="M38" i="40" s="1"/>
  <c r="N90" i="40" a="1"/>
  <c r="N90" i="40" s="1"/>
  <c r="M21" i="40" a="1"/>
  <c r="M21" i="40" s="1"/>
  <c r="M76" i="40" a="1"/>
  <c r="M76" i="40" s="1"/>
  <c r="N105" i="40" a="1"/>
  <c r="N105" i="40" s="1"/>
  <c r="N28" i="40" a="1"/>
  <c r="N28" i="40" s="1"/>
  <c r="M69" i="40" a="1"/>
  <c r="M69" i="40" s="1"/>
  <c r="M118" i="40" a="1"/>
  <c r="M118" i="40" s="1"/>
  <c r="M59" i="40" a="1"/>
  <c r="M59" i="40" s="1"/>
  <c r="M78" i="40" a="1"/>
  <c r="M78" i="40" s="1"/>
  <c r="N114" i="40" a="1"/>
  <c r="N114" i="40" s="1"/>
  <c r="M48" i="40" a="1"/>
  <c r="M48" i="40" s="1"/>
  <c r="M113" i="40" a="1"/>
  <c r="M113" i="40" s="1"/>
  <c r="M49" i="40" a="1"/>
  <c r="M49" i="40" s="1"/>
  <c r="M95" i="40" a="1"/>
  <c r="M95" i="40" s="1"/>
  <c r="M121" i="40" a="1"/>
  <c r="M121" i="40" s="1"/>
  <c r="N57" i="40" a="1"/>
  <c r="N57" i="40" s="1"/>
  <c r="M106" i="40" a="1"/>
  <c r="M106" i="40" s="1"/>
  <c r="M72" i="40" a="1"/>
  <c r="M72" i="40" s="1"/>
  <c r="M51" i="40" a="1"/>
  <c r="M51" i="40" s="1"/>
  <c r="N120" i="40" a="1"/>
  <c r="N120" i="40" s="1"/>
  <c r="N111" i="40" a="1"/>
  <c r="N111" i="40" s="1"/>
  <c r="M122" i="40" a="1"/>
  <c r="M122" i="40" s="1"/>
  <c r="N92" i="40" a="1"/>
  <c r="N92" i="40" s="1"/>
  <c r="M58" i="40" a="1"/>
  <c r="M58" i="40" s="1"/>
  <c r="M53" i="40" a="1"/>
  <c r="M53" i="40" s="1"/>
  <c r="N19" i="40" a="1"/>
  <c r="N19" i="40" s="1"/>
  <c r="N32" i="40" a="1"/>
  <c r="N32" i="40" s="1"/>
  <c r="M42" i="40" a="1"/>
  <c r="M42" i="40" s="1"/>
  <c r="N68" i="40" a="1"/>
  <c r="N68" i="40" s="1"/>
  <c r="N26" i="40" a="1"/>
  <c r="N26" i="40" s="1"/>
  <c r="M71" i="40" a="1"/>
  <c r="M71" i="40" s="1"/>
  <c r="N118" i="40" a="1"/>
  <c r="N118" i="40" s="1"/>
  <c r="M32" i="40" a="1"/>
  <c r="M32" i="40" s="1"/>
  <c r="N72" i="40" a="1"/>
  <c r="N72" i="40" s="1"/>
  <c r="M17" i="40" a="1"/>
  <c r="M17" i="40" s="1"/>
  <c r="M74" i="40" a="1"/>
  <c r="M74" i="40" s="1"/>
  <c r="M91" i="40" a="1"/>
  <c r="M91" i="40" s="1"/>
  <c r="N113" i="40" a="1"/>
  <c r="N113" i="40" s="1"/>
  <c r="N63" i="40" a="1"/>
  <c r="N63" i="40" s="1"/>
  <c r="N117" i="40" a="1"/>
  <c r="N117" i="40" s="1"/>
  <c r="M68" i="40" a="1"/>
  <c r="M68" i="40" s="1"/>
  <c r="M112" i="40" a="1"/>
  <c r="M112" i="40" s="1"/>
  <c r="M117" i="40" a="1"/>
  <c r="M117" i="40" s="1"/>
  <c r="N60" i="40" a="1"/>
  <c r="N60" i="40" s="1"/>
  <c r="N85" i="40" a="1"/>
  <c r="N85" i="40" s="1"/>
  <c r="M119" i="40" a="1"/>
  <c r="M119" i="40" s="1"/>
  <c r="N58" i="40" a="1"/>
  <c r="N58" i="40" s="1"/>
  <c r="N123" i="41" a="1"/>
  <c r="N123" i="41" s="1"/>
  <c r="M122" i="41" a="1"/>
  <c r="M122" i="41" s="1"/>
  <c r="M94" i="41" a="1"/>
  <c r="M94" i="41" s="1"/>
  <c r="N98" i="41" a="1"/>
  <c r="N98" i="41" s="1"/>
  <c r="N61" i="41" a="1"/>
  <c r="N61" i="41" s="1"/>
  <c r="N38" i="41" a="1"/>
  <c r="N38" i="41" s="1"/>
  <c r="N35" i="41" a="1"/>
  <c r="N35" i="41" s="1"/>
  <c r="N29" i="41" a="1"/>
  <c r="N29" i="41" s="1"/>
  <c r="M44" i="41" a="1"/>
  <c r="M44" i="41" s="1"/>
  <c r="M68" i="41" a="1"/>
  <c r="M68" i="41" s="1"/>
  <c r="M120" i="41" a="1"/>
  <c r="M120" i="41" s="1"/>
  <c r="N108" i="41" a="1"/>
  <c r="N108" i="41" s="1"/>
  <c r="M42" i="41" a="1"/>
  <c r="M42" i="41" s="1"/>
  <c r="N88" i="41" a="1"/>
  <c r="N88" i="41" s="1"/>
  <c r="M28" i="41" a="1"/>
  <c r="M28" i="41" s="1"/>
  <c r="M109" i="41" a="1"/>
  <c r="M109" i="41" s="1"/>
  <c r="M15" i="41" a="1"/>
  <c r="M15" i="41" s="1"/>
  <c r="M95" i="41" a="1"/>
  <c r="M95" i="41" s="1"/>
  <c r="N124" i="41" a="1"/>
  <c r="N124" i="41" s="1"/>
  <c r="N40" i="41" a="1"/>
  <c r="N40" i="41" s="1"/>
  <c r="N104" i="41" a="1"/>
  <c r="N104" i="41" s="1"/>
  <c r="M59" i="41" a="1"/>
  <c r="M59" i="41" s="1"/>
  <c r="M91" i="41" a="1"/>
  <c r="M91" i="41" s="1"/>
  <c r="N51" i="41" a="1"/>
  <c r="N51" i="41" s="1"/>
  <c r="N91" i="41" a="1"/>
  <c r="N91" i="41" s="1"/>
  <c r="M80" i="41" a="1"/>
  <c r="M80" i="41" s="1"/>
  <c r="N48" i="41" a="1"/>
  <c r="N48" i="41" s="1"/>
  <c r="M86" i="41" a="1"/>
  <c r="M86" i="41" s="1"/>
  <c r="M108" i="41" a="1"/>
  <c r="M108" i="41" s="1"/>
  <c r="M110" i="41" a="1"/>
  <c r="M110" i="41" s="1"/>
  <c r="N99" i="41" a="1"/>
  <c r="N99" i="41" s="1"/>
  <c r="M88" i="41" a="1"/>
  <c r="M88" i="41" s="1"/>
  <c r="N57" i="41" a="1"/>
  <c r="N57" i="41" s="1"/>
  <c r="N34" i="41" a="1"/>
  <c r="N34" i="41" s="1"/>
  <c r="N31" i="41" a="1"/>
  <c r="N31" i="41" s="1"/>
  <c r="N25" i="41" a="1"/>
  <c r="N25" i="41" s="1"/>
  <c r="N21" i="41" a="1"/>
  <c r="N21" i="41" s="1"/>
  <c r="N33" i="41" a="1"/>
  <c r="N33" i="41" s="1"/>
  <c r="M53" i="41" a="1"/>
  <c r="M53" i="41" s="1"/>
  <c r="N87" i="41" a="1"/>
  <c r="N87" i="41" s="1"/>
  <c r="M46" i="41" a="1"/>
  <c r="M46" i="41" s="1"/>
  <c r="N109" i="41" a="1"/>
  <c r="N109" i="41" s="1"/>
  <c r="M56" i="41" a="1"/>
  <c r="M56" i="41" s="1"/>
  <c r="M90" i="41" a="1"/>
  <c r="M90" i="41" s="1"/>
  <c r="N47" i="41" a="1"/>
  <c r="N47" i="41" s="1"/>
  <c r="M112" i="41" a="1"/>
  <c r="M112" i="41" s="1"/>
  <c r="M61" i="41" a="1"/>
  <c r="M61" i="41" s="1"/>
  <c r="M50" i="41" a="1"/>
  <c r="M50" i="41" s="1"/>
  <c r="M117" i="41" a="1"/>
  <c r="M117" i="41" s="1"/>
  <c r="M97" i="41" a="1"/>
  <c r="M97" i="41" s="1"/>
  <c r="M18" i="41" a="1"/>
  <c r="M18" i="41" s="1"/>
  <c r="M51" i="41" a="1"/>
  <c r="M51" i="41" s="1"/>
  <c r="N92" i="41" a="1"/>
  <c r="N92" i="41" s="1"/>
  <c r="M98" i="41" a="1"/>
  <c r="M98" i="41" s="1"/>
  <c r="N107" i="41" a="1"/>
  <c r="N107" i="41" s="1"/>
  <c r="M79" i="41" a="1"/>
  <c r="M79" i="41" s="1"/>
  <c r="M124" i="41" a="1"/>
  <c r="M124" i="41" s="1"/>
  <c r="M101" i="41" a="1"/>
  <c r="M101" i="41" s="1"/>
  <c r="N90" i="41" a="1"/>
  <c r="N90" i="41" s="1"/>
  <c r="N79" i="41" a="1"/>
  <c r="N79" i="41" s="1"/>
  <c r="N119" i="41" a="1"/>
  <c r="N119" i="41" s="1"/>
  <c r="N30" i="41" a="1"/>
  <c r="N30" i="41" s="1"/>
  <c r="N23" i="41" a="1"/>
  <c r="N23" i="41" s="1"/>
  <c r="N64" i="41" a="1"/>
  <c r="N64" i="41" s="1"/>
  <c r="N41" i="41" a="1"/>
  <c r="N41" i="41" s="1"/>
  <c r="N18" i="41" a="1"/>
  <c r="N18" i="41" s="1"/>
  <c r="N55" i="41" a="1"/>
  <c r="N55" i="41" s="1"/>
  <c r="M92" i="41" a="1"/>
  <c r="M92" i="41" s="1"/>
  <c r="N36" i="41" a="1"/>
  <c r="N36" i="41" s="1"/>
  <c r="N27" i="41" a="1"/>
  <c r="N27" i="41" s="1"/>
  <c r="M54" i="41" a="1"/>
  <c r="M54" i="41" s="1"/>
  <c r="M89" i="41" a="1"/>
  <c r="M89" i="41" s="1"/>
  <c r="M37" i="41" a="1"/>
  <c r="M37" i="41" s="1"/>
  <c r="N101" i="41" a="1"/>
  <c r="N101" i="41" s="1"/>
  <c r="M34" i="41" a="1"/>
  <c r="M34" i="41" s="1"/>
  <c r="M65" i="41" a="1"/>
  <c r="M65" i="41" s="1"/>
  <c r="M64" i="41" a="1"/>
  <c r="M64" i="41" s="1"/>
  <c r="M69" i="41" a="1"/>
  <c r="M69" i="41" s="1"/>
  <c r="N15" i="41" a="1"/>
  <c r="N15" i="41" s="1"/>
  <c r="M57" i="41" a="1"/>
  <c r="M57" i="41" s="1"/>
  <c r="M104" i="41" a="1"/>
  <c r="M104" i="41" s="1"/>
  <c r="N110" i="41" a="1"/>
  <c r="N110" i="41" s="1"/>
  <c r="N125" i="41" a="1"/>
  <c r="N125" i="41" s="1"/>
  <c r="M111" i="41" a="1"/>
  <c r="M111" i="41" s="1"/>
  <c r="N115" i="41" a="1"/>
  <c r="N115" i="41" s="1"/>
  <c r="N111" i="41" a="1"/>
  <c r="N111" i="41" s="1"/>
  <c r="N86" i="41" a="1"/>
  <c r="N86" i="41" s="1"/>
  <c r="N78" i="41" a="1"/>
  <c r="N78" i="41" s="1"/>
  <c r="M74" i="41" a="1"/>
  <c r="M74" i="41" s="1"/>
  <c r="N26" i="41" a="1"/>
  <c r="N26" i="41" s="1"/>
  <c r="N75" i="41" a="1"/>
  <c r="N75" i="41" s="1"/>
  <c r="N63" i="41" a="1"/>
  <c r="N63" i="41" s="1"/>
  <c r="M40" i="41" a="1"/>
  <c r="M40" i="41" s="1"/>
  <c r="M17" i="41" a="1"/>
  <c r="M17" i="41" s="1"/>
  <c r="M52" i="41" a="1"/>
  <c r="M52" i="41" s="1"/>
  <c r="M113" i="41" a="1"/>
  <c r="M113" i="41" s="1"/>
  <c r="M55" i="41" a="1"/>
  <c r="M55" i="41" s="1"/>
  <c r="M62" i="41" a="1"/>
  <c r="M62" i="41" s="1"/>
  <c r="N70" i="41" a="1"/>
  <c r="N70" i="41" s="1"/>
  <c r="M45" i="41" a="1"/>
  <c r="M45" i="41" s="1"/>
  <c r="M22" i="41" a="1"/>
  <c r="M22" i="41" s="1"/>
  <c r="N100" i="41" a="1"/>
  <c r="N100" i="41" s="1"/>
  <c r="M20" i="41" a="1"/>
  <c r="M20" i="41" s="1"/>
  <c r="N76" i="41" a="1"/>
  <c r="N76" i="41" s="1"/>
  <c r="M23" i="41" a="1"/>
  <c r="M23" i="41" s="1"/>
  <c r="N69" i="41" a="1"/>
  <c r="N69" i="41" s="1"/>
  <c r="N17" i="41" a="1"/>
  <c r="N17" i="41" s="1"/>
  <c r="N66" i="41" a="1"/>
  <c r="N66" i="41" s="1"/>
  <c r="N72" i="41" a="1"/>
  <c r="N72" i="41" s="1"/>
  <c r="N94" i="41" a="1"/>
  <c r="N94" i="41" s="1"/>
  <c r="M116" i="41" a="1"/>
  <c r="M116" i="41" s="1"/>
  <c r="M100" i="41" a="1"/>
  <c r="M100" i="41" s="1"/>
  <c r="M105" i="41" a="1"/>
  <c r="M105" i="41" s="1"/>
  <c r="M96" i="41" a="1"/>
  <c r="M96" i="41" s="1"/>
  <c r="N89" i="41" a="1"/>
  <c r="N89" i="41" s="1"/>
  <c r="M77" i="41" a="1"/>
  <c r="M77" i="41" s="1"/>
  <c r="N56" i="41" a="1"/>
  <c r="N56" i="41" s="1"/>
  <c r="N22" i="41" a="1"/>
  <c r="N22" i="41" s="1"/>
  <c r="N60" i="41" a="1"/>
  <c r="N60" i="41" s="1"/>
  <c r="N49" i="41" a="1"/>
  <c r="N49" i="41" s="1"/>
  <c r="M21" i="41" a="1"/>
  <c r="M21" i="41" s="1"/>
  <c r="M31" i="41" a="1"/>
  <c r="M31" i="41" s="1"/>
  <c r="M27" i="41" a="1"/>
  <c r="M27" i="41" s="1"/>
  <c r="M32" i="41" a="1"/>
  <c r="M32" i="41" s="1"/>
  <c r="N54" i="41" a="1"/>
  <c r="N54" i="41" s="1"/>
  <c r="N24" i="41" a="1"/>
  <c r="N24" i="41" s="1"/>
  <c r="M82" i="41" a="1"/>
  <c r="M82" i="41" s="1"/>
  <c r="M63" i="41" a="1"/>
  <c r="M63" i="41" s="1"/>
  <c r="M47" i="41" a="1"/>
  <c r="M47" i="41" s="1"/>
  <c r="N105" i="41" a="1"/>
  <c r="N105" i="41" s="1"/>
  <c r="M25" i="41" a="1"/>
  <c r="M25" i="41" s="1"/>
  <c r="M84" i="41" a="1"/>
  <c r="M84" i="41" s="1"/>
  <c r="M30" i="41" a="1"/>
  <c r="M30" i="41" s="1"/>
  <c r="N84" i="41" a="1"/>
  <c r="N84" i="41" s="1"/>
  <c r="M35" i="41" a="1"/>
  <c r="M35" i="41" s="1"/>
  <c r="N77" i="41" a="1"/>
  <c r="N77" i="41" s="1"/>
  <c r="N96" i="41" a="1"/>
  <c r="N96" i="41" s="1"/>
  <c r="M49" i="41" a="1"/>
  <c r="M49" i="41" s="1"/>
  <c r="N112" i="41" a="1"/>
  <c r="N112" i="41" s="1"/>
  <c r="M119" i="41" a="1"/>
  <c r="M119" i="41" s="1"/>
  <c r="N102" i="41" a="1"/>
  <c r="N102" i="41" s="1"/>
  <c r="N121" i="41" a="1"/>
  <c r="N121" i="41" s="1"/>
  <c r="N83" i="41" a="1"/>
  <c r="N83" i="41" s="1"/>
  <c r="N82" i="41" a="1"/>
  <c r="N82" i="41" s="1"/>
  <c r="N50" i="41" a="1"/>
  <c r="N50" i="41" s="1"/>
  <c r="N67" i="41" a="1"/>
  <c r="N67" i="41" s="1"/>
  <c r="M73" i="41" a="1"/>
  <c r="M73" i="41" s="1"/>
  <c r="N16" i="41" a="1"/>
  <c r="N16" i="41" s="1"/>
  <c r="M121" i="41" a="1"/>
  <c r="M121" i="41" s="1"/>
  <c r="M48" i="41" a="1"/>
  <c r="M48" i="41" s="1"/>
  <c r="M43" i="41" a="1"/>
  <c r="M43" i="41" s="1"/>
  <c r="N19" i="41" a="1"/>
  <c r="N19" i="41" s="1"/>
  <c r="M81" i="41" a="1"/>
  <c r="M81" i="41" s="1"/>
  <c r="N28" i="41" a="1"/>
  <c r="N28" i="41" s="1"/>
  <c r="M75" i="41" a="1"/>
  <c r="M75" i="41" s="1"/>
  <c r="M16" i="41" a="1"/>
  <c r="M16" i="41" s="1"/>
  <c r="M83" i="41" a="1"/>
  <c r="M83" i="41" s="1"/>
  <c r="M123" i="41" a="1"/>
  <c r="M123" i="41" s="1"/>
  <c r="M29" i="41" a="1"/>
  <c r="M29" i="41" s="1"/>
  <c r="N80" i="41" a="1"/>
  <c r="N80" i="41" s="1"/>
  <c r="N59" i="41" a="1"/>
  <c r="N59" i="41" s="1"/>
  <c r="M72" i="41" a="1"/>
  <c r="M72" i="41" s="1"/>
  <c r="N52" i="41" a="1"/>
  <c r="N52" i="41" s="1"/>
  <c r="M70" i="41" a="1"/>
  <c r="M70" i="41" s="1"/>
  <c r="N114" i="41" a="1"/>
  <c r="N114" i="41" s="1"/>
  <c r="N106" i="41" a="1"/>
  <c r="N106" i="41" s="1"/>
  <c r="M125" i="41" a="1"/>
  <c r="M125" i="41" s="1"/>
  <c r="N117" i="41" a="1"/>
  <c r="N117" i="41" s="1"/>
  <c r="N122" i="41" a="1"/>
  <c r="N122" i="41" s="1"/>
  <c r="M106" i="41" a="1"/>
  <c r="M106" i="41" s="1"/>
  <c r="N93" i="41" a="1"/>
  <c r="N93" i="41" s="1"/>
  <c r="N71" i="41" a="1"/>
  <c r="N71" i="41" s="1"/>
  <c r="N46" i="41" a="1"/>
  <c r="N46" i="41" s="1"/>
  <c r="M67" i="41" a="1"/>
  <c r="M67" i="41" s="1"/>
  <c r="M58" i="41" a="1"/>
  <c r="M58" i="41" s="1"/>
  <c r="N74" i="41" a="1"/>
  <c r="N74" i="41" s="1"/>
  <c r="N37" i="41" a="1"/>
  <c r="N37" i="41" s="1"/>
  <c r="M26" i="41" a="1"/>
  <c r="M26" i="41" s="1"/>
  <c r="N81" i="41" a="1"/>
  <c r="N81" i="41" s="1"/>
  <c r="N44" i="41" a="1"/>
  <c r="N44" i="41" s="1"/>
  <c r="M60" i="41" a="1"/>
  <c r="M60" i="41" s="1"/>
  <c r="M33" i="41" a="1"/>
  <c r="M33" i="41" s="1"/>
  <c r="N68" i="41" a="1"/>
  <c r="N68" i="41" s="1"/>
  <c r="M39" i="41" a="1"/>
  <c r="M39" i="41" s="1"/>
  <c r="M99" i="41" a="1"/>
  <c r="M99" i="41" s="1"/>
  <c r="M118" i="41" a="1"/>
  <c r="M118" i="41" s="1"/>
  <c r="N32" i="41" a="1"/>
  <c r="N32" i="41" s="1"/>
  <c r="M87" i="41" a="1"/>
  <c r="M87" i="41" s="1"/>
  <c r="N120" i="41" a="1"/>
  <c r="N120" i="41" s="1"/>
  <c r="M85" i="41" a="1"/>
  <c r="M85" i="41" s="1"/>
  <c r="M24" i="41" a="1"/>
  <c r="M24" i="41" s="1"/>
  <c r="M71" i="41" a="1"/>
  <c r="M71" i="41" s="1"/>
  <c r="N97" i="41" a="1"/>
  <c r="N97" i="41" s="1"/>
  <c r="N113" i="41" a="1"/>
  <c r="N113" i="41" s="1"/>
  <c r="M107" i="41" a="1"/>
  <c r="M107" i="41" s="1"/>
  <c r="N103" i="41" a="1"/>
  <c r="N103" i="41" s="1"/>
  <c r="N95" i="41" a="1"/>
  <c r="N95" i="41" s="1"/>
  <c r="N85" i="41" a="1"/>
  <c r="N85" i="41" s="1"/>
  <c r="N65" i="41" a="1"/>
  <c r="N65" i="41" s="1"/>
  <c r="N42" i="41" a="1"/>
  <c r="N42" i="41" s="1"/>
  <c r="N39" i="41" a="1"/>
  <c r="N39" i="41" s="1"/>
  <c r="N53" i="41" a="1"/>
  <c r="N53" i="41" s="1"/>
  <c r="N45" i="41" a="1"/>
  <c r="N45" i="41" s="1"/>
  <c r="M36" i="41" a="1"/>
  <c r="M36" i="41" s="1"/>
  <c r="N62" i="41" a="1"/>
  <c r="N62" i="41" s="1"/>
  <c r="N58" i="41" a="1"/>
  <c r="N58" i="41" s="1"/>
  <c r="M38" i="41" a="1"/>
  <c r="M38" i="41" s="1"/>
  <c r="N73" i="41" a="1"/>
  <c r="N73" i="41" s="1"/>
  <c r="M66" i="41" a="1"/>
  <c r="M66" i="41" s="1"/>
  <c r="M78" i="41" a="1"/>
  <c r="M78" i="41" s="1"/>
  <c r="N43" i="41" a="1"/>
  <c r="N43" i="41" s="1"/>
  <c r="M114" i="41" a="1"/>
  <c r="M114" i="41" s="1"/>
  <c r="N116" i="41" a="1"/>
  <c r="N116" i="41" s="1"/>
  <c r="M19" i="41" a="1"/>
  <c r="M19" i="41" s="1"/>
  <c r="M102" i="41" a="1"/>
  <c r="M102" i="41" s="1"/>
  <c r="N20" i="41" a="1"/>
  <c r="N20" i="41" s="1"/>
  <c r="M93" i="41" a="1"/>
  <c r="M93" i="41" s="1"/>
  <c r="M41" i="41" a="1"/>
  <c r="M41" i="41" s="1"/>
  <c r="M76" i="41" a="1"/>
  <c r="M76" i="41" s="1"/>
  <c r="N118" i="41" a="1"/>
  <c r="N118" i="41" s="1"/>
  <c r="M103" i="41" a="1"/>
  <c r="M103" i="41" s="1"/>
  <c r="M115" i="41" a="1"/>
  <c r="M115" i="41" s="1"/>
  <c r="AU123" i="38"/>
  <c r="AT116" i="38"/>
  <c r="AU111" i="38"/>
  <c r="AU96" i="38"/>
  <c r="AT99" i="38"/>
  <c r="AU98" i="38"/>
  <c r="AT60" i="38"/>
  <c r="AU64" i="38"/>
  <c r="AU70" i="38"/>
  <c r="AU43" i="38"/>
  <c r="AT48" i="38"/>
  <c r="AU66" i="38"/>
  <c r="AU21" i="38"/>
  <c r="AU17" i="38"/>
  <c r="AT22" i="38"/>
  <c r="AU76" i="38"/>
  <c r="AU55" i="38"/>
  <c r="AU78" i="38"/>
  <c r="AT53" i="38"/>
  <c r="AT73" i="38"/>
  <c r="AU47" i="38"/>
  <c r="AU81" i="38"/>
  <c r="AU50" i="38"/>
  <c r="AT81" i="38"/>
  <c r="AT86" i="38"/>
  <c r="AT89" i="38"/>
  <c r="AU105" i="38"/>
  <c r="AT69" i="38"/>
  <c r="AU119" i="38"/>
  <c r="AT112" i="38"/>
  <c r="AU110" i="38"/>
  <c r="AT95" i="38"/>
  <c r="AT93" i="38"/>
  <c r="AU82" i="38"/>
  <c r="AU79" i="38"/>
  <c r="AT64" i="38"/>
  <c r="AT56" i="38"/>
  <c r="AT40" i="38"/>
  <c r="AU45" i="38"/>
  <c r="AT34" i="38"/>
  <c r="AU15" i="38"/>
  <c r="AT23" i="38"/>
  <c r="AT17" i="38"/>
  <c r="AT83" i="38"/>
  <c r="AT39" i="38"/>
  <c r="AT55" i="38"/>
  <c r="AT57" i="38"/>
  <c r="AU73" i="38"/>
  <c r="AT16" i="38"/>
  <c r="AT85" i="38"/>
  <c r="AU39" i="38"/>
  <c r="AT102" i="38"/>
  <c r="AU103" i="38"/>
  <c r="AT117" i="38"/>
  <c r="AT98" i="38"/>
  <c r="AU117" i="38"/>
  <c r="AU124" i="38"/>
  <c r="AU122" i="38"/>
  <c r="AU109" i="38"/>
  <c r="AT103" i="38"/>
  <c r="AU100" i="38"/>
  <c r="AT74" i="38"/>
  <c r="AU57" i="38"/>
  <c r="AU63" i="38"/>
  <c r="AU49" i="38"/>
  <c r="AU32" i="38"/>
  <c r="AT42" i="38"/>
  <c r="AT70" i="38"/>
  <c r="AU36" i="38"/>
  <c r="AU19" i="38"/>
  <c r="AU20" i="38"/>
  <c r="AU99" i="38"/>
  <c r="AU97" i="38"/>
  <c r="AT65" i="38"/>
  <c r="AU30" i="38"/>
  <c r="AT87" i="38"/>
  <c r="AT24" i="38"/>
  <c r="AU85" i="38"/>
  <c r="AU26" i="38"/>
  <c r="AU125" i="38"/>
  <c r="AU59" i="38"/>
  <c r="AT31" i="38"/>
  <c r="AT125" i="38"/>
  <c r="AU121" i="38"/>
  <c r="AU120" i="38"/>
  <c r="AU115" i="38"/>
  <c r="AT106" i="38"/>
  <c r="AU94" i="38"/>
  <c r="AT92" i="38"/>
  <c r="AT76" i="38"/>
  <c r="AU53" i="38"/>
  <c r="AT58" i="38"/>
  <c r="AU40" i="38"/>
  <c r="AU52" i="38"/>
  <c r="AU34" i="38"/>
  <c r="AT54" i="38"/>
  <c r="AT21" i="38"/>
  <c r="AU56" i="38"/>
  <c r="AT20" i="38"/>
  <c r="AT94" i="38"/>
  <c r="AU114" i="38"/>
  <c r="AT71" i="38"/>
  <c r="AU48" i="38"/>
  <c r="AT90" i="38"/>
  <c r="AU42" i="38"/>
  <c r="AU37" i="38"/>
  <c r="AU38" i="38"/>
  <c r="AU113" i="38"/>
  <c r="AU44" i="38"/>
  <c r="AT45" i="38"/>
  <c r="AU95" i="38"/>
  <c r="AT123" i="38"/>
  <c r="AT122" i="38"/>
  <c r="AU116" i="38"/>
  <c r="AU106" i="38"/>
  <c r="AT104" i="38"/>
  <c r="AU92" i="38"/>
  <c r="AT84" i="38"/>
  <c r="AU87" i="38"/>
  <c r="AT79" i="38"/>
  <c r="AU90" i="38"/>
  <c r="AT36" i="38"/>
  <c r="AT32" i="38"/>
  <c r="AU29" i="38"/>
  <c r="AT50" i="38"/>
  <c r="AT15" i="38"/>
  <c r="AT19" i="38"/>
  <c r="AT51" i="38"/>
  <c r="AU107" i="38"/>
  <c r="AU28" i="38"/>
  <c r="AU71" i="38"/>
  <c r="AU58" i="38"/>
  <c r="AU89" i="38"/>
  <c r="AT59" i="38"/>
  <c r="AT75" i="38"/>
  <c r="AU18" i="38"/>
  <c r="AT105" i="38"/>
  <c r="AT37" i="38"/>
  <c r="AT43" i="38"/>
  <c r="AT109" i="38"/>
  <c r="AT118" i="38"/>
  <c r="AU112" i="38"/>
  <c r="AU104" i="38"/>
  <c r="AU102" i="38"/>
  <c r="AU88" i="38"/>
  <c r="AU91" i="38"/>
  <c r="AT68" i="38"/>
  <c r="AU61" i="38"/>
  <c r="AU80" i="38"/>
  <c r="AU27" i="38"/>
  <c r="AU68" i="38"/>
  <c r="AU25" i="38"/>
  <c r="AT44" i="38"/>
  <c r="AT30" i="38"/>
  <c r="AU35" i="38"/>
  <c r="AT67" i="38"/>
  <c r="AT119" i="38"/>
  <c r="AT26" i="38"/>
  <c r="AU54" i="38"/>
  <c r="AT41" i="38"/>
  <c r="AU108" i="38"/>
  <c r="AT49" i="38"/>
  <c r="AT96" i="38"/>
  <c r="AU51" i="38"/>
  <c r="AU16" i="38"/>
  <c r="AU65" i="38"/>
  <c r="AU46" i="38"/>
  <c r="AT115" i="38"/>
  <c r="AT114" i="38"/>
  <c r="AT124" i="38"/>
  <c r="AT101" i="38"/>
  <c r="AU118" i="38"/>
  <c r="AU84" i="38"/>
  <c r="AT88" i="38"/>
  <c r="AT66" i="38"/>
  <c r="AU83" i="38"/>
  <c r="AT78" i="38"/>
  <c r="AU60" i="38"/>
  <c r="AU62" i="38"/>
  <c r="AT80" i="38"/>
  <c r="AU41" i="38"/>
  <c r="AT18" i="38"/>
  <c r="AU31" i="38"/>
  <c r="AT35" i="38"/>
  <c r="AT25" i="38"/>
  <c r="AU22" i="38"/>
  <c r="AT14" i="38"/>
  <c r="AU67" i="38"/>
  <c r="AT107" i="38"/>
  <c r="AT77" i="38"/>
  <c r="AT100" i="38"/>
  <c r="AU72" i="38"/>
  <c r="AT33" i="38"/>
  <c r="AT113" i="38"/>
  <c r="AU93" i="38"/>
  <c r="AT121" i="38"/>
  <c r="AT110" i="38"/>
  <c r="AT120" i="38"/>
  <c r="AT97" i="38"/>
  <c r="AT108" i="38"/>
  <c r="AU101" i="38"/>
  <c r="AU86" i="38"/>
  <c r="AT62" i="38"/>
  <c r="AU75" i="38"/>
  <c r="AT72" i="38"/>
  <c r="AT46" i="38"/>
  <c r="AT52" i="38"/>
  <c r="AU69" i="38"/>
  <c r="AT27" i="38"/>
  <c r="AU23" i="38"/>
  <c r="AT38" i="38"/>
  <c r="AT63" i="38"/>
  <c r="AT29" i="38"/>
  <c r="AU33" i="38"/>
  <c r="AU24" i="38"/>
  <c r="AT61" i="38"/>
  <c r="AT28" i="38"/>
  <c r="AU77" i="38"/>
  <c r="AT111" i="38"/>
  <c r="AT47" i="38"/>
  <c r="AU74" i="38"/>
  <c r="AT82" i="38"/>
  <c r="AT91" i="38"/>
  <c r="AU14" i="38"/>
  <c r="BX98" i="44"/>
  <c r="BX121" i="44"/>
  <c r="BY116" i="44"/>
  <c r="BY117" i="44"/>
  <c r="BY52" i="44"/>
  <c r="BX73" i="44"/>
  <c r="BX111" i="44"/>
  <c r="BY67" i="44"/>
  <c r="BY63" i="44"/>
  <c r="BY47" i="44"/>
  <c r="BX23" i="44"/>
  <c r="BY25" i="44"/>
  <c r="BX30" i="44"/>
  <c r="BY31" i="44"/>
  <c r="BX62" i="44"/>
  <c r="BY84" i="44"/>
  <c r="BX29" i="44"/>
  <c r="BY86" i="44"/>
  <c r="BX20" i="44"/>
  <c r="BX66" i="44"/>
  <c r="BY73" i="44"/>
  <c r="BY77" i="44"/>
  <c r="BY95" i="44"/>
  <c r="BY40" i="44"/>
  <c r="BY123" i="44"/>
  <c r="BX50" i="44"/>
  <c r="BX18" i="44"/>
  <c r="BX100" i="44"/>
  <c r="BY125" i="44"/>
  <c r="BY97" i="44"/>
  <c r="BY120" i="44"/>
  <c r="BX93" i="44"/>
  <c r="BX89" i="44"/>
  <c r="BY48" i="44"/>
  <c r="BX69" i="44"/>
  <c r="BY98" i="44"/>
  <c r="BX59" i="44"/>
  <c r="BY102" i="44"/>
  <c r="BX38" i="44"/>
  <c r="BX19" i="44"/>
  <c r="BY16" i="44"/>
  <c r="BX21" i="44"/>
  <c r="BX26" i="44"/>
  <c r="BX80" i="44"/>
  <c r="BY80" i="44"/>
  <c r="BX27" i="44"/>
  <c r="BY100" i="44"/>
  <c r="BY50" i="44"/>
  <c r="BX49" i="44"/>
  <c r="BY115" i="44"/>
  <c r="BX40" i="44"/>
  <c r="BX106" i="44"/>
  <c r="BX92" i="44"/>
  <c r="BX25" i="44"/>
  <c r="BX79" i="44"/>
  <c r="BY36" i="44"/>
  <c r="BX117" i="44"/>
  <c r="BX94" i="44"/>
  <c r="BY109" i="44"/>
  <c r="BX82" i="44"/>
  <c r="BY85" i="44"/>
  <c r="BY93" i="44"/>
  <c r="BX65" i="44"/>
  <c r="BY82" i="44"/>
  <c r="BX55" i="44"/>
  <c r="BX76" i="44"/>
  <c r="BY39" i="44"/>
  <c r="BX15" i="44"/>
  <c r="BY43" i="44"/>
  <c r="BX17" i="44"/>
  <c r="BY17" i="44"/>
  <c r="BY49" i="44"/>
  <c r="BX118" i="44"/>
  <c r="BX31" i="44"/>
  <c r="BY103" i="44"/>
  <c r="BY46" i="44"/>
  <c r="BX54" i="44"/>
  <c r="BY18" i="44"/>
  <c r="BX84" i="44"/>
  <c r="BY108" i="44"/>
  <c r="BX72" i="44"/>
  <c r="BX22" i="44"/>
  <c r="BX74" i="44"/>
  <c r="BY32" i="44"/>
  <c r="BX113" i="44"/>
  <c r="BX90" i="44"/>
  <c r="BY104" i="44"/>
  <c r="BX78" i="44"/>
  <c r="BY72" i="44"/>
  <c r="BX85" i="44"/>
  <c r="BX61" i="44"/>
  <c r="BX77" i="44"/>
  <c r="BX51" i="44"/>
  <c r="BX63" i="44"/>
  <c r="BY54" i="44"/>
  <c r="BY23" i="44"/>
  <c r="BY33" i="44"/>
  <c r="BY29" i="44"/>
  <c r="BX14" i="44"/>
  <c r="BX64" i="44"/>
  <c r="BX110" i="44"/>
  <c r="BX44" i="44"/>
  <c r="BY99" i="44"/>
  <c r="BX37" i="44"/>
  <c r="BY88" i="44"/>
  <c r="BY20" i="44"/>
  <c r="BY53" i="44"/>
  <c r="BX75" i="44"/>
  <c r="BY96" i="44"/>
  <c r="BY24" i="44"/>
  <c r="BY114" i="44"/>
  <c r="BY57" i="44"/>
  <c r="BX105" i="44"/>
  <c r="BY121" i="44"/>
  <c r="BX120" i="44"/>
  <c r="BX116" i="44"/>
  <c r="BY68" i="44"/>
  <c r="BX60" i="44"/>
  <c r="BX57" i="44"/>
  <c r="BX71" i="44"/>
  <c r="BY81" i="44"/>
  <c r="BX45" i="44"/>
  <c r="BX39" i="44"/>
  <c r="BY19" i="44"/>
  <c r="BX24" i="44"/>
  <c r="BY37" i="44"/>
  <c r="BY42" i="44"/>
  <c r="BY83" i="44"/>
  <c r="BY30" i="44"/>
  <c r="BY45" i="44"/>
  <c r="BY122" i="44"/>
  <c r="BX46" i="44"/>
  <c r="BX91" i="44"/>
  <c r="BY21" i="44"/>
  <c r="BY75" i="44"/>
  <c r="BY119" i="44"/>
  <c r="BX58" i="44"/>
  <c r="BX35" i="44"/>
  <c r="BX108" i="44"/>
  <c r="BY66" i="44"/>
  <c r="BX109" i="44"/>
  <c r="BX101" i="44"/>
  <c r="BY105" i="44"/>
  <c r="BY94" i="44"/>
  <c r="BY64" i="44"/>
  <c r="BX56" i="44"/>
  <c r="BX53" i="44"/>
  <c r="BY59" i="44"/>
  <c r="BX67" i="44"/>
  <c r="BX41" i="44"/>
  <c r="BY71" i="44"/>
  <c r="BY74" i="44"/>
  <c r="BY58" i="44"/>
  <c r="BY34" i="44"/>
  <c r="BY28" i="44"/>
  <c r="BY76" i="44"/>
  <c r="BY22" i="44"/>
  <c r="BY92" i="44"/>
  <c r="BY65" i="44"/>
  <c r="BX68" i="44"/>
  <c r="BY111" i="44"/>
  <c r="BY87" i="44"/>
  <c r="BX88" i="44"/>
  <c r="BX125" i="44"/>
  <c r="BX102" i="44"/>
  <c r="BY41" i="44"/>
  <c r="BX123" i="44"/>
  <c r="BX87" i="44"/>
  <c r="BY113" i="44"/>
  <c r="BX99" i="44"/>
  <c r="BX104" i="44"/>
  <c r="BX115" i="44"/>
  <c r="BY60" i="44"/>
  <c r="BX52" i="44"/>
  <c r="BX124" i="44"/>
  <c r="BY55" i="44"/>
  <c r="BY90" i="44"/>
  <c r="BX112" i="44"/>
  <c r="BX43" i="44"/>
  <c r="BX28" i="44"/>
  <c r="BX36" i="44"/>
  <c r="BY15" i="44"/>
  <c r="BX47" i="44"/>
  <c r="BX119" i="44"/>
  <c r="BX16" i="44"/>
  <c r="BX48" i="44"/>
  <c r="BX103" i="44"/>
  <c r="BY89" i="44"/>
  <c r="BY107" i="44"/>
  <c r="BX33" i="44"/>
  <c r="BY79" i="44"/>
  <c r="BY110" i="44"/>
  <c r="BY106" i="44"/>
  <c r="BY61" i="44"/>
  <c r="BY70" i="44"/>
  <c r="BX83" i="44"/>
  <c r="BY101" i="44"/>
  <c r="BX97" i="44"/>
  <c r="BX95" i="44"/>
  <c r="BX86" i="44"/>
  <c r="BY56" i="44"/>
  <c r="BY78" i="44"/>
  <c r="BY91" i="44"/>
  <c r="BY51" i="44"/>
  <c r="BX81" i="44"/>
  <c r="BX107" i="44"/>
  <c r="BX34" i="44"/>
  <c r="BY27" i="44"/>
  <c r="BY35" i="44"/>
  <c r="BX32" i="44"/>
  <c r="BY44" i="44"/>
  <c r="BY62" i="44"/>
  <c r="BY14" i="44"/>
  <c r="BX70" i="44"/>
  <c r="BX96" i="44"/>
  <c r="BY112" i="44"/>
  <c r="BY124" i="44"/>
  <c r="BX42" i="44"/>
  <c r="BX114" i="44"/>
  <c r="BY38" i="44"/>
  <c r="BY118" i="44"/>
  <c r="BY69" i="44"/>
  <c r="BY26" i="44"/>
  <c r="BX122" i="44"/>
  <c r="BY121" i="41"/>
  <c r="BX112" i="41"/>
  <c r="BY95" i="41"/>
  <c r="BX94" i="41"/>
  <c r="BX91" i="41"/>
  <c r="BY83" i="41"/>
  <c r="BY77" i="41"/>
  <c r="BY36" i="41"/>
  <c r="BX44" i="41"/>
  <c r="BX67" i="41"/>
  <c r="BX75" i="41"/>
  <c r="BY57" i="41"/>
  <c r="BY58" i="41"/>
  <c r="BX32" i="41"/>
  <c r="BY74" i="41"/>
  <c r="BY123" i="41"/>
  <c r="BY49" i="41"/>
  <c r="BY15" i="41"/>
  <c r="BX80" i="41"/>
  <c r="BX65" i="41"/>
  <c r="BY98" i="41"/>
  <c r="BX29" i="41"/>
  <c r="BX103" i="41"/>
  <c r="BY56" i="41"/>
  <c r="BY90" i="41"/>
  <c r="BX72" i="41"/>
  <c r="BY29" i="41"/>
  <c r="BY118" i="41"/>
  <c r="BX104" i="41"/>
  <c r="BX108" i="41"/>
  <c r="BY109" i="41"/>
  <c r="BY96" i="41"/>
  <c r="BY81" i="41"/>
  <c r="BY73" i="41"/>
  <c r="BX69" i="41"/>
  <c r="BY32" i="41"/>
  <c r="BX40" i="41"/>
  <c r="BX58" i="41"/>
  <c r="BX64" i="41"/>
  <c r="BX50" i="41"/>
  <c r="BX42" i="41"/>
  <c r="BX21" i="41"/>
  <c r="BY79" i="41"/>
  <c r="BX53" i="41"/>
  <c r="BX28" i="41"/>
  <c r="BY65" i="41"/>
  <c r="BY86" i="41"/>
  <c r="BX39" i="41"/>
  <c r="BY105" i="41"/>
  <c r="BY72" i="41"/>
  <c r="BY22" i="41"/>
  <c r="BX86" i="41"/>
  <c r="BY108" i="41"/>
  <c r="BY115" i="41"/>
  <c r="BY114" i="41"/>
  <c r="BX115" i="41"/>
  <c r="BX14" i="41"/>
  <c r="BX120" i="41"/>
  <c r="BY107" i="41"/>
  <c r="BX97" i="41"/>
  <c r="BY91" i="41"/>
  <c r="BY116" i="41"/>
  <c r="BX73" i="41"/>
  <c r="BY87" i="41"/>
  <c r="BY28" i="41"/>
  <c r="BX36" i="41"/>
  <c r="BY47" i="41"/>
  <c r="BY39" i="41"/>
  <c r="BY20" i="41"/>
  <c r="BY51" i="41"/>
  <c r="BX49" i="41"/>
  <c r="BY93" i="41"/>
  <c r="BX27" i="41"/>
  <c r="BX55" i="41"/>
  <c r="BX33" i="41"/>
  <c r="BX122" i="41"/>
  <c r="BX43" i="41"/>
  <c r="BY122" i="41"/>
  <c r="BY33" i="41"/>
  <c r="BY26" i="41"/>
  <c r="BY71" i="41"/>
  <c r="BX113" i="41"/>
  <c r="BX118" i="41"/>
  <c r="BY120" i="41"/>
  <c r="BY18" i="41"/>
  <c r="BY113" i="41"/>
  <c r="BX100" i="41"/>
  <c r="BY117" i="41"/>
  <c r="BX116" i="41"/>
  <c r="BX81" i="41"/>
  <c r="BX71" i="41"/>
  <c r="BX56" i="41"/>
  <c r="BY24" i="41"/>
  <c r="BX62" i="41"/>
  <c r="BX38" i="41"/>
  <c r="BX30" i="41"/>
  <c r="BY69" i="41"/>
  <c r="BX46" i="41"/>
  <c r="BY30" i="41"/>
  <c r="BX111" i="41"/>
  <c r="BY68" i="41"/>
  <c r="BY82" i="41"/>
  <c r="BY75" i="41"/>
  <c r="BX119" i="41"/>
  <c r="BY34" i="41"/>
  <c r="BY14" i="41"/>
  <c r="BY38" i="41"/>
  <c r="BY25" i="41"/>
  <c r="BX83" i="41"/>
  <c r="BX105" i="41"/>
  <c r="BX74" i="41"/>
  <c r="BX106" i="41"/>
  <c r="BX95" i="41"/>
  <c r="BX102" i="41"/>
  <c r="BX92" i="41"/>
  <c r="BY104" i="41"/>
  <c r="BY100" i="41"/>
  <c r="BX87" i="41"/>
  <c r="BY63" i="41"/>
  <c r="BY52" i="41"/>
  <c r="BY62" i="41"/>
  <c r="BX60" i="41"/>
  <c r="BX66" i="41"/>
  <c r="BX77" i="41"/>
  <c r="BY67" i="41"/>
  <c r="BY16" i="41"/>
  <c r="BY53" i="41"/>
  <c r="BY106" i="41"/>
  <c r="BX57" i="41"/>
  <c r="BX59" i="41"/>
  <c r="BX78" i="41"/>
  <c r="BY110" i="41"/>
  <c r="BX47" i="41"/>
  <c r="BY41" i="41"/>
  <c r="BX23" i="41"/>
  <c r="BX24" i="41"/>
  <c r="BY99" i="41"/>
  <c r="BY19" i="41"/>
  <c r="BY64" i="41"/>
  <c r="BX109" i="41"/>
  <c r="BX125" i="41"/>
  <c r="BX98" i="41"/>
  <c r="BX88" i="41"/>
  <c r="BY101" i="41"/>
  <c r="BY92" i="41"/>
  <c r="BY84" i="41"/>
  <c r="BY59" i="41"/>
  <c r="BY48" i="41"/>
  <c r="BY61" i="41"/>
  <c r="BY54" i="41"/>
  <c r="BY43" i="41"/>
  <c r="BY35" i="41"/>
  <c r="BY31" i="41"/>
  <c r="BY27" i="41"/>
  <c r="BY37" i="41"/>
  <c r="BX16" i="41"/>
  <c r="BX70" i="41"/>
  <c r="BY85" i="41"/>
  <c r="BX85" i="41"/>
  <c r="BX123" i="41"/>
  <c r="BX37" i="41"/>
  <c r="BY46" i="41"/>
  <c r="BX61" i="41"/>
  <c r="BY60" i="41"/>
  <c r="BY111" i="41"/>
  <c r="BX35" i="41"/>
  <c r="BX99" i="41"/>
  <c r="BY89" i="41"/>
  <c r="BY112" i="41"/>
  <c r="BY125" i="41"/>
  <c r="BX84" i="41"/>
  <c r="BX124" i="41"/>
  <c r="BY88" i="41"/>
  <c r="BY80" i="41"/>
  <c r="BY55" i="41"/>
  <c r="BY44" i="41"/>
  <c r="BX52" i="41"/>
  <c r="BY66" i="41"/>
  <c r="BX34" i="41"/>
  <c r="BX26" i="41"/>
  <c r="BX19" i="41"/>
  <c r="BY23" i="41"/>
  <c r="BY42" i="41"/>
  <c r="BX20" i="41"/>
  <c r="BX89" i="41"/>
  <c r="BY94" i="41"/>
  <c r="BY78" i="41"/>
  <c r="BY17" i="41"/>
  <c r="BX90" i="41"/>
  <c r="BY21" i="41"/>
  <c r="BX93" i="41"/>
  <c r="BX68" i="41"/>
  <c r="BY124" i="41"/>
  <c r="BX82" i="41"/>
  <c r="BX110" i="41"/>
  <c r="BX31" i="41"/>
  <c r="BX121" i="41"/>
  <c r="BY119" i="41"/>
  <c r="BY97" i="41"/>
  <c r="BX101" i="41"/>
  <c r="BX96" i="41"/>
  <c r="BX79" i="41"/>
  <c r="BY76" i="41"/>
  <c r="BY40" i="41"/>
  <c r="BX48" i="41"/>
  <c r="BX54" i="41"/>
  <c r="BX17" i="41"/>
  <c r="BX22" i="41"/>
  <c r="BX15" i="41"/>
  <c r="BX18" i="41"/>
  <c r="BX76" i="41"/>
  <c r="BY50" i="41"/>
  <c r="BY45" i="41"/>
  <c r="BX114" i="41"/>
  <c r="BY70" i="41"/>
  <c r="BX45" i="41"/>
  <c r="BY102" i="41"/>
  <c r="BX25" i="41"/>
  <c r="BX117" i="41"/>
  <c r="BX63" i="41"/>
  <c r="BX41" i="41"/>
  <c r="BX51" i="41"/>
  <c r="BX107" i="41"/>
  <c r="BY103" i="41"/>
  <c r="BI122" i="38"/>
  <c r="BJ116" i="38"/>
  <c r="BI114" i="38"/>
  <c r="BJ103" i="38"/>
  <c r="BJ99" i="38"/>
  <c r="BI103" i="38"/>
  <c r="BI74" i="38"/>
  <c r="BI62" i="38"/>
  <c r="BI61" i="38"/>
  <c r="BI54" i="38"/>
  <c r="BI38" i="38"/>
  <c r="BJ48" i="38"/>
  <c r="BI78" i="38"/>
  <c r="BJ50" i="38"/>
  <c r="BI16" i="38"/>
  <c r="BI43" i="38"/>
  <c r="BI53" i="38"/>
  <c r="BI105" i="38"/>
  <c r="BJ41" i="38"/>
  <c r="BJ53" i="38"/>
  <c r="BJ43" i="38"/>
  <c r="BI21" i="38"/>
  <c r="BI42" i="38"/>
  <c r="BJ77" i="38"/>
  <c r="BJ100" i="38"/>
  <c r="BI66" i="38"/>
  <c r="BJ86" i="38"/>
  <c r="BJ107" i="38"/>
  <c r="BI118" i="38"/>
  <c r="BJ112" i="38"/>
  <c r="BI110" i="38"/>
  <c r="BI96" i="38"/>
  <c r="BJ93" i="38"/>
  <c r="BJ83" i="38"/>
  <c r="BI72" i="38"/>
  <c r="BI60" i="38"/>
  <c r="BJ58" i="38"/>
  <c r="BI50" i="38"/>
  <c r="BI36" i="38"/>
  <c r="BI65" i="38"/>
  <c r="BI51" i="38"/>
  <c r="BI26" i="38"/>
  <c r="BJ30" i="38"/>
  <c r="BI15" i="38"/>
  <c r="BI69" i="38"/>
  <c r="BJ25" i="38"/>
  <c r="BI75" i="38"/>
  <c r="BI98" i="38"/>
  <c r="BJ55" i="38"/>
  <c r="BI31" i="38"/>
  <c r="BI19" i="38"/>
  <c r="BI88" i="38"/>
  <c r="BJ111" i="38"/>
  <c r="BJ96" i="38"/>
  <c r="BI92" i="38"/>
  <c r="BJ121" i="38"/>
  <c r="BI123" i="38"/>
  <c r="BJ101" i="38"/>
  <c r="BJ108" i="38"/>
  <c r="BI95" i="38"/>
  <c r="BI108" i="38"/>
  <c r="BJ88" i="38"/>
  <c r="BJ70" i="38"/>
  <c r="BI56" i="38"/>
  <c r="BI81" i="38"/>
  <c r="BI47" i="38"/>
  <c r="BI35" i="38"/>
  <c r="BI59" i="38"/>
  <c r="BJ42" i="38"/>
  <c r="BJ29" i="38"/>
  <c r="BI18" i="38"/>
  <c r="BI64" i="38"/>
  <c r="BJ87" i="38"/>
  <c r="BI45" i="38"/>
  <c r="BJ91" i="38"/>
  <c r="BJ71" i="38"/>
  <c r="BI84" i="38"/>
  <c r="BJ35" i="38"/>
  <c r="BJ75" i="38"/>
  <c r="BI102" i="38"/>
  <c r="BI33" i="38"/>
  <c r="BJ94" i="38"/>
  <c r="BJ85" i="38"/>
  <c r="BJ123" i="38"/>
  <c r="BI119" i="38"/>
  <c r="BJ97" i="38"/>
  <c r="BI125" i="38"/>
  <c r="BI91" i="38"/>
  <c r="BJ80" i="38"/>
  <c r="BI86" i="38"/>
  <c r="BJ62" i="38"/>
  <c r="BI52" i="38"/>
  <c r="BJ64" i="38"/>
  <c r="BJ38" i="38"/>
  <c r="BJ46" i="38"/>
  <c r="BJ52" i="38"/>
  <c r="BJ34" i="38"/>
  <c r="BJ27" i="38"/>
  <c r="BJ23" i="38"/>
  <c r="BI46" i="38"/>
  <c r="BJ90" i="38"/>
  <c r="BI25" i="38"/>
  <c r="BI70" i="38"/>
  <c r="BI39" i="38"/>
  <c r="BJ113" i="38"/>
  <c r="BJ57" i="38"/>
  <c r="BJ89" i="38"/>
  <c r="BJ125" i="38"/>
  <c r="BJ115" i="38"/>
  <c r="BI68" i="38"/>
  <c r="BJ119" i="38"/>
  <c r="BJ122" i="38"/>
  <c r="BI115" i="38"/>
  <c r="BJ106" i="38"/>
  <c r="BI117" i="38"/>
  <c r="BI87" i="38"/>
  <c r="BI79" i="38"/>
  <c r="BJ74" i="38"/>
  <c r="BJ60" i="38"/>
  <c r="BJ79" i="38"/>
  <c r="BJ92" i="38"/>
  <c r="BJ36" i="38"/>
  <c r="BI40" i="38"/>
  <c r="BI48" i="38"/>
  <c r="BJ44" i="38"/>
  <c r="BJ21" i="38"/>
  <c r="BJ19" i="38"/>
  <c r="BJ51" i="38"/>
  <c r="BJ82" i="38"/>
  <c r="BJ24" i="38"/>
  <c r="BI80" i="38"/>
  <c r="BI23" i="38"/>
  <c r="BJ109" i="38"/>
  <c r="BI85" i="38"/>
  <c r="BI106" i="38"/>
  <c r="BI29" i="38"/>
  <c r="BJ117" i="38"/>
  <c r="BI116" i="38"/>
  <c r="BJ33" i="38"/>
  <c r="BJ118" i="38"/>
  <c r="BI111" i="38"/>
  <c r="BJ104" i="38"/>
  <c r="BI107" i="38"/>
  <c r="BI83" i="38"/>
  <c r="BI90" i="38"/>
  <c r="BI93" i="38"/>
  <c r="BI89" i="38"/>
  <c r="BI77" i="38"/>
  <c r="BJ78" i="38"/>
  <c r="BI30" i="38"/>
  <c r="BJ32" i="38"/>
  <c r="BI37" i="38"/>
  <c r="BJ54" i="38"/>
  <c r="BJ15" i="38"/>
  <c r="BI44" i="38"/>
  <c r="BJ67" i="38"/>
  <c r="BJ98" i="38"/>
  <c r="BJ37" i="38"/>
  <c r="BJ16" i="38"/>
  <c r="BI27" i="38"/>
  <c r="BJ105" i="38"/>
  <c r="BJ65" i="38"/>
  <c r="BI112" i="38"/>
  <c r="BI58" i="38"/>
  <c r="BJ22" i="38"/>
  <c r="BI124" i="38"/>
  <c r="BI49" i="38"/>
  <c r="BJ14" i="38"/>
  <c r="BJ114" i="38"/>
  <c r="BJ124" i="38"/>
  <c r="BI101" i="38"/>
  <c r="BI100" i="38"/>
  <c r="BI113" i="38"/>
  <c r="BI82" i="38"/>
  <c r="BJ84" i="38"/>
  <c r="BJ68" i="38"/>
  <c r="BI73" i="38"/>
  <c r="BJ72" i="38"/>
  <c r="BJ56" i="38"/>
  <c r="BJ76" i="38"/>
  <c r="BI28" i="38"/>
  <c r="BI22" i="38"/>
  <c r="BI14" i="38"/>
  <c r="BJ17" i="38"/>
  <c r="BI63" i="38"/>
  <c r="BI94" i="38"/>
  <c r="BJ59" i="38"/>
  <c r="BJ28" i="38"/>
  <c r="BI32" i="38"/>
  <c r="BI120" i="38"/>
  <c r="BJ69" i="38"/>
  <c r="BJ39" i="38"/>
  <c r="BJ63" i="38"/>
  <c r="BJ20" i="38"/>
  <c r="BJ45" i="38"/>
  <c r="BI104" i="38"/>
  <c r="BJ110" i="38"/>
  <c r="BJ120" i="38"/>
  <c r="BI121" i="38"/>
  <c r="BJ95" i="38"/>
  <c r="BI97" i="38"/>
  <c r="BI99" i="38"/>
  <c r="BI76" i="38"/>
  <c r="BJ66" i="38"/>
  <c r="BI71" i="38"/>
  <c r="BI55" i="38"/>
  <c r="BJ40" i="38"/>
  <c r="BI67" i="38"/>
  <c r="BI24" i="38"/>
  <c r="BI20" i="38"/>
  <c r="BJ18" i="38"/>
  <c r="BJ26" i="38"/>
  <c r="BI41" i="38"/>
  <c r="BI109" i="38"/>
  <c r="BJ49" i="38"/>
  <c r="BI57" i="38"/>
  <c r="BJ31" i="38"/>
  <c r="BI17" i="38"/>
  <c r="BJ81" i="38"/>
  <c r="BJ61" i="38"/>
  <c r="BJ47" i="38"/>
  <c r="BI34" i="38"/>
  <c r="BJ73" i="38"/>
  <c r="BJ102" i="38"/>
  <c r="AT119" i="43"/>
  <c r="AT116" i="43"/>
  <c r="AT103" i="43"/>
  <c r="AU118" i="43"/>
  <c r="AT85" i="43"/>
  <c r="AU92" i="43"/>
  <c r="AU84" i="43"/>
  <c r="AT58" i="43"/>
  <c r="AU50" i="43"/>
  <c r="AU40" i="43"/>
  <c r="AT45" i="43"/>
  <c r="AT26" i="43"/>
  <c r="AU23" i="43"/>
  <c r="AU102" i="43"/>
  <c r="AT56" i="43"/>
  <c r="AU79" i="43"/>
  <c r="AU36" i="43"/>
  <c r="AT32" i="43"/>
  <c r="AU99" i="43"/>
  <c r="AT120" i="43"/>
  <c r="AT16" i="43"/>
  <c r="AT90" i="43"/>
  <c r="AT34" i="43"/>
  <c r="AT65" i="43"/>
  <c r="AT36" i="43"/>
  <c r="AU73" i="43"/>
  <c r="AT57" i="43"/>
  <c r="AT17" i="43"/>
  <c r="AT115" i="43"/>
  <c r="AT125" i="43"/>
  <c r="AT99" i="43"/>
  <c r="AU101" i="43"/>
  <c r="AT81" i="43"/>
  <c r="AU88" i="43"/>
  <c r="AU69" i="43"/>
  <c r="AU80" i="43"/>
  <c r="AU46" i="43"/>
  <c r="AU60" i="43"/>
  <c r="AT49" i="43"/>
  <c r="AT53" i="43"/>
  <c r="AT28" i="43"/>
  <c r="AU90" i="43"/>
  <c r="AU43" i="43"/>
  <c r="AT94" i="43"/>
  <c r="AU25" i="43"/>
  <c r="AU17" i="43"/>
  <c r="AT98" i="43"/>
  <c r="AU28" i="43"/>
  <c r="AT51" i="43"/>
  <c r="AU105" i="43"/>
  <c r="AT25" i="43"/>
  <c r="AU58" i="43"/>
  <c r="AU32" i="43"/>
  <c r="AU86" i="43"/>
  <c r="AU104" i="43"/>
  <c r="AU19" i="43"/>
  <c r="AT122" i="43"/>
  <c r="AT111" i="43"/>
  <c r="AT121" i="43"/>
  <c r="AT95" i="43"/>
  <c r="AU97" i="43"/>
  <c r="AT77" i="43"/>
  <c r="AU93" i="43"/>
  <c r="AU65" i="43"/>
  <c r="AU76" i="43"/>
  <c r="AU42" i="43"/>
  <c r="AU72" i="43"/>
  <c r="AT37" i="43"/>
  <c r="AT18" i="43"/>
  <c r="AT69" i="43"/>
  <c r="AU121" i="43"/>
  <c r="AT38" i="43"/>
  <c r="AU94" i="43"/>
  <c r="AT60" i="43"/>
  <c r="AU14" i="43"/>
  <c r="AU95" i="43"/>
  <c r="AU21" i="43"/>
  <c r="AU78" i="43"/>
  <c r="AT104" i="43"/>
  <c r="AT48" i="43"/>
  <c r="AT72" i="43"/>
  <c r="AU34" i="43"/>
  <c r="AT88" i="43"/>
  <c r="AT109" i="43"/>
  <c r="AT118" i="43"/>
  <c r="AT107" i="43"/>
  <c r="AT117" i="43"/>
  <c r="AT91" i="43"/>
  <c r="AT89" i="43"/>
  <c r="AT73" i="43"/>
  <c r="AT83" i="43"/>
  <c r="AU61" i="43"/>
  <c r="AT71" i="43"/>
  <c r="AU68" i="43"/>
  <c r="AU64" i="43"/>
  <c r="AU30" i="43"/>
  <c r="AT30" i="43"/>
  <c r="AU56" i="43"/>
  <c r="AU115" i="43"/>
  <c r="AT43" i="43"/>
  <c r="AU125" i="43"/>
  <c r="AT61" i="43"/>
  <c r="AU59" i="43"/>
  <c r="AT96" i="43"/>
  <c r="AU27" i="43"/>
  <c r="AU67" i="43"/>
  <c r="AT108" i="43"/>
  <c r="AT54" i="43"/>
  <c r="AU77" i="43"/>
  <c r="AT42" i="43"/>
  <c r="AU109" i="43"/>
  <c r="AU111" i="43"/>
  <c r="AT114" i="43"/>
  <c r="AU124" i="43"/>
  <c r="AT113" i="43"/>
  <c r="AU110" i="43"/>
  <c r="AT84" i="43"/>
  <c r="AT97" i="43"/>
  <c r="AT79" i="43"/>
  <c r="AU74" i="43"/>
  <c r="AT67" i="43"/>
  <c r="AU57" i="43"/>
  <c r="AU35" i="43"/>
  <c r="AU26" i="43"/>
  <c r="AT22" i="43"/>
  <c r="AU51" i="43"/>
  <c r="AU24" i="43"/>
  <c r="AU53" i="43"/>
  <c r="AU117" i="43"/>
  <c r="AU66" i="43"/>
  <c r="AT35" i="43"/>
  <c r="AU31" i="43"/>
  <c r="AU29" i="43"/>
  <c r="AT74" i="43"/>
  <c r="AU123" i="43"/>
  <c r="AU41" i="43"/>
  <c r="AU82" i="43"/>
  <c r="AU45" i="43"/>
  <c r="AT21" i="43"/>
  <c r="AT44" i="43"/>
  <c r="AT110" i="43"/>
  <c r="AU120" i="43"/>
  <c r="AU122" i="43"/>
  <c r="AU108" i="43"/>
  <c r="AT80" i="43"/>
  <c r="AU91" i="43"/>
  <c r="AT75" i="43"/>
  <c r="AT70" i="43"/>
  <c r="AT63" i="43"/>
  <c r="AU52" i="43"/>
  <c r="AT41" i="43"/>
  <c r="AU22" i="43"/>
  <c r="AT33" i="43"/>
  <c r="AT50" i="43"/>
  <c r="AU33" i="43"/>
  <c r="AU75" i="43"/>
  <c r="AU107" i="43"/>
  <c r="AT52" i="43"/>
  <c r="AT55" i="43"/>
  <c r="AT46" i="43"/>
  <c r="AU37" i="43"/>
  <c r="AT82" i="43"/>
  <c r="AT124" i="43"/>
  <c r="AU47" i="43"/>
  <c r="AU81" i="43"/>
  <c r="AT40" i="43"/>
  <c r="AU49" i="43"/>
  <c r="AU83" i="43"/>
  <c r="AT106" i="43"/>
  <c r="AU116" i="43"/>
  <c r="AU114" i="43"/>
  <c r="AU100" i="43"/>
  <c r="AT76" i="43"/>
  <c r="AT87" i="43"/>
  <c r="AT93" i="43"/>
  <c r="AT66" i="43"/>
  <c r="AT59" i="43"/>
  <c r="AU48" i="43"/>
  <c r="AT19" i="43"/>
  <c r="AU18" i="43"/>
  <c r="AT27" i="43"/>
  <c r="AT92" i="43"/>
  <c r="AT31" i="43"/>
  <c r="AU62" i="43"/>
  <c r="AU113" i="43"/>
  <c r="AT24" i="43"/>
  <c r="AT68" i="43"/>
  <c r="AT64" i="43"/>
  <c r="AT20" i="43"/>
  <c r="AT78" i="43"/>
  <c r="AU119" i="43"/>
  <c r="AU63" i="43"/>
  <c r="AT105" i="43"/>
  <c r="AT47" i="43"/>
  <c r="AU103" i="43"/>
  <c r="AU98" i="43"/>
  <c r="AT123" i="43"/>
  <c r="AU112" i="43"/>
  <c r="AU106" i="43"/>
  <c r="AU96" i="43"/>
  <c r="AU87" i="43"/>
  <c r="AT101" i="43"/>
  <c r="AU89" i="43"/>
  <c r="AT62" i="43"/>
  <c r="AU54" i="43"/>
  <c r="AU44" i="43"/>
  <c r="AU38" i="43"/>
  <c r="AT14" i="43"/>
  <c r="AT23" i="43"/>
  <c r="AU85" i="43"/>
  <c r="AT39" i="43"/>
  <c r="AU70" i="43"/>
  <c r="AU55" i="43"/>
  <c r="AT15" i="43"/>
  <c r="AT86" i="43"/>
  <c r="AT102" i="43"/>
  <c r="AU20" i="43"/>
  <c r="AT100" i="43"/>
  <c r="AU15" i="43"/>
  <c r="AU71" i="43"/>
  <c r="AT29" i="43"/>
  <c r="AU39" i="43"/>
  <c r="AT112" i="43"/>
  <c r="AU16" i="43"/>
  <c r="N100" i="44" a="1"/>
  <c r="N100" i="44" s="1"/>
  <c r="M96" i="44" a="1"/>
  <c r="M96" i="44" s="1"/>
  <c r="N54" i="44" a="1"/>
  <c r="N54" i="44" s="1"/>
  <c r="M114" i="44" a="1"/>
  <c r="M114" i="44" s="1"/>
  <c r="N61" i="44" a="1"/>
  <c r="N61" i="44" s="1"/>
  <c r="M59" i="44" a="1"/>
  <c r="M59" i="44" s="1"/>
  <c r="M52" i="44" a="1"/>
  <c r="M52" i="44" s="1"/>
  <c r="N17" i="44" a="1"/>
  <c r="N17" i="44" s="1"/>
  <c r="N37" i="44" a="1"/>
  <c r="N37" i="44" s="1"/>
  <c r="N123" i="44" a="1"/>
  <c r="N123" i="44" s="1"/>
  <c r="N102" i="44" a="1"/>
  <c r="N102" i="44" s="1"/>
  <c r="M91" i="44" a="1"/>
  <c r="M91" i="44" s="1"/>
  <c r="N50" i="44" a="1"/>
  <c r="N50" i="44" s="1"/>
  <c r="N88" i="44" a="1"/>
  <c r="N88" i="44" s="1"/>
  <c r="N57" i="44" a="1"/>
  <c r="N57" i="44" s="1"/>
  <c r="M55" i="44" a="1"/>
  <c r="M55" i="44" s="1"/>
  <c r="M60" i="44" a="1"/>
  <c r="M60" i="44" s="1"/>
  <c r="N18" i="44" a="1"/>
  <c r="N18" i="44" s="1"/>
  <c r="N115" i="44" a="1"/>
  <c r="N115" i="44" s="1"/>
  <c r="N91" i="44" a="1"/>
  <c r="N91" i="44" s="1"/>
  <c r="M87" i="44" a="1"/>
  <c r="M87" i="44" s="1"/>
  <c r="N103" i="44" a="1"/>
  <c r="N103" i="44" s="1"/>
  <c r="M82" i="44" a="1"/>
  <c r="M82" i="44" s="1"/>
  <c r="N53" i="44" a="1"/>
  <c r="N53" i="44" s="1"/>
  <c r="M72" i="44" a="1"/>
  <c r="M72" i="44" s="1"/>
  <c r="N41" i="44" a="1"/>
  <c r="N41" i="44" s="1"/>
  <c r="N39" i="44" a="1"/>
  <c r="N39" i="44" s="1"/>
  <c r="N21" i="44" a="1"/>
  <c r="N21" i="44" s="1"/>
  <c r="N107" i="44" a="1"/>
  <c r="N107" i="44" s="1"/>
  <c r="N89" i="44" a="1"/>
  <c r="N89" i="44" s="1"/>
  <c r="N74" i="44" a="1"/>
  <c r="N74" i="44" s="1"/>
  <c r="N76" i="44" a="1"/>
  <c r="N76" i="44" s="1"/>
  <c r="M75" i="44" a="1"/>
  <c r="M75" i="44" s="1"/>
  <c r="N73" i="44" a="1"/>
  <c r="N73" i="44" s="1"/>
  <c r="M48" i="44" a="1"/>
  <c r="M48" i="44" s="1"/>
  <c r="N65" i="44" a="1"/>
  <c r="N65" i="44" s="1"/>
  <c r="N35" i="44" a="1"/>
  <c r="N35" i="44" s="1"/>
  <c r="N22" i="44" a="1"/>
  <c r="N22" i="44" s="1"/>
  <c r="N30" i="44" a="1"/>
  <c r="N30" i="44" s="1"/>
  <c r="N96" i="44" a="1"/>
  <c r="N96" i="44" s="1"/>
  <c r="M29" i="44" a="1"/>
  <c r="M29" i="44" s="1"/>
  <c r="M123" i="44" a="1"/>
  <c r="M123" i="44" s="1"/>
  <c r="N44" i="44" a="1"/>
  <c r="N44" i="44" s="1"/>
  <c r="M110" i="44" a="1"/>
  <c r="M110" i="44" s="1"/>
  <c r="M109" i="44" a="1"/>
  <c r="M109" i="44" s="1"/>
  <c r="N111" i="44" a="1"/>
  <c r="N111" i="44" s="1"/>
  <c r="M117" i="44" a="1"/>
  <c r="M117" i="44" s="1"/>
  <c r="N70" i="44" a="1"/>
  <c r="N70" i="44" s="1"/>
  <c r="N114" i="44" a="1"/>
  <c r="N114" i="44" s="1"/>
  <c r="M88" i="44" a="1"/>
  <c r="M88" i="44" s="1"/>
  <c r="M118" i="44" a="1"/>
  <c r="M118" i="44" s="1"/>
  <c r="M43" i="44" a="1"/>
  <c r="M43" i="44" s="1"/>
  <c r="N45" i="44" a="1"/>
  <c r="N45" i="44" s="1"/>
  <c r="N29" i="44" a="1"/>
  <c r="N29" i="44" s="1"/>
  <c r="N105" i="44" a="1"/>
  <c r="N105" i="44" s="1"/>
  <c r="M102" i="44" a="1"/>
  <c r="M102" i="44" s="1"/>
  <c r="N66" i="44" a="1"/>
  <c r="N66" i="44" s="1"/>
  <c r="N93" i="44" a="1"/>
  <c r="N93" i="44" s="1"/>
  <c r="N84" i="44" a="1"/>
  <c r="N84" i="44" s="1"/>
  <c r="M51" i="44" a="1"/>
  <c r="M51" i="44" s="1"/>
  <c r="N49" i="44" a="1"/>
  <c r="N49" i="44" s="1"/>
  <c r="M36" i="44" a="1"/>
  <c r="M36" i="44" s="1"/>
  <c r="M98" i="44" a="1"/>
  <c r="M98" i="44" s="1"/>
  <c r="M94" i="44" a="1"/>
  <c r="M94" i="44" s="1"/>
  <c r="N62" i="44" a="1"/>
  <c r="N62" i="44" s="1"/>
  <c r="N83" i="44" a="1"/>
  <c r="N83" i="44" s="1"/>
  <c r="M83" i="44" a="1"/>
  <c r="M83" i="44" s="1"/>
  <c r="N48" i="44" a="1"/>
  <c r="N48" i="44" s="1"/>
  <c r="N40" i="44" a="1"/>
  <c r="N40" i="44" s="1"/>
  <c r="N33" i="44" a="1"/>
  <c r="N33" i="44" s="1"/>
  <c r="M26" i="44" a="1"/>
  <c r="M26" i="44" s="1"/>
  <c r="N119" i="44" a="1"/>
  <c r="N119" i="44" s="1"/>
  <c r="M101" i="44" a="1"/>
  <c r="M101" i="44" s="1"/>
  <c r="N58" i="44" a="1"/>
  <c r="N58" i="44" s="1"/>
  <c r="N80" i="44" a="1"/>
  <c r="N80" i="44" s="1"/>
  <c r="N86" i="44" a="1"/>
  <c r="N86" i="44" s="1"/>
  <c r="N69" i="44" a="1"/>
  <c r="N69" i="44" s="1"/>
  <c r="M56" i="44" a="1"/>
  <c r="M56" i="44" s="1"/>
  <c r="N24" i="44" a="1"/>
  <c r="N24" i="44" s="1"/>
  <c r="M38" i="44" a="1"/>
  <c r="M38" i="44" s="1"/>
  <c r="M37" i="44" a="1"/>
  <c r="M37" i="44" s="1"/>
  <c r="M69" i="44" a="1"/>
  <c r="M69" i="44" s="1"/>
  <c r="M124" i="44" a="1"/>
  <c r="M124" i="44" s="1"/>
  <c r="N71" i="44" a="1"/>
  <c r="N71" i="44" s="1"/>
  <c r="M31" i="44" a="1"/>
  <c r="M31" i="44" s="1"/>
  <c r="N59" i="44" a="1"/>
  <c r="N59" i="44" s="1"/>
  <c r="N113" i="44" a="1"/>
  <c r="N113" i="44" s="1"/>
  <c r="M49" i="44" a="1"/>
  <c r="M49" i="44" s="1"/>
  <c r="M113" i="44" a="1"/>
  <c r="M113" i="44" s="1"/>
  <c r="M39" i="44" a="1"/>
  <c r="M39" i="44" s="1"/>
  <c r="M99" i="44" a="1"/>
  <c r="M99" i="44" s="1"/>
  <c r="N92" i="44" a="1"/>
  <c r="N92" i="44" s="1"/>
  <c r="N38" i="44" a="1"/>
  <c r="N38" i="44" s="1"/>
  <c r="M90" i="44" a="1"/>
  <c r="M90" i="44" s="1"/>
  <c r="N51" i="44" a="1"/>
  <c r="N51" i="44" s="1"/>
  <c r="N104" i="44" a="1"/>
  <c r="N104" i="44" s="1"/>
  <c r="N15" i="44" a="1"/>
  <c r="N15" i="44" s="1"/>
  <c r="M81" i="44" a="1"/>
  <c r="M81" i="44" s="1"/>
  <c r="N25" i="44" a="1"/>
  <c r="N25" i="44" s="1"/>
  <c r="N23" i="44" a="1"/>
  <c r="N23" i="44" s="1"/>
  <c r="N63" i="44" a="1"/>
  <c r="N63" i="44" s="1"/>
  <c r="M105" i="44" a="1"/>
  <c r="M105" i="44" s="1"/>
  <c r="N26" i="44" a="1"/>
  <c r="N26" i="44" s="1"/>
  <c r="N64" i="44" a="1"/>
  <c r="N64" i="44" s="1"/>
  <c r="N94" i="44" a="1"/>
  <c r="N94" i="44" s="1"/>
  <c r="M25" i="44" a="1"/>
  <c r="M25" i="44" s="1"/>
  <c r="N43" i="44" a="1"/>
  <c r="N43" i="44" s="1"/>
  <c r="N120" i="44" a="1"/>
  <c r="N120" i="44" s="1"/>
  <c r="N106" i="44" a="1"/>
  <c r="N106" i="44" s="1"/>
  <c r="M64" i="44" a="1"/>
  <c r="M64" i="44" s="1"/>
  <c r="M106" i="44" a="1"/>
  <c r="M106" i="44" s="1"/>
  <c r="M79" i="44" a="1"/>
  <c r="M79" i="44" s="1"/>
  <c r="M107" i="44" a="1"/>
  <c r="M107" i="44" s="1"/>
  <c r="M22" i="44" a="1"/>
  <c r="M22" i="44" s="1"/>
  <c r="M103" i="44" a="1"/>
  <c r="M103" i="44" s="1"/>
  <c r="M28" i="44" a="1"/>
  <c r="M28" i="44" s="1"/>
  <c r="M27" i="44" a="1"/>
  <c r="M27" i="44" s="1"/>
  <c r="M80" i="44" a="1"/>
  <c r="M80" i="44" s="1"/>
  <c r="M112" i="44" a="1"/>
  <c r="M112" i="44" s="1"/>
  <c r="M47" i="44" a="1"/>
  <c r="M47" i="44" s="1"/>
  <c r="N95" i="44" a="1"/>
  <c r="N95" i="44" s="1"/>
  <c r="N108" i="44" a="1"/>
  <c r="N108" i="44" s="1"/>
  <c r="N31" i="44" a="1"/>
  <c r="N31" i="44" s="1"/>
  <c r="N60" i="44" a="1"/>
  <c r="N60" i="44" s="1"/>
  <c r="N55" i="44" a="1"/>
  <c r="N55" i="44" s="1"/>
  <c r="N116" i="44" a="1"/>
  <c r="N116" i="44" s="1"/>
  <c r="N46" i="44" a="1"/>
  <c r="N46" i="44" s="1"/>
  <c r="M100" i="44" a="1"/>
  <c r="M100" i="44" s="1"/>
  <c r="N75" i="44" a="1"/>
  <c r="N75" i="44" s="1"/>
  <c r="N121" i="44" a="1"/>
  <c r="N121" i="44" s="1"/>
  <c r="M32" i="44" a="1"/>
  <c r="M32" i="44" s="1"/>
  <c r="N97" i="44" a="1"/>
  <c r="N97" i="44" s="1"/>
  <c r="M45" i="44" a="1"/>
  <c r="M45" i="44" s="1"/>
  <c r="N52" i="44" a="1"/>
  <c r="N52" i="44" s="1"/>
  <c r="N109" i="44" a="1"/>
  <c r="N109" i="44" s="1"/>
  <c r="N56" i="44" a="1"/>
  <c r="N56" i="44" s="1"/>
  <c r="N32" i="44" a="1"/>
  <c r="N32" i="44" s="1"/>
  <c r="M71" i="44" a="1"/>
  <c r="M71" i="44" s="1"/>
  <c r="M97" i="44" a="1"/>
  <c r="M97" i="44" s="1"/>
  <c r="M18" i="44" a="1"/>
  <c r="M18" i="44" s="1"/>
  <c r="M46" i="44" a="1"/>
  <c r="M46" i="44" s="1"/>
  <c r="M15" i="44" a="1"/>
  <c r="M15" i="44" s="1"/>
  <c r="N125" i="44" a="1"/>
  <c r="N125" i="44" s="1"/>
  <c r="M50" i="44" a="1"/>
  <c r="M50" i="44" s="1"/>
  <c r="M17" i="44" a="1"/>
  <c r="M17" i="44" s="1"/>
  <c r="N87" i="44" a="1"/>
  <c r="N87" i="44" s="1"/>
  <c r="M125" i="44" a="1"/>
  <c r="M125" i="44" s="1"/>
  <c r="M66" i="44" a="1"/>
  <c r="M66" i="44" s="1"/>
  <c r="N122" i="44" a="1"/>
  <c r="N122" i="44" s="1"/>
  <c r="M67" i="44" a="1"/>
  <c r="M67" i="44" s="1"/>
  <c r="M44" i="44" a="1"/>
  <c r="M44" i="44" s="1"/>
  <c r="M85" i="44" a="1"/>
  <c r="M85" i="44" s="1"/>
  <c r="N85" i="44" a="1"/>
  <c r="N85" i="44" s="1"/>
  <c r="M57" i="44" a="1"/>
  <c r="M57" i="44" s="1"/>
  <c r="N67" i="44" a="1"/>
  <c r="N67" i="44" s="1"/>
  <c r="M119" i="44" a="1"/>
  <c r="M119" i="44" s="1"/>
  <c r="M20" i="44" a="1"/>
  <c r="M20" i="44" s="1"/>
  <c r="M95" i="44" a="1"/>
  <c r="M95" i="44" s="1"/>
  <c r="M40" i="44" a="1"/>
  <c r="M40" i="44" s="1"/>
  <c r="N27" i="44" a="1"/>
  <c r="N27" i="44" s="1"/>
  <c r="M74" i="44" a="1"/>
  <c r="M74" i="44" s="1"/>
  <c r="N90" i="44" a="1"/>
  <c r="N90" i="44" s="1"/>
  <c r="N110" i="44" a="1"/>
  <c r="N110" i="44" s="1"/>
  <c r="M42" i="44" a="1"/>
  <c r="M42" i="44" s="1"/>
  <c r="N47" i="44" a="1"/>
  <c r="N47" i="44" s="1"/>
  <c r="N98" i="44" a="1"/>
  <c r="N98" i="44" s="1"/>
  <c r="M21" i="44" a="1"/>
  <c r="M21" i="44" s="1"/>
  <c r="N42" i="44" a="1"/>
  <c r="N42" i="44" s="1"/>
  <c r="M92" i="44" a="1"/>
  <c r="M92" i="44" s="1"/>
  <c r="N118" i="44" a="1"/>
  <c r="N118" i="44" s="1"/>
  <c r="M65" i="44" a="1"/>
  <c r="M65" i="44" s="1"/>
  <c r="N82" i="44" a="1"/>
  <c r="N82" i="44" s="1"/>
  <c r="M120" i="44" a="1"/>
  <c r="M120" i="44" s="1"/>
  <c r="N28" i="44" a="1"/>
  <c r="N28" i="44" s="1"/>
  <c r="M86" i="44" a="1"/>
  <c r="M86" i="44" s="1"/>
  <c r="M61" i="44" a="1"/>
  <c r="M61" i="44" s="1"/>
  <c r="M58" i="44" a="1"/>
  <c r="M58" i="44" s="1"/>
  <c r="N79" i="44" a="1"/>
  <c r="N79" i="44" s="1"/>
  <c r="M115" i="44" a="1"/>
  <c r="M115" i="44" s="1"/>
  <c r="M77" i="44" a="1"/>
  <c r="M77" i="44" s="1"/>
  <c r="M116" i="44" a="1"/>
  <c r="M116" i="44" s="1"/>
  <c r="M54" i="44" a="1"/>
  <c r="M54" i="44" s="1"/>
  <c r="M111" i="44" a="1"/>
  <c r="M111" i="44" s="1"/>
  <c r="M24" i="44" a="1"/>
  <c r="M24" i="44" s="1"/>
  <c r="N68" i="44" a="1"/>
  <c r="N68" i="44" s="1"/>
  <c r="N101" i="44" a="1"/>
  <c r="N101" i="44" s="1"/>
  <c r="M34" i="44" a="1"/>
  <c r="M34" i="44" s="1"/>
  <c r="M78" i="44" a="1"/>
  <c r="M78" i="44" s="1"/>
  <c r="M93" i="44" a="1"/>
  <c r="M93" i="44" s="1"/>
  <c r="M41" i="44" a="1"/>
  <c r="M41" i="44" s="1"/>
  <c r="N19" i="44" a="1"/>
  <c r="N19" i="44" s="1"/>
  <c r="M121" i="44" a="1"/>
  <c r="M121" i="44" s="1"/>
  <c r="M70" i="44" a="1"/>
  <c r="M70" i="44" s="1"/>
  <c r="M33" i="44" a="1"/>
  <c r="M33" i="44" s="1"/>
  <c r="M84" i="44" a="1"/>
  <c r="M84" i="44" s="1"/>
  <c r="M30" i="44" a="1"/>
  <c r="M30" i="44" s="1"/>
  <c r="M89" i="44" a="1"/>
  <c r="M89" i="44" s="1"/>
  <c r="M19" i="44" a="1"/>
  <c r="M19" i="44" s="1"/>
  <c r="M68" i="44" a="1"/>
  <c r="M68" i="44" s="1"/>
  <c r="M104" i="44" a="1"/>
  <c r="M104" i="44" s="1"/>
  <c r="N36" i="44" a="1"/>
  <c r="N36" i="44" s="1"/>
  <c r="M62" i="44" a="1"/>
  <c r="M62" i="44" s="1"/>
  <c r="M122" i="44" a="1"/>
  <c r="M122" i="44" s="1"/>
  <c r="M16" i="44" a="1"/>
  <c r="M16" i="44" s="1"/>
  <c r="N72" i="44" a="1"/>
  <c r="N72" i="44" s="1"/>
  <c r="M76" i="44" a="1"/>
  <c r="M76" i="44" s="1"/>
  <c r="M35" i="44" a="1"/>
  <c r="M35" i="44" s="1"/>
  <c r="N124" i="44" a="1"/>
  <c r="N124" i="44" s="1"/>
  <c r="N81" i="44" a="1"/>
  <c r="N81" i="44" s="1"/>
  <c r="N16" i="44" a="1"/>
  <c r="N16" i="44" s="1"/>
  <c r="N78" i="44" a="1"/>
  <c r="N78" i="44" s="1"/>
  <c r="M53" i="44" a="1"/>
  <c r="M53" i="44" s="1"/>
  <c r="N117" i="44" a="1"/>
  <c r="N117" i="44" s="1"/>
  <c r="N34" i="44" a="1"/>
  <c r="N34" i="44" s="1"/>
  <c r="N77" i="44" a="1"/>
  <c r="N77" i="44" s="1"/>
  <c r="M108" i="44" a="1"/>
  <c r="M108" i="44" s="1"/>
  <c r="N20" i="44" a="1"/>
  <c r="N20" i="44" s="1"/>
  <c r="M63" i="44" a="1"/>
  <c r="M63" i="44" s="1"/>
  <c r="N99" i="44" a="1"/>
  <c r="N99" i="44" s="1"/>
  <c r="M23" i="44" a="1"/>
  <c r="M23" i="44" s="1"/>
  <c r="M73" i="44" a="1"/>
  <c r="M73" i="44" s="1"/>
  <c r="N112" i="44" a="1"/>
  <c r="N112" i="44" s="1"/>
  <c r="BI120" i="41"/>
  <c r="BJ103" i="41"/>
  <c r="BJ97" i="41"/>
  <c r="BI101" i="41"/>
  <c r="BI88" i="41"/>
  <c r="BI73" i="41"/>
  <c r="BJ87" i="41"/>
  <c r="BI52" i="41"/>
  <c r="BI68" i="41"/>
  <c r="BJ21" i="41"/>
  <c r="BJ63" i="41"/>
  <c r="BJ18" i="41"/>
  <c r="BJ27" i="41"/>
  <c r="BJ43" i="41"/>
  <c r="BJ75" i="41"/>
  <c r="BI65" i="41"/>
  <c r="BJ94" i="41"/>
  <c r="BJ67" i="41"/>
  <c r="BJ38" i="41"/>
  <c r="BI102" i="41"/>
  <c r="BJ29" i="41"/>
  <c r="BI18" i="41"/>
  <c r="BI64" i="41"/>
  <c r="BI21" i="41"/>
  <c r="BJ110" i="41"/>
  <c r="BJ50" i="41"/>
  <c r="BI110" i="41"/>
  <c r="BJ101" i="41"/>
  <c r="BJ113" i="41"/>
  <c r="BJ99" i="41"/>
  <c r="BJ89" i="41"/>
  <c r="BI106" i="41"/>
  <c r="BI81" i="41"/>
  <c r="BJ76" i="41"/>
  <c r="BJ70" i="41"/>
  <c r="BI48" i="41"/>
  <c r="BJ55" i="41"/>
  <c r="BJ80" i="41"/>
  <c r="BJ61" i="41"/>
  <c r="BI57" i="41"/>
  <c r="BJ23" i="41"/>
  <c r="BJ47" i="41"/>
  <c r="BJ115" i="41"/>
  <c r="BJ26" i="41"/>
  <c r="BI107" i="41"/>
  <c r="BJ64" i="41"/>
  <c r="BJ34" i="41"/>
  <c r="BJ119" i="41"/>
  <c r="BJ66" i="41"/>
  <c r="BJ17" i="41"/>
  <c r="BJ79" i="41"/>
  <c r="BJ40" i="41"/>
  <c r="BI22" i="41"/>
  <c r="BI124" i="41"/>
  <c r="BI34" i="41"/>
  <c r="BJ122" i="41"/>
  <c r="BJ125" i="41"/>
  <c r="BJ95" i="41"/>
  <c r="BJ85" i="41"/>
  <c r="BI116" i="41"/>
  <c r="BJ82" i="41"/>
  <c r="BJ78" i="41"/>
  <c r="BJ84" i="41"/>
  <c r="BI44" i="41"/>
  <c r="BJ53" i="41"/>
  <c r="BJ72" i="41"/>
  <c r="BJ28" i="41"/>
  <c r="BI35" i="41"/>
  <c r="BI58" i="41"/>
  <c r="BI16" i="41"/>
  <c r="BJ100" i="41"/>
  <c r="BJ44" i="41"/>
  <c r="BI15" i="41"/>
  <c r="BI60" i="41"/>
  <c r="BI29" i="41"/>
  <c r="BI38" i="41"/>
  <c r="BJ54" i="41"/>
  <c r="BI46" i="41"/>
  <c r="BI70" i="41"/>
  <c r="BJ30" i="41"/>
  <c r="BI105" i="41"/>
  <c r="BI14" i="41"/>
  <c r="BJ123" i="41"/>
  <c r="BJ118" i="41"/>
  <c r="BI113" i="41"/>
  <c r="BJ117" i="41"/>
  <c r="BJ121" i="41"/>
  <c r="BI115" i="41"/>
  <c r="BI100" i="41"/>
  <c r="BI76" i="41"/>
  <c r="BJ83" i="41"/>
  <c r="BI40" i="41"/>
  <c r="BJ49" i="41"/>
  <c r="BJ65" i="41"/>
  <c r="BJ20" i="41"/>
  <c r="BI20" i="41"/>
  <c r="BI51" i="41"/>
  <c r="BJ19" i="41"/>
  <c r="BI19" i="41"/>
  <c r="BI80" i="41"/>
  <c r="BJ15" i="41"/>
  <c r="BJ60" i="41"/>
  <c r="BI56" i="41"/>
  <c r="BJ42" i="41"/>
  <c r="BJ62" i="41"/>
  <c r="BJ32" i="41"/>
  <c r="BI82" i="41"/>
  <c r="BJ77" i="41"/>
  <c r="BJ120" i="41"/>
  <c r="BI25" i="41"/>
  <c r="BJ124" i="41"/>
  <c r="BJ114" i="41"/>
  <c r="BI125" i="41"/>
  <c r="BI117" i="41"/>
  <c r="BI104" i="41"/>
  <c r="BJ105" i="41"/>
  <c r="BJ92" i="41"/>
  <c r="BI63" i="41"/>
  <c r="BJ74" i="41"/>
  <c r="BI36" i="41"/>
  <c r="BJ45" i="41"/>
  <c r="BI69" i="41"/>
  <c r="BI43" i="41"/>
  <c r="BJ31" i="41"/>
  <c r="BI27" i="41"/>
  <c r="BI42" i="41"/>
  <c r="BJ48" i="41"/>
  <c r="BI79" i="41"/>
  <c r="BI17" i="41"/>
  <c r="BJ81" i="41"/>
  <c r="BJ91" i="41"/>
  <c r="BI67" i="41"/>
  <c r="BI75" i="41"/>
  <c r="BJ36" i="41"/>
  <c r="BI74" i="41"/>
  <c r="BI90" i="41"/>
  <c r="BI94" i="41"/>
  <c r="BI98" i="41"/>
  <c r="BJ112" i="41"/>
  <c r="BJ106" i="41"/>
  <c r="BI112" i="41"/>
  <c r="BJ109" i="41"/>
  <c r="BI97" i="41"/>
  <c r="BI91" i="41"/>
  <c r="BJ88" i="41"/>
  <c r="BI59" i="41"/>
  <c r="BJ68" i="41"/>
  <c r="BI32" i="41"/>
  <c r="BJ41" i="41"/>
  <c r="BI66" i="41"/>
  <c r="BJ39" i="41"/>
  <c r="BI87" i="41"/>
  <c r="BI23" i="41"/>
  <c r="BI26" i="41"/>
  <c r="BI33" i="41"/>
  <c r="BJ86" i="41"/>
  <c r="BI37" i="41"/>
  <c r="BI86" i="41"/>
  <c r="BJ111" i="41"/>
  <c r="BI111" i="41"/>
  <c r="BI109" i="41"/>
  <c r="BI121" i="41"/>
  <c r="BI95" i="41"/>
  <c r="BI84" i="41"/>
  <c r="BI55" i="41"/>
  <c r="BI62" i="41"/>
  <c r="BI28" i="41"/>
  <c r="BJ37" i="41"/>
  <c r="BJ59" i="41"/>
  <c r="BI39" i="41"/>
  <c r="BJ51" i="41"/>
  <c r="BJ16" i="41"/>
  <c r="BI72" i="41"/>
  <c r="BJ24" i="41"/>
  <c r="BI71" i="41"/>
  <c r="BI41" i="41"/>
  <c r="BI93" i="41"/>
  <c r="BJ71" i="41"/>
  <c r="BI53" i="41"/>
  <c r="BI123" i="41"/>
  <c r="BJ22" i="41"/>
  <c r="BI118" i="41"/>
  <c r="BI119" i="41"/>
  <c r="BI99" i="41"/>
  <c r="BJ58" i="41"/>
  <c r="BI45" i="41"/>
  <c r="BJ107" i="41"/>
  <c r="BI108" i="41"/>
  <c r="BJ98" i="41"/>
  <c r="BJ102" i="41"/>
  <c r="BI92" i="41"/>
  <c r="BI83" i="41"/>
  <c r="BI77" i="41"/>
  <c r="BI61" i="41"/>
  <c r="BI24" i="41"/>
  <c r="BJ25" i="41"/>
  <c r="BJ57" i="41"/>
  <c r="BJ35" i="41"/>
  <c r="BI31" i="41"/>
  <c r="BI47" i="41"/>
  <c r="BI78" i="41"/>
  <c r="BJ46" i="41"/>
  <c r="BJ93" i="41"/>
  <c r="BJ52" i="41"/>
  <c r="BI96" i="41"/>
  <c r="BI89" i="41"/>
  <c r="BJ56" i="41"/>
  <c r="BJ108" i="41"/>
  <c r="BI54" i="41"/>
  <c r="BJ33" i="41"/>
  <c r="BJ96" i="41"/>
  <c r="BJ104" i="41"/>
  <c r="BI103" i="41"/>
  <c r="BI50" i="41"/>
  <c r="BI122" i="41"/>
  <c r="BJ73" i="41"/>
  <c r="BJ69" i="41"/>
  <c r="BI30" i="41"/>
  <c r="BJ116" i="41"/>
  <c r="BI49" i="41"/>
  <c r="BJ90" i="41"/>
  <c r="BI85" i="41"/>
  <c r="BJ14" i="41"/>
  <c r="BI114" i="41"/>
  <c r="BX110" i="46"/>
  <c r="BY113" i="46"/>
  <c r="BX120" i="46"/>
  <c r="BX95" i="46"/>
  <c r="BY75" i="46"/>
  <c r="BY77" i="46"/>
  <c r="BY63" i="46"/>
  <c r="BX68" i="46"/>
  <c r="BY56" i="46"/>
  <c r="BY45" i="46"/>
  <c r="BX106" i="46"/>
  <c r="BY109" i="46"/>
  <c r="BY104" i="46"/>
  <c r="BX89" i="46"/>
  <c r="BX84" i="46"/>
  <c r="BY92" i="46"/>
  <c r="BY57" i="46"/>
  <c r="BX59" i="46"/>
  <c r="BY52" i="46"/>
  <c r="BY41" i="46"/>
  <c r="BX23" i="46"/>
  <c r="BX37" i="46"/>
  <c r="BX56" i="46"/>
  <c r="BY16" i="46"/>
  <c r="BX26" i="46"/>
  <c r="BY123" i="46"/>
  <c r="BY72" i="46"/>
  <c r="BX17" i="46"/>
  <c r="BY28" i="46"/>
  <c r="BX94" i="46"/>
  <c r="BY15" i="46"/>
  <c r="BX83" i="46"/>
  <c r="BY89" i="46"/>
  <c r="BX125" i="46"/>
  <c r="BX75" i="46"/>
  <c r="BX21" i="46"/>
  <c r="BY23" i="46"/>
  <c r="BX111" i="46"/>
  <c r="BY124" i="46"/>
  <c r="BX124" i="46"/>
  <c r="BX112" i="46"/>
  <c r="BX104" i="46"/>
  <c r="BY81" i="46"/>
  <c r="BX93" i="46"/>
  <c r="BX53" i="46"/>
  <c r="BX54" i="46"/>
  <c r="BY48" i="46"/>
  <c r="BY37" i="46"/>
  <c r="BX19" i="46"/>
  <c r="BX33" i="46"/>
  <c r="BY22" i="46"/>
  <c r="BY20" i="46"/>
  <c r="BY26" i="46"/>
  <c r="BY27" i="46"/>
  <c r="BY105" i="46"/>
  <c r="BX55" i="46"/>
  <c r="BX35" i="46"/>
  <c r="BY78" i="46"/>
  <c r="BY58" i="46"/>
  <c r="BY94" i="46"/>
  <c r="BX79" i="46"/>
  <c r="BY17" i="46"/>
  <c r="BY95" i="46"/>
  <c r="BX60" i="46"/>
  <c r="BY31" i="46"/>
  <c r="BY118" i="46"/>
  <c r="BY120" i="46"/>
  <c r="BX116" i="46"/>
  <c r="BX101" i="46"/>
  <c r="BY101" i="46"/>
  <c r="BY61" i="46"/>
  <c r="BY73" i="46"/>
  <c r="BX49" i="46"/>
  <c r="BX50" i="46"/>
  <c r="BY79" i="46"/>
  <c r="BY33" i="46"/>
  <c r="BX122" i="46"/>
  <c r="BY112" i="46"/>
  <c r="BX108" i="46"/>
  <c r="BY87" i="46"/>
  <c r="BX91" i="46"/>
  <c r="BX74" i="46"/>
  <c r="BX67" i="46"/>
  <c r="BY67" i="46"/>
  <c r="BX42" i="46"/>
  <c r="BX62" i="46"/>
  <c r="BX118" i="46"/>
  <c r="BY121" i="46"/>
  <c r="BY107" i="46"/>
  <c r="BX97" i="46"/>
  <c r="BX85" i="46"/>
  <c r="BY69" i="46"/>
  <c r="BX63" i="46"/>
  <c r="BX66" i="46"/>
  <c r="BX88" i="46"/>
  <c r="BY53" i="46"/>
  <c r="BY93" i="46"/>
  <c r="BX46" i="46"/>
  <c r="BX25" i="46"/>
  <c r="BX48" i="46"/>
  <c r="BY71" i="46"/>
  <c r="BX27" i="46"/>
  <c r="BY30" i="46"/>
  <c r="BY102" i="46"/>
  <c r="BY19" i="46"/>
  <c r="BX105" i="46"/>
  <c r="BX58" i="46"/>
  <c r="BX71" i="46"/>
  <c r="BY38" i="46"/>
  <c r="BY110" i="46"/>
  <c r="BY21" i="46"/>
  <c r="BY125" i="46"/>
  <c r="BX114" i="46"/>
  <c r="BX99" i="46"/>
  <c r="BY64" i="46"/>
  <c r="BX41" i="46"/>
  <c r="BX44" i="46"/>
  <c r="BX22" i="46"/>
  <c r="BY80" i="46"/>
  <c r="BY54" i="46"/>
  <c r="BX103" i="46"/>
  <c r="BX86" i="46"/>
  <c r="BY114" i="46"/>
  <c r="BX80" i="46"/>
  <c r="BY68" i="46"/>
  <c r="BY85" i="46"/>
  <c r="BX117" i="46"/>
  <c r="BY42" i="46"/>
  <c r="BY116" i="46"/>
  <c r="BX81" i="46"/>
  <c r="BX77" i="46"/>
  <c r="BX40" i="46"/>
  <c r="BX29" i="46"/>
  <c r="BX15" i="46"/>
  <c r="BX69" i="46"/>
  <c r="BX34" i="46"/>
  <c r="BY122" i="46"/>
  <c r="BY55" i="46"/>
  <c r="BX115" i="46"/>
  <c r="BY100" i="46"/>
  <c r="BY84" i="46"/>
  <c r="BY66" i="46"/>
  <c r="BX20" i="46"/>
  <c r="BY47" i="46"/>
  <c r="BY108" i="46"/>
  <c r="BX70" i="46"/>
  <c r="BY40" i="46"/>
  <c r="BX32" i="46"/>
  <c r="BX52" i="46"/>
  <c r="BX14" i="46"/>
  <c r="BY76" i="46"/>
  <c r="BX65" i="46"/>
  <c r="BX31" i="46"/>
  <c r="BX64" i="46"/>
  <c r="BY35" i="46"/>
  <c r="BY39" i="46"/>
  <c r="BY103" i="46"/>
  <c r="BY88" i="46"/>
  <c r="BY91" i="46"/>
  <c r="BX57" i="46"/>
  <c r="BY106" i="46"/>
  <c r="BX76" i="46"/>
  <c r="BY36" i="46"/>
  <c r="BY24" i="46"/>
  <c r="BY18" i="46"/>
  <c r="BX16" i="46"/>
  <c r="BX96" i="46"/>
  <c r="BY96" i="46"/>
  <c r="BX121" i="46"/>
  <c r="BY65" i="46"/>
  <c r="BX30" i="46"/>
  <c r="BX24" i="46"/>
  <c r="BX107" i="46"/>
  <c r="BX90" i="46"/>
  <c r="BY70" i="46"/>
  <c r="BX72" i="46"/>
  <c r="BY97" i="46"/>
  <c r="BX45" i="46"/>
  <c r="BY32" i="46"/>
  <c r="BY44" i="46"/>
  <c r="BY83" i="46"/>
  <c r="BY25" i="46"/>
  <c r="BY111" i="46"/>
  <c r="BX123" i="46"/>
  <c r="BX109" i="46"/>
  <c r="BX61" i="46"/>
  <c r="BX47" i="46"/>
  <c r="BY51" i="46"/>
  <c r="BX119" i="46"/>
  <c r="BX102" i="46"/>
  <c r="BX100" i="46"/>
  <c r="BX87" i="46"/>
  <c r="BY90" i="46"/>
  <c r="BY82" i="46"/>
  <c r="BX28" i="46"/>
  <c r="BY29" i="46"/>
  <c r="BX73" i="46"/>
  <c r="BX43" i="46"/>
  <c r="BX51" i="46"/>
  <c r="BY98" i="46"/>
  <c r="BY14" i="46"/>
  <c r="BX92" i="46"/>
  <c r="BX38" i="46"/>
  <c r="BX82" i="46"/>
  <c r="BX39" i="46"/>
  <c r="BY115" i="46"/>
  <c r="BY99" i="46"/>
  <c r="BY119" i="46"/>
  <c r="BY34" i="46"/>
  <c r="BY50" i="46"/>
  <c r="BY117" i="46"/>
  <c r="BY46" i="46"/>
  <c r="BY86" i="46"/>
  <c r="BY59" i="46"/>
  <c r="BX36" i="46"/>
  <c r="BX113" i="46"/>
  <c r="BX78" i="46"/>
  <c r="BX98" i="46"/>
  <c r="BX18" i="46"/>
  <c r="BY62" i="46"/>
  <c r="BY74" i="46"/>
  <c r="BY60" i="46"/>
  <c r="BY49" i="46"/>
  <c r="BY43" i="46"/>
  <c r="BJ119" i="43"/>
  <c r="BJ116" i="43"/>
  <c r="BJ103" i="43"/>
  <c r="BI96" i="43"/>
  <c r="BJ81" i="43"/>
  <c r="BJ79" i="43"/>
  <c r="BI75" i="43"/>
  <c r="BJ67" i="43"/>
  <c r="BI92" i="43"/>
  <c r="BI39" i="43"/>
  <c r="BJ33" i="43"/>
  <c r="BJ49" i="43"/>
  <c r="BI27" i="43"/>
  <c r="BI82" i="43"/>
  <c r="BJ50" i="43"/>
  <c r="BJ16" i="43"/>
  <c r="BJ88" i="43"/>
  <c r="BI15" i="43"/>
  <c r="BI16" i="43"/>
  <c r="BI38" i="43"/>
  <c r="BI102" i="43"/>
  <c r="BI57" i="43"/>
  <c r="BI103" i="43"/>
  <c r="BI58" i="43"/>
  <c r="BI93" i="43"/>
  <c r="BJ28" i="43"/>
  <c r="BI118" i="43"/>
  <c r="BJ112" i="43"/>
  <c r="BJ115" i="43"/>
  <c r="BJ125" i="43"/>
  <c r="BJ99" i="43"/>
  <c r="BJ93" i="43"/>
  <c r="BJ77" i="43"/>
  <c r="BJ75" i="43"/>
  <c r="BJ70" i="43"/>
  <c r="BJ63" i="43"/>
  <c r="BI67" i="43"/>
  <c r="BJ53" i="43"/>
  <c r="BI37" i="43"/>
  <c r="BI34" i="43"/>
  <c r="BI36" i="43"/>
  <c r="BI84" i="43"/>
  <c r="BJ56" i="43"/>
  <c r="BJ54" i="43"/>
  <c r="BI14" i="43"/>
  <c r="BI30" i="43"/>
  <c r="BJ15" i="43"/>
  <c r="BJ44" i="43"/>
  <c r="BI114" i="43"/>
  <c r="BI69" i="43"/>
  <c r="BI89" i="43"/>
  <c r="BI62" i="43"/>
  <c r="BI101" i="43"/>
  <c r="BI42" i="43"/>
  <c r="BI20" i="43"/>
  <c r="BJ98" i="43"/>
  <c r="BJ122" i="43"/>
  <c r="BJ111" i="43"/>
  <c r="BJ121" i="43"/>
  <c r="BJ95" i="43"/>
  <c r="BJ84" i="43"/>
  <c r="BJ73" i="43"/>
  <c r="BI83" i="43"/>
  <c r="BJ66" i="43"/>
  <c r="BJ59" i="43"/>
  <c r="BI56" i="43"/>
  <c r="BJ19" i="43"/>
  <c r="BI33" i="43"/>
  <c r="BJ18" i="43"/>
  <c r="BJ21" i="43"/>
  <c r="BJ78" i="43"/>
  <c r="BJ96" i="43"/>
  <c r="BJ39" i="43"/>
  <c r="BJ38" i="43"/>
  <c r="BI24" i="43"/>
  <c r="BI97" i="43"/>
  <c r="BI46" i="43"/>
  <c r="BI116" i="43"/>
  <c r="BJ61" i="43"/>
  <c r="BI54" i="43"/>
  <c r="BI70" i="43"/>
  <c r="BI124" i="43"/>
  <c r="BJ124" i="43"/>
  <c r="BI120" i="43"/>
  <c r="BJ118" i="43"/>
  <c r="BJ107" i="43"/>
  <c r="BJ117" i="43"/>
  <c r="BJ91" i="43"/>
  <c r="BJ80" i="43"/>
  <c r="BJ87" i="43"/>
  <c r="BI72" i="43"/>
  <c r="BJ62" i="43"/>
  <c r="BI59" i="43"/>
  <c r="BJ55" i="43"/>
  <c r="BI71" i="43"/>
  <c r="BI29" i="43"/>
  <c r="BJ26" i="43"/>
  <c r="BI44" i="43"/>
  <c r="BI107" i="43"/>
  <c r="BJ14" i="43"/>
  <c r="BJ43" i="43"/>
  <c r="BI91" i="43"/>
  <c r="BJ40" i="43"/>
  <c r="BJ92" i="43"/>
  <c r="BI48" i="43"/>
  <c r="BJ109" i="43"/>
  <c r="BJ69" i="43"/>
  <c r="BI18" i="43"/>
  <c r="BI87" i="43"/>
  <c r="BJ104" i="43"/>
  <c r="BI108" i="43"/>
  <c r="BI122" i="43"/>
  <c r="BJ114" i="43"/>
  <c r="BI123" i="43"/>
  <c r="BJ113" i="43"/>
  <c r="BI99" i="43"/>
  <c r="BJ76" i="43"/>
  <c r="BI105" i="43"/>
  <c r="BI68" i="43"/>
  <c r="BJ58" i="43"/>
  <c r="BI53" i="43"/>
  <c r="BI55" i="43"/>
  <c r="BJ41" i="43"/>
  <c r="BI25" i="43"/>
  <c r="BJ101" i="43"/>
  <c r="BI50" i="43"/>
  <c r="BJ108" i="43"/>
  <c r="BJ48" i="43"/>
  <c r="BI73" i="43"/>
  <c r="BJ102" i="43"/>
  <c r="BI52" i="43"/>
  <c r="BI106" i="43"/>
  <c r="BJ57" i="43"/>
  <c r="BI31" i="43"/>
  <c r="BI77" i="43"/>
  <c r="BJ27" i="43"/>
  <c r="BI61" i="43"/>
  <c r="BI110" i="43"/>
  <c r="BI40" i="43"/>
  <c r="BI28" i="43"/>
  <c r="BJ110" i="43"/>
  <c r="BI119" i="43"/>
  <c r="BI109" i="43"/>
  <c r="BI95" i="43"/>
  <c r="BI104" i="43"/>
  <c r="BJ97" i="43"/>
  <c r="BI64" i="43"/>
  <c r="BI79" i="43"/>
  <c r="BI49" i="43"/>
  <c r="BI51" i="43"/>
  <c r="BI63" i="43"/>
  <c r="BI21" i="43"/>
  <c r="BJ30" i="43"/>
  <c r="BJ47" i="43"/>
  <c r="BJ105" i="43"/>
  <c r="BJ32" i="43"/>
  <c r="BJ65" i="43"/>
  <c r="BJ17" i="43"/>
  <c r="BJ64" i="43"/>
  <c r="BI23" i="43"/>
  <c r="BI78" i="43"/>
  <c r="BI26" i="43"/>
  <c r="BJ100" i="43"/>
  <c r="BJ36" i="43"/>
  <c r="BI81" i="43"/>
  <c r="BJ82" i="43"/>
  <c r="BJ34" i="43"/>
  <c r="BJ46" i="43"/>
  <c r="BJ106" i="43"/>
  <c r="BI115" i="43"/>
  <c r="BI121" i="43"/>
  <c r="BI117" i="43"/>
  <c r="BJ89" i="43"/>
  <c r="BI125" i="43"/>
  <c r="BI60" i="43"/>
  <c r="BI74" i="43"/>
  <c r="BI45" i="43"/>
  <c r="BI47" i="43"/>
  <c r="BJ45" i="43"/>
  <c r="BI17" i="43"/>
  <c r="BJ23" i="43"/>
  <c r="BJ52" i="43"/>
  <c r="BI112" i="43"/>
  <c r="BJ20" i="43"/>
  <c r="BJ74" i="43"/>
  <c r="BI32" i="43"/>
  <c r="BJ72" i="43"/>
  <c r="BI35" i="43"/>
  <c r="BJ86" i="43"/>
  <c r="BI22" i="43"/>
  <c r="BJ94" i="43"/>
  <c r="BJ51" i="43"/>
  <c r="BI76" i="43"/>
  <c r="BI98" i="43"/>
  <c r="BI66" i="43"/>
  <c r="BJ68" i="43"/>
  <c r="BJ123" i="43"/>
  <c r="BI111" i="43"/>
  <c r="BI113" i="43"/>
  <c r="BI100" i="43"/>
  <c r="BJ85" i="43"/>
  <c r="BJ83" i="43"/>
  <c r="BI88" i="43"/>
  <c r="BJ71" i="43"/>
  <c r="BI41" i="43"/>
  <c r="BI43" i="43"/>
  <c r="BJ37" i="43"/>
  <c r="BJ22" i="43"/>
  <c r="BJ31" i="43"/>
  <c r="BI65" i="43"/>
  <c r="BJ24" i="43"/>
  <c r="BJ29" i="43"/>
  <c r="BJ60" i="43"/>
  <c r="BJ25" i="43"/>
  <c r="BI80" i="43"/>
  <c r="BI19" i="43"/>
  <c r="BJ90" i="43"/>
  <c r="BJ42" i="43"/>
  <c r="BI85" i="43"/>
  <c r="BJ35" i="43"/>
  <c r="BI90" i="43"/>
  <c r="BJ120" i="43"/>
  <c r="BI86" i="43"/>
  <c r="BI94" i="43"/>
  <c r="M120" i="37" a="1"/>
  <c r="M120" i="37" s="1"/>
  <c r="M108" i="37" a="1"/>
  <c r="M108" i="37" s="1"/>
  <c r="M105" i="37" a="1"/>
  <c r="M105" i="37" s="1"/>
  <c r="N88" i="37" a="1"/>
  <c r="N88" i="37" s="1"/>
  <c r="N82" i="37" a="1"/>
  <c r="N82" i="37" s="1"/>
  <c r="N67" i="37" a="1"/>
  <c r="N67" i="37" s="1"/>
  <c r="N75" i="37" a="1"/>
  <c r="N75" i="37" s="1"/>
  <c r="N62" i="37" a="1"/>
  <c r="N62" i="37" s="1"/>
  <c r="M45" i="37" a="1"/>
  <c r="M45" i="37" s="1"/>
  <c r="N30" i="37" a="1"/>
  <c r="N30" i="37" s="1"/>
  <c r="M18" i="37" a="1"/>
  <c r="M18" i="37" s="1"/>
  <c r="N57" i="37" a="1"/>
  <c r="N57" i="37" s="1"/>
  <c r="N108" i="37" a="1"/>
  <c r="N108" i="37" s="1"/>
  <c r="M25" i="37" a="1"/>
  <c r="M25" i="37" s="1"/>
  <c r="M44" i="37" a="1"/>
  <c r="M44" i="37" s="1"/>
  <c r="M70" i="37" a="1"/>
  <c r="M70" i="37" s="1"/>
  <c r="N119" i="37" a="1"/>
  <c r="N119" i="37" s="1"/>
  <c r="M71" i="37" a="1"/>
  <c r="M71" i="37" s="1"/>
  <c r="N97" i="37" a="1"/>
  <c r="N97" i="37" s="1"/>
  <c r="N92" i="37" a="1"/>
  <c r="N92" i="37" s="1"/>
  <c r="N43" i="37" a="1"/>
  <c r="N43" i="37" s="1"/>
  <c r="M106" i="37" a="1"/>
  <c r="M106" i="37" s="1"/>
  <c r="N32" i="37" a="1"/>
  <c r="N32" i="37" s="1"/>
  <c r="N29" i="37" a="1"/>
  <c r="N29" i="37" s="1"/>
  <c r="M58" i="37" a="1"/>
  <c r="M58" i="37" s="1"/>
  <c r="N109" i="37" a="1"/>
  <c r="N109" i="37" s="1"/>
  <c r="N36" i="37" a="1"/>
  <c r="N36" i="37" s="1"/>
  <c r="N100" i="37" a="1"/>
  <c r="N100" i="37" s="1"/>
  <c r="M125" i="37" a="1"/>
  <c r="M125" i="37" s="1"/>
  <c r="M113" i="37" a="1"/>
  <c r="M113" i="37" s="1"/>
  <c r="N77" i="37" a="1"/>
  <c r="N77" i="37" s="1"/>
  <c r="M87" i="37" a="1"/>
  <c r="M87" i="37" s="1"/>
  <c r="M81" i="37" a="1"/>
  <c r="M81" i="37" s="1"/>
  <c r="M60" i="37" a="1"/>
  <c r="M60" i="37" s="1"/>
  <c r="N64" i="37" a="1"/>
  <c r="N64" i="37" s="1"/>
  <c r="M52" i="37" a="1"/>
  <c r="M52" i="37" s="1"/>
  <c r="N35" i="37" a="1"/>
  <c r="N35" i="37" s="1"/>
  <c r="N26" i="37" a="1"/>
  <c r="N26" i="37" s="1"/>
  <c r="M31" i="37" a="1"/>
  <c r="M31" i="37" s="1"/>
  <c r="M99" i="37" a="1"/>
  <c r="M99" i="37" s="1"/>
  <c r="N115" i="37" a="1"/>
  <c r="N115" i="37" s="1"/>
  <c r="N49" i="37" a="1"/>
  <c r="N49" i="37" s="1"/>
  <c r="N28" i="37" a="1"/>
  <c r="N28" i="37" s="1"/>
  <c r="M93" i="37" a="1"/>
  <c r="M93" i="37" s="1"/>
  <c r="M107" i="37" a="1"/>
  <c r="M107" i="37" s="1"/>
  <c r="N96" i="37" a="1"/>
  <c r="N96" i="37" s="1"/>
  <c r="M51" i="37" a="1"/>
  <c r="M51" i="37" s="1"/>
  <c r="M33" i="37" a="1"/>
  <c r="M33" i="37" s="1"/>
  <c r="M64" i="37" a="1"/>
  <c r="M64" i="37" s="1"/>
  <c r="M101" i="37" a="1"/>
  <c r="M101" i="37" s="1"/>
  <c r="M56" i="37" a="1"/>
  <c r="M56" i="37" s="1"/>
  <c r="M40" i="37" a="1"/>
  <c r="M40" i="37" s="1"/>
  <c r="N83" i="37" a="1"/>
  <c r="N83" i="37" s="1"/>
  <c r="M16" i="37" a="1"/>
  <c r="M16" i="37" s="1"/>
  <c r="M46" i="37" a="1"/>
  <c r="M46" i="37" s="1"/>
  <c r="M109" i="37" a="1"/>
  <c r="M109" i="37" s="1"/>
  <c r="M121" i="37" a="1"/>
  <c r="M121" i="37" s="1"/>
  <c r="N107" i="37" a="1"/>
  <c r="N107" i="37" s="1"/>
  <c r="N73" i="37" a="1"/>
  <c r="N73" i="37" s="1"/>
  <c r="N84" i="37" a="1"/>
  <c r="N84" i="37" s="1"/>
  <c r="N81" i="37" a="1"/>
  <c r="N81" i="37" s="1"/>
  <c r="M67" i="37" a="1"/>
  <c r="M67" i="37" s="1"/>
  <c r="N46" i="37" a="1"/>
  <c r="N46" i="37" s="1"/>
  <c r="N56" i="37" a="1"/>
  <c r="N56" i="37" s="1"/>
  <c r="N31" i="37" a="1"/>
  <c r="N31" i="37" s="1"/>
  <c r="N22" i="37" a="1"/>
  <c r="N22" i="37" s="1"/>
  <c r="N44" i="37" a="1"/>
  <c r="N44" i="37" s="1"/>
  <c r="M96" i="37" a="1"/>
  <c r="M96" i="37" s="1"/>
  <c r="N111" i="37" a="1"/>
  <c r="N111" i="37" s="1"/>
  <c r="M103" i="37" a="1"/>
  <c r="M103" i="37" s="1"/>
  <c r="N48" i="37" a="1"/>
  <c r="N48" i="37" s="1"/>
  <c r="M89" i="37" a="1"/>
  <c r="M89" i="37" s="1"/>
  <c r="M20" i="37" a="1"/>
  <c r="M20" i="37" s="1"/>
  <c r="M55" i="37" a="1"/>
  <c r="M55" i="37" s="1"/>
  <c r="N87" i="37" a="1"/>
  <c r="N87" i="37" s="1"/>
  <c r="M19" i="37" a="1"/>
  <c r="M19" i="37" s="1"/>
  <c r="M102" i="37" a="1"/>
  <c r="M102" i="37" s="1"/>
  <c r="N101" i="37" a="1"/>
  <c r="N101" i="37" s="1"/>
  <c r="M69" i="37" a="1"/>
  <c r="M69" i="37" s="1"/>
  <c r="N15" i="37" a="1"/>
  <c r="N15" i="37" s="1"/>
  <c r="M92" i="37" a="1"/>
  <c r="M92" i="37" s="1"/>
  <c r="M42" i="37" a="1"/>
  <c r="M42" i="37" s="1"/>
  <c r="N94" i="37" a="1"/>
  <c r="N94" i="37" s="1"/>
  <c r="M83" i="37" a="1"/>
  <c r="M83" i="37" s="1"/>
  <c r="M117" i="37" a="1"/>
  <c r="M117" i="37" s="1"/>
  <c r="M112" i="37" a="1"/>
  <c r="M112" i="37" s="1"/>
  <c r="M97" i="37" a="1"/>
  <c r="M97" i="37" s="1"/>
  <c r="M79" i="37" a="1"/>
  <c r="M79" i="37" s="1"/>
  <c r="N63" i="37" a="1"/>
  <c r="N63" i="37" s="1"/>
  <c r="M68" i="37" a="1"/>
  <c r="M68" i="37" s="1"/>
  <c r="N41" i="37" a="1"/>
  <c r="N41" i="37" s="1"/>
  <c r="M49" i="37" a="1"/>
  <c r="M49" i="37" s="1"/>
  <c r="N19" i="37" a="1"/>
  <c r="N19" i="37" s="1"/>
  <c r="M34" i="37" a="1"/>
  <c r="M34" i="37" s="1"/>
  <c r="N18" i="37" a="1"/>
  <c r="N18" i="37" s="1"/>
  <c r="M75" i="37" a="1"/>
  <c r="M75" i="37" s="1"/>
  <c r="N120" i="37" a="1"/>
  <c r="N120" i="37" s="1"/>
  <c r="M36" i="37" a="1"/>
  <c r="M36" i="37" s="1"/>
  <c r="M63" i="37" a="1"/>
  <c r="M63" i="37" s="1"/>
  <c r="M110" i="37" a="1"/>
  <c r="M110" i="37" s="1"/>
  <c r="M32" i="37" a="1"/>
  <c r="M32" i="37" s="1"/>
  <c r="M73" i="37" a="1"/>
  <c r="M73" i="37" s="1"/>
  <c r="N74" i="37" a="1"/>
  <c r="N74" i="37" s="1"/>
  <c r="N33" i="37" a="1"/>
  <c r="N33" i="37" s="1"/>
  <c r="M65" i="37" a="1"/>
  <c r="M65" i="37" s="1"/>
  <c r="N105" i="37" a="1"/>
  <c r="N105" i="37" s="1"/>
  <c r="N104" i="37" a="1"/>
  <c r="N104" i="37" s="1"/>
  <c r="M37" i="37" a="1"/>
  <c r="M37" i="37" s="1"/>
  <c r="N72" i="37" a="1"/>
  <c r="N72" i="37" s="1"/>
  <c r="M77" i="37" a="1"/>
  <c r="M77" i="37" s="1"/>
  <c r="N99" i="37" a="1"/>
  <c r="N99" i="37" s="1"/>
  <c r="N122" i="37" a="1"/>
  <c r="N122" i="37" s="1"/>
  <c r="N114" i="37" a="1"/>
  <c r="N114" i="37" s="1"/>
  <c r="M116" i="37" a="1"/>
  <c r="M116" i="37" s="1"/>
  <c r="N93" i="37" a="1"/>
  <c r="N93" i="37" s="1"/>
  <c r="M91" i="37" a="1"/>
  <c r="M91" i="37" s="1"/>
  <c r="M78" i="37" a="1"/>
  <c r="M78" i="37" s="1"/>
  <c r="M94" i="37" a="1"/>
  <c r="M94" i="37" s="1"/>
  <c r="N71" i="37" a="1"/>
  <c r="N71" i="37" s="1"/>
  <c r="N45" i="37" a="1"/>
  <c r="N45" i="37" s="1"/>
  <c r="N38" i="37" a="1"/>
  <c r="N38" i="37" s="1"/>
  <c r="M22" i="37" a="1"/>
  <c r="M22" i="37" s="1"/>
  <c r="M54" i="37" a="1"/>
  <c r="M54" i="37" s="1"/>
  <c r="N80" i="37" a="1"/>
  <c r="N80" i="37" s="1"/>
  <c r="N17" i="37" a="1"/>
  <c r="N17" i="37" s="1"/>
  <c r="M28" i="37" a="1"/>
  <c r="M28" i="37" s="1"/>
  <c r="N58" i="37" a="1"/>
  <c r="N58" i="37" s="1"/>
  <c r="N113" i="37" a="1"/>
  <c r="N113" i="37" s="1"/>
  <c r="M23" i="37" a="1"/>
  <c r="M23" i="37" s="1"/>
  <c r="M88" i="37" a="1"/>
  <c r="M88" i="37" s="1"/>
  <c r="M17" i="37" a="1"/>
  <c r="M17" i="37" s="1"/>
  <c r="M38" i="37" a="1"/>
  <c r="M38" i="37" s="1"/>
  <c r="M76" i="37" a="1"/>
  <c r="M76" i="37" s="1"/>
  <c r="N124" i="37" a="1"/>
  <c r="N124" i="37" s="1"/>
  <c r="N112" i="37" a="1"/>
  <c r="N112" i="37" s="1"/>
  <c r="N47" i="37" a="1"/>
  <c r="N47" i="37" s="1"/>
  <c r="M104" i="37" a="1"/>
  <c r="M104" i="37" s="1"/>
  <c r="N118" i="37" a="1"/>
  <c r="N118" i="37" s="1"/>
  <c r="M47" i="37" a="1"/>
  <c r="M47" i="37" s="1"/>
  <c r="N61" i="37" a="1"/>
  <c r="N61" i="37" s="1"/>
  <c r="M123" i="37" a="1"/>
  <c r="M123" i="37" s="1"/>
  <c r="N117" i="37" a="1"/>
  <c r="N117" i="37" s="1"/>
  <c r="N110" i="37" a="1"/>
  <c r="N110" i="37" s="1"/>
  <c r="M90" i="37" a="1"/>
  <c r="M90" i="37" s="1"/>
  <c r="N60" i="37" a="1"/>
  <c r="N60" i="37" s="1"/>
  <c r="N68" i="37" a="1"/>
  <c r="N68" i="37" s="1"/>
  <c r="N53" i="37" a="1"/>
  <c r="N53" i="37" s="1"/>
  <c r="N27" i="37" a="1"/>
  <c r="N27" i="37" s="1"/>
  <c r="N37" i="37" a="1"/>
  <c r="N37" i="37" s="1"/>
  <c r="M30" i="37" a="1"/>
  <c r="M30" i="37" s="1"/>
  <c r="N55" i="37" a="1"/>
  <c r="N55" i="37" s="1"/>
  <c r="N70" i="37" a="1"/>
  <c r="N70" i="37" s="1"/>
  <c r="M74" i="37" a="1"/>
  <c r="M74" i="37" s="1"/>
  <c r="M15" i="37" a="1"/>
  <c r="M15" i="37" s="1"/>
  <c r="M85" i="37" a="1"/>
  <c r="M85" i="37" s="1"/>
  <c r="N125" i="37" a="1"/>
  <c r="N125" i="37" s="1"/>
  <c r="M48" i="37" a="1"/>
  <c r="M48" i="37" s="1"/>
  <c r="N90" i="37" a="1"/>
  <c r="N90" i="37" s="1"/>
  <c r="M35" i="37" a="1"/>
  <c r="M35" i="37" s="1"/>
  <c r="N24" i="37" a="1"/>
  <c r="N24" i="37" s="1"/>
  <c r="N95" i="37" a="1"/>
  <c r="N95" i="37" s="1"/>
  <c r="N123" i="37" a="1"/>
  <c r="N123" i="37" s="1"/>
  <c r="N116" i="37" a="1"/>
  <c r="N116" i="37" s="1"/>
  <c r="M43" i="37" a="1"/>
  <c r="M43" i="37" s="1"/>
  <c r="M122" i="37" a="1"/>
  <c r="M122" i="37" s="1"/>
  <c r="M21" i="37" a="1"/>
  <c r="M21" i="37" s="1"/>
  <c r="N66" i="37" a="1"/>
  <c r="N66" i="37" s="1"/>
  <c r="M114" i="37" a="1"/>
  <c r="M114" i="37" s="1"/>
  <c r="N103" i="37" a="1"/>
  <c r="N103" i="37" s="1"/>
  <c r="M82" i="37" a="1"/>
  <c r="M82" i="37" s="1"/>
  <c r="M80" i="37" a="1"/>
  <c r="M80" i="37" s="1"/>
  <c r="N54" i="37" a="1"/>
  <c r="N54" i="37" s="1"/>
  <c r="M59" i="37" a="1"/>
  <c r="M59" i="37" s="1"/>
  <c r="N50" i="37" a="1"/>
  <c r="N50" i="37" s="1"/>
  <c r="N23" i="37" a="1"/>
  <c r="N23" i="37" s="1"/>
  <c r="N16" i="37" a="1"/>
  <c r="N16" i="37" s="1"/>
  <c r="M26" i="37" a="1"/>
  <c r="M26" i="37" s="1"/>
  <c r="N52" i="37" a="1"/>
  <c r="N52" i="37" s="1"/>
  <c r="N79" i="37" a="1"/>
  <c r="N79" i="37" s="1"/>
  <c r="M95" i="37" a="1"/>
  <c r="M95" i="37" s="1"/>
  <c r="M29" i="37" a="1"/>
  <c r="M29" i="37" s="1"/>
  <c r="M84" i="37" a="1"/>
  <c r="M84" i="37" s="1"/>
  <c r="N21" i="37" a="1"/>
  <c r="N21" i="37" s="1"/>
  <c r="N59" i="37" a="1"/>
  <c r="N59" i="37" s="1"/>
  <c r="M72" i="37" a="1"/>
  <c r="M72" i="37" s="1"/>
  <c r="M41" i="37" a="1"/>
  <c r="M41" i="37" s="1"/>
  <c r="N40" i="37" a="1"/>
  <c r="N40" i="37" s="1"/>
  <c r="N91" i="37" a="1"/>
  <c r="N91" i="37" s="1"/>
  <c r="N51" i="37" a="1"/>
  <c r="N51" i="37" s="1"/>
  <c r="N121" i="37" a="1"/>
  <c r="N121" i="37" s="1"/>
  <c r="N85" i="37" a="1"/>
  <c r="N85" i="37" s="1"/>
  <c r="M53" i="37" a="1"/>
  <c r="M53" i="37" s="1"/>
  <c r="N25" i="37" a="1"/>
  <c r="N25" i="37" s="1"/>
  <c r="M61" i="37" a="1"/>
  <c r="M61" i="37" s="1"/>
  <c r="M124" i="37" a="1"/>
  <c r="M124" i="37" s="1"/>
  <c r="M118" i="37" a="1"/>
  <c r="M118" i="37" s="1"/>
  <c r="N98" i="37" a="1"/>
  <c r="N98" i="37" s="1"/>
  <c r="N69" i="37" a="1"/>
  <c r="N69" i="37" s="1"/>
  <c r="N76" i="37" a="1"/>
  <c r="N76" i="37" s="1"/>
  <c r="N65" i="37" a="1"/>
  <c r="N65" i="37" s="1"/>
  <c r="N42" i="37" a="1"/>
  <c r="N42" i="37" s="1"/>
  <c r="N39" i="37" a="1"/>
  <c r="N39" i="37" s="1"/>
  <c r="M57" i="37" a="1"/>
  <c r="M57" i="37" s="1"/>
  <c r="N34" i="37" a="1"/>
  <c r="N34" i="37" s="1"/>
  <c r="M39" i="37" a="1"/>
  <c r="M39" i="37" s="1"/>
  <c r="M66" i="37" a="1"/>
  <c r="M66" i="37" s="1"/>
  <c r="M119" i="37" a="1"/>
  <c r="M119" i="37" s="1"/>
  <c r="M98" i="37" a="1"/>
  <c r="M98" i="37" s="1"/>
  <c r="M27" i="37" a="1"/>
  <c r="M27" i="37" s="1"/>
  <c r="N89" i="37" a="1"/>
  <c r="N89" i="37" s="1"/>
  <c r="M111" i="37" a="1"/>
  <c r="M111" i="37" s="1"/>
  <c r="N102" i="37" a="1"/>
  <c r="N102" i="37" s="1"/>
  <c r="N106" i="37" a="1"/>
  <c r="N106" i="37" s="1"/>
  <c r="M115" i="37" a="1"/>
  <c r="M115" i="37" s="1"/>
  <c r="M50" i="37" a="1"/>
  <c r="M50" i="37" s="1"/>
  <c r="M100" i="37" a="1"/>
  <c r="M100" i="37" s="1"/>
  <c r="M86" i="37" a="1"/>
  <c r="M86" i="37" s="1"/>
  <c r="M24" i="37" a="1"/>
  <c r="M24" i="37" s="1"/>
  <c r="N78" i="37" a="1"/>
  <c r="N78" i="37" s="1"/>
  <c r="M62" i="37" a="1"/>
  <c r="M62" i="37" s="1"/>
  <c r="N20" i="37" a="1"/>
  <c r="N20" i="37" s="1"/>
  <c r="N86" i="37" a="1"/>
  <c r="N86" i="37" s="1"/>
  <c r="N104" i="36" a="1"/>
  <c r="N104" i="36" s="1"/>
  <c r="N52" i="36" a="1"/>
  <c r="N52" i="36" s="1"/>
  <c r="M78" i="36" a="1"/>
  <c r="M78" i="36" s="1"/>
  <c r="M56" i="36" a="1"/>
  <c r="M56" i="36" s="1"/>
  <c r="M38" i="36" a="1"/>
  <c r="M38" i="36" s="1"/>
  <c r="M115" i="36" a="1"/>
  <c r="M115" i="36" s="1"/>
  <c r="M122" i="36" a="1"/>
  <c r="M122" i="36" s="1"/>
  <c r="M110" i="36" a="1"/>
  <c r="M110" i="36" s="1"/>
  <c r="N34" i="36" a="1"/>
  <c r="N34" i="36" s="1"/>
  <c r="M33" i="36" a="1"/>
  <c r="M33" i="36" s="1"/>
  <c r="M42" i="36" a="1"/>
  <c r="M42" i="36" s="1"/>
  <c r="N17" i="36" a="1"/>
  <c r="N17" i="36" s="1"/>
  <c r="M47" i="36" a="1"/>
  <c r="M47" i="36" s="1"/>
  <c r="M28" i="36" a="1"/>
  <c r="M28" i="36" s="1"/>
  <c r="N117" i="36" a="1"/>
  <c r="N117" i="36" s="1"/>
  <c r="N114" i="36" a="1"/>
  <c r="N114" i="36" s="1"/>
  <c r="N90" i="36" a="1"/>
  <c r="N90" i="36" s="1"/>
  <c r="M61" i="36" a="1"/>
  <c r="M61" i="36" s="1"/>
  <c r="M94" i="36" a="1"/>
  <c r="M94" i="36" s="1"/>
  <c r="M76" i="36" a="1"/>
  <c r="M76" i="36" s="1"/>
  <c r="N124" i="36" a="1"/>
  <c r="N124" i="36" s="1"/>
  <c r="N30" i="36" a="1"/>
  <c r="N30" i="36" s="1"/>
  <c r="N75" i="36" a="1"/>
  <c r="N75" i="36" s="1"/>
  <c r="N51" i="36" a="1"/>
  <c r="N51" i="36" s="1"/>
  <c r="N120" i="36" a="1"/>
  <c r="N120" i="36" s="1"/>
  <c r="M114" i="36" a="1"/>
  <c r="M114" i="36" s="1"/>
  <c r="N64" i="36" a="1"/>
  <c r="N64" i="36" s="1"/>
  <c r="N110" i="36" a="1"/>
  <c r="N110" i="36" s="1"/>
  <c r="M104" i="36" a="1"/>
  <c r="M104" i="36" s="1"/>
  <c r="N102" i="36" a="1"/>
  <c r="N102" i="36" s="1"/>
  <c r="M74" i="36" a="1"/>
  <c r="M74" i="36" s="1"/>
  <c r="M63" i="36" a="1"/>
  <c r="M63" i="36" s="1"/>
  <c r="M44" i="36" a="1"/>
  <c r="M44" i="36" s="1"/>
  <c r="M102" i="36" a="1"/>
  <c r="M102" i="36" s="1"/>
  <c r="M55" i="36" a="1"/>
  <c r="M55" i="36" s="1"/>
  <c r="M125" i="36" a="1"/>
  <c r="M125" i="36" s="1"/>
  <c r="N99" i="36" a="1"/>
  <c r="N99" i="36" s="1"/>
  <c r="N100" i="36" a="1"/>
  <c r="N100" i="36" s="1"/>
  <c r="M71" i="36" a="1"/>
  <c r="M71" i="36" s="1"/>
  <c r="M35" i="36" a="1"/>
  <c r="M35" i="36" s="1"/>
  <c r="M86" i="36" a="1"/>
  <c r="M86" i="36" s="1"/>
  <c r="M62" i="36" a="1"/>
  <c r="M62" i="36" s="1"/>
  <c r="M100" i="36" a="1"/>
  <c r="M100" i="36" s="1"/>
  <c r="N111" i="36" a="1"/>
  <c r="N111" i="36" s="1"/>
  <c r="M72" i="36" a="1"/>
  <c r="M72" i="36" s="1"/>
  <c r="M119" i="36" a="1"/>
  <c r="M119" i="36" s="1"/>
  <c r="N22" i="36" a="1"/>
  <c r="N22" i="36" s="1"/>
  <c r="M66" i="36" a="1"/>
  <c r="M66" i="36" s="1"/>
  <c r="M19" i="36" a="1"/>
  <c r="M19" i="36" s="1"/>
  <c r="M92" i="36" a="1"/>
  <c r="M92" i="36" s="1"/>
  <c r="M113" i="36" a="1"/>
  <c r="M113" i="36" s="1"/>
  <c r="N88" i="36" a="1"/>
  <c r="N88" i="36" s="1"/>
  <c r="M46" i="36" a="1"/>
  <c r="M46" i="36" s="1"/>
  <c r="N44" i="36" a="1"/>
  <c r="N44" i="36" s="1"/>
  <c r="M67" i="36" a="1"/>
  <c r="M67" i="36" s="1"/>
  <c r="M93" i="36" a="1"/>
  <c r="M93" i="36" s="1"/>
  <c r="M123" i="36" a="1"/>
  <c r="M123" i="36" s="1"/>
  <c r="N118" i="36" a="1"/>
  <c r="N118" i="36" s="1"/>
  <c r="N57" i="36" a="1"/>
  <c r="N57" i="36" s="1"/>
  <c r="N15" i="36" a="1"/>
  <c r="N15" i="36" s="1"/>
  <c r="N18" i="36" a="1"/>
  <c r="N18" i="36" s="1"/>
  <c r="N41" i="36" a="1"/>
  <c r="N41" i="36" s="1"/>
  <c r="M58" i="36" a="1"/>
  <c r="M58" i="36" s="1"/>
  <c r="M22" i="36" a="1"/>
  <c r="M22" i="36" s="1"/>
  <c r="N39" i="36" a="1"/>
  <c r="N39" i="36" s="1"/>
  <c r="N21" i="36" a="1"/>
  <c r="N21" i="36" s="1"/>
  <c r="N55" i="36" a="1"/>
  <c r="N55" i="36" s="1"/>
  <c r="M39" i="36" a="1"/>
  <c r="M39" i="36" s="1"/>
  <c r="M69" i="36" a="1"/>
  <c r="M69" i="36" s="1"/>
  <c r="M45" i="36" a="1"/>
  <c r="M45" i="36" s="1"/>
  <c r="M111" i="36" a="1"/>
  <c r="M111" i="36" s="1"/>
  <c r="N43" i="36" a="1"/>
  <c r="N43" i="36" s="1"/>
  <c r="N36" i="36" a="1"/>
  <c r="N36" i="36" s="1"/>
  <c r="N71" i="36" a="1"/>
  <c r="N71" i="36" s="1"/>
  <c r="M48" i="36" a="1"/>
  <c r="M48" i="36" s="1"/>
  <c r="M73" i="36" a="1"/>
  <c r="M73" i="36" s="1"/>
  <c r="N59" i="36" a="1"/>
  <c r="N59" i="36" s="1"/>
  <c r="N46" i="36" a="1"/>
  <c r="N46" i="36" s="1"/>
  <c r="M57" i="36" a="1"/>
  <c r="M57" i="36" s="1"/>
  <c r="N123" i="36" a="1"/>
  <c r="N123" i="36" s="1"/>
  <c r="N49" i="36" a="1"/>
  <c r="N49" i="36" s="1"/>
  <c r="M70" i="36" a="1"/>
  <c r="M70" i="36" s="1"/>
  <c r="M54" i="36" a="1"/>
  <c r="M54" i="36" s="1"/>
  <c r="M32" i="36" a="1"/>
  <c r="M32" i="36" s="1"/>
  <c r="M40" i="36" a="1"/>
  <c r="M40" i="36" s="1"/>
  <c r="M105" i="36" a="1"/>
  <c r="M105" i="36" s="1"/>
  <c r="M85" i="36" a="1"/>
  <c r="M85" i="36" s="1"/>
  <c r="M59" i="36" a="1"/>
  <c r="M59" i="36" s="1"/>
  <c r="N63" i="36" a="1"/>
  <c r="N63" i="36" s="1"/>
  <c r="M118" i="36" a="1"/>
  <c r="M118" i="36" s="1"/>
  <c r="N93" i="36" a="1"/>
  <c r="N93" i="36" s="1"/>
  <c r="M50" i="36" a="1"/>
  <c r="M50" i="36" s="1"/>
  <c r="N19" i="36" a="1"/>
  <c r="N19" i="36" s="1"/>
  <c r="M20" i="36" a="1"/>
  <c r="M20" i="36" s="1"/>
  <c r="M41" i="36" a="1"/>
  <c r="M41" i="36" s="1"/>
  <c r="M98" i="36" a="1"/>
  <c r="M98" i="36" s="1"/>
  <c r="N45" i="36" a="1"/>
  <c r="N45" i="36" s="1"/>
  <c r="N121" i="36" a="1"/>
  <c r="N121" i="36" s="1"/>
  <c r="N82" i="36" a="1"/>
  <c r="N82" i="36" s="1"/>
  <c r="N86" i="36" a="1"/>
  <c r="N86" i="36" s="1"/>
  <c r="N101" i="36" a="1"/>
  <c r="N101" i="36" s="1"/>
  <c r="N87" i="36" a="1"/>
  <c r="N87" i="36" s="1"/>
  <c r="N28" i="36" a="1"/>
  <c r="N28" i="36" s="1"/>
  <c r="M89" i="36" a="1"/>
  <c r="M89" i="36" s="1"/>
  <c r="N33" i="36" a="1"/>
  <c r="N33" i="36" s="1"/>
  <c r="M25" i="36" a="1"/>
  <c r="M25" i="36" s="1"/>
  <c r="N83" i="36" a="1"/>
  <c r="N83" i="36" s="1"/>
  <c r="N61" i="36" a="1"/>
  <c r="N61" i="36" s="1"/>
  <c r="N85" i="36" a="1"/>
  <c r="N85" i="36" s="1"/>
  <c r="N68" i="36" a="1"/>
  <c r="N68" i="36" s="1"/>
  <c r="M120" i="36" a="1"/>
  <c r="M120" i="36" s="1"/>
  <c r="M88" i="36" a="1"/>
  <c r="M88" i="36" s="1"/>
  <c r="N48" i="36" a="1"/>
  <c r="N48" i="36" s="1"/>
  <c r="M17" i="36" a="1"/>
  <c r="M17" i="36" s="1"/>
  <c r="N60" i="36" a="1"/>
  <c r="N60" i="36" s="1"/>
  <c r="M103" i="36" a="1"/>
  <c r="M103" i="36" s="1"/>
  <c r="M97" i="36" a="1"/>
  <c r="M97" i="36" s="1"/>
  <c r="N37" i="36" a="1"/>
  <c r="N37" i="36" s="1"/>
  <c r="N125" i="36" a="1"/>
  <c r="N125" i="36" s="1"/>
  <c r="N23" i="36" a="1"/>
  <c r="N23" i="36" s="1"/>
  <c r="M87" i="36" a="1"/>
  <c r="M87" i="36" s="1"/>
  <c r="M83" i="36" a="1"/>
  <c r="M83" i="36" s="1"/>
  <c r="N97" i="36" a="1"/>
  <c r="N97" i="36" s="1"/>
  <c r="N47" i="36" a="1"/>
  <c r="N47" i="36" s="1"/>
  <c r="M23" i="36" a="1"/>
  <c r="M23" i="36" s="1"/>
  <c r="M26" i="36" a="1"/>
  <c r="M26" i="36" s="1"/>
  <c r="N103" i="36" a="1"/>
  <c r="N103" i="36" s="1"/>
  <c r="N26" i="36" a="1"/>
  <c r="N26" i="36" s="1"/>
  <c r="M77" i="36" a="1"/>
  <c r="M77" i="36" s="1"/>
  <c r="M27" i="36" a="1"/>
  <c r="M27" i="36" s="1"/>
  <c r="N56" i="36" a="1"/>
  <c r="N56" i="36" s="1"/>
  <c r="M106" i="36" a="1"/>
  <c r="M106" i="36" s="1"/>
  <c r="N98" i="36" a="1"/>
  <c r="N98" i="36" s="1"/>
  <c r="M43" i="36" a="1"/>
  <c r="M43" i="36" s="1"/>
  <c r="N29" i="36" a="1"/>
  <c r="N29" i="36" s="1"/>
  <c r="M68" i="36" a="1"/>
  <c r="M68" i="36" s="1"/>
  <c r="N91" i="36" a="1"/>
  <c r="N91" i="36" s="1"/>
  <c r="M21" i="36" a="1"/>
  <c r="M21" i="36" s="1"/>
  <c r="M16" i="36" a="1"/>
  <c r="M16" i="36" s="1"/>
  <c r="M99" i="36" a="1"/>
  <c r="M99" i="36" s="1"/>
  <c r="N78" i="36" a="1"/>
  <c r="N78" i="36" s="1"/>
  <c r="N74" i="36" a="1"/>
  <c r="N74" i="36" s="1"/>
  <c r="M29" i="36" a="1"/>
  <c r="M29" i="36" s="1"/>
  <c r="N89" i="36" a="1"/>
  <c r="N89" i="36" s="1"/>
  <c r="M84" i="36" a="1"/>
  <c r="M84" i="36" s="1"/>
  <c r="M18" i="36" a="1"/>
  <c r="M18" i="36" s="1"/>
  <c r="M95" i="36" a="1"/>
  <c r="M95" i="36" s="1"/>
  <c r="N16" i="36" a="1"/>
  <c r="N16" i="36" s="1"/>
  <c r="N79" i="36" a="1"/>
  <c r="N79" i="36" s="1"/>
  <c r="N42" i="36" a="1"/>
  <c r="N42" i="36" s="1"/>
  <c r="M53" i="36" a="1"/>
  <c r="M53" i="36" s="1"/>
  <c r="N20" i="36" a="1"/>
  <c r="N20" i="36" s="1"/>
  <c r="N32" i="36" a="1"/>
  <c r="N32" i="36" s="1"/>
  <c r="M65" i="36" a="1"/>
  <c r="M65" i="36" s="1"/>
  <c r="N95" i="36" a="1"/>
  <c r="N95" i="36" s="1"/>
  <c r="N38" i="36" a="1"/>
  <c r="N38" i="36" s="1"/>
  <c r="N84" i="36" a="1"/>
  <c r="N84" i="36" s="1"/>
  <c r="N54" i="36" a="1"/>
  <c r="N54" i="36" s="1"/>
  <c r="M51" i="36" a="1"/>
  <c r="M51" i="36" s="1"/>
  <c r="N50" i="36" a="1"/>
  <c r="N50" i="36" s="1"/>
  <c r="M52" i="36" a="1"/>
  <c r="M52" i="36" s="1"/>
  <c r="N24" i="36" a="1"/>
  <c r="N24" i="36" s="1"/>
  <c r="N112" i="36" a="1"/>
  <c r="N112" i="36" s="1"/>
  <c r="M101" i="36" a="1"/>
  <c r="M101" i="36" s="1"/>
  <c r="N65" i="36" a="1"/>
  <c r="N65" i="36" s="1"/>
  <c r="N106" i="36" a="1"/>
  <c r="N106" i="36" s="1"/>
  <c r="M81" i="36" a="1"/>
  <c r="M81" i="36" s="1"/>
  <c r="N109" i="36" a="1"/>
  <c r="N109" i="36" s="1"/>
  <c r="M49" i="36" a="1"/>
  <c r="M49" i="36" s="1"/>
  <c r="M80" i="36" a="1"/>
  <c r="M80" i="36" s="1"/>
  <c r="M60" i="36" a="1"/>
  <c r="M60" i="36" s="1"/>
  <c r="M117" i="36" a="1"/>
  <c r="M117" i="36" s="1"/>
  <c r="N66" i="36" a="1"/>
  <c r="N66" i="36" s="1"/>
  <c r="N107" i="36" a="1"/>
  <c r="N107" i="36" s="1"/>
  <c r="M124" i="36" a="1"/>
  <c r="M124" i="36" s="1"/>
  <c r="M91" i="36" a="1"/>
  <c r="M91" i="36" s="1"/>
  <c r="M82" i="36" a="1"/>
  <c r="M82" i="36" s="1"/>
  <c r="N119" i="36" a="1"/>
  <c r="N119" i="36" s="1"/>
  <c r="N58" i="36" a="1"/>
  <c r="N58" i="36" s="1"/>
  <c r="M90" i="36" a="1"/>
  <c r="M90" i="36" s="1"/>
  <c r="M30" i="36" a="1"/>
  <c r="M30" i="36" s="1"/>
  <c r="M31" i="36" a="1"/>
  <c r="M31" i="36" s="1"/>
  <c r="M116" i="36" a="1"/>
  <c r="M116" i="36" s="1"/>
  <c r="N77" i="36" a="1"/>
  <c r="N77" i="36" s="1"/>
  <c r="N96" i="36" a="1"/>
  <c r="N96" i="36" s="1"/>
  <c r="N72" i="36" a="1"/>
  <c r="N72" i="36" s="1"/>
  <c r="M121" i="36" a="1"/>
  <c r="M121" i="36" s="1"/>
  <c r="M15" i="36" a="1"/>
  <c r="M15" i="36" s="1"/>
  <c r="M96" i="36" a="1"/>
  <c r="M96" i="36" s="1"/>
  <c r="M34" i="36" a="1"/>
  <c r="M34" i="36" s="1"/>
  <c r="M24" i="36" a="1"/>
  <c r="M24" i="36" s="1"/>
  <c r="N115" i="36" a="1"/>
  <c r="N115" i="36" s="1"/>
  <c r="N122" i="36" a="1"/>
  <c r="N122" i="36" s="1"/>
  <c r="N108" i="36" a="1"/>
  <c r="N108" i="36" s="1"/>
  <c r="M107" i="36" a="1"/>
  <c r="M107" i="36" s="1"/>
  <c r="N94" i="36" a="1"/>
  <c r="N94" i="36" s="1"/>
  <c r="N67" i="36" a="1"/>
  <c r="N67" i="36" s="1"/>
  <c r="M109" i="36" a="1"/>
  <c r="M109" i="36" s="1"/>
  <c r="N73" i="36" a="1"/>
  <c r="N73" i="36" s="1"/>
  <c r="M112" i="36" a="1"/>
  <c r="M112" i="36" s="1"/>
  <c r="N35" i="36" a="1"/>
  <c r="N35" i="36" s="1"/>
  <c r="N40" i="36" a="1"/>
  <c r="N40" i="36" s="1"/>
  <c r="N113" i="36" a="1"/>
  <c r="N113" i="36" s="1"/>
  <c r="N31" i="36" a="1"/>
  <c r="N31" i="36" s="1"/>
  <c r="N27" i="36" a="1"/>
  <c r="N27" i="36" s="1"/>
  <c r="M37" i="36" a="1"/>
  <c r="M37" i="36" s="1"/>
  <c r="N81" i="36" a="1"/>
  <c r="N81" i="36" s="1"/>
  <c r="N70" i="36" a="1"/>
  <c r="N70" i="36" s="1"/>
  <c r="M108" i="36" a="1"/>
  <c r="M108" i="36" s="1"/>
  <c r="N69" i="36" a="1"/>
  <c r="N69" i="36" s="1"/>
  <c r="N116" i="36" a="1"/>
  <c r="N116" i="36" s="1"/>
  <c r="M64" i="36" a="1"/>
  <c r="M64" i="36" s="1"/>
  <c r="M75" i="36" a="1"/>
  <c r="M75" i="36" s="1"/>
  <c r="N62" i="36" a="1"/>
  <c r="N62" i="36" s="1"/>
  <c r="M79" i="36" a="1"/>
  <c r="M79" i="36" s="1"/>
  <c r="N53" i="36" a="1"/>
  <c r="N53" i="36" s="1"/>
  <c r="N25" i="36" a="1"/>
  <c r="N25" i="36" s="1"/>
  <c r="N80" i="36" a="1"/>
  <c r="N80" i="36" s="1"/>
  <c r="M36" i="36" a="1"/>
  <c r="M36" i="36" s="1"/>
  <c r="N76" i="36" a="1"/>
  <c r="N76" i="36" s="1"/>
  <c r="N105" i="36" a="1"/>
  <c r="N105" i="36" s="1"/>
  <c r="N92" i="36" a="1"/>
  <c r="N92" i="36" s="1"/>
  <c r="N109" i="43" a="1"/>
  <c r="N109" i="43" s="1"/>
  <c r="N123" i="43" a="1"/>
  <c r="N123" i="43" s="1"/>
  <c r="N92" i="43" a="1"/>
  <c r="N92" i="43" s="1"/>
  <c r="N77" i="43" a="1"/>
  <c r="N77" i="43" s="1"/>
  <c r="N69" i="43" a="1"/>
  <c r="N69" i="43" s="1"/>
  <c r="N58" i="43" a="1"/>
  <c r="N58" i="43" s="1"/>
  <c r="N38" i="43" a="1"/>
  <c r="N38" i="43" s="1"/>
  <c r="N34" i="43" a="1"/>
  <c r="N34" i="43" s="1"/>
  <c r="M70" i="43" a="1"/>
  <c r="M70" i="43" s="1"/>
  <c r="M26" i="43" a="1"/>
  <c r="M26" i="43" s="1"/>
  <c r="N32" i="43" a="1"/>
  <c r="N32" i="43" s="1"/>
  <c r="M63" i="43" a="1"/>
  <c r="M63" i="43" s="1"/>
  <c r="M99" i="43" a="1"/>
  <c r="M99" i="43" s="1"/>
  <c r="M82" i="43" a="1"/>
  <c r="M82" i="43" s="1"/>
  <c r="N56" i="43" a="1"/>
  <c r="N56" i="43" s="1"/>
  <c r="M67" i="43" a="1"/>
  <c r="M67" i="43" s="1"/>
  <c r="N112" i="43" a="1"/>
  <c r="N112" i="43" s="1"/>
  <c r="N68" i="43" a="1"/>
  <c r="N68" i="43" s="1"/>
  <c r="N30" i="43" a="1"/>
  <c r="N30" i="43" s="1"/>
  <c r="N59" i="43" a="1"/>
  <c r="N59" i="43" s="1"/>
  <c r="M23" i="43" a="1"/>
  <c r="M23" i="43" s="1"/>
  <c r="N46" i="43" a="1"/>
  <c r="N46" i="43" s="1"/>
  <c r="M15" i="43" a="1"/>
  <c r="M15" i="43" s="1"/>
  <c r="M48" i="43" a="1"/>
  <c r="M48" i="43" s="1"/>
  <c r="M16" i="43" a="1"/>
  <c r="M16" i="43" s="1"/>
  <c r="N96" i="43" a="1"/>
  <c r="N96" i="43" s="1"/>
  <c r="M27" i="43" a="1"/>
  <c r="M27" i="43" s="1"/>
  <c r="N119" i="43" a="1"/>
  <c r="N119" i="43" s="1"/>
  <c r="N115" i="43" a="1"/>
  <c r="N115" i="43" s="1"/>
  <c r="M89" i="43" a="1"/>
  <c r="M89" i="43" s="1"/>
  <c r="N81" i="43" a="1"/>
  <c r="N81" i="43" s="1"/>
  <c r="N55" i="43" a="1"/>
  <c r="N55" i="43" s="1"/>
  <c r="N53" i="43" a="1"/>
  <c r="N53" i="43" s="1"/>
  <c r="M35" i="43" a="1"/>
  <c r="M35" i="43" s="1"/>
  <c r="M37" i="43" a="1"/>
  <c r="M37" i="43" s="1"/>
  <c r="M104" i="43" a="1"/>
  <c r="M104" i="43" s="1"/>
  <c r="M56" i="43" a="1"/>
  <c r="M56" i="43" s="1"/>
  <c r="M61" i="43" a="1"/>
  <c r="M61" i="43" s="1"/>
  <c r="M90" i="43" a="1"/>
  <c r="M90" i="43" s="1"/>
  <c r="M113" i="43" a="1"/>
  <c r="M113" i="43" s="1"/>
  <c r="N110" i="43" a="1"/>
  <c r="N110" i="43" s="1"/>
  <c r="N72" i="43" a="1"/>
  <c r="N72" i="43" s="1"/>
  <c r="M94" i="43" a="1"/>
  <c r="M94" i="43" s="1"/>
  <c r="M123" i="43" a="1"/>
  <c r="M123" i="43" s="1"/>
  <c r="M65" i="43" a="1"/>
  <c r="M65" i="43" s="1"/>
  <c r="N17" i="43" a="1"/>
  <c r="N17" i="43" s="1"/>
  <c r="N86" i="43" a="1"/>
  <c r="N86" i="43" s="1"/>
  <c r="N28" i="43" a="1"/>
  <c r="N28" i="43" s="1"/>
  <c r="M88" i="43" a="1"/>
  <c r="M88" i="43" s="1"/>
  <c r="N64" i="43" a="1"/>
  <c r="N64" i="43" s="1"/>
  <c r="N75" i="43" a="1"/>
  <c r="N75" i="43" s="1"/>
  <c r="M44" i="43" a="1"/>
  <c r="M44" i="43" s="1"/>
  <c r="M124" i="43" a="1"/>
  <c r="M124" i="43" s="1"/>
  <c r="N91" i="43" a="1"/>
  <c r="N91" i="43" s="1"/>
  <c r="N125" i="43" a="1"/>
  <c r="N125" i="43" s="1"/>
  <c r="M108" i="43" a="1"/>
  <c r="M108" i="43" s="1"/>
  <c r="M114" i="43" a="1"/>
  <c r="M114" i="43" s="1"/>
  <c r="M92" i="43" a="1"/>
  <c r="M92" i="43" s="1"/>
  <c r="M93" i="43" a="1"/>
  <c r="M93" i="43" s="1"/>
  <c r="N51" i="43" a="1"/>
  <c r="N51" i="43" s="1"/>
  <c r="N49" i="43" a="1"/>
  <c r="N49" i="43" s="1"/>
  <c r="M38" i="43" a="1"/>
  <c r="M38" i="43" s="1"/>
  <c r="M21" i="43" a="1"/>
  <c r="M21" i="43" s="1"/>
  <c r="N104" i="43" a="1"/>
  <c r="N104" i="43" s="1"/>
  <c r="M39" i="43" a="1"/>
  <c r="M39" i="43" s="1"/>
  <c r="M18" i="43" a="1"/>
  <c r="M18" i="43" s="1"/>
  <c r="N67" i="43" a="1"/>
  <c r="N67" i="43" s="1"/>
  <c r="M112" i="43" a="1"/>
  <c r="M112" i="43" s="1"/>
  <c r="M101" i="43" a="1"/>
  <c r="M101" i="43" s="1"/>
  <c r="M24" i="43" a="1"/>
  <c r="M24" i="43" s="1"/>
  <c r="N89" i="43" a="1"/>
  <c r="N89" i="43" s="1"/>
  <c r="N100" i="43" a="1"/>
  <c r="N100" i="43" s="1"/>
  <c r="N80" i="43" a="1"/>
  <c r="N80" i="43" s="1"/>
  <c r="M28" i="43" a="1"/>
  <c r="M28" i="43" s="1"/>
  <c r="N73" i="43" a="1"/>
  <c r="N73" i="43" s="1"/>
  <c r="N52" i="43" a="1"/>
  <c r="N52" i="43" s="1"/>
  <c r="M85" i="43" a="1"/>
  <c r="M85" i="43" s="1"/>
  <c r="M17" i="43" a="1"/>
  <c r="M17" i="43" s="1"/>
  <c r="M81" i="43" a="1"/>
  <c r="M81" i="43" s="1"/>
  <c r="M58" i="43" a="1"/>
  <c r="M58" i="43" s="1"/>
  <c r="M53" i="43" a="1"/>
  <c r="M53" i="43" s="1"/>
  <c r="M103" i="43" a="1"/>
  <c r="M103" i="43" s="1"/>
  <c r="N121" i="43" a="1"/>
  <c r="N121" i="43" s="1"/>
  <c r="N107" i="43" a="1"/>
  <c r="N107" i="43" s="1"/>
  <c r="N102" i="43" a="1"/>
  <c r="N102" i="43" s="1"/>
  <c r="M91" i="43" a="1"/>
  <c r="M91" i="43" s="1"/>
  <c r="M76" i="43" a="1"/>
  <c r="M76" i="43" s="1"/>
  <c r="N47" i="43" a="1"/>
  <c r="N47" i="43" s="1"/>
  <c r="N45" i="43" a="1"/>
  <c r="N45" i="43" s="1"/>
  <c r="N31" i="43" a="1"/>
  <c r="N31" i="43" s="1"/>
  <c r="N21" i="43" a="1"/>
  <c r="N21" i="43" s="1"/>
  <c r="N99" i="43" a="1"/>
  <c r="N99" i="43" s="1"/>
  <c r="M57" i="43" a="1"/>
  <c r="M57" i="43" s="1"/>
  <c r="M46" i="43" a="1"/>
  <c r="M46" i="43" s="1"/>
  <c r="M80" i="43" a="1"/>
  <c r="M80" i="43" s="1"/>
  <c r="M42" i="43" a="1"/>
  <c r="M42" i="43" s="1"/>
  <c r="M31" i="43" a="1"/>
  <c r="M31" i="43" s="1"/>
  <c r="N44" i="43" a="1"/>
  <c r="N44" i="43" s="1"/>
  <c r="M77" i="43" a="1"/>
  <c r="M77" i="43" s="1"/>
  <c r="N108" i="43" a="1"/>
  <c r="N108" i="43" s="1"/>
  <c r="N84" i="43" a="1"/>
  <c r="N84" i="43" s="1"/>
  <c r="N40" i="43" a="1"/>
  <c r="N40" i="43" s="1"/>
  <c r="M111" i="43" a="1"/>
  <c r="M111" i="43" s="1"/>
  <c r="M64" i="43" a="1"/>
  <c r="M64" i="43" s="1"/>
  <c r="N63" i="43" a="1"/>
  <c r="N63" i="43" s="1"/>
  <c r="M33" i="43" a="1"/>
  <c r="M33" i="43" s="1"/>
  <c r="M79" i="43" a="1"/>
  <c r="M79" i="43" s="1"/>
  <c r="N76" i="43" a="1"/>
  <c r="N76" i="43" s="1"/>
  <c r="N82" i="43" a="1"/>
  <c r="N82" i="43" s="1"/>
  <c r="M30" i="43" a="1"/>
  <c r="M30" i="43" s="1"/>
  <c r="N117" i="43" a="1"/>
  <c r="N117" i="43" s="1"/>
  <c r="N105" i="43" a="1"/>
  <c r="N105" i="43" s="1"/>
  <c r="N98" i="43" a="1"/>
  <c r="N98" i="43" s="1"/>
  <c r="N93" i="43" a="1"/>
  <c r="N93" i="43" s="1"/>
  <c r="M74" i="43" a="1"/>
  <c r="M74" i="43" s="1"/>
  <c r="N43" i="43" a="1"/>
  <c r="N43" i="43" s="1"/>
  <c r="N41" i="43" a="1"/>
  <c r="N41" i="43" s="1"/>
  <c r="N27" i="43" a="1"/>
  <c r="N27" i="43" s="1"/>
  <c r="M32" i="43" a="1"/>
  <c r="M32" i="43" s="1"/>
  <c r="N120" i="43" a="1"/>
  <c r="N120" i="43" s="1"/>
  <c r="M71" i="43" a="1"/>
  <c r="M71" i="43" s="1"/>
  <c r="N22" i="43" a="1"/>
  <c r="N22" i="43" s="1"/>
  <c r="M98" i="43" a="1"/>
  <c r="M98" i="43" s="1"/>
  <c r="M72" i="43" a="1"/>
  <c r="M72" i="43" s="1"/>
  <c r="M22" i="43" a="1"/>
  <c r="M22" i="43" s="1"/>
  <c r="N50" i="43" a="1"/>
  <c r="N50" i="43" s="1"/>
  <c r="N79" i="43" a="1"/>
  <c r="N79" i="43" s="1"/>
  <c r="M116" i="43" a="1"/>
  <c r="M116" i="43" s="1"/>
  <c r="N87" i="43" a="1"/>
  <c r="N87" i="43" s="1"/>
  <c r="M47" i="43" a="1"/>
  <c r="M47" i="43" s="1"/>
  <c r="N74" i="43" a="1"/>
  <c r="N74" i="43" s="1"/>
  <c r="N18" i="43" a="1"/>
  <c r="N18" i="43" s="1"/>
  <c r="N95" i="43" a="1"/>
  <c r="N95" i="43" s="1"/>
  <c r="N29" i="43" a="1"/>
  <c r="N29" i="43" s="1"/>
  <c r="N118" i="43" a="1"/>
  <c r="N118" i="43" s="1"/>
  <c r="N78" i="43" a="1"/>
  <c r="N78" i="43" s="1"/>
  <c r="M110" i="43" a="1"/>
  <c r="M110" i="43" s="1"/>
  <c r="N103" i="43" a="1"/>
  <c r="N103" i="43" s="1"/>
  <c r="N113" i="43" a="1"/>
  <c r="N113" i="43" s="1"/>
  <c r="N101" i="43" a="1"/>
  <c r="N101" i="43" s="1"/>
  <c r="N106" i="43" a="1"/>
  <c r="N106" i="43" s="1"/>
  <c r="N70" i="43" a="1"/>
  <c r="N70" i="43" s="1"/>
  <c r="M87" i="43" a="1"/>
  <c r="M87" i="43" s="1"/>
  <c r="N61" i="43" a="1"/>
  <c r="N61" i="43" s="1"/>
  <c r="M75" i="43" a="1"/>
  <c r="M75" i="43" s="1"/>
  <c r="N23" i="43" a="1"/>
  <c r="N23" i="43" s="1"/>
  <c r="M43" i="43" a="1"/>
  <c r="M43" i="43" s="1"/>
  <c r="M118" i="43" a="1"/>
  <c r="M118" i="43" s="1"/>
  <c r="N71" i="43" a="1"/>
  <c r="N71" i="43" s="1"/>
  <c r="N48" i="43" a="1"/>
  <c r="N48" i="43" s="1"/>
  <c r="M78" i="43" a="1"/>
  <c r="M78" i="43" s="1"/>
  <c r="M41" i="43" a="1"/>
  <c r="M41" i="43" s="1"/>
  <c r="M55" i="43" a="1"/>
  <c r="M55" i="43" s="1"/>
  <c r="M66" i="43" a="1"/>
  <c r="M66" i="43" s="1"/>
  <c r="N124" i="43" a="1"/>
  <c r="N124" i="43" s="1"/>
  <c r="N26" i="43" a="1"/>
  <c r="N26" i="43" s="1"/>
  <c r="M117" i="43" a="1"/>
  <c r="M117" i="43" s="1"/>
  <c r="N60" i="43" a="1"/>
  <c r="N60" i="43" s="1"/>
  <c r="M86" i="43" a="1"/>
  <c r="M86" i="43" s="1"/>
  <c r="M36" i="43" a="1"/>
  <c r="M36" i="43" s="1"/>
  <c r="M83" i="43" a="1"/>
  <c r="M83" i="43" s="1"/>
  <c r="M50" i="43" a="1"/>
  <c r="M50" i="43" s="1"/>
  <c r="M95" i="43" a="1"/>
  <c r="M95" i="43" s="1"/>
  <c r="M51" i="43" a="1"/>
  <c r="M51" i="43" s="1"/>
  <c r="M119" i="43" a="1"/>
  <c r="M119" i="43" s="1"/>
  <c r="N122" i="43" a="1"/>
  <c r="N122" i="43" s="1"/>
  <c r="M106" i="43" a="1"/>
  <c r="M106" i="43" s="1"/>
  <c r="N97" i="43" a="1"/>
  <c r="N97" i="43" s="1"/>
  <c r="N94" i="43" a="1"/>
  <c r="N94" i="43" s="1"/>
  <c r="N66" i="43" a="1"/>
  <c r="N66" i="43" s="1"/>
  <c r="M84" i="43" a="1"/>
  <c r="M84" i="43" s="1"/>
  <c r="N65" i="43" a="1"/>
  <c r="N65" i="43" s="1"/>
  <c r="M68" i="43" a="1"/>
  <c r="M68" i="43" s="1"/>
  <c r="N19" i="43" a="1"/>
  <c r="N19" i="43" s="1"/>
  <c r="M52" i="43" a="1"/>
  <c r="M52" i="43" s="1"/>
  <c r="M125" i="43" a="1"/>
  <c r="M125" i="43" s="1"/>
  <c r="M100" i="43" a="1"/>
  <c r="M100" i="43" s="1"/>
  <c r="N33" i="43" a="1"/>
  <c r="N33" i="43" s="1"/>
  <c r="M105" i="43" a="1"/>
  <c r="M105" i="43" s="1"/>
  <c r="N57" i="43" a="1"/>
  <c r="N57" i="43" s="1"/>
  <c r="N37" i="43" a="1"/>
  <c r="N37" i="43" s="1"/>
  <c r="M40" i="43" a="1"/>
  <c r="M40" i="43" s="1"/>
  <c r="M102" i="43" a="1"/>
  <c r="M102" i="43" s="1"/>
  <c r="N25" i="43" a="1"/>
  <c r="N25" i="43" s="1"/>
  <c r="M120" i="43" a="1"/>
  <c r="M120" i="43" s="1"/>
  <c r="N54" i="43" a="1"/>
  <c r="N54" i="43" s="1"/>
  <c r="M107" i="43" a="1"/>
  <c r="M107" i="43" s="1"/>
  <c r="N36" i="43" a="1"/>
  <c r="N36" i="43" s="1"/>
  <c r="N116" i="43" a="1"/>
  <c r="N116" i="43" s="1"/>
  <c r="M60" i="43" a="1"/>
  <c r="M60" i="43" s="1"/>
  <c r="N114" i="43" a="1"/>
  <c r="N114" i="43" s="1"/>
  <c r="M109" i="43" a="1"/>
  <c r="M109" i="43" s="1"/>
  <c r="N16" i="43" a="1"/>
  <c r="N16" i="43" s="1"/>
  <c r="M29" i="43" a="1"/>
  <c r="M29" i="43" s="1"/>
  <c r="N111" i="43" a="1"/>
  <c r="N111" i="43" s="1"/>
  <c r="M122" i="43" a="1"/>
  <c r="M122" i="43" s="1"/>
  <c r="N90" i="43" a="1"/>
  <c r="N90" i="43" s="1"/>
  <c r="N62" i="43" a="1"/>
  <c r="N62" i="43" s="1"/>
  <c r="N85" i="43" a="1"/>
  <c r="N85" i="43" s="1"/>
  <c r="M59" i="43" a="1"/>
  <c r="M59" i="43" s="1"/>
  <c r="N39" i="43" a="1"/>
  <c r="N39" i="43" s="1"/>
  <c r="N15" i="43" a="1"/>
  <c r="N15" i="43" s="1"/>
  <c r="M62" i="43" a="1"/>
  <c r="M62" i="43" s="1"/>
  <c r="N35" i="43" a="1"/>
  <c r="N35" i="43" s="1"/>
  <c r="N24" i="43" a="1"/>
  <c r="N24" i="43" s="1"/>
  <c r="M49" i="43" a="1"/>
  <c r="M49" i="43" s="1"/>
  <c r="M97" i="43" a="1"/>
  <c r="M97" i="43" s="1"/>
  <c r="M73" i="43" a="1"/>
  <c r="M73" i="43" s="1"/>
  <c r="M25" i="43" a="1"/>
  <c r="M25" i="43" s="1"/>
  <c r="N88" i="43" a="1"/>
  <c r="N88" i="43" s="1"/>
  <c r="M96" i="43" a="1"/>
  <c r="M96" i="43" s="1"/>
  <c r="M54" i="43" a="1"/>
  <c r="M54" i="43" s="1"/>
  <c r="M34" i="43" a="1"/>
  <c r="M34" i="43" s="1"/>
  <c r="M69" i="43" a="1"/>
  <c r="M69" i="43" s="1"/>
  <c r="M121" i="43" a="1"/>
  <c r="M121" i="43" s="1"/>
  <c r="M20" i="43" a="1"/>
  <c r="M20" i="43" s="1"/>
  <c r="M19" i="43" a="1"/>
  <c r="M19" i="43" s="1"/>
  <c r="M45" i="43" a="1"/>
  <c r="M45" i="43" s="1"/>
  <c r="N20" i="43" a="1"/>
  <c r="N20" i="43" s="1"/>
  <c r="N83" i="43" a="1"/>
  <c r="N83" i="43" s="1"/>
  <c r="M115" i="43" a="1"/>
  <c r="M115" i="43" s="1"/>
  <c r="N42" i="43" a="1"/>
  <c r="N42" i="43" s="1"/>
  <c r="N121" i="38" a="1"/>
  <c r="N121" i="38" s="1"/>
  <c r="N119" i="38" a="1"/>
  <c r="N119" i="38" s="1"/>
  <c r="N85" i="38" a="1"/>
  <c r="N85" i="38" s="1"/>
  <c r="N113" i="38" a="1"/>
  <c r="N113" i="38" s="1"/>
  <c r="M122" i="38" a="1"/>
  <c r="M122" i="38" s="1"/>
  <c r="N116" i="38" a="1"/>
  <c r="N116" i="38" s="1"/>
  <c r="N106" i="38" a="1"/>
  <c r="N106" i="38" s="1"/>
  <c r="N123" i="38" a="1"/>
  <c r="N123" i="38" s="1"/>
  <c r="N112" i="38" a="1"/>
  <c r="N112" i="38" s="1"/>
  <c r="N111" i="38" a="1"/>
  <c r="N111" i="38" s="1"/>
  <c r="N92" i="38" a="1"/>
  <c r="N92" i="38" s="1"/>
  <c r="N58" i="38" a="1"/>
  <c r="N58" i="38" s="1"/>
  <c r="M74" i="38" a="1"/>
  <c r="M74" i="38" s="1"/>
  <c r="M44" i="38" a="1"/>
  <c r="M44" i="38" s="1"/>
  <c r="N73" i="38" a="1"/>
  <c r="N73" i="38" s="1"/>
  <c r="M48" i="38" a="1"/>
  <c r="M48" i="38" s="1"/>
  <c r="M19" i="38" a="1"/>
  <c r="M19" i="38" s="1"/>
  <c r="N20" i="38" a="1"/>
  <c r="N20" i="38" s="1"/>
  <c r="M21" i="38" a="1"/>
  <c r="M21" i="38" s="1"/>
  <c r="N51" i="38" a="1"/>
  <c r="N51" i="38" s="1"/>
  <c r="N23" i="38" a="1"/>
  <c r="N23" i="38" s="1"/>
  <c r="M106" i="38" a="1"/>
  <c r="M106" i="38" s="1"/>
  <c r="N15" i="38" a="1"/>
  <c r="N15" i="38" s="1"/>
  <c r="N86" i="38" a="1"/>
  <c r="N86" i="38" s="1"/>
  <c r="M49" i="38" a="1"/>
  <c r="M49" i="38" s="1"/>
  <c r="N114" i="38" a="1"/>
  <c r="N114" i="38" s="1"/>
  <c r="M38" i="38" a="1"/>
  <c r="M38" i="38" s="1"/>
  <c r="M50" i="38" a="1"/>
  <c r="M50" i="38" s="1"/>
  <c r="M104" i="38" a="1"/>
  <c r="M104" i="38" s="1"/>
  <c r="M111" i="38" a="1"/>
  <c r="M111" i="38" s="1"/>
  <c r="M115" i="38" a="1"/>
  <c r="M115" i="38" s="1"/>
  <c r="N120" i="38" a="1"/>
  <c r="N120" i="38" s="1"/>
  <c r="N103" i="38" a="1"/>
  <c r="N103" i="38" s="1"/>
  <c r="N95" i="38" a="1"/>
  <c r="N95" i="38" s="1"/>
  <c r="N93" i="38" a="1"/>
  <c r="N93" i="38" s="1"/>
  <c r="N125" i="38" a="1"/>
  <c r="N125" i="38" s="1"/>
  <c r="N99" i="38" a="1"/>
  <c r="N99" i="38" s="1"/>
  <c r="N89" i="38" a="1"/>
  <c r="N89" i="38" s="1"/>
  <c r="M100" i="38" a="1"/>
  <c r="M100" i="38" s="1"/>
  <c r="M70" i="38" a="1"/>
  <c r="M70" i="38" s="1"/>
  <c r="N74" i="38" a="1"/>
  <c r="N74" i="38" s="1"/>
  <c r="N88" i="38" a="1"/>
  <c r="N88" i="38" s="1"/>
  <c r="M34" i="38" a="1"/>
  <c r="M34" i="38" s="1"/>
  <c r="M36" i="38" a="1"/>
  <c r="M36" i="38" s="1"/>
  <c r="N33" i="38" a="1"/>
  <c r="N33" i="38" s="1"/>
  <c r="M77" i="38" a="1"/>
  <c r="M77" i="38" s="1"/>
  <c r="N44" i="38" a="1"/>
  <c r="N44" i="38" s="1"/>
  <c r="N37" i="38" a="1"/>
  <c r="N37" i="38" s="1"/>
  <c r="M92" i="38" a="1"/>
  <c r="M92" i="38" s="1"/>
  <c r="M25" i="38" a="1"/>
  <c r="M25" i="38" s="1"/>
  <c r="M101" i="38" a="1"/>
  <c r="M101" i="38" s="1"/>
  <c r="M29" i="38" a="1"/>
  <c r="M29" i="38" s="1"/>
  <c r="N31" i="38" a="1"/>
  <c r="N31" i="38" s="1"/>
  <c r="M86" i="38" a="1"/>
  <c r="M86" i="38" s="1"/>
  <c r="M22" i="38" a="1"/>
  <c r="M22" i="38" s="1"/>
  <c r="M71" i="38" a="1"/>
  <c r="M71" i="38" s="1"/>
  <c r="M124" i="38" a="1"/>
  <c r="M124" i="38" s="1"/>
  <c r="M61" i="38" a="1"/>
  <c r="M61" i="38" s="1"/>
  <c r="N104" i="38" a="1"/>
  <c r="N104" i="38" s="1"/>
  <c r="M73" i="38" a="1"/>
  <c r="M73" i="38" s="1"/>
  <c r="M68" i="38" a="1"/>
  <c r="M68" i="38" s="1"/>
  <c r="N70" i="38" a="1"/>
  <c r="N70" i="38" s="1"/>
  <c r="M51" i="38" a="1"/>
  <c r="M51" i="38" s="1"/>
  <c r="N50" i="38" a="1"/>
  <c r="N50" i="38" s="1"/>
  <c r="M15" i="38" a="1"/>
  <c r="M15" i="38" s="1"/>
  <c r="N59" i="38" a="1"/>
  <c r="N59" i="38" s="1"/>
  <c r="M32" i="38" a="1"/>
  <c r="M32" i="38" s="1"/>
  <c r="N29" i="38" a="1"/>
  <c r="N29" i="38" s="1"/>
  <c r="N64" i="38" a="1"/>
  <c r="N64" i="38" s="1"/>
  <c r="M67" i="38" a="1"/>
  <c r="M67" i="38" s="1"/>
  <c r="M26" i="38" a="1"/>
  <c r="M26" i="38" s="1"/>
  <c r="M31" i="38" a="1"/>
  <c r="M31" i="38" s="1"/>
  <c r="M112" i="38" a="1"/>
  <c r="M112" i="38" s="1"/>
  <c r="N110" i="38" a="1"/>
  <c r="N110" i="38" s="1"/>
  <c r="M113" i="38" a="1"/>
  <c r="M113" i="38" s="1"/>
  <c r="M95" i="38" a="1"/>
  <c r="M95" i="38" s="1"/>
  <c r="N118" i="38" a="1"/>
  <c r="N118" i="38" s="1"/>
  <c r="M78" i="38" a="1"/>
  <c r="M78" i="38" s="1"/>
  <c r="M93" i="38" a="1"/>
  <c r="M93" i="38" s="1"/>
  <c r="N54" i="38" a="1"/>
  <c r="N54" i="38" s="1"/>
  <c r="N67" i="38" a="1"/>
  <c r="N67" i="38" s="1"/>
  <c r="N57" i="38" a="1"/>
  <c r="N57" i="38" s="1"/>
  <c r="M45" i="38" a="1"/>
  <c r="M45" i="38" s="1"/>
  <c r="N32" i="38" a="1"/>
  <c r="N32" i="38" s="1"/>
  <c r="M23" i="38" a="1"/>
  <c r="M23" i="38" s="1"/>
  <c r="N45" i="38" a="1"/>
  <c r="N45" i="38" s="1"/>
  <c r="M54" i="38" a="1"/>
  <c r="M54" i="38" s="1"/>
  <c r="N17" i="38" a="1"/>
  <c r="N17" i="38" s="1"/>
  <c r="M88" i="38" a="1"/>
  <c r="M88" i="38" s="1"/>
  <c r="N66" i="38" a="1"/>
  <c r="N66" i="38" s="1"/>
  <c r="N21" i="38" a="1"/>
  <c r="N21" i="38" s="1"/>
  <c r="M66" i="38" a="1"/>
  <c r="M66" i="38" s="1"/>
  <c r="N52" i="38" a="1"/>
  <c r="N52" i="38" s="1"/>
  <c r="M114" i="38" a="1"/>
  <c r="M114" i="38" s="1"/>
  <c r="M27" i="38" a="1"/>
  <c r="M27" i="38" s="1"/>
  <c r="M18" i="38" a="1"/>
  <c r="M18" i="38" s="1"/>
  <c r="M109" i="38" a="1"/>
  <c r="M109" i="38" s="1"/>
  <c r="M96" i="38" a="1"/>
  <c r="M96" i="38" s="1"/>
  <c r="N124" i="38" a="1"/>
  <c r="N124" i="38" s="1"/>
  <c r="N84" i="38" a="1"/>
  <c r="N84" i="38" s="1"/>
  <c r="M90" i="38" a="1"/>
  <c r="M90" i="38" s="1"/>
  <c r="N80" i="38" a="1"/>
  <c r="N80" i="38" s="1"/>
  <c r="N46" i="38" a="1"/>
  <c r="N46" i="38" s="1"/>
  <c r="N42" i="38" a="1"/>
  <c r="N42" i="38" s="1"/>
  <c r="M82" i="38" a="1"/>
  <c r="M82" i="38" s="1"/>
  <c r="N19" i="38" a="1"/>
  <c r="N19" i="38" s="1"/>
  <c r="N77" i="38" a="1"/>
  <c r="N77" i="38" s="1"/>
  <c r="M52" i="38" a="1"/>
  <c r="M52" i="38" s="1"/>
  <c r="N27" i="38" a="1"/>
  <c r="N27" i="38" s="1"/>
  <c r="M16" i="38" a="1"/>
  <c r="M16" i="38" s="1"/>
  <c r="N83" i="38" a="1"/>
  <c r="N83" i="38" s="1"/>
  <c r="N36" i="38" a="1"/>
  <c r="N36" i="38" s="1"/>
  <c r="M53" i="38" a="1"/>
  <c r="M53" i="38" s="1"/>
  <c r="M30" i="38" a="1"/>
  <c r="M30" i="38" s="1"/>
  <c r="M64" i="38" a="1"/>
  <c r="M64" i="38" s="1"/>
  <c r="M24" i="38" a="1"/>
  <c r="M24" i="38" s="1"/>
  <c r="M42" i="38" a="1"/>
  <c r="M42" i="38" s="1"/>
  <c r="M119" i="38" a="1"/>
  <c r="M119" i="38" s="1"/>
  <c r="M89" i="38" a="1"/>
  <c r="M89" i="38" s="1"/>
  <c r="N117" i="38" a="1"/>
  <c r="N117" i="38" s="1"/>
  <c r="N69" i="38" a="1"/>
  <c r="N69" i="38" s="1"/>
  <c r="M91" i="38" a="1"/>
  <c r="M91" i="38" s="1"/>
  <c r="N78" i="38" a="1"/>
  <c r="N78" i="38" s="1"/>
  <c r="N53" i="38" a="1"/>
  <c r="N53" i="38" s="1"/>
  <c r="M37" i="38" a="1"/>
  <c r="M37" i="38" s="1"/>
  <c r="M55" i="38" a="1"/>
  <c r="M55" i="38" s="1"/>
  <c r="N25" i="38" a="1"/>
  <c r="N25" i="38" s="1"/>
  <c r="N101" i="38" a="1"/>
  <c r="N101" i="38" s="1"/>
  <c r="N72" i="38" a="1"/>
  <c r="N72" i="38" s="1"/>
  <c r="M47" i="38" a="1"/>
  <c r="M47" i="38" s="1"/>
  <c r="M20" i="38" a="1"/>
  <c r="M20" i="38" s="1"/>
  <c r="M84" i="38" a="1"/>
  <c r="M84" i="38" s="1"/>
  <c r="N60" i="38" a="1"/>
  <c r="N60" i="38" s="1"/>
  <c r="M120" i="38" a="1"/>
  <c r="M120" i="38" s="1"/>
  <c r="N71" i="38" a="1"/>
  <c r="N71" i="38" s="1"/>
  <c r="N49" i="38" a="1"/>
  <c r="N49" i="38" s="1"/>
  <c r="N68" i="38" a="1"/>
  <c r="N68" i="38" s="1"/>
  <c r="M40" i="38" a="1"/>
  <c r="M40" i="38" s="1"/>
  <c r="N109" i="38" a="1"/>
  <c r="N109" i="38" s="1"/>
  <c r="N105" i="38" a="1"/>
  <c r="N105" i="38" s="1"/>
  <c r="N102" i="38" a="1"/>
  <c r="N102" i="38" s="1"/>
  <c r="M87" i="38" a="1"/>
  <c r="M87" i="38" s="1"/>
  <c r="N65" i="38" a="1"/>
  <c r="N65" i="38" s="1"/>
  <c r="M79" i="38" a="1"/>
  <c r="M79" i="38" s="1"/>
  <c r="M43" i="38" a="1"/>
  <c r="M43" i="38" s="1"/>
  <c r="N61" i="38" a="1"/>
  <c r="N61" i="38" s="1"/>
  <c r="N24" i="38" a="1"/>
  <c r="N24" i="38" s="1"/>
  <c r="N35" i="38" a="1"/>
  <c r="N35" i="38" s="1"/>
  <c r="M97" i="38" a="1"/>
  <c r="M97" i="38" s="1"/>
  <c r="N43" i="38" a="1"/>
  <c r="N43" i="38" s="1"/>
  <c r="N41" i="38" a="1"/>
  <c r="N41" i="38" s="1"/>
  <c r="M63" i="38" a="1"/>
  <c r="M63" i="38" s="1"/>
  <c r="N98" i="38" a="1"/>
  <c r="N98" i="38" s="1"/>
  <c r="M46" i="38" a="1"/>
  <c r="M46" i="38" s="1"/>
  <c r="N55" i="38" a="1"/>
  <c r="N55" i="38" s="1"/>
  <c r="N82" i="38" a="1"/>
  <c r="N82" i="38" s="1"/>
  <c r="N79" i="38" a="1"/>
  <c r="N79" i="38" s="1"/>
  <c r="M85" i="38" a="1"/>
  <c r="M85" i="38" s="1"/>
  <c r="N40" i="38" a="1"/>
  <c r="N40" i="38" s="1"/>
  <c r="M117" i="38" a="1"/>
  <c r="M117" i="38" s="1"/>
  <c r="N94" i="38" a="1"/>
  <c r="N94" i="38" s="1"/>
  <c r="N115" i="38" a="1"/>
  <c r="N115" i="38" s="1"/>
  <c r="M83" i="38" a="1"/>
  <c r="M83" i="38" s="1"/>
  <c r="M98" i="38" a="1"/>
  <c r="M98" i="38" s="1"/>
  <c r="M41" i="38" a="1"/>
  <c r="M41" i="38" s="1"/>
  <c r="N48" i="38" a="1"/>
  <c r="N48" i="38" s="1"/>
  <c r="N56" i="38" a="1"/>
  <c r="N56" i="38" s="1"/>
  <c r="M60" i="38" a="1"/>
  <c r="M60" i="38" s="1"/>
  <c r="M58" i="38" a="1"/>
  <c r="M58" i="38" s="1"/>
  <c r="N122" i="38" a="1"/>
  <c r="N122" i="38" s="1"/>
  <c r="N96" i="38" a="1"/>
  <c r="N96" i="38" s="1"/>
  <c r="N39" i="38" a="1"/>
  <c r="N39" i="38" s="1"/>
  <c r="N62" i="38" a="1"/>
  <c r="N62" i="38" s="1"/>
  <c r="M123" i="38" a="1"/>
  <c r="M123" i="38" s="1"/>
  <c r="M59" i="38" a="1"/>
  <c r="M59" i="38" s="1"/>
  <c r="M65" i="38" a="1"/>
  <c r="M65" i="38" s="1"/>
  <c r="N91" i="38" a="1"/>
  <c r="N91" i="38" s="1"/>
  <c r="M102" i="38" a="1"/>
  <c r="M102" i="38" s="1"/>
  <c r="M107" i="38" a="1"/>
  <c r="M107" i="38" s="1"/>
  <c r="N75" i="38" a="1"/>
  <c r="N75" i="38" s="1"/>
  <c r="M121" i="38" a="1"/>
  <c r="M121" i="38" s="1"/>
  <c r="M116" i="38" a="1"/>
  <c r="M116" i="38" s="1"/>
  <c r="M105" i="38" a="1"/>
  <c r="M105" i="38" s="1"/>
  <c r="M69" i="38" a="1"/>
  <c r="M69" i="38" s="1"/>
  <c r="N76" i="38" a="1"/>
  <c r="N76" i="38" s="1"/>
  <c r="N38" i="38" a="1"/>
  <c r="N38" i="38" s="1"/>
  <c r="N30" i="38" a="1"/>
  <c r="N30" i="38" s="1"/>
  <c r="M33" i="38" a="1"/>
  <c r="M33" i="38" s="1"/>
  <c r="N22" i="38" a="1"/>
  <c r="N22" i="38" s="1"/>
  <c r="N34" i="38" a="1"/>
  <c r="N34" i="38" s="1"/>
  <c r="M108" i="38" a="1"/>
  <c r="M108" i="38" s="1"/>
  <c r="M81" i="38" a="1"/>
  <c r="M81" i="38" s="1"/>
  <c r="M75" i="38" a="1"/>
  <c r="M75" i="38" s="1"/>
  <c r="M35" i="38" a="1"/>
  <c r="M35" i="38" s="1"/>
  <c r="M118" i="38" a="1"/>
  <c r="M118" i="38" s="1"/>
  <c r="M76" i="38" a="1"/>
  <c r="M76" i="38" s="1"/>
  <c r="M99" i="38" a="1"/>
  <c r="M99" i="38" s="1"/>
  <c r="N97" i="38" a="1"/>
  <c r="N97" i="38" s="1"/>
  <c r="N107" i="38" a="1"/>
  <c r="N107" i="38" s="1"/>
  <c r="N100" i="38" a="1"/>
  <c r="N100" i="38" s="1"/>
  <c r="M56" i="38" a="1"/>
  <c r="M56" i="38" s="1"/>
  <c r="M39" i="38" a="1"/>
  <c r="M39" i="38" s="1"/>
  <c r="N81" i="38" a="1"/>
  <c r="N81" i="38" s="1"/>
  <c r="N63" i="38" a="1"/>
  <c r="N63" i="38" s="1"/>
  <c r="M72" i="38" a="1"/>
  <c r="M72" i="38" s="1"/>
  <c r="N28" i="38" a="1"/>
  <c r="N28" i="38" s="1"/>
  <c r="N26" i="38" a="1"/>
  <c r="N26" i="38" s="1"/>
  <c r="N18" i="38" a="1"/>
  <c r="N18" i="38" s="1"/>
  <c r="N16" i="38" a="1"/>
  <c r="N16" i="38" s="1"/>
  <c r="M28" i="38" a="1"/>
  <c r="M28" i="38" s="1"/>
  <c r="N47" i="38" a="1"/>
  <c r="N47" i="38" s="1"/>
  <c r="N87" i="38" a="1"/>
  <c r="N87" i="38" s="1"/>
  <c r="M80" i="38" a="1"/>
  <c r="M80" i="38" s="1"/>
  <c r="M57" i="38" a="1"/>
  <c r="M57" i="38" s="1"/>
  <c r="M17" i="38" a="1"/>
  <c r="M17" i="38" s="1"/>
  <c r="M103" i="38" a="1"/>
  <c r="M103" i="38" s="1"/>
  <c r="M125" i="38" a="1"/>
  <c r="M125" i="38" s="1"/>
  <c r="M94" i="38" a="1"/>
  <c r="M94" i="38" s="1"/>
  <c r="M110" i="38" a="1"/>
  <c r="M110" i="38" s="1"/>
  <c r="N108" i="38" a="1"/>
  <c r="N108" i="38" s="1"/>
  <c r="N90" i="38" a="1"/>
  <c r="N90" i="38" s="1"/>
  <c r="M62" i="38" a="1"/>
  <c r="M62" i="38" s="1"/>
  <c r="N110" i="46" a="1"/>
  <c r="N110" i="46" s="1"/>
  <c r="N106" i="46" a="1"/>
  <c r="N106" i="46" s="1"/>
  <c r="M82" i="46" a="1"/>
  <c r="M82" i="46" s="1"/>
  <c r="N79" i="46" a="1"/>
  <c r="N79" i="46" s="1"/>
  <c r="M76" i="46" a="1"/>
  <c r="M76" i="46" s="1"/>
  <c r="M80" i="46" a="1"/>
  <c r="M80" i="46" s="1"/>
  <c r="N62" i="46" a="1"/>
  <c r="N62" i="46" s="1"/>
  <c r="N34" i="46" a="1"/>
  <c r="N34" i="46" s="1"/>
  <c r="N31" i="46" a="1"/>
  <c r="N31" i="46" s="1"/>
  <c r="M28" i="46" a="1"/>
  <c r="M28" i="46" s="1"/>
  <c r="N64" i="46" a="1"/>
  <c r="N64" i="46" s="1"/>
  <c r="N98" i="46" a="1"/>
  <c r="N98" i="46" s="1"/>
  <c r="M20" i="46" a="1"/>
  <c r="M20" i="46" s="1"/>
  <c r="N74" i="46" a="1"/>
  <c r="N74" i="46" s="1"/>
  <c r="N21" i="46" a="1"/>
  <c r="N21" i="46" s="1"/>
  <c r="N19" i="46" a="1"/>
  <c r="N19" i="46" s="1"/>
  <c r="M88" i="46" a="1"/>
  <c r="M88" i="46" s="1"/>
  <c r="M24" i="46" a="1"/>
  <c r="M24" i="46" s="1"/>
  <c r="M53" i="46" a="1"/>
  <c r="M53" i="46" s="1"/>
  <c r="M98" i="46" a="1"/>
  <c r="M98" i="46" s="1"/>
  <c r="N56" i="46" a="1"/>
  <c r="N56" i="46" s="1"/>
  <c r="N93" i="46" a="1"/>
  <c r="N93" i="46" s="1"/>
  <c r="N17" i="46" a="1"/>
  <c r="N17" i="46" s="1"/>
  <c r="M44" i="46" a="1"/>
  <c r="M44" i="46" s="1"/>
  <c r="N121" i="46" a="1"/>
  <c r="N121" i="46" s="1"/>
  <c r="M27" i="46" a="1"/>
  <c r="M27" i="46" s="1"/>
  <c r="N86" i="46" a="1"/>
  <c r="N86" i="46" s="1"/>
  <c r="N122" i="46" a="1"/>
  <c r="N122" i="46" s="1"/>
  <c r="N109" i="46" a="1"/>
  <c r="N109" i="46" s="1"/>
  <c r="M106" i="46" a="1"/>
  <c r="M106" i="46" s="1"/>
  <c r="N69" i="46" a="1"/>
  <c r="N69" i="46" s="1"/>
  <c r="M74" i="46" a="1"/>
  <c r="M74" i="46" s="1"/>
  <c r="M64" i="46" a="1"/>
  <c r="M64" i="46" s="1"/>
  <c r="N73" i="46" a="1"/>
  <c r="N73" i="46" s="1"/>
  <c r="N55" i="46" a="1"/>
  <c r="N55" i="46" s="1"/>
  <c r="M30" i="46" a="1"/>
  <c r="M30" i="46" s="1"/>
  <c r="N30" i="46" a="1"/>
  <c r="N30" i="46" s="1"/>
  <c r="N16" i="46" a="1"/>
  <c r="N16" i="46" s="1"/>
  <c r="M70" i="46" a="1"/>
  <c r="M70" i="46" s="1"/>
  <c r="M105" i="46" a="1"/>
  <c r="M105" i="46" s="1"/>
  <c r="N28" i="46" a="1"/>
  <c r="N28" i="46" s="1"/>
  <c r="M91" i="46" a="1"/>
  <c r="M91" i="46" s="1"/>
  <c r="M29" i="46" a="1"/>
  <c r="M29" i="46" s="1"/>
  <c r="N68" i="46" a="1"/>
  <c r="N68" i="46" s="1"/>
  <c r="N92" i="46" a="1"/>
  <c r="N92" i="46" s="1"/>
  <c r="N45" i="46" a="1"/>
  <c r="N45" i="46" s="1"/>
  <c r="N67" i="46" a="1"/>
  <c r="N67" i="46" s="1"/>
  <c r="M119" i="46" a="1"/>
  <c r="M119" i="46" s="1"/>
  <c r="M25" i="46" a="1"/>
  <c r="M25" i="46" s="1"/>
  <c r="N100" i="46" a="1"/>
  <c r="N100" i="46" s="1"/>
  <c r="M47" i="46" a="1"/>
  <c r="M47" i="46" s="1"/>
  <c r="M56" i="46" a="1"/>
  <c r="M56" i="46" s="1"/>
  <c r="M17" i="46" a="1"/>
  <c r="M17" i="46" s="1"/>
  <c r="M38" i="46" a="1"/>
  <c r="M38" i="46" s="1"/>
  <c r="M79" i="46" a="1"/>
  <c r="M79" i="46" s="1"/>
  <c r="N118" i="46" a="1"/>
  <c r="N118" i="46" s="1"/>
  <c r="N107" i="46" a="1"/>
  <c r="N107" i="46" s="1"/>
  <c r="N105" i="46" a="1"/>
  <c r="N105" i="46" s="1"/>
  <c r="N99" i="46" a="1"/>
  <c r="N99" i="46" s="1"/>
  <c r="M93" i="46" a="1"/>
  <c r="M93" i="46" s="1"/>
  <c r="N66" i="46" a="1"/>
  <c r="N66" i="46" s="1"/>
  <c r="M65" i="46" a="1"/>
  <c r="M65" i="46" s="1"/>
  <c r="N51" i="46" a="1"/>
  <c r="N51" i="46" s="1"/>
  <c r="N22" i="46" a="1"/>
  <c r="N22" i="46" s="1"/>
  <c r="M41" i="46" a="1"/>
  <c r="M41" i="46" s="1"/>
  <c r="M31" i="46" a="1"/>
  <c r="M31" i="46" s="1"/>
  <c r="M60" i="46" a="1"/>
  <c r="M60" i="46" s="1"/>
  <c r="N116" i="46" a="1"/>
  <c r="N116" i="46" s="1"/>
  <c r="M68" i="46" a="1"/>
  <c r="M68" i="46" s="1"/>
  <c r="M77" i="46" a="1"/>
  <c r="M77" i="46" s="1"/>
  <c r="N29" i="46" a="1"/>
  <c r="N29" i="46" s="1"/>
  <c r="N36" i="46" a="1"/>
  <c r="N36" i="46" s="1"/>
  <c r="M99" i="46" a="1"/>
  <c r="M99" i="46" s="1"/>
  <c r="M19" i="46" a="1"/>
  <c r="M19" i="46" s="1"/>
  <c r="M40" i="46" a="1"/>
  <c r="M40" i="46" s="1"/>
  <c r="N124" i="46" a="1"/>
  <c r="N124" i="46" s="1"/>
  <c r="N40" i="46" a="1"/>
  <c r="N40" i="46" s="1"/>
  <c r="M123" i="46" a="1"/>
  <c r="M123" i="46" s="1"/>
  <c r="M39" i="46" a="1"/>
  <c r="M39" i="46" s="1"/>
  <c r="M69" i="46" a="1"/>
  <c r="M69" i="46" s="1"/>
  <c r="M22" i="46" a="1"/>
  <c r="M22" i="46" s="1"/>
  <c r="M72" i="46" a="1"/>
  <c r="M72" i="46" s="1"/>
  <c r="M85" i="46" a="1"/>
  <c r="M85" i="46" s="1"/>
  <c r="N123" i="46" a="1"/>
  <c r="N123" i="46" s="1"/>
  <c r="N89" i="46" a="1"/>
  <c r="N89" i="46" s="1"/>
  <c r="N103" i="46" a="1"/>
  <c r="N103" i="46" s="1"/>
  <c r="N77" i="46" a="1"/>
  <c r="N77" i="46" s="1"/>
  <c r="M109" i="46" a="1"/>
  <c r="M109" i="46" s="1"/>
  <c r="M58" i="46" a="1"/>
  <c r="M58" i="46" s="1"/>
  <c r="N50" i="46" a="1"/>
  <c r="N50" i="46" s="1"/>
  <c r="N43" i="46" a="1"/>
  <c r="N43" i="46" s="1"/>
  <c r="N24" i="46" a="1"/>
  <c r="N24" i="46" s="1"/>
  <c r="M33" i="46" a="1"/>
  <c r="M33" i="46" s="1"/>
  <c r="M35" i="46" a="1"/>
  <c r="M35" i="46" s="1"/>
  <c r="N87" i="46" a="1"/>
  <c r="N87" i="46" s="1"/>
  <c r="M110" i="46" a="1"/>
  <c r="M110" i="46" s="1"/>
  <c r="M46" i="46" a="1"/>
  <c r="M46" i="46" s="1"/>
  <c r="N112" i="46" a="1"/>
  <c r="N112" i="46" s="1"/>
  <c r="M67" i="46" a="1"/>
  <c r="M67" i="46" s="1"/>
  <c r="M73" i="46" a="1"/>
  <c r="M73" i="46" s="1"/>
  <c r="N96" i="46" a="1"/>
  <c r="N96" i="46" s="1"/>
  <c r="M26" i="46" a="1"/>
  <c r="M26" i="46" s="1"/>
  <c r="M63" i="46" a="1"/>
  <c r="M63" i="46" s="1"/>
  <c r="M117" i="46" a="1"/>
  <c r="M117" i="46" s="1"/>
  <c r="N48" i="46" a="1"/>
  <c r="N48" i="46" s="1"/>
  <c r="M121" i="46" a="1"/>
  <c r="M121" i="46" s="1"/>
  <c r="N58" i="46" a="1"/>
  <c r="N58" i="46" s="1"/>
  <c r="N97" i="46" a="1"/>
  <c r="N97" i="46" s="1"/>
  <c r="M34" i="46" a="1"/>
  <c r="M34" i="46" s="1"/>
  <c r="M48" i="46" a="1"/>
  <c r="M48" i="46" s="1"/>
  <c r="N108" i="46" a="1"/>
  <c r="N108" i="46" s="1"/>
  <c r="N119" i="46" a="1"/>
  <c r="N119" i="46" s="1"/>
  <c r="M94" i="46" a="1"/>
  <c r="M94" i="46" s="1"/>
  <c r="M90" i="46" a="1"/>
  <c r="M90" i="46" s="1"/>
  <c r="N71" i="46" a="1"/>
  <c r="N71" i="46" s="1"/>
  <c r="N88" i="46" a="1"/>
  <c r="N88" i="46" s="1"/>
  <c r="M86" i="46" a="1"/>
  <c r="M86" i="46" s="1"/>
  <c r="M87" i="46" a="1"/>
  <c r="M87" i="46" s="1"/>
  <c r="N39" i="46" a="1"/>
  <c r="N39" i="46" s="1"/>
  <c r="N20" i="46" a="1"/>
  <c r="N20" i="46" s="1"/>
  <c r="N27" i="46" a="1"/>
  <c r="N27" i="46" s="1"/>
  <c r="N41" i="46" a="1"/>
  <c r="N41" i="46" s="1"/>
  <c r="M81" i="46" a="1"/>
  <c r="M81" i="46" s="1"/>
  <c r="M116" i="46" a="1"/>
  <c r="M116" i="46" s="1"/>
  <c r="M36" i="46" a="1"/>
  <c r="M36" i="46" s="1"/>
  <c r="N117" i="46" a="1"/>
  <c r="N117" i="46" s="1"/>
  <c r="M103" i="46" a="1"/>
  <c r="M103" i="46" s="1"/>
  <c r="M52" i="46" a="1"/>
  <c r="M52" i="46" s="1"/>
  <c r="M100" i="46" a="1"/>
  <c r="M100" i="46" s="1"/>
  <c r="N44" i="46" a="1"/>
  <c r="N44" i="46" s="1"/>
  <c r="M97" i="46" a="1"/>
  <c r="M97" i="46" s="1"/>
  <c r="M112" i="46" a="1"/>
  <c r="M112" i="46" s="1"/>
  <c r="M57" i="46" a="1"/>
  <c r="M57" i="46" s="1"/>
  <c r="M120" i="46" a="1"/>
  <c r="M120" i="46" s="1"/>
  <c r="M54" i="46" a="1"/>
  <c r="M54" i="46" s="1"/>
  <c r="M104" i="46" a="1"/>
  <c r="M104" i="46" s="1"/>
  <c r="N57" i="46" a="1"/>
  <c r="N57" i="46" s="1"/>
  <c r="M59" i="46" a="1"/>
  <c r="M59" i="46" s="1"/>
  <c r="M122" i="46" a="1"/>
  <c r="M122" i="46" s="1"/>
  <c r="N115" i="46" a="1"/>
  <c r="N115" i="46" s="1"/>
  <c r="M108" i="46" a="1"/>
  <c r="M108" i="46" s="1"/>
  <c r="M102" i="46" a="1"/>
  <c r="M102" i="46" s="1"/>
  <c r="N63" i="46" a="1"/>
  <c r="N63" i="46" s="1"/>
  <c r="N81" i="46" a="1"/>
  <c r="N81" i="46" s="1"/>
  <c r="M83" i="46" a="1"/>
  <c r="M83" i="46" s="1"/>
  <c r="N85" i="46" a="1"/>
  <c r="N85" i="46" s="1"/>
  <c r="N35" i="46" a="1"/>
  <c r="N35" i="46" s="1"/>
  <c r="N46" i="46" a="1"/>
  <c r="N46" i="46" s="1"/>
  <c r="N18" i="46" a="1"/>
  <c r="N18" i="46" s="1"/>
  <c r="N32" i="46" a="1"/>
  <c r="N32" i="46" s="1"/>
  <c r="N90" i="46" a="1"/>
  <c r="N90" i="46" s="1"/>
  <c r="M124" i="46" a="1"/>
  <c r="M124" i="46" s="1"/>
  <c r="M61" i="46" a="1"/>
  <c r="M61" i="46" s="1"/>
  <c r="N125" i="46" a="1"/>
  <c r="N125" i="46" s="1"/>
  <c r="N101" i="46" a="1"/>
  <c r="N101" i="46" s="1"/>
  <c r="N61" i="46" a="1"/>
  <c r="N61" i="46" s="1"/>
  <c r="M113" i="46" a="1"/>
  <c r="M113" i="46" s="1"/>
  <c r="M50" i="46" a="1"/>
  <c r="M50" i="46" s="1"/>
  <c r="M92" i="46" a="1"/>
  <c r="M92" i="46" s="1"/>
  <c r="M23" i="46" a="1"/>
  <c r="M23" i="46" s="1"/>
  <c r="M71" i="46" a="1"/>
  <c r="M71" i="46" s="1"/>
  <c r="N26" i="46" a="1"/>
  <c r="N26" i="46" s="1"/>
  <c r="M62" i="46" a="1"/>
  <c r="M62" i="46" s="1"/>
  <c r="M118" i="46" a="1"/>
  <c r="M118" i="46" s="1"/>
  <c r="N23" i="46" a="1"/>
  <c r="N23" i="46" s="1"/>
  <c r="N78" i="46" a="1"/>
  <c r="N78" i="46" s="1"/>
  <c r="N113" i="46" a="1"/>
  <c r="N113" i="46" s="1"/>
  <c r="N111" i="46" a="1"/>
  <c r="N111" i="46" s="1"/>
  <c r="M107" i="46" a="1"/>
  <c r="M107" i="46" s="1"/>
  <c r="N95" i="46" a="1"/>
  <c r="N95" i="46" s="1"/>
  <c r="M84" i="46" a="1"/>
  <c r="M84" i="46" s="1"/>
  <c r="M78" i="46" a="1"/>
  <c r="M78" i="46" s="1"/>
  <c r="N65" i="46" a="1"/>
  <c r="N65" i="46" s="1"/>
  <c r="N82" i="46" a="1"/>
  <c r="N82" i="46" s="1"/>
  <c r="N38" i="46" a="1"/>
  <c r="N38" i="46" s="1"/>
  <c r="N42" i="46" a="1"/>
  <c r="N42" i="46" s="1"/>
  <c r="M21" i="46" a="1"/>
  <c r="M21" i="46" s="1"/>
  <c r="M42" i="46" a="1"/>
  <c r="M42" i="46" s="1"/>
  <c r="M89" i="46" a="1"/>
  <c r="M89" i="46" s="1"/>
  <c r="N25" i="46" a="1"/>
  <c r="N25" i="46" s="1"/>
  <c r="N83" i="46" a="1"/>
  <c r="N83" i="46" s="1"/>
  <c r="N15" i="46" a="1"/>
  <c r="N15" i="46" s="1"/>
  <c r="M15" i="46" a="1"/>
  <c r="M15" i="46" s="1"/>
  <c r="N76" i="46" a="1"/>
  <c r="N76" i="46" s="1"/>
  <c r="N60" i="46" a="1"/>
  <c r="N60" i="46" s="1"/>
  <c r="M66" i="46" a="1"/>
  <c r="M66" i="46" s="1"/>
  <c r="M96" i="46" a="1"/>
  <c r="M96" i="46" s="1"/>
  <c r="M43" i="46" a="1"/>
  <c r="M43" i="46" s="1"/>
  <c r="N104" i="46" a="1"/>
  <c r="N104" i="46" s="1"/>
  <c r="M18" i="46" a="1"/>
  <c r="M18" i="46" s="1"/>
  <c r="N70" i="46" a="1"/>
  <c r="N70" i="46" s="1"/>
  <c r="M125" i="46" a="1"/>
  <c r="M125" i="46" s="1"/>
  <c r="M16" i="46" a="1"/>
  <c r="M16" i="46" s="1"/>
  <c r="N91" i="46" a="1"/>
  <c r="N91" i="46" s="1"/>
  <c r="N47" i="46" a="1"/>
  <c r="N47" i="46" s="1"/>
  <c r="N72" i="46" a="1"/>
  <c r="N72" i="46" s="1"/>
  <c r="N59" i="46" a="1"/>
  <c r="N59" i="46" s="1"/>
  <c r="N114" i="46" a="1"/>
  <c r="N114" i="46" s="1"/>
  <c r="M45" i="46" a="1"/>
  <c r="M45" i="46" s="1"/>
  <c r="M49" i="46" a="1"/>
  <c r="M49" i="46" s="1"/>
  <c r="M75" i="46" a="1"/>
  <c r="M75" i="46" s="1"/>
  <c r="N94" i="46" a="1"/>
  <c r="N94" i="46" s="1"/>
  <c r="M37" i="46" a="1"/>
  <c r="M37" i="46" s="1"/>
  <c r="M101" i="46" a="1"/>
  <c r="M101" i="46" s="1"/>
  <c r="N33" i="46" a="1"/>
  <c r="N33" i="46" s="1"/>
  <c r="N102" i="46" a="1"/>
  <c r="N102" i="46" s="1"/>
  <c r="M51" i="46" a="1"/>
  <c r="M51" i="46" s="1"/>
  <c r="N37" i="46" a="1"/>
  <c r="N37" i="46" s="1"/>
  <c r="M32" i="46" a="1"/>
  <c r="M32" i="46" s="1"/>
  <c r="N84" i="46" a="1"/>
  <c r="N84" i="46" s="1"/>
  <c r="N49" i="46" a="1"/>
  <c r="N49" i="46" s="1"/>
  <c r="N53" i="46" a="1"/>
  <c r="N53" i="46" s="1"/>
  <c r="M95" i="46" a="1"/>
  <c r="M95" i="46" s="1"/>
  <c r="N80" i="46" a="1"/>
  <c r="N80" i="46" s="1"/>
  <c r="M111" i="46" a="1"/>
  <c r="M111" i="46" s="1"/>
  <c r="M114" i="46" a="1"/>
  <c r="M114" i="46" s="1"/>
  <c r="N75" i="46" a="1"/>
  <c r="N75" i="46" s="1"/>
  <c r="M55" i="46" a="1"/>
  <c r="M55" i="46" s="1"/>
  <c r="N52" i="46" a="1"/>
  <c r="N52" i="46" s="1"/>
  <c r="N54" i="46" a="1"/>
  <c r="N54" i="46" s="1"/>
  <c r="N120" i="46" a="1"/>
  <c r="N120" i="46" s="1"/>
  <c r="M115" i="46" a="1"/>
  <c r="M115" i="46" s="1"/>
  <c r="AU119" i="40"/>
  <c r="AT109" i="40"/>
  <c r="AU118" i="40"/>
  <c r="AT101" i="40"/>
  <c r="AT89" i="40"/>
  <c r="AT60" i="40"/>
  <c r="AU72" i="40"/>
  <c r="AT55" i="40"/>
  <c r="AU50" i="40"/>
  <c r="AU44" i="40"/>
  <c r="AT33" i="40"/>
  <c r="AU18" i="40"/>
  <c r="AU20" i="40"/>
  <c r="AU29" i="40"/>
  <c r="AT100" i="40"/>
  <c r="AU112" i="40"/>
  <c r="AU71" i="40"/>
  <c r="AT17" i="40"/>
  <c r="AU104" i="40"/>
  <c r="AT107" i="40"/>
  <c r="AU80" i="40"/>
  <c r="AU88" i="40"/>
  <c r="AU23" i="40"/>
  <c r="AU51" i="40"/>
  <c r="AT20" i="40"/>
  <c r="AT111" i="40"/>
  <c r="AU41" i="40"/>
  <c r="AT45" i="40"/>
  <c r="AU115" i="40"/>
  <c r="AT105" i="40"/>
  <c r="AU110" i="40"/>
  <c r="AU97" i="40"/>
  <c r="AT85" i="40"/>
  <c r="AT83" i="40"/>
  <c r="AU68" i="40"/>
  <c r="AT51" i="40"/>
  <c r="AU61" i="40"/>
  <c r="AT43" i="40"/>
  <c r="AT28" i="40"/>
  <c r="AU31" i="40"/>
  <c r="AU16" i="40"/>
  <c r="AT24" i="40"/>
  <c r="AT86" i="40"/>
  <c r="AT124" i="40"/>
  <c r="AU67" i="40"/>
  <c r="AU37" i="40"/>
  <c r="AT96" i="40"/>
  <c r="AU15" i="40"/>
  <c r="AU83" i="40"/>
  <c r="AU84" i="40"/>
  <c r="AU25" i="40"/>
  <c r="AT64" i="40"/>
  <c r="AT115" i="40"/>
  <c r="AU46" i="40"/>
  <c r="AT30" i="40"/>
  <c r="AT122" i="40"/>
  <c r="AU111" i="40"/>
  <c r="AU114" i="40"/>
  <c r="AU101" i="40"/>
  <c r="AU90" i="40"/>
  <c r="AT81" i="40"/>
  <c r="AU75" i="40"/>
  <c r="AU91" i="40"/>
  <c r="AT47" i="40"/>
  <c r="AU58" i="40"/>
  <c r="AT39" i="40"/>
  <c r="AT16" i="40"/>
  <c r="AT31" i="40"/>
  <c r="AT19" i="40"/>
  <c r="AU57" i="40"/>
  <c r="AU86" i="40"/>
  <c r="AT18" i="40"/>
  <c r="AT73" i="40"/>
  <c r="AT32" i="40"/>
  <c r="AT99" i="40"/>
  <c r="AT29" i="40"/>
  <c r="AT98" i="40"/>
  <c r="AU79" i="40"/>
  <c r="AU53" i="40"/>
  <c r="AU74" i="40"/>
  <c r="AT112" i="40"/>
  <c r="AU116" i="40"/>
  <c r="AT50" i="40"/>
  <c r="AT118" i="40"/>
  <c r="AU107" i="40"/>
  <c r="AU122" i="40"/>
  <c r="AT88" i="40"/>
  <c r="AU89" i="40"/>
  <c r="AT77" i="40"/>
  <c r="AU73" i="40"/>
  <c r="AU64" i="40"/>
  <c r="AT56" i="40"/>
  <c r="AU54" i="40"/>
  <c r="AT35" i="40"/>
  <c r="AU39" i="40"/>
  <c r="AU42" i="40"/>
  <c r="AT23" i="40"/>
  <c r="AU59" i="40"/>
  <c r="AU82" i="40"/>
  <c r="AT25" i="40"/>
  <c r="AU87" i="40"/>
  <c r="AT61" i="40"/>
  <c r="AT92" i="40"/>
  <c r="AU19" i="40"/>
  <c r="AT108" i="40"/>
  <c r="AT90" i="40"/>
  <c r="AU36" i="40"/>
  <c r="AU78" i="40"/>
  <c r="AU125" i="40"/>
  <c r="AU17" i="40"/>
  <c r="AU102" i="40"/>
  <c r="AT114" i="40"/>
  <c r="AT125" i="40"/>
  <c r="AU103" i="40"/>
  <c r="AT84" i="40"/>
  <c r="AU85" i="40"/>
  <c r="AT93" i="40"/>
  <c r="AU69" i="40"/>
  <c r="AT67" i="40"/>
  <c r="AT52" i="40"/>
  <c r="AU48" i="40"/>
  <c r="AT40" i="40"/>
  <c r="AU35" i="40"/>
  <c r="AU38" i="40"/>
  <c r="AU49" i="40"/>
  <c r="AT70" i="40"/>
  <c r="AT94" i="40"/>
  <c r="AT38" i="40"/>
  <c r="AT104" i="40"/>
  <c r="AT74" i="40"/>
  <c r="AT123" i="40"/>
  <c r="AT46" i="40"/>
  <c r="AU124" i="40"/>
  <c r="AT103" i="40"/>
  <c r="AT42" i="40"/>
  <c r="AT82" i="40"/>
  <c r="AT26" i="40"/>
  <c r="AU70" i="40"/>
  <c r="AU100" i="40"/>
  <c r="AT110" i="40"/>
  <c r="AT121" i="40"/>
  <c r="AU99" i="40"/>
  <c r="AT80" i="40"/>
  <c r="AU81" i="40"/>
  <c r="AT91" i="40"/>
  <c r="AU65" i="40"/>
  <c r="AT58" i="40"/>
  <c r="AT48" i="40"/>
  <c r="AU43" i="40"/>
  <c r="AT36" i="40"/>
  <c r="AU30" i="40"/>
  <c r="AU34" i="40"/>
  <c r="AT27" i="40"/>
  <c r="AT62" i="40"/>
  <c r="AU94" i="40"/>
  <c r="AU47" i="40"/>
  <c r="AU121" i="40"/>
  <c r="AT75" i="40"/>
  <c r="AU113" i="40"/>
  <c r="AT34" i="40"/>
  <c r="AT21" i="40"/>
  <c r="AU98" i="40"/>
  <c r="AU32" i="40"/>
  <c r="AU109" i="40"/>
  <c r="AT69" i="40"/>
  <c r="AU60" i="40"/>
  <c r="AT22" i="40"/>
  <c r="AT106" i="40"/>
  <c r="AT117" i="40"/>
  <c r="AU95" i="40"/>
  <c r="AT76" i="40"/>
  <c r="AT97" i="40"/>
  <c r="AT79" i="40"/>
  <c r="AT87" i="40"/>
  <c r="AT63" i="40"/>
  <c r="AT44" i="40"/>
  <c r="AU56" i="40"/>
  <c r="AT41" i="40"/>
  <c r="AU26" i="40"/>
  <c r="AU28" i="40"/>
  <c r="AT15" i="40"/>
  <c r="AT66" i="40"/>
  <c r="AT102" i="40"/>
  <c r="AT54" i="40"/>
  <c r="AU21" i="40"/>
  <c r="AU62" i="40"/>
  <c r="AU120" i="40"/>
  <c r="AU40" i="40"/>
  <c r="AU33" i="40"/>
  <c r="AU105" i="40"/>
  <c r="AU63" i="40"/>
  <c r="AU108" i="40"/>
  <c r="AT65" i="40"/>
  <c r="AU96" i="40"/>
  <c r="AT78" i="40"/>
  <c r="AU123" i="40"/>
  <c r="AT113" i="40"/>
  <c r="AT95" i="40"/>
  <c r="AU106" i="40"/>
  <c r="AU93" i="40"/>
  <c r="AU77" i="40"/>
  <c r="AU76" i="40"/>
  <c r="AT59" i="40"/>
  <c r="AT71" i="40"/>
  <c r="AU52" i="40"/>
  <c r="AT37" i="40"/>
  <c r="AU22" i="40"/>
  <c r="AU24" i="40"/>
  <c r="AT14" i="40"/>
  <c r="AU66" i="40"/>
  <c r="AU117" i="40"/>
  <c r="AT53" i="40"/>
  <c r="AU27" i="40"/>
  <c r="AT68" i="40"/>
  <c r="AT119" i="40"/>
  <c r="AU55" i="40"/>
  <c r="AT49" i="40"/>
  <c r="AU45" i="40"/>
  <c r="AT57" i="40"/>
  <c r="AT116" i="40"/>
  <c r="AT120" i="40"/>
  <c r="AU92" i="40"/>
  <c r="AT72" i="40"/>
  <c r="AU14" i="40"/>
  <c r="BX113" i="42"/>
  <c r="BY99" i="42"/>
  <c r="BX86" i="42"/>
  <c r="BY95" i="42"/>
  <c r="BX78" i="42"/>
  <c r="BX92" i="42"/>
  <c r="BY69" i="42"/>
  <c r="BX61" i="42"/>
  <c r="BY64" i="42"/>
  <c r="BX43" i="42"/>
  <c r="BY25" i="42"/>
  <c r="BX30" i="42"/>
  <c r="BX26" i="42"/>
  <c r="BX32" i="42"/>
  <c r="BX48" i="42"/>
  <c r="BY44" i="42"/>
  <c r="BX69" i="42"/>
  <c r="BX37" i="42"/>
  <c r="BX73" i="42"/>
  <c r="BY41" i="42"/>
  <c r="BY96" i="42"/>
  <c r="BX15" i="42"/>
  <c r="BX50" i="42"/>
  <c r="BY115" i="42"/>
  <c r="BY123" i="42"/>
  <c r="BX77" i="42"/>
  <c r="BY33" i="42"/>
  <c r="BX63" i="42"/>
  <c r="BX109" i="42"/>
  <c r="BX111" i="42"/>
  <c r="BX82" i="42"/>
  <c r="BY101" i="42"/>
  <c r="BX74" i="42"/>
  <c r="BX89" i="42"/>
  <c r="BY71" i="42"/>
  <c r="BX57" i="42"/>
  <c r="BY60" i="42"/>
  <c r="BX39" i="42"/>
  <c r="BY43" i="42"/>
  <c r="BY18" i="42"/>
  <c r="BX22" i="42"/>
  <c r="BX41" i="42"/>
  <c r="BY30" i="42"/>
  <c r="BX59" i="42"/>
  <c r="BX75" i="42"/>
  <c r="BY45" i="42"/>
  <c r="BY88" i="42"/>
  <c r="BY38" i="42"/>
  <c r="BX110" i="42"/>
  <c r="BX23" i="42"/>
  <c r="BY59" i="42"/>
  <c r="BX119" i="42"/>
  <c r="BY108" i="42"/>
  <c r="BX104" i="42"/>
  <c r="BY50" i="42"/>
  <c r="BY89" i="42"/>
  <c r="BX122" i="42"/>
  <c r="BY121" i="42"/>
  <c r="BX105" i="42"/>
  <c r="BX97" i="42"/>
  <c r="BX70" i="42"/>
  <c r="BX85" i="42"/>
  <c r="BX66" i="42"/>
  <c r="BX53" i="42"/>
  <c r="BY56" i="42"/>
  <c r="BX35" i="42"/>
  <c r="BX64" i="42"/>
  <c r="BX16" i="42"/>
  <c r="BX18" i="42"/>
  <c r="BY51" i="42"/>
  <c r="BY48" i="42"/>
  <c r="BX51" i="42"/>
  <c r="BY78" i="42"/>
  <c r="BY36" i="42"/>
  <c r="BX94" i="42"/>
  <c r="BY37" i="42"/>
  <c r="BY122" i="42"/>
  <c r="BY22" i="42"/>
  <c r="BY55" i="42"/>
  <c r="BY85" i="42"/>
  <c r="BX27" i="42"/>
  <c r="BX108" i="42"/>
  <c r="BX120" i="42"/>
  <c r="BY104" i="42"/>
  <c r="BX118" i="42"/>
  <c r="BY109" i="42"/>
  <c r="BX93" i="42"/>
  <c r="BX107" i="42"/>
  <c r="BY107" i="42"/>
  <c r="BY83" i="42"/>
  <c r="BY61" i="42"/>
  <c r="BX68" i="42"/>
  <c r="BX56" i="42"/>
  <c r="BY47" i="42"/>
  <c r="BY35" i="42"/>
  <c r="BY21" i="42"/>
  <c r="BY17" i="42"/>
  <c r="BX71" i="42"/>
  <c r="BX44" i="42"/>
  <c r="BX55" i="42"/>
  <c r="BY112" i="42"/>
  <c r="BX34" i="42"/>
  <c r="BX95" i="42"/>
  <c r="BY82" i="42"/>
  <c r="BY26" i="42"/>
  <c r="BX46" i="42"/>
  <c r="BY74" i="42"/>
  <c r="BX88" i="42"/>
  <c r="BY62" i="42"/>
  <c r="BY114" i="42"/>
  <c r="BY92" i="42"/>
  <c r="BY102" i="42"/>
  <c r="BX114" i="42"/>
  <c r="BY105" i="42"/>
  <c r="BY91" i="42"/>
  <c r="BX99" i="42"/>
  <c r="BX101" i="42"/>
  <c r="BY76" i="42"/>
  <c r="BY57" i="42"/>
  <c r="BY58" i="42"/>
  <c r="BX60" i="42"/>
  <c r="BX28" i="42"/>
  <c r="BY39" i="42"/>
  <c r="BY15" i="42"/>
  <c r="BX14" i="42"/>
  <c r="BY120" i="42"/>
  <c r="BY28" i="42"/>
  <c r="BX81" i="42"/>
  <c r="BX98" i="42"/>
  <c r="BY63" i="42"/>
  <c r="BY84" i="42"/>
  <c r="BX91" i="42"/>
  <c r="BX19" i="42"/>
  <c r="BX38" i="42"/>
  <c r="BX79" i="42"/>
  <c r="BY106" i="42"/>
  <c r="BY66" i="42"/>
  <c r="BX40" i="42"/>
  <c r="BY111" i="42"/>
  <c r="BX116" i="42"/>
  <c r="BX125" i="42"/>
  <c r="BY125" i="42"/>
  <c r="BX103" i="42"/>
  <c r="BY87" i="42"/>
  <c r="BX96" i="42"/>
  <c r="BY79" i="42"/>
  <c r="BY72" i="42"/>
  <c r="BY53" i="42"/>
  <c r="BY54" i="42"/>
  <c r="BY52" i="42"/>
  <c r="BX24" i="42"/>
  <c r="BY31" i="42"/>
  <c r="BY14" i="42"/>
  <c r="BY46" i="42"/>
  <c r="BX124" i="42"/>
  <c r="BX31" i="42"/>
  <c r="BY80" i="42"/>
  <c r="BX123" i="42"/>
  <c r="BX62" i="42"/>
  <c r="BY100" i="42"/>
  <c r="BX84" i="42"/>
  <c r="BY20" i="42"/>
  <c r="BX45" i="42"/>
  <c r="BY70" i="42"/>
  <c r="BX115" i="42"/>
  <c r="BY124" i="42"/>
  <c r="BX87" i="42"/>
  <c r="BY119" i="42"/>
  <c r="BX121" i="42"/>
  <c r="BY117" i="42"/>
  <c r="BY93" i="42"/>
  <c r="BY113" i="42"/>
  <c r="BY90" i="42"/>
  <c r="BY75" i="42"/>
  <c r="BY77" i="42"/>
  <c r="BX72" i="42"/>
  <c r="BX76" i="42"/>
  <c r="BX52" i="42"/>
  <c r="BX20" i="42"/>
  <c r="BY27" i="42"/>
  <c r="BY19" i="42"/>
  <c r="BY24" i="42"/>
  <c r="BX17" i="42"/>
  <c r="BX36" i="42"/>
  <c r="BX65" i="42"/>
  <c r="BY118" i="42"/>
  <c r="BX58" i="42"/>
  <c r="BY34" i="42"/>
  <c r="BY98" i="42"/>
  <c r="BY32" i="42"/>
  <c r="BX49" i="42"/>
  <c r="BX83" i="42"/>
  <c r="BX42" i="42"/>
  <c r="BX106" i="42"/>
  <c r="BY94" i="42"/>
  <c r="BY40" i="42"/>
  <c r="BX117" i="42"/>
  <c r="BY103" i="42"/>
  <c r="BX90" i="42"/>
  <c r="BY97" i="42"/>
  <c r="BY86" i="42"/>
  <c r="BX100" i="42"/>
  <c r="BY73" i="42"/>
  <c r="BY68" i="42"/>
  <c r="BY65" i="42"/>
  <c r="BX47" i="42"/>
  <c r="BY29" i="42"/>
  <c r="BY23" i="42"/>
  <c r="BY16" i="42"/>
  <c r="BY67" i="42"/>
  <c r="BX29" i="42"/>
  <c r="BX33" i="42"/>
  <c r="BX67" i="42"/>
  <c r="BX21" i="42"/>
  <c r="BY81" i="42"/>
  <c r="BX25" i="42"/>
  <c r="BY116" i="42"/>
  <c r="BX54" i="42"/>
  <c r="BY42" i="42"/>
  <c r="BX112" i="42"/>
  <c r="BX102" i="42"/>
  <c r="BX80" i="42"/>
  <c r="BY110" i="42"/>
  <c r="BY49" i="42"/>
  <c r="AT14" i="44"/>
  <c r="AU114" i="44"/>
  <c r="AT87" i="44"/>
  <c r="AU110" i="44"/>
  <c r="AU86" i="44"/>
  <c r="AT98" i="44"/>
  <c r="AU65" i="44"/>
  <c r="AT61" i="44"/>
  <c r="AT66" i="44"/>
  <c r="AU68" i="44"/>
  <c r="AT46" i="44"/>
  <c r="AT56" i="44"/>
  <c r="AT52" i="44"/>
  <c r="AU17" i="44"/>
  <c r="AU38" i="44"/>
  <c r="AU62" i="44"/>
  <c r="AT115" i="44"/>
  <c r="AT45" i="44"/>
  <c r="AU121" i="44"/>
  <c r="AU46" i="44"/>
  <c r="AU115" i="44"/>
  <c r="AT71" i="44"/>
  <c r="AT15" i="44"/>
  <c r="AT41" i="44"/>
  <c r="AU89" i="44"/>
  <c r="AT107" i="44"/>
  <c r="AU81" i="44"/>
  <c r="AT26" i="44"/>
  <c r="AU103" i="44"/>
  <c r="AU106" i="44"/>
  <c r="AT118" i="44"/>
  <c r="AT108" i="44"/>
  <c r="AT83" i="44"/>
  <c r="AT96" i="44"/>
  <c r="AU61" i="44"/>
  <c r="AT57" i="44"/>
  <c r="AT62" i="44"/>
  <c r="AU45" i="44"/>
  <c r="AT42" i="44"/>
  <c r="AT60" i="44"/>
  <c r="AU35" i="44"/>
  <c r="AT29" i="44"/>
  <c r="AT33" i="44"/>
  <c r="AU66" i="44"/>
  <c r="AU23" i="44"/>
  <c r="AT65" i="44"/>
  <c r="AU100" i="44"/>
  <c r="AU67" i="44"/>
  <c r="AT124" i="44"/>
  <c r="AT69" i="44"/>
  <c r="AU31" i="44"/>
  <c r="AU71" i="44"/>
  <c r="AU111" i="44"/>
  <c r="AU107" i="44"/>
  <c r="AU77" i="44"/>
  <c r="AT55" i="44"/>
  <c r="AT111" i="44"/>
  <c r="AU118" i="44"/>
  <c r="AT114" i="44"/>
  <c r="AT117" i="44"/>
  <c r="AT79" i="44"/>
  <c r="AT125" i="44"/>
  <c r="AU57" i="44"/>
  <c r="AT53" i="44"/>
  <c r="AT58" i="44"/>
  <c r="AU41" i="44"/>
  <c r="AU59" i="44"/>
  <c r="AU40" i="44"/>
  <c r="AT20" i="44"/>
  <c r="AU48" i="44"/>
  <c r="AT27" i="44"/>
  <c r="AU58" i="44"/>
  <c r="AU42" i="44"/>
  <c r="AU84" i="44"/>
  <c r="AU116" i="44"/>
  <c r="AU85" i="44"/>
  <c r="AU26" i="44"/>
  <c r="AT77" i="44"/>
  <c r="AT21" i="44"/>
  <c r="AU54" i="44"/>
  <c r="AU109" i="44"/>
  <c r="AT38" i="44"/>
  <c r="AT89" i="44"/>
  <c r="AT67" i="44"/>
  <c r="AT116" i="44"/>
  <c r="AU105" i="44"/>
  <c r="AT105" i="44"/>
  <c r="AU99" i="44"/>
  <c r="AT75" i="44"/>
  <c r="AT90" i="44"/>
  <c r="AU53" i="44"/>
  <c r="AU94" i="44"/>
  <c r="AT54" i="44"/>
  <c r="AT93" i="44"/>
  <c r="AU55" i="44"/>
  <c r="AT40" i="44"/>
  <c r="AT16" i="44"/>
  <c r="AT37" i="44"/>
  <c r="AU20" i="44"/>
  <c r="AU98" i="44"/>
  <c r="AU22" i="44"/>
  <c r="AU70" i="44"/>
  <c r="AT119" i="44"/>
  <c r="AT73" i="44"/>
  <c r="AU21" i="44"/>
  <c r="AT88" i="44"/>
  <c r="AT34" i="44"/>
  <c r="AU63" i="44"/>
  <c r="AU34" i="44"/>
  <c r="AT32" i="44"/>
  <c r="AT121" i="44"/>
  <c r="AU93" i="44"/>
  <c r="AU119" i="44"/>
  <c r="AT104" i="44"/>
  <c r="AU102" i="44"/>
  <c r="AU117" i="44"/>
  <c r="AT113" i="44"/>
  <c r="AU88" i="44"/>
  <c r="AU49" i="44"/>
  <c r="AU79" i="44"/>
  <c r="AT50" i="44"/>
  <c r="AT68" i="44"/>
  <c r="AU60" i="44"/>
  <c r="AU44" i="44"/>
  <c r="AU30" i="44"/>
  <c r="AT31" i="44"/>
  <c r="AU16" i="44"/>
  <c r="AU113" i="44"/>
  <c r="AU18" i="44"/>
  <c r="AU50" i="44"/>
  <c r="AT23" i="44"/>
  <c r="AU101" i="44"/>
  <c r="AT59" i="44"/>
  <c r="AU96" i="44"/>
  <c r="AT24" i="44"/>
  <c r="AU80" i="44"/>
  <c r="AU25" i="44"/>
  <c r="AT39" i="44"/>
  <c r="AU123" i="44"/>
  <c r="AT63" i="44"/>
  <c r="AT100" i="44"/>
  <c r="AT95" i="44"/>
  <c r="AT94" i="44"/>
  <c r="AT110" i="44"/>
  <c r="AU78" i="44"/>
  <c r="AT99" i="44"/>
  <c r="AT82" i="44"/>
  <c r="AU83" i="44"/>
  <c r="AU64" i="44"/>
  <c r="AU56" i="44"/>
  <c r="AU72" i="44"/>
  <c r="AT25" i="44"/>
  <c r="AU28" i="44"/>
  <c r="AU36" i="44"/>
  <c r="AT123" i="44"/>
  <c r="AT17" i="44"/>
  <c r="AT97" i="44"/>
  <c r="AT19" i="44"/>
  <c r="AU125" i="44"/>
  <c r="AU29" i="44"/>
  <c r="AU108" i="44"/>
  <c r="AT36" i="44"/>
  <c r="AT76" i="44"/>
  <c r="AU47" i="44"/>
  <c r="AT49" i="44"/>
  <c r="AU91" i="44"/>
  <c r="AT84" i="44"/>
  <c r="AU122" i="44"/>
  <c r="AU95" i="44"/>
  <c r="AT112" i="44"/>
  <c r="AU92" i="44"/>
  <c r="AT109" i="44"/>
  <c r="AU73" i="44"/>
  <c r="AT78" i="44"/>
  <c r="AU74" i="44"/>
  <c r="AT74" i="44"/>
  <c r="AT85" i="44"/>
  <c r="AU52" i="44"/>
  <c r="AU51" i="44"/>
  <c r="AT35" i="44"/>
  <c r="AT22" i="44"/>
  <c r="AU19" i="44"/>
  <c r="AT101" i="44"/>
  <c r="AU43" i="44"/>
  <c r="AU97" i="44"/>
  <c r="AU24" i="44"/>
  <c r="AT103" i="44"/>
  <c r="AU33" i="44"/>
  <c r="AU104" i="44"/>
  <c r="AT51" i="44"/>
  <c r="AU90" i="44"/>
  <c r="AT30" i="44"/>
  <c r="AU82" i="44"/>
  <c r="AT28" i="44"/>
  <c r="AT120" i="44"/>
  <c r="AT122" i="44"/>
  <c r="AT91" i="44"/>
  <c r="AT102" i="44"/>
  <c r="AU87" i="44"/>
  <c r="AT106" i="44"/>
  <c r="AU69" i="44"/>
  <c r="AU75" i="44"/>
  <c r="AT70" i="44"/>
  <c r="AT72" i="44"/>
  <c r="AT64" i="44"/>
  <c r="AT48" i="44"/>
  <c r="AT44" i="44"/>
  <c r="AU32" i="44"/>
  <c r="AT18" i="44"/>
  <c r="AU39" i="44"/>
  <c r="AU112" i="44"/>
  <c r="AT80" i="44"/>
  <c r="AT86" i="44"/>
  <c r="AU15" i="44"/>
  <c r="AU124" i="44"/>
  <c r="AT47" i="44"/>
  <c r="AU27" i="44"/>
  <c r="AT43" i="44"/>
  <c r="AU76" i="44"/>
  <c r="AT92" i="44"/>
  <c r="AT81" i="44"/>
  <c r="AU37" i="44"/>
  <c r="AU120" i="44"/>
  <c r="AU14" i="44"/>
  <c r="BJ14" i="46"/>
  <c r="BJ107" i="46"/>
  <c r="BI109" i="46"/>
  <c r="BI97" i="46"/>
  <c r="BI87" i="46"/>
  <c r="BI91" i="46"/>
  <c r="BI69" i="46"/>
  <c r="BI73" i="46"/>
  <c r="BJ46" i="46"/>
  <c r="BJ27" i="46"/>
  <c r="BI63" i="46"/>
  <c r="BJ30" i="46"/>
  <c r="BI24" i="46"/>
  <c r="BJ38" i="46"/>
  <c r="BI20" i="46"/>
  <c r="BJ18" i="46"/>
  <c r="BJ72" i="46"/>
  <c r="BJ112" i="46"/>
  <c r="BJ37" i="46"/>
  <c r="BI79" i="46"/>
  <c r="BI70" i="46"/>
  <c r="BJ122" i="46"/>
  <c r="BI31" i="46"/>
  <c r="BI74" i="46"/>
  <c r="BJ66" i="46"/>
  <c r="BI122" i="46"/>
  <c r="BJ81" i="46"/>
  <c r="BI124" i="46"/>
  <c r="BJ121" i="46"/>
  <c r="BJ94" i="46"/>
  <c r="BI108" i="46"/>
  <c r="BJ65" i="46"/>
  <c r="BI101" i="46"/>
  <c r="BJ64" i="46"/>
  <c r="BJ55" i="46"/>
  <c r="BI64" i="46"/>
  <c r="BI57" i="46"/>
  <c r="BJ26" i="46"/>
  <c r="BJ53" i="46"/>
  <c r="BJ34" i="46"/>
  <c r="BI16" i="46"/>
  <c r="BJ70" i="46"/>
  <c r="BI103" i="46"/>
  <c r="BI114" i="46"/>
  <c r="BI43" i="46"/>
  <c r="BJ91" i="46"/>
  <c r="BI72" i="46"/>
  <c r="BI115" i="46"/>
  <c r="BJ56" i="46"/>
  <c r="BJ93" i="46"/>
  <c r="BJ77" i="46"/>
  <c r="BJ17" i="46"/>
  <c r="BI76" i="46"/>
  <c r="BJ87" i="46"/>
  <c r="BJ108" i="46"/>
  <c r="BI121" i="46"/>
  <c r="BI96" i="46"/>
  <c r="BJ102" i="46"/>
  <c r="BJ92" i="46"/>
  <c r="BJ75" i="46"/>
  <c r="BJ47" i="46"/>
  <c r="BI52" i="46"/>
  <c r="BI33" i="46"/>
  <c r="BJ57" i="46"/>
  <c r="BI36" i="46"/>
  <c r="BI23" i="46"/>
  <c r="BJ33" i="46"/>
  <c r="BI98" i="46"/>
  <c r="BI68" i="46"/>
  <c r="BJ83" i="46"/>
  <c r="BI17" i="46"/>
  <c r="BI85" i="46"/>
  <c r="BJ84" i="46"/>
  <c r="BI62" i="46"/>
  <c r="BI104" i="46"/>
  <c r="BI110" i="46"/>
  <c r="BJ123" i="46"/>
  <c r="BI117" i="46"/>
  <c r="BJ90" i="46"/>
  <c r="BJ96" i="46"/>
  <c r="BJ85" i="46"/>
  <c r="BJ60" i="46"/>
  <c r="BJ43" i="46"/>
  <c r="BI48" i="46"/>
  <c r="BJ24" i="46"/>
  <c r="BI75" i="46"/>
  <c r="BI32" i="46"/>
  <c r="BI51" i="46"/>
  <c r="BI34" i="46"/>
  <c r="BI25" i="46"/>
  <c r="BI105" i="46"/>
  <c r="BJ103" i="46"/>
  <c r="BI38" i="46"/>
  <c r="BJ97" i="46"/>
  <c r="BJ79" i="46"/>
  <c r="BI54" i="46"/>
  <c r="BI66" i="46"/>
  <c r="BI125" i="46"/>
  <c r="BJ119" i="46"/>
  <c r="BI113" i="46"/>
  <c r="BI106" i="46"/>
  <c r="BI92" i="46"/>
  <c r="BJ71" i="46"/>
  <c r="BI82" i="46"/>
  <c r="BJ39" i="46"/>
  <c r="BJ67" i="46"/>
  <c r="BJ20" i="46"/>
  <c r="BJ45" i="46"/>
  <c r="BJ16" i="46"/>
  <c r="BI47" i="46"/>
  <c r="BI35" i="46"/>
  <c r="BJ22" i="46"/>
  <c r="BJ118" i="46"/>
  <c r="BJ89" i="46"/>
  <c r="BI59" i="46"/>
  <c r="BJ15" i="46"/>
  <c r="BI118" i="46"/>
  <c r="BJ62" i="46"/>
  <c r="BI88" i="46"/>
  <c r="BJ111" i="46"/>
  <c r="BJ113" i="46"/>
  <c r="BI95" i="46"/>
  <c r="BI86" i="46"/>
  <c r="BJ82" i="46"/>
  <c r="BJ59" i="46"/>
  <c r="BJ31" i="46"/>
  <c r="BI49" i="46"/>
  <c r="BI44" i="46"/>
  <c r="BJ63" i="46"/>
  <c r="BJ23" i="46"/>
  <c r="BJ40" i="46"/>
  <c r="BI100" i="46"/>
  <c r="BI78" i="46"/>
  <c r="BJ41" i="46"/>
  <c r="BI102" i="46"/>
  <c r="BJ36" i="46"/>
  <c r="BJ21" i="46"/>
  <c r="BJ120" i="46"/>
  <c r="BI94" i="46"/>
  <c r="BJ95" i="46"/>
  <c r="BI120" i="46"/>
  <c r="BJ109" i="46"/>
  <c r="BI90" i="46"/>
  <c r="BJ61" i="46"/>
  <c r="BI77" i="46"/>
  <c r="BJ54" i="46"/>
  <c r="BI80" i="46"/>
  <c r="BI45" i="46"/>
  <c r="BJ29" i="46"/>
  <c r="BI22" i="46"/>
  <c r="BI28" i="46"/>
  <c r="BJ68" i="46"/>
  <c r="BJ110" i="46"/>
  <c r="BJ52" i="46"/>
  <c r="BI58" i="46"/>
  <c r="BJ114" i="46"/>
  <c r="BJ76" i="46"/>
  <c r="BI42" i="46"/>
  <c r="BI19" i="46"/>
  <c r="BJ104" i="46"/>
  <c r="BJ116" i="46"/>
  <c r="BI116" i="46"/>
  <c r="BJ117" i="46"/>
  <c r="BI89" i="46"/>
  <c r="BI81" i="46"/>
  <c r="BI71" i="46"/>
  <c r="BJ50" i="46"/>
  <c r="BJ78" i="46"/>
  <c r="BI41" i="46"/>
  <c r="BI27" i="46"/>
  <c r="BI18" i="46"/>
  <c r="BJ125" i="46"/>
  <c r="BJ88" i="46"/>
  <c r="BJ28" i="46"/>
  <c r="BJ48" i="46"/>
  <c r="BI60" i="46"/>
  <c r="BI119" i="46"/>
  <c r="BJ69" i="46"/>
  <c r="BJ44" i="46"/>
  <c r="BJ73" i="46"/>
  <c r="BI30" i="46"/>
  <c r="BJ124" i="46"/>
  <c r="BI112" i="46"/>
  <c r="BJ98" i="46"/>
  <c r="BI107" i="46"/>
  <c r="BI61" i="46"/>
  <c r="BI93" i="46"/>
  <c r="BJ51" i="46"/>
  <c r="BI56" i="46"/>
  <c r="BI37" i="46"/>
  <c r="BI29" i="46"/>
  <c r="BI40" i="46"/>
  <c r="BJ19" i="46"/>
  <c r="BI99" i="46"/>
  <c r="BI50" i="46"/>
  <c r="BJ74" i="46"/>
  <c r="BJ80" i="46"/>
  <c r="BI14" i="46"/>
  <c r="BI65" i="46"/>
  <c r="BI84" i="46"/>
  <c r="BI39" i="46"/>
  <c r="BI46" i="46"/>
  <c r="BI111" i="46"/>
  <c r="BJ100" i="46"/>
  <c r="BJ25" i="46"/>
  <c r="BI123" i="46"/>
  <c r="BJ86" i="46"/>
  <c r="BJ32" i="46"/>
  <c r="BJ99" i="46"/>
  <c r="BI83" i="46"/>
  <c r="BJ58" i="46"/>
  <c r="BJ101" i="46"/>
  <c r="BJ35" i="46"/>
  <c r="BI15" i="46"/>
  <c r="BI53" i="46"/>
  <c r="BJ106" i="46"/>
  <c r="BJ115" i="46"/>
  <c r="BJ49" i="46"/>
  <c r="BI26" i="46"/>
  <c r="BJ105" i="46"/>
  <c r="BJ42" i="46"/>
  <c r="BI21" i="46"/>
  <c r="BI67" i="46"/>
  <c r="BI55" i="46"/>
  <c r="BY106" i="40"/>
  <c r="BY108" i="40"/>
  <c r="BY88" i="40"/>
  <c r="BY92" i="40"/>
  <c r="BX78" i="40"/>
  <c r="BX57" i="40"/>
  <c r="BX55" i="40"/>
  <c r="BY57" i="40"/>
  <c r="BX40" i="40"/>
  <c r="BY25" i="40"/>
  <c r="BX30" i="40"/>
  <c r="BY33" i="40"/>
  <c r="BX52" i="40"/>
  <c r="BY124" i="40"/>
  <c r="BY31" i="40"/>
  <c r="BX124" i="40"/>
  <c r="BY55" i="40"/>
  <c r="BY111" i="40"/>
  <c r="BY50" i="40"/>
  <c r="BX111" i="40"/>
  <c r="BX35" i="40"/>
  <c r="BY78" i="40"/>
  <c r="BX21" i="40"/>
  <c r="BX114" i="40"/>
  <c r="BX27" i="40"/>
  <c r="BX65" i="40"/>
  <c r="BY75" i="40"/>
  <c r="BX122" i="40"/>
  <c r="BX120" i="40"/>
  <c r="BY121" i="40"/>
  <c r="BY84" i="40"/>
  <c r="BX92" i="40"/>
  <c r="BY76" i="40"/>
  <c r="BX58" i="40"/>
  <c r="BX51" i="40"/>
  <c r="BY53" i="40"/>
  <c r="BX36" i="40"/>
  <c r="BY21" i="40"/>
  <c r="BY27" i="40"/>
  <c r="BX22" i="40"/>
  <c r="BY54" i="40"/>
  <c r="BX103" i="40"/>
  <c r="BX53" i="40"/>
  <c r="BX95" i="40"/>
  <c r="BX31" i="40"/>
  <c r="BY14" i="40"/>
  <c r="BX44" i="40"/>
  <c r="BX94" i="40"/>
  <c r="BX41" i="40"/>
  <c r="BX89" i="40"/>
  <c r="BY24" i="40"/>
  <c r="BX104" i="40"/>
  <c r="BX48" i="40"/>
  <c r="BY52" i="40"/>
  <c r="BY59" i="40"/>
  <c r="BY39" i="40"/>
  <c r="BX117" i="40"/>
  <c r="BX112" i="40"/>
  <c r="BY100" i="40"/>
  <c r="BY80" i="40"/>
  <c r="BY117" i="40"/>
  <c r="BX75" i="40"/>
  <c r="BX54" i="40"/>
  <c r="BX47" i="40"/>
  <c r="BY47" i="40"/>
  <c r="BX32" i="40"/>
  <c r="BY17" i="40"/>
  <c r="BY23" i="40"/>
  <c r="BX24" i="40"/>
  <c r="BX61" i="40"/>
  <c r="BX108" i="40"/>
  <c r="BY58" i="40"/>
  <c r="BX105" i="40"/>
  <c r="BY51" i="40"/>
  <c r="BY18" i="40"/>
  <c r="BY77" i="40"/>
  <c r="BY94" i="40"/>
  <c r="BX49" i="40"/>
  <c r="BX101" i="40"/>
  <c r="BX25" i="40"/>
  <c r="BX91" i="40"/>
  <c r="BX60" i="40"/>
  <c r="BY119" i="40"/>
  <c r="BX68" i="40"/>
  <c r="BX113" i="40"/>
  <c r="BY125" i="40"/>
  <c r="BX87" i="40"/>
  <c r="BX96" i="40"/>
  <c r="BX82" i="40"/>
  <c r="BY74" i="40"/>
  <c r="BX50" i="40"/>
  <c r="BX62" i="40"/>
  <c r="BX42" i="40"/>
  <c r="BX15" i="40"/>
  <c r="BX74" i="40"/>
  <c r="BY19" i="40"/>
  <c r="BX37" i="40"/>
  <c r="BY66" i="40"/>
  <c r="BX118" i="40"/>
  <c r="BX67" i="40"/>
  <c r="BX102" i="40"/>
  <c r="BY35" i="40"/>
  <c r="BX20" i="40"/>
  <c r="BX71" i="40"/>
  <c r="BY105" i="40"/>
  <c r="BX73" i="40"/>
  <c r="BX98" i="40"/>
  <c r="BY22" i="40"/>
  <c r="BX99" i="40"/>
  <c r="BY97" i="40"/>
  <c r="BY107" i="40"/>
  <c r="BY95" i="40"/>
  <c r="BX109" i="40"/>
  <c r="BY113" i="40"/>
  <c r="BX83" i="40"/>
  <c r="BY91" i="40"/>
  <c r="BX86" i="40"/>
  <c r="BY71" i="40"/>
  <c r="BX46" i="40"/>
  <c r="BY46" i="40"/>
  <c r="BX38" i="40"/>
  <c r="BY42" i="40"/>
  <c r="BY32" i="40"/>
  <c r="BY15" i="40"/>
  <c r="BY43" i="40"/>
  <c r="BY87" i="40"/>
  <c r="BY115" i="40"/>
  <c r="BX77" i="40"/>
  <c r="BX110" i="40"/>
  <c r="BY61" i="40"/>
  <c r="BY20" i="40"/>
  <c r="BX69" i="40"/>
  <c r="BY120" i="40"/>
  <c r="BX56" i="40"/>
  <c r="BX93" i="40"/>
  <c r="BX14" i="40"/>
  <c r="BY99" i="40"/>
  <c r="BY116" i="40"/>
  <c r="BY28" i="40"/>
  <c r="BY81" i="40"/>
  <c r="BY122" i="40"/>
  <c r="BY109" i="40"/>
  <c r="BX79" i="40"/>
  <c r="BX88" i="40"/>
  <c r="BY72" i="40"/>
  <c r="BY67" i="40"/>
  <c r="BY63" i="40"/>
  <c r="BY45" i="40"/>
  <c r="BX34" i="40"/>
  <c r="BY38" i="40"/>
  <c r="BY48" i="40"/>
  <c r="BX26" i="40"/>
  <c r="BX33" i="40"/>
  <c r="BY79" i="40"/>
  <c r="BX119" i="40"/>
  <c r="BY90" i="40"/>
  <c r="BX28" i="40"/>
  <c r="BY70" i="40"/>
  <c r="BX29" i="40"/>
  <c r="BY85" i="40"/>
  <c r="BY36" i="40"/>
  <c r="BY83" i="40"/>
  <c r="BX116" i="40"/>
  <c r="BX45" i="40"/>
  <c r="BX106" i="40"/>
  <c r="BY93" i="40"/>
  <c r="BY69" i="40"/>
  <c r="BX85" i="40"/>
  <c r="BY118" i="40"/>
  <c r="BY102" i="40"/>
  <c r="BX100" i="40"/>
  <c r="BX84" i="40"/>
  <c r="BY68" i="40"/>
  <c r="BX70" i="40"/>
  <c r="BY62" i="40"/>
  <c r="BX66" i="40"/>
  <c r="BX43" i="40"/>
  <c r="BY34" i="40"/>
  <c r="BY41" i="40"/>
  <c r="BX18" i="40"/>
  <c r="BY65" i="40"/>
  <c r="BY114" i="40"/>
  <c r="BX17" i="40"/>
  <c r="BY89" i="40"/>
  <c r="BY26" i="40"/>
  <c r="BX90" i="40"/>
  <c r="BX72" i="40"/>
  <c r="BX97" i="40"/>
  <c r="BX19" i="40"/>
  <c r="BY73" i="40"/>
  <c r="BY123" i="40"/>
  <c r="BX63" i="40"/>
  <c r="BX123" i="40"/>
  <c r="BX115" i="40"/>
  <c r="BX107" i="40"/>
  <c r="BY104" i="40"/>
  <c r="BY110" i="40"/>
  <c r="BY98" i="40"/>
  <c r="BY96" i="40"/>
  <c r="BX80" i="40"/>
  <c r="BY64" i="40"/>
  <c r="BY60" i="40"/>
  <c r="BX59" i="40"/>
  <c r="BY49" i="40"/>
  <c r="BX39" i="40"/>
  <c r="BY29" i="40"/>
  <c r="BY37" i="40"/>
  <c r="BY30" i="40"/>
  <c r="BX64" i="40"/>
  <c r="BX121" i="40"/>
  <c r="BY40" i="40"/>
  <c r="BX81" i="40"/>
  <c r="BY44" i="40"/>
  <c r="BY103" i="40"/>
  <c r="BY56" i="40"/>
  <c r="BY101" i="40"/>
  <c r="BX23" i="40"/>
  <c r="BX76" i="40"/>
  <c r="BX125" i="40"/>
  <c r="BY82" i="40"/>
  <c r="BY16" i="40"/>
  <c r="BX16" i="40"/>
  <c r="BY86" i="40"/>
  <c r="BY112" i="40"/>
  <c r="AT14" i="45"/>
  <c r="AT115" i="45"/>
  <c r="AT121" i="45"/>
  <c r="AT103" i="45"/>
  <c r="AT90" i="45"/>
  <c r="AT85" i="45"/>
  <c r="AU91" i="45"/>
  <c r="AU87" i="45"/>
  <c r="AU74" i="45"/>
  <c r="AT64" i="45"/>
  <c r="AT47" i="45"/>
  <c r="AT46" i="45"/>
  <c r="AU42" i="45"/>
  <c r="AT35" i="45"/>
  <c r="AU23" i="45"/>
  <c r="AU46" i="45"/>
  <c r="AT41" i="45"/>
  <c r="AU123" i="45"/>
  <c r="AT55" i="45"/>
  <c r="AU105" i="45"/>
  <c r="AU30" i="45"/>
  <c r="AT92" i="45"/>
  <c r="AT59" i="45"/>
  <c r="AT58" i="45"/>
  <c r="AT29" i="45"/>
  <c r="AT108" i="45"/>
  <c r="AU121" i="45"/>
  <c r="AT67" i="45"/>
  <c r="AT118" i="45"/>
  <c r="AT111" i="45"/>
  <c r="AT117" i="45"/>
  <c r="AT99" i="45"/>
  <c r="AT86" i="45"/>
  <c r="AU89" i="45"/>
  <c r="AT76" i="45"/>
  <c r="AU86" i="45"/>
  <c r="AU66" i="45"/>
  <c r="AU60" i="45"/>
  <c r="AT43" i="45"/>
  <c r="AT42" i="45"/>
  <c r="AT32" i="45"/>
  <c r="AT31" i="45"/>
  <c r="AT30" i="45"/>
  <c r="AU31" i="45"/>
  <c r="AU59" i="45"/>
  <c r="AU109" i="45"/>
  <c r="AT77" i="45"/>
  <c r="AU100" i="45"/>
  <c r="AU36" i="45"/>
  <c r="AU125" i="45"/>
  <c r="AT49" i="45"/>
  <c r="AT107" i="45"/>
  <c r="AT113" i="45"/>
  <c r="AT95" i="45"/>
  <c r="AT82" i="45"/>
  <c r="AU75" i="45"/>
  <c r="AT72" i="45"/>
  <c r="AT78" i="45"/>
  <c r="AU62" i="45"/>
  <c r="AT56" i="45"/>
  <c r="AT39" i="45"/>
  <c r="AT52" i="45"/>
  <c r="AT28" i="45"/>
  <c r="AT27" i="45"/>
  <c r="AT16" i="45"/>
  <c r="AU27" i="45"/>
  <c r="AT65" i="45"/>
  <c r="AU73" i="45"/>
  <c r="AU90" i="45"/>
  <c r="AT104" i="45"/>
  <c r="AU48" i="45"/>
  <c r="AT124" i="45"/>
  <c r="AT80" i="45"/>
  <c r="AU77" i="45"/>
  <c r="AU40" i="45"/>
  <c r="AU69" i="45"/>
  <c r="AT33" i="45"/>
  <c r="AT69" i="45"/>
  <c r="AU113" i="45"/>
  <c r="AU120" i="45"/>
  <c r="AT105" i="45"/>
  <c r="AU110" i="45"/>
  <c r="AU99" i="45"/>
  <c r="AU94" i="45"/>
  <c r="AU83" i="45"/>
  <c r="AT70" i="45"/>
  <c r="AU70" i="45"/>
  <c r="AU43" i="45"/>
  <c r="AT68" i="45"/>
  <c r="AU32" i="45"/>
  <c r="AT20" i="45"/>
  <c r="AT51" i="45"/>
  <c r="AT22" i="45"/>
  <c r="AU17" i="45"/>
  <c r="AU85" i="45"/>
  <c r="AU51" i="45"/>
  <c r="AU97" i="45"/>
  <c r="AU117" i="45"/>
  <c r="AU84" i="45"/>
  <c r="AU16" i="45"/>
  <c r="AT97" i="45"/>
  <c r="AU14" i="45"/>
  <c r="AU49" i="45"/>
  <c r="AT87" i="45"/>
  <c r="AU26" i="45"/>
  <c r="AU82" i="45"/>
  <c r="AU41" i="45"/>
  <c r="AU116" i="45"/>
  <c r="AU122" i="45"/>
  <c r="AT100" i="45"/>
  <c r="AT98" i="45"/>
  <c r="AT75" i="45"/>
  <c r="AT81" i="45"/>
  <c r="AT61" i="45"/>
  <c r="AU65" i="45"/>
  <c r="AU39" i="45"/>
  <c r="AU64" i="45"/>
  <c r="AU28" i="45"/>
  <c r="AU50" i="45"/>
  <c r="AT26" i="45"/>
  <c r="AT18" i="45"/>
  <c r="AU37" i="45"/>
  <c r="AU80" i="45"/>
  <c r="AT123" i="45"/>
  <c r="AU112" i="45"/>
  <c r="AU108" i="45"/>
  <c r="AU95" i="45"/>
  <c r="AU103" i="45"/>
  <c r="AT71" i="45"/>
  <c r="AU114" i="45"/>
  <c r="AT57" i="45"/>
  <c r="AU61" i="45"/>
  <c r="AT60" i="45"/>
  <c r="AU56" i="45"/>
  <c r="AU24" i="45"/>
  <c r="AU68" i="45"/>
  <c r="AT19" i="45"/>
  <c r="AU15" i="45"/>
  <c r="AT48" i="45"/>
  <c r="AU96" i="45"/>
  <c r="AU63" i="45"/>
  <c r="AU107" i="45"/>
  <c r="AU18" i="45"/>
  <c r="AU101" i="45"/>
  <c r="AT37" i="45"/>
  <c r="AT114" i="45"/>
  <c r="AT119" i="45"/>
  <c r="AT125" i="45"/>
  <c r="AU106" i="45"/>
  <c r="AT94" i="45"/>
  <c r="AT102" i="45"/>
  <c r="AU102" i="45"/>
  <c r="AT88" i="45"/>
  <c r="AT53" i="45"/>
  <c r="AU57" i="45"/>
  <c r="AU54" i="45"/>
  <c r="AT50" i="45"/>
  <c r="AU20" i="45"/>
  <c r="AU38" i="45"/>
  <c r="AT17" i="45"/>
  <c r="AT34" i="45"/>
  <c r="AT45" i="45"/>
  <c r="AU88" i="45"/>
  <c r="AU67" i="45"/>
  <c r="AU111" i="45"/>
  <c r="AT63" i="45"/>
  <c r="AT96" i="45"/>
  <c r="AT40" i="45"/>
  <c r="AU119" i="45"/>
  <c r="AU25" i="45"/>
  <c r="AU93" i="45"/>
  <c r="AT122" i="45"/>
  <c r="AT44" i="45"/>
  <c r="AU92" i="45"/>
  <c r="AT84" i="45"/>
  <c r="AU35" i="45"/>
  <c r="AT116" i="45"/>
  <c r="AT120" i="45"/>
  <c r="AT62" i="45"/>
  <c r="AU79" i="45"/>
  <c r="AT74" i="45"/>
  <c r="AU19" i="45"/>
  <c r="AU55" i="45"/>
  <c r="AU34" i="45"/>
  <c r="AU104" i="45"/>
  <c r="AT83" i="45"/>
  <c r="AU58" i="45"/>
  <c r="AU81" i="45"/>
  <c r="AU76" i="45"/>
  <c r="AT25" i="45"/>
  <c r="AT110" i="45"/>
  <c r="AU98" i="45"/>
  <c r="AU124" i="45"/>
  <c r="AU47" i="45"/>
  <c r="AT36" i="45"/>
  <c r="AT15" i="45"/>
  <c r="AU29" i="45"/>
  <c r="AU33" i="45"/>
  <c r="AT101" i="45"/>
  <c r="AT109" i="45"/>
  <c r="AU78" i="45"/>
  <c r="AU44" i="45"/>
  <c r="AT21" i="45"/>
  <c r="AU52" i="45"/>
  <c r="AU21" i="45"/>
  <c r="AU115" i="45"/>
  <c r="AT91" i="45"/>
  <c r="AT38" i="45"/>
  <c r="AT112" i="45"/>
  <c r="AT79" i="45"/>
  <c r="AT54" i="45"/>
  <c r="AU45" i="45"/>
  <c r="AU118" i="45"/>
  <c r="AT24" i="45"/>
  <c r="AT89" i="45"/>
  <c r="AT93" i="45"/>
  <c r="AT73" i="45"/>
  <c r="AU53" i="45"/>
  <c r="AU71" i="45"/>
  <c r="AT23" i="45"/>
  <c r="AT106" i="45"/>
  <c r="AT66" i="45"/>
  <c r="AU22" i="45"/>
  <c r="AU72" i="45"/>
  <c r="BJ116" i="39"/>
  <c r="BI98" i="39"/>
  <c r="BI124" i="39"/>
  <c r="BI94" i="39"/>
  <c r="BJ92" i="39"/>
  <c r="BI85" i="39"/>
  <c r="BI76" i="39"/>
  <c r="BJ69" i="39"/>
  <c r="BJ38" i="39"/>
  <c r="BI44" i="39"/>
  <c r="BJ43" i="39"/>
  <c r="BI46" i="39"/>
  <c r="BI26" i="39"/>
  <c r="BJ15" i="39"/>
  <c r="BI113" i="39"/>
  <c r="BJ50" i="39"/>
  <c r="BJ17" i="39"/>
  <c r="BI70" i="39"/>
  <c r="BI20" i="39"/>
  <c r="BJ65" i="39"/>
  <c r="BJ56" i="39"/>
  <c r="BI106" i="39"/>
  <c r="BI21" i="39"/>
  <c r="BJ77" i="39"/>
  <c r="BI93" i="39"/>
  <c r="BJ125" i="39"/>
  <c r="BJ91" i="39"/>
  <c r="BJ115" i="39"/>
  <c r="BI121" i="39"/>
  <c r="BI122" i="39"/>
  <c r="BJ101" i="39"/>
  <c r="BI101" i="39"/>
  <c r="BJ82" i="39"/>
  <c r="BJ74" i="39"/>
  <c r="BI78" i="39"/>
  <c r="BJ99" i="39"/>
  <c r="BI57" i="39"/>
  <c r="BJ39" i="39"/>
  <c r="BI39" i="39"/>
  <c r="BJ75" i="39"/>
  <c r="BI22" i="39"/>
  <c r="BI25" i="39"/>
  <c r="BI119" i="39"/>
  <c r="BJ42" i="39"/>
  <c r="BI17" i="39"/>
  <c r="BI86" i="39"/>
  <c r="BI28" i="39"/>
  <c r="BJ88" i="39"/>
  <c r="BI54" i="39"/>
  <c r="BJ113" i="39"/>
  <c r="BI43" i="39"/>
  <c r="BI120" i="39"/>
  <c r="BI105" i="39"/>
  <c r="BJ117" i="39"/>
  <c r="BI103" i="39"/>
  <c r="BJ111" i="39"/>
  <c r="BI125" i="39"/>
  <c r="BI110" i="39"/>
  <c r="BI109" i="39"/>
  <c r="BJ89" i="39"/>
  <c r="BI92" i="39"/>
  <c r="BJ70" i="39"/>
  <c r="BJ66" i="39"/>
  <c r="BI65" i="39"/>
  <c r="BI53" i="39"/>
  <c r="BJ35" i="39"/>
  <c r="BI35" i="39"/>
  <c r="BJ30" i="39"/>
  <c r="BI18" i="39"/>
  <c r="BJ48" i="39"/>
  <c r="BJ33" i="39"/>
  <c r="BI66" i="39"/>
  <c r="BJ58" i="39"/>
  <c r="BJ86" i="39"/>
  <c r="BJ54" i="39"/>
  <c r="BJ102" i="39"/>
  <c r="BI60" i="39"/>
  <c r="BJ98" i="39"/>
  <c r="BJ60" i="39"/>
  <c r="BI104" i="39"/>
  <c r="BI56" i="39"/>
  <c r="BI51" i="39"/>
  <c r="BJ107" i="39"/>
  <c r="BJ121" i="39"/>
  <c r="BJ114" i="39"/>
  <c r="BJ108" i="39"/>
  <c r="BJ104" i="39"/>
  <c r="BJ112" i="39"/>
  <c r="BJ85" i="39"/>
  <c r="BJ79" i="39"/>
  <c r="BI63" i="39"/>
  <c r="BJ63" i="39"/>
  <c r="BJ45" i="39"/>
  <c r="BJ31" i="39"/>
  <c r="BI31" i="39"/>
  <c r="BJ26" i="39"/>
  <c r="BI34" i="39"/>
  <c r="BI52" i="39"/>
  <c r="BI16" i="39"/>
  <c r="BI95" i="39"/>
  <c r="BI42" i="39"/>
  <c r="BJ96" i="39"/>
  <c r="BJ20" i="39"/>
  <c r="BJ103" i="39"/>
  <c r="BJ95" i="39"/>
  <c r="BI90" i="39"/>
  <c r="BI40" i="39"/>
  <c r="BJ46" i="39"/>
  <c r="BI24" i="39"/>
  <c r="BJ109" i="39"/>
  <c r="BJ105" i="39"/>
  <c r="BI116" i="39"/>
  <c r="BJ122" i="39"/>
  <c r="BI118" i="39"/>
  <c r="BI117" i="39"/>
  <c r="BJ87" i="39"/>
  <c r="BJ106" i="39"/>
  <c r="BI82" i="39"/>
  <c r="BI79" i="39"/>
  <c r="BI72" i="39"/>
  <c r="BJ57" i="39"/>
  <c r="BJ44" i="39"/>
  <c r="BJ27" i="39"/>
  <c r="BI27" i="39"/>
  <c r="BJ37" i="39"/>
  <c r="BJ22" i="39"/>
  <c r="BJ78" i="39"/>
  <c r="BJ51" i="39"/>
  <c r="BI84" i="39"/>
  <c r="BI14" i="39"/>
  <c r="BJ25" i="39"/>
  <c r="BI64" i="39"/>
  <c r="BI99" i="39"/>
  <c r="BI67" i="39"/>
  <c r="BI111" i="39"/>
  <c r="BJ40" i="39"/>
  <c r="BJ64" i="39"/>
  <c r="BI37" i="39"/>
  <c r="BJ62" i="39"/>
  <c r="BJ59" i="39"/>
  <c r="BJ118" i="39"/>
  <c r="BI114" i="39"/>
  <c r="BI112" i="39"/>
  <c r="BJ84" i="39"/>
  <c r="BI88" i="39"/>
  <c r="BI75" i="39"/>
  <c r="BJ71" i="39"/>
  <c r="BI68" i="39"/>
  <c r="BJ53" i="39"/>
  <c r="BI38" i="39"/>
  <c r="BJ23" i="39"/>
  <c r="BI23" i="39"/>
  <c r="BJ41" i="39"/>
  <c r="BI15" i="39"/>
  <c r="BI81" i="39"/>
  <c r="BJ28" i="39"/>
  <c r="BJ100" i="39"/>
  <c r="BI36" i="39"/>
  <c r="BJ16" i="39"/>
  <c r="BI55" i="39"/>
  <c r="BJ29" i="39"/>
  <c r="BI74" i="39"/>
  <c r="BI123" i="39"/>
  <c r="BI59" i="39"/>
  <c r="BJ36" i="39"/>
  <c r="BJ81" i="39"/>
  <c r="BJ72" i="39"/>
  <c r="BJ97" i="39"/>
  <c r="BJ124" i="39"/>
  <c r="BJ110" i="39"/>
  <c r="BI89" i="39"/>
  <c r="BJ80" i="39"/>
  <c r="BI83" i="39"/>
  <c r="BI73" i="39"/>
  <c r="BJ67" i="39"/>
  <c r="BI61" i="39"/>
  <c r="BI48" i="39"/>
  <c r="BJ61" i="39"/>
  <c r="BJ19" i="39"/>
  <c r="BI19" i="39"/>
  <c r="BJ34" i="39"/>
  <c r="BJ18" i="39"/>
  <c r="BI100" i="39"/>
  <c r="BJ52" i="39"/>
  <c r="BI96" i="39"/>
  <c r="BI62" i="39"/>
  <c r="BI29" i="39"/>
  <c r="BI50" i="39"/>
  <c r="BI33" i="39"/>
  <c r="BJ68" i="39"/>
  <c r="BJ119" i="39"/>
  <c r="BJ47" i="39"/>
  <c r="BI32" i="39"/>
  <c r="BI80" i="39"/>
  <c r="BI87" i="39"/>
  <c r="BJ123" i="39"/>
  <c r="BJ120" i="39"/>
  <c r="BI102" i="39"/>
  <c r="BI97" i="39"/>
  <c r="BJ76" i="39"/>
  <c r="BJ93" i="39"/>
  <c r="BI69" i="39"/>
  <c r="BJ83" i="39"/>
  <c r="BJ73" i="39"/>
  <c r="BI47" i="39"/>
  <c r="BI45" i="39"/>
  <c r="BJ49" i="39"/>
  <c r="BI49" i="39"/>
  <c r="BI30" i="39"/>
  <c r="BJ14" i="39"/>
  <c r="BJ94" i="39"/>
  <c r="BJ55" i="39"/>
  <c r="BI108" i="39"/>
  <c r="BI58" i="39"/>
  <c r="BI41" i="39"/>
  <c r="BI71" i="39"/>
  <c r="BJ32" i="39"/>
  <c r="BJ90" i="39"/>
  <c r="BJ21" i="39"/>
  <c r="BI91" i="39"/>
  <c r="BI115" i="39"/>
  <c r="BI107" i="39"/>
  <c r="BI77" i="39"/>
  <c r="BJ24" i="39"/>
  <c r="N119" i="42" a="1"/>
  <c r="N119" i="42" s="1"/>
  <c r="N99" i="42" a="1"/>
  <c r="N99" i="42" s="1"/>
  <c r="M122" i="42" a="1"/>
  <c r="M122" i="42" s="1"/>
  <c r="N71" i="42" a="1"/>
  <c r="N71" i="42" s="1"/>
  <c r="M69" i="42" a="1"/>
  <c r="M69" i="42" s="1"/>
  <c r="N37" i="42" a="1"/>
  <c r="N37" i="42" s="1"/>
  <c r="M36" i="42" a="1"/>
  <c r="M36" i="42" s="1"/>
  <c r="N35" i="42" a="1"/>
  <c r="N35" i="42" s="1"/>
  <c r="M32" i="42" a="1"/>
  <c r="M32" i="42" s="1"/>
  <c r="M72" i="42" a="1"/>
  <c r="M72" i="42" s="1"/>
  <c r="M111" i="42" a="1"/>
  <c r="M111" i="42" s="1"/>
  <c r="N42" i="42" a="1"/>
  <c r="N42" i="42" s="1"/>
  <c r="N39" i="42" a="1"/>
  <c r="N39" i="42" s="1"/>
  <c r="M59" i="42" a="1"/>
  <c r="M59" i="42" s="1"/>
  <c r="N90" i="42" a="1"/>
  <c r="N90" i="42" s="1"/>
  <c r="M54" i="42" a="1"/>
  <c r="M54" i="42" s="1"/>
  <c r="M98" i="42" a="1"/>
  <c r="M98" i="42" s="1"/>
  <c r="M37" i="42" a="1"/>
  <c r="M37" i="42" s="1"/>
  <c r="M39" i="42" a="1"/>
  <c r="M39" i="42" s="1"/>
  <c r="N91" i="42" a="1"/>
  <c r="N91" i="42" s="1"/>
  <c r="M96" i="42" a="1"/>
  <c r="M96" i="42" s="1"/>
  <c r="M84" i="42" a="1"/>
  <c r="M84" i="42" s="1"/>
  <c r="M100" i="42" a="1"/>
  <c r="M100" i="42" s="1"/>
  <c r="N118" i="42" a="1"/>
  <c r="N118" i="42" s="1"/>
  <c r="N86" i="42" a="1"/>
  <c r="N86" i="42" s="1"/>
  <c r="N83" i="42" a="1"/>
  <c r="N83" i="42" s="1"/>
  <c r="N56" i="42" a="1"/>
  <c r="N56" i="42" s="1"/>
  <c r="N113" i="42" a="1"/>
  <c r="N113" i="42" s="1"/>
  <c r="N103" i="42" a="1"/>
  <c r="N103" i="42" s="1"/>
  <c r="N95" i="42" a="1"/>
  <c r="N95" i="42" s="1"/>
  <c r="N84" i="42" a="1"/>
  <c r="N84" i="42" s="1"/>
  <c r="N70" i="42" a="1"/>
  <c r="N70" i="42" s="1"/>
  <c r="M68" i="42" a="1"/>
  <c r="M68" i="42" s="1"/>
  <c r="N33" i="42" a="1"/>
  <c r="N33" i="42" s="1"/>
  <c r="N45" i="42" a="1"/>
  <c r="N45" i="42" s="1"/>
  <c r="M20" i="42" a="1"/>
  <c r="M20" i="42" s="1"/>
  <c r="M30" i="42" a="1"/>
  <c r="M30" i="42" s="1"/>
  <c r="M74" i="42" a="1"/>
  <c r="M74" i="42" s="1"/>
  <c r="M107" i="42" a="1"/>
  <c r="M107" i="42" s="1"/>
  <c r="N34" i="42" a="1"/>
  <c r="N34" i="42" s="1"/>
  <c r="N51" i="42" a="1"/>
  <c r="N51" i="42" s="1"/>
  <c r="M28" i="42" a="1"/>
  <c r="M28" i="42" s="1"/>
  <c r="M87" i="42" a="1"/>
  <c r="M87" i="42" s="1"/>
  <c r="N64" i="42" a="1"/>
  <c r="N64" i="42" s="1"/>
  <c r="M91" i="42" a="1"/>
  <c r="M91" i="42" s="1"/>
  <c r="M18" i="42" a="1"/>
  <c r="M18" i="42" s="1"/>
  <c r="M50" i="42" a="1"/>
  <c r="M50" i="42" s="1"/>
  <c r="M118" i="42" a="1"/>
  <c r="M118" i="42" s="1"/>
  <c r="N61" i="42" a="1"/>
  <c r="N61" i="42" s="1"/>
  <c r="N18" i="42" a="1"/>
  <c r="N18" i="42" s="1"/>
  <c r="N108" i="42" a="1"/>
  <c r="N108" i="42" s="1"/>
  <c r="N112" i="42" a="1"/>
  <c r="N112" i="42" s="1"/>
  <c r="M93" i="42" a="1"/>
  <c r="M93" i="42" s="1"/>
  <c r="M56" i="42" a="1"/>
  <c r="M56" i="42" s="1"/>
  <c r="M106" i="42" a="1"/>
  <c r="M106" i="42" s="1"/>
  <c r="N97" i="42" a="1"/>
  <c r="N97" i="42" s="1"/>
  <c r="N88" i="42" a="1"/>
  <c r="N88" i="42" s="1"/>
  <c r="N78" i="42" a="1"/>
  <c r="N78" i="42" s="1"/>
  <c r="N63" i="42" a="1"/>
  <c r="N63" i="42" s="1"/>
  <c r="N62" i="42" a="1"/>
  <c r="N62" i="42" s="1"/>
  <c r="N41" i="42" a="1"/>
  <c r="N41" i="42" s="1"/>
  <c r="M35" i="42" a="1"/>
  <c r="M35" i="42" s="1"/>
  <c r="M19" i="42" a="1"/>
  <c r="M19" i="42" s="1"/>
  <c r="M51" i="42" a="1"/>
  <c r="M51" i="42" s="1"/>
  <c r="M77" i="42" a="1"/>
  <c r="M77" i="42" s="1"/>
  <c r="M116" i="42" a="1"/>
  <c r="M116" i="42" s="1"/>
  <c r="M33" i="42" a="1"/>
  <c r="M33" i="42" s="1"/>
  <c r="N96" i="42" a="1"/>
  <c r="N96" i="42" s="1"/>
  <c r="N38" i="42" a="1"/>
  <c r="N38" i="42" s="1"/>
  <c r="M86" i="42" a="1"/>
  <c r="M86" i="42" s="1"/>
  <c r="M55" i="42" a="1"/>
  <c r="M55" i="42" s="1"/>
  <c r="N87" i="42" a="1"/>
  <c r="N87" i="42" s="1"/>
  <c r="M25" i="42" a="1"/>
  <c r="M25" i="42" s="1"/>
  <c r="M83" i="42" a="1"/>
  <c r="M83" i="42" s="1"/>
  <c r="N98" i="42" a="1"/>
  <c r="N98" i="42" s="1"/>
  <c r="M109" i="42" a="1"/>
  <c r="M109" i="42" s="1"/>
  <c r="M22" i="42" a="1"/>
  <c r="M22" i="42" s="1"/>
  <c r="N121" i="42" a="1"/>
  <c r="N121" i="42" s="1"/>
  <c r="M113" i="42" a="1"/>
  <c r="M113" i="42" s="1"/>
  <c r="M110" i="42" a="1"/>
  <c r="M110" i="42" s="1"/>
  <c r="M125" i="42" a="1"/>
  <c r="M125" i="42" s="1"/>
  <c r="M92" i="42" a="1"/>
  <c r="M92" i="42" s="1"/>
  <c r="N123" i="42" a="1"/>
  <c r="N123" i="42" s="1"/>
  <c r="N89" i="42" a="1"/>
  <c r="N89" i="42" s="1"/>
  <c r="N109" i="42" a="1"/>
  <c r="N109" i="42" s="1"/>
  <c r="N74" i="42" a="1"/>
  <c r="N74" i="42" s="1"/>
  <c r="N59" i="42" a="1"/>
  <c r="N59" i="42" s="1"/>
  <c r="N58" i="42" a="1"/>
  <c r="N58" i="42" s="1"/>
  <c r="M48" i="42" a="1"/>
  <c r="M48" i="42" s="1"/>
  <c r="N29" i="42" a="1"/>
  <c r="N29" i="42" s="1"/>
  <c r="M44" i="42" a="1"/>
  <c r="M44" i="42" s="1"/>
  <c r="M43" i="42" a="1"/>
  <c r="M43" i="42" s="1"/>
  <c r="N106" i="42" a="1"/>
  <c r="N106" i="42" s="1"/>
  <c r="N16" i="42" a="1"/>
  <c r="N16" i="42" s="1"/>
  <c r="N26" i="42" a="1"/>
  <c r="N26" i="42" s="1"/>
  <c r="N57" i="42" a="1"/>
  <c r="N57" i="42" s="1"/>
  <c r="M42" i="42" a="1"/>
  <c r="M42" i="42" s="1"/>
  <c r="M16" i="42" a="1"/>
  <c r="M16" i="42" s="1"/>
  <c r="N43" i="42" a="1"/>
  <c r="N43" i="42" s="1"/>
  <c r="N122" i="42" a="1"/>
  <c r="N122" i="42" s="1"/>
  <c r="N50" i="42" a="1"/>
  <c r="N50" i="42" s="1"/>
  <c r="N72" i="42" a="1"/>
  <c r="N72" i="42" s="1"/>
  <c r="N114" i="42" a="1"/>
  <c r="N114" i="42" s="1"/>
  <c r="M123" i="42" a="1"/>
  <c r="M123" i="42" s="1"/>
  <c r="N47" i="42" a="1"/>
  <c r="N47" i="42" s="1"/>
  <c r="M61" i="42" a="1"/>
  <c r="M61" i="42" s="1"/>
  <c r="N125" i="42" a="1"/>
  <c r="N125" i="42" s="1"/>
  <c r="N107" i="42" a="1"/>
  <c r="N107" i="42" s="1"/>
  <c r="M38" i="42" a="1"/>
  <c r="M38" i="42" s="1"/>
  <c r="N116" i="42" a="1"/>
  <c r="N116" i="42" s="1"/>
  <c r="N115" i="42" a="1"/>
  <c r="N115" i="42" s="1"/>
  <c r="N85" i="42" a="1"/>
  <c r="N85" i="42" s="1"/>
  <c r="M105" i="42" a="1"/>
  <c r="M105" i="42" s="1"/>
  <c r="N104" i="42" a="1"/>
  <c r="N104" i="42" s="1"/>
  <c r="N55" i="42" a="1"/>
  <c r="N55" i="42" s="1"/>
  <c r="N54" i="42" a="1"/>
  <c r="N54" i="42" s="1"/>
  <c r="N36" i="42" a="1"/>
  <c r="N36" i="42" s="1"/>
  <c r="N25" i="42" a="1"/>
  <c r="N25" i="42" s="1"/>
  <c r="N21" i="42" a="1"/>
  <c r="N21" i="42" s="1"/>
  <c r="M62" i="42" a="1"/>
  <c r="M62" i="42" s="1"/>
  <c r="N92" i="42" a="1"/>
  <c r="N92" i="42" s="1"/>
  <c r="N22" i="42" a="1"/>
  <c r="N22" i="42" s="1"/>
  <c r="N48" i="42" a="1"/>
  <c r="N48" i="42" s="1"/>
  <c r="M76" i="42" a="1"/>
  <c r="M76" i="42" s="1"/>
  <c r="N60" i="42" a="1"/>
  <c r="N60" i="42" s="1"/>
  <c r="N30" i="42" a="1"/>
  <c r="N30" i="42" s="1"/>
  <c r="M71" i="42" a="1"/>
  <c r="M71" i="42" s="1"/>
  <c r="M114" i="42" a="1"/>
  <c r="M114" i="42" s="1"/>
  <c r="N24" i="42" a="1"/>
  <c r="N24" i="42" s="1"/>
  <c r="M79" i="42" a="1"/>
  <c r="M79" i="42" s="1"/>
  <c r="N110" i="42" a="1"/>
  <c r="N110" i="42" s="1"/>
  <c r="N124" i="42" a="1"/>
  <c r="N124" i="42" s="1"/>
  <c r="M52" i="42" a="1"/>
  <c r="M52" i="42" s="1"/>
  <c r="M15" i="42" a="1"/>
  <c r="M15" i="42" s="1"/>
  <c r="M81" i="42" a="1"/>
  <c r="M81" i="42" s="1"/>
  <c r="M117" i="42" a="1"/>
  <c r="M117" i="42" s="1"/>
  <c r="N68" i="42" a="1"/>
  <c r="N68" i="42" s="1"/>
  <c r="M112" i="42" a="1"/>
  <c r="M112" i="42" s="1"/>
  <c r="M108" i="42" a="1"/>
  <c r="M108" i="42" s="1"/>
  <c r="M102" i="42" a="1"/>
  <c r="M102" i="42" s="1"/>
  <c r="M82" i="42" a="1"/>
  <c r="M82" i="42" s="1"/>
  <c r="N93" i="42" a="1"/>
  <c r="N93" i="42" s="1"/>
  <c r="N67" i="42" a="1"/>
  <c r="N67" i="42" s="1"/>
  <c r="M66" i="42" a="1"/>
  <c r="M66" i="42" s="1"/>
  <c r="N31" i="42" a="1"/>
  <c r="N31" i="42" s="1"/>
  <c r="N32" i="42" a="1"/>
  <c r="N32" i="42" s="1"/>
  <c r="N23" i="42" a="1"/>
  <c r="N23" i="42" s="1"/>
  <c r="N80" i="42" a="1"/>
  <c r="N80" i="42" s="1"/>
  <c r="N120" i="42" a="1"/>
  <c r="N120" i="42" s="1"/>
  <c r="N17" i="42" a="1"/>
  <c r="N17" i="42" s="1"/>
  <c r="N28" i="42" a="1"/>
  <c r="N28" i="42" s="1"/>
  <c r="N81" i="42" a="1"/>
  <c r="N81" i="42" s="1"/>
  <c r="N66" i="42" a="1"/>
  <c r="N66" i="42" s="1"/>
  <c r="M31" i="42" a="1"/>
  <c r="M31" i="42" s="1"/>
  <c r="N76" i="42" a="1"/>
  <c r="N76" i="42" s="1"/>
  <c r="M121" i="42" a="1"/>
  <c r="M121" i="42" s="1"/>
  <c r="M26" i="42" a="1"/>
  <c r="M26" i="42" s="1"/>
  <c r="N82" i="42" a="1"/>
  <c r="N82" i="42" s="1"/>
  <c r="M47" i="42" a="1"/>
  <c r="M47" i="42" s="1"/>
  <c r="M120" i="42" a="1"/>
  <c r="M120" i="42" s="1"/>
  <c r="M70" i="42" a="1"/>
  <c r="M70" i="42" s="1"/>
  <c r="M45" i="42" a="1"/>
  <c r="M45" i="42" s="1"/>
  <c r="N117" i="42" a="1"/>
  <c r="N117" i="42" s="1"/>
  <c r="N94" i="42" a="1"/>
  <c r="N94" i="42" s="1"/>
  <c r="M60" i="42" a="1"/>
  <c r="M60" i="42" s="1"/>
  <c r="M119" i="42" a="1"/>
  <c r="M119" i="42" s="1"/>
  <c r="N111" i="42" a="1"/>
  <c r="N111" i="42" s="1"/>
  <c r="N105" i="42" a="1"/>
  <c r="N105" i="42" s="1"/>
  <c r="N77" i="42" a="1"/>
  <c r="N77" i="42" s="1"/>
  <c r="N79" i="42" a="1"/>
  <c r="N79" i="42" s="1"/>
  <c r="N69" i="42" a="1"/>
  <c r="N69" i="42" s="1"/>
  <c r="M53" i="42" a="1"/>
  <c r="M53" i="42" s="1"/>
  <c r="N27" i="42" a="1"/>
  <c r="N27" i="42" s="1"/>
  <c r="N20" i="42" a="1"/>
  <c r="N20" i="42" s="1"/>
  <c r="N15" i="42" a="1"/>
  <c r="N15" i="42" s="1"/>
  <c r="M58" i="42" a="1"/>
  <c r="M58" i="42" s="1"/>
  <c r="M103" i="42" a="1"/>
  <c r="M103" i="42" s="1"/>
  <c r="M24" i="42" a="1"/>
  <c r="M24" i="42" s="1"/>
  <c r="N40" i="42" a="1"/>
  <c r="N40" i="42" s="1"/>
  <c r="M99" i="42" a="1"/>
  <c r="M99" i="42" s="1"/>
  <c r="M78" i="42" a="1"/>
  <c r="M78" i="42" s="1"/>
  <c r="M40" i="42" a="1"/>
  <c r="M40" i="42" s="1"/>
  <c r="M88" i="42" a="1"/>
  <c r="M88" i="42" s="1"/>
  <c r="M124" i="42" a="1"/>
  <c r="M124" i="42" s="1"/>
  <c r="M41" i="42" a="1"/>
  <c r="M41" i="42" s="1"/>
  <c r="M115" i="42" a="1"/>
  <c r="M115" i="42" s="1"/>
  <c r="M46" i="42" a="1"/>
  <c r="M46" i="42" s="1"/>
  <c r="M17" i="42" a="1"/>
  <c r="M17" i="42" s="1"/>
  <c r="N102" i="42" a="1"/>
  <c r="N102" i="42" s="1"/>
  <c r="M73" i="42" a="1"/>
  <c r="M73" i="42" s="1"/>
  <c r="M63" i="42" a="1"/>
  <c r="M63" i="42" s="1"/>
  <c r="M23" i="42" a="1"/>
  <c r="M23" i="42" s="1"/>
  <c r="M67" i="42" a="1"/>
  <c r="M67" i="42" s="1"/>
  <c r="M89" i="42" a="1"/>
  <c r="M89" i="42" s="1"/>
  <c r="N101" i="42" a="1"/>
  <c r="N101" i="42" s="1"/>
  <c r="M94" i="42" a="1"/>
  <c r="M94" i="42" s="1"/>
  <c r="N73" i="42" a="1"/>
  <c r="N73" i="42" s="1"/>
  <c r="N75" i="42" a="1"/>
  <c r="N75" i="42" s="1"/>
  <c r="N65" i="42" a="1"/>
  <c r="N65" i="42" s="1"/>
  <c r="M65" i="42" a="1"/>
  <c r="M65" i="42" s="1"/>
  <c r="N49" i="42" a="1"/>
  <c r="N49" i="42" s="1"/>
  <c r="N19" i="42" a="1"/>
  <c r="N19" i="42" s="1"/>
  <c r="M29" i="42" a="1"/>
  <c r="M29" i="42" s="1"/>
  <c r="M57" i="42" a="1"/>
  <c r="M57" i="42" s="1"/>
  <c r="M101" i="42" a="1"/>
  <c r="M101" i="42" s="1"/>
  <c r="M27" i="42" a="1"/>
  <c r="M27" i="42" s="1"/>
  <c r="N44" i="42" a="1"/>
  <c r="N44" i="42" s="1"/>
  <c r="M34" i="42" a="1"/>
  <c r="M34" i="42" s="1"/>
  <c r="M80" i="42" a="1"/>
  <c r="M80" i="42" s="1"/>
  <c r="N46" i="42" a="1"/>
  <c r="N46" i="42" s="1"/>
  <c r="M85" i="42" a="1"/>
  <c r="M85" i="42" s="1"/>
  <c r="M21" i="42" a="1"/>
  <c r="M21" i="42" s="1"/>
  <c r="N52" i="42" a="1"/>
  <c r="N52" i="42" s="1"/>
  <c r="M95" i="42" a="1"/>
  <c r="M95" i="42" s="1"/>
  <c r="N53" i="42" a="1"/>
  <c r="N53" i="42" s="1"/>
  <c r="M75" i="42" a="1"/>
  <c r="M75" i="42" s="1"/>
  <c r="M97" i="42" a="1"/>
  <c r="M97" i="42" s="1"/>
  <c r="M90" i="42" a="1"/>
  <c r="M90" i="42" s="1"/>
  <c r="M64" i="42" a="1"/>
  <c r="M64" i="42" s="1"/>
  <c r="M49" i="42" a="1"/>
  <c r="M49" i="42" s="1"/>
  <c r="M104" i="42" a="1"/>
  <c r="M104" i="42" s="1"/>
  <c r="N100" i="42" a="1"/>
  <c r="N100" i="42" s="1"/>
  <c r="BX117" i="39"/>
  <c r="BY102" i="39"/>
  <c r="BY112" i="39"/>
  <c r="BX99" i="39"/>
  <c r="BY80" i="39"/>
  <c r="BY69" i="39"/>
  <c r="BX85" i="39"/>
  <c r="BX78" i="39"/>
  <c r="BY65" i="39"/>
  <c r="BY38" i="39"/>
  <c r="BX30" i="39"/>
  <c r="BY19" i="39"/>
  <c r="BY22" i="39"/>
  <c r="BX40" i="39"/>
  <c r="BX17" i="39"/>
  <c r="BY86" i="39"/>
  <c r="BX31" i="39"/>
  <c r="BX101" i="39"/>
  <c r="BY87" i="39"/>
  <c r="BY59" i="39"/>
  <c r="BY111" i="39"/>
  <c r="BX54" i="39"/>
  <c r="BX49" i="39"/>
  <c r="BY90" i="39"/>
  <c r="BY16" i="39"/>
  <c r="BX97" i="39"/>
  <c r="BX120" i="39"/>
  <c r="BX27" i="39"/>
  <c r="BX14" i="39"/>
  <c r="BX123" i="39"/>
  <c r="BY98" i="39"/>
  <c r="BY89" i="39"/>
  <c r="BX92" i="39"/>
  <c r="BX94" i="39"/>
  <c r="BY92" i="39"/>
  <c r="BX74" i="39"/>
  <c r="BY76" i="39"/>
  <c r="BX51" i="39"/>
  <c r="BX65" i="39"/>
  <c r="BY45" i="39"/>
  <c r="BY49" i="39"/>
  <c r="BY18" i="39"/>
  <c r="BX32" i="39"/>
  <c r="BX20" i="39"/>
  <c r="BY100" i="39"/>
  <c r="BY67" i="39"/>
  <c r="BX114" i="39"/>
  <c r="BX118" i="39"/>
  <c r="BX57" i="39"/>
  <c r="BX90" i="39"/>
  <c r="BY52" i="39"/>
  <c r="BY55" i="39"/>
  <c r="BY107" i="39"/>
  <c r="BX45" i="39"/>
  <c r="BY103" i="39"/>
  <c r="BY25" i="39"/>
  <c r="BX62" i="39"/>
  <c r="BX119" i="39"/>
  <c r="BY114" i="39"/>
  <c r="BX105" i="39"/>
  <c r="BX83" i="39"/>
  <c r="BY88" i="39"/>
  <c r="BY85" i="39"/>
  <c r="BX70" i="39"/>
  <c r="BY72" i="39"/>
  <c r="BY48" i="39"/>
  <c r="BY57" i="39"/>
  <c r="BX44" i="39"/>
  <c r="BX43" i="39"/>
  <c r="BX16" i="39"/>
  <c r="BX24" i="39"/>
  <c r="BY37" i="39"/>
  <c r="BX104" i="39"/>
  <c r="BY62" i="39"/>
  <c r="BX106" i="39"/>
  <c r="BY20" i="39"/>
  <c r="BX46" i="39"/>
  <c r="BY121" i="39"/>
  <c r="BX98" i="39"/>
  <c r="BX41" i="39"/>
  <c r="BY56" i="39"/>
  <c r="BX58" i="39"/>
  <c r="BX110" i="39"/>
  <c r="BX53" i="39"/>
  <c r="BY91" i="39"/>
  <c r="BX115" i="39"/>
  <c r="BY118" i="39"/>
  <c r="BY97" i="39"/>
  <c r="BX79" i="39"/>
  <c r="BY101" i="39"/>
  <c r="BX82" i="39"/>
  <c r="BX66" i="39"/>
  <c r="BY68" i="39"/>
  <c r="BY42" i="39"/>
  <c r="BY53" i="39"/>
  <c r="BY39" i="39"/>
  <c r="BX60" i="39"/>
  <c r="BY15" i="39"/>
  <c r="BX59" i="39"/>
  <c r="BX22" i="39"/>
  <c r="BX116" i="39"/>
  <c r="BY70" i="39"/>
  <c r="BY14" i="39"/>
  <c r="BY46" i="39"/>
  <c r="BX63" i="39"/>
  <c r="BY32" i="39"/>
  <c r="BX108" i="39"/>
  <c r="BY74" i="39"/>
  <c r="BY77" i="39"/>
  <c r="BX95" i="39"/>
  <c r="BY123" i="39"/>
  <c r="BY54" i="39"/>
  <c r="BY115" i="39"/>
  <c r="BY124" i="39"/>
  <c r="BX111" i="39"/>
  <c r="BX107" i="39"/>
  <c r="BX75" i="39"/>
  <c r="BY83" i="39"/>
  <c r="BY75" i="39"/>
  <c r="BY78" i="39"/>
  <c r="BX72" i="39"/>
  <c r="BX37" i="39"/>
  <c r="BX47" i="39"/>
  <c r="BY35" i="39"/>
  <c r="BX56" i="39"/>
  <c r="BX33" i="39"/>
  <c r="BY34" i="39"/>
  <c r="BY29" i="39"/>
  <c r="BY28" i="39"/>
  <c r="BY84" i="39"/>
  <c r="BY17" i="39"/>
  <c r="BX15" i="39"/>
  <c r="BX71" i="39"/>
  <c r="BX61" i="39"/>
  <c r="BY99" i="39"/>
  <c r="BY81" i="39"/>
  <c r="BY66" i="39"/>
  <c r="BY104" i="39"/>
  <c r="BY43" i="39"/>
  <c r="BY93" i="39"/>
  <c r="BX122" i="39"/>
  <c r="BY117" i="39"/>
  <c r="BY110" i="39"/>
  <c r="BX100" i="39"/>
  <c r="BY122" i="39"/>
  <c r="BX88" i="39"/>
  <c r="BX73" i="39"/>
  <c r="BY71" i="39"/>
  <c r="BX68" i="39"/>
  <c r="BX48" i="39"/>
  <c r="BY44" i="39"/>
  <c r="BY31" i="39"/>
  <c r="BX52" i="39"/>
  <c r="BX36" i="39"/>
  <c r="BX29" i="39"/>
  <c r="BY60" i="39"/>
  <c r="BY50" i="39"/>
  <c r="BX96" i="39"/>
  <c r="BX77" i="39"/>
  <c r="BX26" i="39"/>
  <c r="BY116" i="39"/>
  <c r="BX35" i="39"/>
  <c r="BY33" i="39"/>
  <c r="BX80" i="39"/>
  <c r="BY119" i="39"/>
  <c r="BY41" i="39"/>
  <c r="BX67" i="39"/>
  <c r="BY106" i="39"/>
  <c r="BX125" i="39"/>
  <c r="BX109" i="39"/>
  <c r="BY113" i="39"/>
  <c r="BY120" i="39"/>
  <c r="BY109" i="39"/>
  <c r="BY82" i="39"/>
  <c r="BX69" i="39"/>
  <c r="BY63" i="39"/>
  <c r="BY79" i="39"/>
  <c r="BY47" i="39"/>
  <c r="BX38" i="39"/>
  <c r="BY27" i="39"/>
  <c r="BY30" i="39"/>
  <c r="BX28" i="39"/>
  <c r="BX25" i="39"/>
  <c r="BX93" i="39"/>
  <c r="BY40" i="39"/>
  <c r="BY108" i="39"/>
  <c r="BY58" i="39"/>
  <c r="BX19" i="39"/>
  <c r="BX87" i="39"/>
  <c r="BY21" i="39"/>
  <c r="BX18" i="39"/>
  <c r="BX76" i="39"/>
  <c r="BX124" i="39"/>
  <c r="BX112" i="39"/>
  <c r="BY51" i="39"/>
  <c r="BY125" i="39"/>
  <c r="BX121" i="39"/>
  <c r="BY105" i="39"/>
  <c r="BX113" i="39"/>
  <c r="BX102" i="39"/>
  <c r="BY94" i="39"/>
  <c r="BY73" i="39"/>
  <c r="BX86" i="39"/>
  <c r="BY61" i="39"/>
  <c r="BX81" i="39"/>
  <c r="BX42" i="39"/>
  <c r="BX34" i="39"/>
  <c r="BY23" i="39"/>
  <c r="BY26" i="39"/>
  <c r="BX55" i="39"/>
  <c r="BX21" i="39"/>
  <c r="BY95" i="39"/>
  <c r="BY36" i="39"/>
  <c r="BX103" i="39"/>
  <c r="BY64" i="39"/>
  <c r="BX39" i="39"/>
  <c r="BX89" i="39"/>
  <c r="BX91" i="39"/>
  <c r="BX23" i="39"/>
  <c r="BY96" i="39"/>
  <c r="BX64" i="39"/>
  <c r="BX50" i="39"/>
  <c r="BX84" i="39"/>
  <c r="BY24" i="39"/>
  <c r="AT115" i="42"/>
  <c r="AU106" i="42"/>
  <c r="AT87" i="42"/>
  <c r="AU98" i="42"/>
  <c r="AU76" i="42"/>
  <c r="AU74" i="42"/>
  <c r="AT62" i="42"/>
  <c r="AT86" i="42"/>
  <c r="AT38" i="42"/>
  <c r="AU44" i="42"/>
  <c r="AT53" i="42"/>
  <c r="AU22" i="42"/>
  <c r="AU21" i="42"/>
  <c r="AU42" i="42"/>
  <c r="AT109" i="42"/>
  <c r="AU14" i="42"/>
  <c r="AU83" i="42"/>
  <c r="AT22" i="42"/>
  <c r="AU46" i="42"/>
  <c r="AU120" i="42"/>
  <c r="AU39" i="42"/>
  <c r="AU33" i="42"/>
  <c r="AU125" i="42"/>
  <c r="AU105" i="42"/>
  <c r="AT52" i="42"/>
  <c r="AU93" i="42"/>
  <c r="AT64" i="42"/>
  <c r="AT80" i="42"/>
  <c r="AT108" i="42"/>
  <c r="AU100" i="42"/>
  <c r="AT83" i="42"/>
  <c r="AU91" i="42"/>
  <c r="AU72" i="42"/>
  <c r="AU70" i="42"/>
  <c r="AT58" i="42"/>
  <c r="AT73" i="42"/>
  <c r="AT34" i="42"/>
  <c r="AU32" i="42"/>
  <c r="AU40" i="42"/>
  <c r="AU20" i="42"/>
  <c r="AT18" i="42"/>
  <c r="AT43" i="42"/>
  <c r="AT121" i="42"/>
  <c r="AT28" i="42"/>
  <c r="AT92" i="42"/>
  <c r="AU50" i="42"/>
  <c r="AT66" i="42"/>
  <c r="AT113" i="42"/>
  <c r="AU49" i="42"/>
  <c r="AU68" i="42"/>
  <c r="AU119" i="42"/>
  <c r="AT45" i="42"/>
  <c r="AU111" i="42"/>
  <c r="AU101" i="42"/>
  <c r="AT60" i="42"/>
  <c r="AU99" i="42"/>
  <c r="AT122" i="42"/>
  <c r="AU104" i="42"/>
  <c r="AT106" i="42"/>
  <c r="AT102" i="42"/>
  <c r="AU87" i="42"/>
  <c r="AT93" i="42"/>
  <c r="AT81" i="42"/>
  <c r="AT54" i="42"/>
  <c r="AU69" i="42"/>
  <c r="AU53" i="42"/>
  <c r="AT29" i="42"/>
  <c r="AU36" i="42"/>
  <c r="AT19" i="42"/>
  <c r="AU25" i="42"/>
  <c r="AT63" i="42"/>
  <c r="AU116" i="42"/>
  <c r="AT20" i="42"/>
  <c r="AT117" i="42"/>
  <c r="AU52" i="42"/>
  <c r="AT101" i="42"/>
  <c r="AT116" i="42"/>
  <c r="AT41" i="42"/>
  <c r="AT76" i="42"/>
  <c r="AU19" i="42"/>
  <c r="AU56" i="42"/>
  <c r="AT85" i="42"/>
  <c r="AT120" i="42"/>
  <c r="AU79" i="42"/>
  <c r="AT118" i="42"/>
  <c r="AT112" i="42"/>
  <c r="AU118" i="42"/>
  <c r="AT94" i="42"/>
  <c r="AT82" i="42"/>
  <c r="AU77" i="42"/>
  <c r="AU65" i="42"/>
  <c r="AU63" i="42"/>
  <c r="AT69" i="42"/>
  <c r="AT48" i="42"/>
  <c r="AT25" i="42"/>
  <c r="AU48" i="42"/>
  <c r="AT31" i="42"/>
  <c r="AT47" i="42"/>
  <c r="AU86" i="42"/>
  <c r="AT15" i="42"/>
  <c r="AT97" i="42"/>
  <c r="AU95" i="42"/>
  <c r="AU67" i="42"/>
  <c r="AT84" i="42"/>
  <c r="AT16" i="42"/>
  <c r="AT46" i="42"/>
  <c r="AU64" i="42"/>
  <c r="AT30" i="42"/>
  <c r="AU90" i="42"/>
  <c r="AU107" i="42"/>
  <c r="AU113" i="42"/>
  <c r="AT100" i="42"/>
  <c r="AT114" i="42"/>
  <c r="AT104" i="42"/>
  <c r="AU102" i="42"/>
  <c r="AU88" i="42"/>
  <c r="AT79" i="42"/>
  <c r="AU73" i="42"/>
  <c r="AU62" i="42"/>
  <c r="AU59" i="42"/>
  <c r="AU61" i="42"/>
  <c r="AT44" i="42"/>
  <c r="AT21" i="42"/>
  <c r="AU28" i="42"/>
  <c r="AU18" i="42"/>
  <c r="AT24" i="42"/>
  <c r="AT88" i="42"/>
  <c r="AU29" i="42"/>
  <c r="AT42" i="42"/>
  <c r="AT105" i="42"/>
  <c r="AU71" i="42"/>
  <c r="AU85" i="42"/>
  <c r="AU35" i="42"/>
  <c r="AT55" i="42"/>
  <c r="AU92" i="42"/>
  <c r="AT70" i="42"/>
  <c r="AT99" i="42"/>
  <c r="AU117" i="42"/>
  <c r="AU37" i="42"/>
  <c r="AT95" i="42"/>
  <c r="AT110" i="42"/>
  <c r="AU110" i="42"/>
  <c r="AT98" i="42"/>
  <c r="AU84" i="42"/>
  <c r="AT75" i="42"/>
  <c r="AT90" i="42"/>
  <c r="AU58" i="42"/>
  <c r="AU55" i="42"/>
  <c r="AU57" i="42"/>
  <c r="AT40" i="42"/>
  <c r="AT32" i="42"/>
  <c r="AU24" i="42"/>
  <c r="AU16" i="42"/>
  <c r="AT26" i="42"/>
  <c r="AT96" i="42"/>
  <c r="AT50" i="42"/>
  <c r="AT35" i="42"/>
  <c r="AU112" i="42"/>
  <c r="AU80" i="42"/>
  <c r="AU109" i="42"/>
  <c r="AT33" i="42"/>
  <c r="AU31" i="42"/>
  <c r="AT103" i="42"/>
  <c r="AT78" i="42"/>
  <c r="AU124" i="42"/>
  <c r="AT59" i="42"/>
  <c r="AU81" i="42"/>
  <c r="AT111" i="42"/>
  <c r="AT123" i="42"/>
  <c r="AU122" i="42"/>
  <c r="AU94" i="42"/>
  <c r="AU96" i="42"/>
  <c r="AT71" i="42"/>
  <c r="AU82" i="42"/>
  <c r="AU54" i="42"/>
  <c r="AU51" i="42"/>
  <c r="AT77" i="42"/>
  <c r="AT36" i="42"/>
  <c r="AU30" i="42"/>
  <c r="AT23" i="42"/>
  <c r="AU17" i="42"/>
  <c r="AU45" i="42"/>
  <c r="AT125" i="42"/>
  <c r="AU27" i="42"/>
  <c r="AU60" i="42"/>
  <c r="AT124" i="42"/>
  <c r="AU15" i="42"/>
  <c r="AU97" i="42"/>
  <c r="AT39" i="42"/>
  <c r="AT37" i="42"/>
  <c r="AU103" i="42"/>
  <c r="AU75" i="42"/>
  <c r="AU121" i="42"/>
  <c r="AT74" i="42"/>
  <c r="AU41" i="42"/>
  <c r="AT56" i="42"/>
  <c r="AT119" i="42"/>
  <c r="AU114" i="42"/>
  <c r="AT91" i="42"/>
  <c r="AU108" i="42"/>
  <c r="AT67" i="42"/>
  <c r="AU78" i="42"/>
  <c r="AT65" i="42"/>
  <c r="AU66" i="42"/>
  <c r="AT61" i="42"/>
  <c r="AT57" i="42"/>
  <c r="AU26" i="42"/>
  <c r="AT27" i="42"/>
  <c r="AT17" i="42"/>
  <c r="AU47" i="42"/>
  <c r="AT107" i="42"/>
  <c r="AU43" i="42"/>
  <c r="AT72" i="42"/>
  <c r="AT14" i="42"/>
  <c r="AU34" i="42"/>
  <c r="AU115" i="42"/>
  <c r="AT49" i="42"/>
  <c r="AU23" i="42"/>
  <c r="AU123" i="42"/>
  <c r="AU89" i="42"/>
  <c r="AU38" i="42"/>
  <c r="AT89" i="42"/>
  <c r="AT51" i="42"/>
  <c r="AT68" i="42"/>
  <c r="BJ108" i="42"/>
  <c r="BI113" i="42"/>
  <c r="BJ102" i="42"/>
  <c r="BI90" i="42"/>
  <c r="BJ67" i="42"/>
  <c r="BI77" i="42"/>
  <c r="BJ77" i="42"/>
  <c r="BI64" i="42"/>
  <c r="BJ122" i="42"/>
  <c r="BJ104" i="42"/>
  <c r="BJ118" i="42"/>
  <c r="BI121" i="42"/>
  <c r="BJ91" i="42"/>
  <c r="BI95" i="42"/>
  <c r="BJ86" i="42"/>
  <c r="BI79" i="42"/>
  <c r="BI69" i="42"/>
  <c r="BJ62" i="42"/>
  <c r="BI56" i="42"/>
  <c r="BJ114" i="42"/>
  <c r="BJ112" i="42"/>
  <c r="BJ87" i="42"/>
  <c r="BI117" i="42"/>
  <c r="BJ82" i="42"/>
  <c r="BI75" i="42"/>
  <c r="BI68" i="42"/>
  <c r="BJ58" i="42"/>
  <c r="BJ57" i="42"/>
  <c r="BJ53" i="42"/>
  <c r="BJ21" i="42"/>
  <c r="BI27" i="42"/>
  <c r="BI15" i="42"/>
  <c r="BJ56" i="42"/>
  <c r="BI114" i="42"/>
  <c r="BJ20" i="42"/>
  <c r="BJ109" i="42"/>
  <c r="BJ110" i="42"/>
  <c r="BI109" i="42"/>
  <c r="BJ83" i="42"/>
  <c r="BJ100" i="42"/>
  <c r="BJ90" i="42"/>
  <c r="BI76" i="42"/>
  <c r="BI67" i="42"/>
  <c r="BJ119" i="42"/>
  <c r="BI99" i="42"/>
  <c r="BI91" i="42"/>
  <c r="BI101" i="42"/>
  <c r="BJ75" i="42"/>
  <c r="BJ115" i="42"/>
  <c r="BJ106" i="42"/>
  <c r="BI87" i="42"/>
  <c r="BJ93" i="42"/>
  <c r="BJ71" i="42"/>
  <c r="BI80" i="42"/>
  <c r="BI53" i="42"/>
  <c r="BI71" i="42"/>
  <c r="BJ50" i="42"/>
  <c r="BJ36" i="42"/>
  <c r="BJ32" i="42"/>
  <c r="BJ23" i="42"/>
  <c r="BI33" i="42"/>
  <c r="BJ68" i="42"/>
  <c r="BI26" i="42"/>
  <c r="BJ59" i="42"/>
  <c r="BJ17" i="42"/>
  <c r="BJ98" i="42"/>
  <c r="BI73" i="42"/>
  <c r="BJ69" i="42"/>
  <c r="BJ40" i="42"/>
  <c r="BI47" i="42"/>
  <c r="BJ31" i="42"/>
  <c r="BI84" i="42"/>
  <c r="BJ43" i="42"/>
  <c r="BJ121" i="42"/>
  <c r="BI45" i="42"/>
  <c r="BJ84" i="42"/>
  <c r="BJ37" i="42"/>
  <c r="BJ99" i="42"/>
  <c r="BI42" i="42"/>
  <c r="BJ33" i="42"/>
  <c r="BI106" i="42"/>
  <c r="BJ125" i="42"/>
  <c r="BI20" i="42"/>
  <c r="BJ111" i="42"/>
  <c r="BI112" i="42"/>
  <c r="BJ94" i="42"/>
  <c r="BI61" i="42"/>
  <c r="BJ61" i="42"/>
  <c r="BI43" i="42"/>
  <c r="BI31" i="42"/>
  <c r="BI18" i="42"/>
  <c r="BI92" i="42"/>
  <c r="BI30" i="42"/>
  <c r="BI111" i="42"/>
  <c r="BI37" i="42"/>
  <c r="BJ89" i="42"/>
  <c r="BI66" i="42"/>
  <c r="BJ124" i="42"/>
  <c r="BJ70" i="42"/>
  <c r="BI50" i="42"/>
  <c r="BJ113" i="42"/>
  <c r="BI88" i="42"/>
  <c r="BI55" i="42"/>
  <c r="BJ117" i="42"/>
  <c r="BI118" i="42"/>
  <c r="BI97" i="42"/>
  <c r="BI57" i="42"/>
  <c r="BI52" i="42"/>
  <c r="BJ29" i="42"/>
  <c r="BI23" i="42"/>
  <c r="BI16" i="42"/>
  <c r="BJ88" i="42"/>
  <c r="BJ49" i="42"/>
  <c r="BJ14" i="42"/>
  <c r="BJ45" i="42"/>
  <c r="BJ103" i="42"/>
  <c r="BI63" i="42"/>
  <c r="BI115" i="42"/>
  <c r="BI40" i="42"/>
  <c r="BI62" i="42"/>
  <c r="BJ92" i="42"/>
  <c r="BJ97" i="42"/>
  <c r="BJ64" i="42"/>
  <c r="BJ85" i="42"/>
  <c r="BI120" i="42"/>
  <c r="BI86" i="42"/>
  <c r="BJ65" i="42"/>
  <c r="BJ38" i="42"/>
  <c r="BJ25" i="42"/>
  <c r="BI21" i="42"/>
  <c r="BI24" i="42"/>
  <c r="BJ80" i="42"/>
  <c r="BJ30" i="42"/>
  <c r="BI32" i="42"/>
  <c r="BJ51" i="42"/>
  <c r="BJ95" i="42"/>
  <c r="BI54" i="42"/>
  <c r="BJ15" i="42"/>
  <c r="BJ47" i="42"/>
  <c r="BI81" i="42"/>
  <c r="BI98" i="42"/>
  <c r="BI108" i="42"/>
  <c r="BI100" i="42"/>
  <c r="BI96" i="42"/>
  <c r="BJ79" i="42"/>
  <c r="BJ54" i="42"/>
  <c r="BJ34" i="42"/>
  <c r="BI35" i="42"/>
  <c r="BI34" i="42"/>
  <c r="BJ41" i="42"/>
  <c r="BJ107" i="42"/>
  <c r="BI36" i="42"/>
  <c r="BI28" i="42"/>
  <c r="BJ52" i="42"/>
  <c r="BJ39" i="42"/>
  <c r="BI59" i="42"/>
  <c r="BJ16" i="42"/>
  <c r="BJ72" i="42"/>
  <c r="BI70" i="42"/>
  <c r="BJ120" i="42"/>
  <c r="BI122" i="42"/>
  <c r="BI94" i="42"/>
  <c r="BI102" i="42"/>
  <c r="BJ123" i="42"/>
  <c r="BI83" i="42"/>
  <c r="BI58" i="42"/>
  <c r="BJ73" i="42"/>
  <c r="BI29" i="42"/>
  <c r="BJ19" i="42"/>
  <c r="BJ55" i="42"/>
  <c r="BI116" i="42"/>
  <c r="BJ66" i="42"/>
  <c r="BI49" i="42"/>
  <c r="BJ63" i="42"/>
  <c r="BI46" i="42"/>
  <c r="BI82" i="42"/>
  <c r="BI44" i="42"/>
  <c r="BJ28" i="42"/>
  <c r="BI89" i="42"/>
  <c r="BI17" i="42"/>
  <c r="BI124" i="42"/>
  <c r="BI119" i="42"/>
  <c r="BJ105" i="42"/>
  <c r="BI103" i="42"/>
  <c r="BI72" i="42"/>
  <c r="BI125" i="42"/>
  <c r="BJ48" i="42"/>
  <c r="BI25" i="42"/>
  <c r="BJ27" i="42"/>
  <c r="BI65" i="42"/>
  <c r="BJ116" i="42"/>
  <c r="BI110" i="42"/>
  <c r="BI41" i="42"/>
  <c r="BI51" i="42"/>
  <c r="BI48" i="42"/>
  <c r="BI74" i="42"/>
  <c r="BJ22" i="42"/>
  <c r="BI22" i="42"/>
  <c r="BI107" i="42"/>
  <c r="BJ24" i="42"/>
  <c r="BI123" i="42"/>
  <c r="BJ60" i="42"/>
  <c r="BJ96" i="42"/>
  <c r="BI93" i="42"/>
  <c r="BJ81" i="42"/>
  <c r="BI60" i="42"/>
  <c r="BJ44" i="42"/>
  <c r="BI39" i="42"/>
  <c r="BI19" i="42"/>
  <c r="BI78" i="42"/>
  <c r="BJ35" i="42"/>
  <c r="BI105" i="42"/>
  <c r="BJ46" i="42"/>
  <c r="BJ76" i="42"/>
  <c r="BI38" i="42"/>
  <c r="BJ74" i="42"/>
  <c r="BJ26" i="42"/>
  <c r="BJ42" i="42"/>
  <c r="BI104" i="42"/>
  <c r="BI85" i="42"/>
  <c r="BJ18" i="42"/>
  <c r="BJ78" i="42"/>
  <c r="BJ101" i="42"/>
  <c r="BI14" i="42"/>
  <c r="AT120" i="39"/>
  <c r="AU115" i="39"/>
  <c r="AU125" i="39"/>
  <c r="AT103" i="39"/>
  <c r="AT89" i="39"/>
  <c r="AT85" i="39"/>
  <c r="AT94" i="39"/>
  <c r="AU64" i="39"/>
  <c r="AT61" i="39"/>
  <c r="AT44" i="39"/>
  <c r="AT23" i="39"/>
  <c r="AU40" i="39"/>
  <c r="AT53" i="39"/>
  <c r="AT41" i="39"/>
  <c r="AT30" i="39"/>
  <c r="AU65" i="39"/>
  <c r="AU82" i="39"/>
  <c r="AU63" i="39"/>
  <c r="AT54" i="39"/>
  <c r="AT86" i="39"/>
  <c r="AU42" i="39"/>
  <c r="AU117" i="39"/>
  <c r="AT55" i="39"/>
  <c r="AT15" i="39"/>
  <c r="AU76" i="39"/>
  <c r="AU120" i="39"/>
  <c r="AT64" i="39"/>
  <c r="AT20" i="39"/>
  <c r="AT116" i="39"/>
  <c r="AT108" i="39"/>
  <c r="AU102" i="39"/>
  <c r="AU89" i="39"/>
  <c r="AU81" i="39"/>
  <c r="AU74" i="39"/>
  <c r="AU80" i="39"/>
  <c r="AT73" i="39"/>
  <c r="AU50" i="39"/>
  <c r="AU39" i="39"/>
  <c r="AT60" i="39"/>
  <c r="AU36" i="39"/>
  <c r="AU31" i="39"/>
  <c r="AT29" i="39"/>
  <c r="AT26" i="39"/>
  <c r="AU55" i="39"/>
  <c r="AU94" i="39"/>
  <c r="AU105" i="39"/>
  <c r="AU56" i="39"/>
  <c r="AT99" i="39"/>
  <c r="AU21" i="39"/>
  <c r="AU100" i="39"/>
  <c r="AU61" i="39"/>
  <c r="AT32" i="39"/>
  <c r="AU107" i="39"/>
  <c r="CB107" i="39" s="1"/>
  <c r="AU25" i="39"/>
  <c r="AU96" i="39"/>
  <c r="AT109" i="39"/>
  <c r="AU118" i="39"/>
  <c r="AU119" i="39"/>
  <c r="AU114" i="39"/>
  <c r="AT84" i="39"/>
  <c r="AU77" i="39"/>
  <c r="AU70" i="39"/>
  <c r="AT71" i="39"/>
  <c r="AT69" i="39"/>
  <c r="AU45" i="39"/>
  <c r="AU49" i="39"/>
  <c r="AU58" i="39"/>
  <c r="AU32" i="39"/>
  <c r="AU27" i="39"/>
  <c r="AT25" i="39"/>
  <c r="AT22" i="39"/>
  <c r="AU72" i="39"/>
  <c r="AT102" i="39"/>
  <c r="AT119" i="39"/>
  <c r="AU51" i="39"/>
  <c r="AU109" i="39"/>
  <c r="AU41" i="39"/>
  <c r="AT113" i="39"/>
  <c r="AU53" i="39"/>
  <c r="CB53" i="39" s="1"/>
  <c r="AU60" i="39"/>
  <c r="AT19" i="39"/>
  <c r="AT115" i="39"/>
  <c r="AU124" i="39"/>
  <c r="AU110" i="39"/>
  <c r="AT114" i="39"/>
  <c r="AU111" i="39"/>
  <c r="AU106" i="39"/>
  <c r="AT80" i="39"/>
  <c r="AT93" i="39"/>
  <c r="AT87" i="39"/>
  <c r="AT67" i="39"/>
  <c r="AU62" i="39"/>
  <c r="AU44" i="39"/>
  <c r="AU43" i="39"/>
  <c r="AT56" i="39"/>
  <c r="AU28" i="39"/>
  <c r="AU23" i="39"/>
  <c r="AT21" i="39"/>
  <c r="AT18" i="39"/>
  <c r="AT98" i="39"/>
  <c r="AU113" i="39"/>
  <c r="AU18" i="39"/>
  <c r="AT50" i="39"/>
  <c r="AT33" i="39"/>
  <c r="AT58" i="39"/>
  <c r="AT28" i="39"/>
  <c r="AT90" i="39"/>
  <c r="AT97" i="39"/>
  <c r="AU116" i="39"/>
  <c r="AT48" i="39"/>
  <c r="AT111" i="39"/>
  <c r="AT123" i="39"/>
  <c r="AT110" i="39"/>
  <c r="AU98" i="39"/>
  <c r="AT106" i="39"/>
  <c r="AT76" i="39"/>
  <c r="AT92" i="39"/>
  <c r="AU79" i="39"/>
  <c r="AU93" i="39"/>
  <c r="AU75" i="39"/>
  <c r="AT38" i="39"/>
  <c r="AT39" i="39"/>
  <c r="AU54" i="39"/>
  <c r="AU24" i="39"/>
  <c r="AU19" i="39"/>
  <c r="AT17" i="39"/>
  <c r="AT14" i="39"/>
  <c r="AT68" i="39"/>
  <c r="AU15" i="39"/>
  <c r="AT36" i="39"/>
  <c r="AT47" i="39"/>
  <c r="AT65" i="39"/>
  <c r="AT51" i="39"/>
  <c r="AU30" i="39"/>
  <c r="AU112" i="39"/>
  <c r="AU87" i="39"/>
  <c r="AU26" i="39"/>
  <c r="AT46" i="39"/>
  <c r="AT16" i="39"/>
  <c r="AT122" i="39"/>
  <c r="AU108" i="39"/>
  <c r="AU95" i="39"/>
  <c r="AT101" i="39"/>
  <c r="AU123" i="39"/>
  <c r="AU84" i="39"/>
  <c r="AT74" i="39"/>
  <c r="AT83" i="39"/>
  <c r="AT75" i="39"/>
  <c r="AU66" i="39"/>
  <c r="AT35" i="39"/>
  <c r="AT49" i="39"/>
  <c r="AU20" i="39"/>
  <c r="AU47" i="39"/>
  <c r="AU16" i="39"/>
  <c r="AU22" i="39"/>
  <c r="AT77" i="39"/>
  <c r="AU34" i="39"/>
  <c r="AU29" i="39"/>
  <c r="AU71" i="39"/>
  <c r="AU59" i="39"/>
  <c r="AU78" i="39"/>
  <c r="AU68" i="39"/>
  <c r="AT100" i="39"/>
  <c r="AT125" i="39"/>
  <c r="AU121" i="39"/>
  <c r="AT59" i="39"/>
  <c r="AT40" i="39"/>
  <c r="AU14" i="39"/>
  <c r="AT118" i="39"/>
  <c r="AU103" i="39"/>
  <c r="AU90" i="39"/>
  <c r="AU104" i="39"/>
  <c r="AT112" i="39"/>
  <c r="AT82" i="39"/>
  <c r="AT70" i="39"/>
  <c r="AU73" i="39"/>
  <c r="AT66" i="39"/>
  <c r="AT63" i="39"/>
  <c r="AT31" i="39"/>
  <c r="AU46" i="39"/>
  <c r="AT78" i="39"/>
  <c r="AT37" i="39"/>
  <c r="AT34" i="39"/>
  <c r="AU37" i="39"/>
  <c r="AU91" i="39"/>
  <c r="AU17" i="39"/>
  <c r="AT52" i="39"/>
  <c r="AT72" i="39"/>
  <c r="AU67" i="39"/>
  <c r="AU92" i="39"/>
  <c r="AU52" i="39"/>
  <c r="AT91" i="39"/>
  <c r="AU33" i="39"/>
  <c r="AT117" i="39"/>
  <c r="AT105" i="39"/>
  <c r="AU88" i="39"/>
  <c r="AT124" i="39"/>
  <c r="AU99" i="39"/>
  <c r="AU86" i="39"/>
  <c r="AT104" i="39"/>
  <c r="AU97" i="39"/>
  <c r="AU85" i="39"/>
  <c r="AT79" i="39"/>
  <c r="AU69" i="39"/>
  <c r="AU83" i="39"/>
  <c r="AT45" i="39"/>
  <c r="AT27" i="39"/>
  <c r="AT43" i="39"/>
  <c r="AT57" i="39"/>
  <c r="AU35" i="39"/>
  <c r="AU48" i="39"/>
  <c r="AT42" i="39"/>
  <c r="AT81" i="39"/>
  <c r="CA81" i="39" s="1"/>
  <c r="AU38" i="39"/>
  <c r="AT24" i="39"/>
  <c r="CA24" i="39" s="1"/>
  <c r="AT95" i="39"/>
  <c r="AT96" i="39"/>
  <c r="AU101" i="39"/>
  <c r="AT62" i="39"/>
  <c r="AU122" i="39"/>
  <c r="AU57" i="39"/>
  <c r="AT107" i="39"/>
  <c r="AT88" i="39"/>
  <c r="AT121" i="39"/>
  <c r="BJ109" i="44"/>
  <c r="BI105" i="44"/>
  <c r="BJ110" i="44"/>
  <c r="BJ99" i="44"/>
  <c r="BI91" i="44"/>
  <c r="BI56" i="44"/>
  <c r="BJ106" i="44"/>
  <c r="BJ54" i="44"/>
  <c r="BJ52" i="44"/>
  <c r="BJ42" i="44"/>
  <c r="BJ40" i="44"/>
  <c r="BI24" i="44"/>
  <c r="BI30" i="44"/>
  <c r="BJ22" i="44"/>
  <c r="BJ19" i="44"/>
  <c r="BJ116" i="44"/>
  <c r="BJ26" i="44"/>
  <c r="BI65" i="44"/>
  <c r="BI111" i="44"/>
  <c r="BJ76" i="44"/>
  <c r="BI32" i="44"/>
  <c r="BJ67" i="44"/>
  <c r="BJ47" i="44"/>
  <c r="BJ91" i="44"/>
  <c r="BI104" i="44"/>
  <c r="BJ108" i="44"/>
  <c r="BI117" i="44"/>
  <c r="BJ90" i="44"/>
  <c r="BI52" i="44"/>
  <c r="BI98" i="44"/>
  <c r="BJ50" i="44"/>
  <c r="BI81" i="44"/>
  <c r="BJ64" i="44"/>
  <c r="BI43" i="44"/>
  <c r="BJ20" i="44"/>
  <c r="BI16" i="44"/>
  <c r="BJ18" i="44"/>
  <c r="BI79" i="44"/>
  <c r="BI99" i="44"/>
  <c r="BJ36" i="44"/>
  <c r="BJ55" i="44"/>
  <c r="BJ87" i="44"/>
  <c r="BI103" i="44"/>
  <c r="BI97" i="44"/>
  <c r="BJ113" i="44"/>
  <c r="BI93" i="44"/>
  <c r="BI48" i="44"/>
  <c r="BJ82" i="44"/>
  <c r="BI82" i="44"/>
  <c r="BJ72" i="44"/>
  <c r="BJ125" i="44"/>
  <c r="BI59" i="44"/>
  <c r="BJ16" i="44"/>
  <c r="BI35" i="44"/>
  <c r="BJ37" i="44"/>
  <c r="BI58" i="44"/>
  <c r="BJ120" i="44"/>
  <c r="BJ43" i="44"/>
  <c r="BJ86" i="44"/>
  <c r="BJ17" i="44"/>
  <c r="BI107" i="44"/>
  <c r="BJ24" i="44"/>
  <c r="BI89" i="44"/>
  <c r="BJ21" i="44"/>
  <c r="BI40" i="44"/>
  <c r="BI49" i="44"/>
  <c r="BI100" i="44"/>
  <c r="BI20" i="44"/>
  <c r="BJ124" i="44"/>
  <c r="BI109" i="44"/>
  <c r="BJ102" i="44"/>
  <c r="BJ94" i="44"/>
  <c r="BI113" i="44"/>
  <c r="BI85" i="44"/>
  <c r="BJ78" i="44"/>
  <c r="BJ77" i="44"/>
  <c r="BJ74" i="44"/>
  <c r="BI63" i="44"/>
  <c r="BJ85" i="44"/>
  <c r="BI51" i="44"/>
  <c r="BJ27" i="44"/>
  <c r="BJ29" i="44"/>
  <c r="BI31" i="44"/>
  <c r="BJ41" i="44"/>
  <c r="BI110" i="44"/>
  <c r="BI45" i="44"/>
  <c r="BJ123" i="44"/>
  <c r="BJ115" i="44"/>
  <c r="BJ84" i="44"/>
  <c r="BI38" i="44"/>
  <c r="BI108" i="44"/>
  <c r="BI22" i="44"/>
  <c r="BI46" i="44"/>
  <c r="BJ105" i="44"/>
  <c r="BJ118" i="44"/>
  <c r="BJ83" i="44"/>
  <c r="BJ96" i="44"/>
  <c r="BI72" i="44"/>
  <c r="BJ61" i="44"/>
  <c r="BJ70" i="44"/>
  <c r="BI74" i="44"/>
  <c r="BJ68" i="44"/>
  <c r="BI71" i="44"/>
  <c r="BI47" i="44"/>
  <c r="BI23" i="44"/>
  <c r="BJ44" i="44"/>
  <c r="BI55" i="44"/>
  <c r="BI94" i="44"/>
  <c r="BI118" i="44"/>
  <c r="BJ49" i="44"/>
  <c r="BI88" i="44"/>
  <c r="BI18" i="44"/>
  <c r="BI123" i="44"/>
  <c r="BJ45" i="44"/>
  <c r="BI87" i="44"/>
  <c r="BI125" i="44"/>
  <c r="BJ104" i="44"/>
  <c r="BJ114" i="44"/>
  <c r="BJ79" i="44"/>
  <c r="BJ112" i="44"/>
  <c r="BI68" i="44"/>
  <c r="BJ57" i="44"/>
  <c r="BJ66" i="44"/>
  <c r="BI67" i="44"/>
  <c r="BJ93" i="44"/>
  <c r="BJ122" i="44"/>
  <c r="BJ100" i="44"/>
  <c r="BI102" i="44"/>
  <c r="BJ75" i="44"/>
  <c r="BJ98" i="44"/>
  <c r="BI64" i="44"/>
  <c r="BJ53" i="44"/>
  <c r="BJ62" i="44"/>
  <c r="BJ60" i="44"/>
  <c r="BI50" i="44"/>
  <c r="BI42" i="44"/>
  <c r="BI27" i="44"/>
  <c r="BJ35" i="44"/>
  <c r="BI29" i="44"/>
  <c r="BI19" i="44"/>
  <c r="BI75" i="44"/>
  <c r="BI121" i="44"/>
  <c r="BJ95" i="44"/>
  <c r="BJ117" i="44"/>
  <c r="BI101" i="44"/>
  <c r="BI96" i="44"/>
  <c r="BI60" i="44"/>
  <c r="BI78" i="44"/>
  <c r="BJ58" i="44"/>
  <c r="BJ56" i="44"/>
  <c r="BJ46" i="44"/>
  <c r="BI39" i="44"/>
  <c r="BI25" i="44"/>
  <c r="BI33" i="44"/>
  <c r="BI26" i="44"/>
  <c r="BJ14" i="44"/>
  <c r="BI84" i="44"/>
  <c r="BI14" i="44"/>
  <c r="BI53" i="44"/>
  <c r="BI106" i="44"/>
  <c r="BI66" i="44"/>
  <c r="BJ34" i="44"/>
  <c r="BI57" i="44"/>
  <c r="BJ39" i="44"/>
  <c r="BI112" i="44"/>
  <c r="BJ23" i="44"/>
  <c r="BI34" i="44"/>
  <c r="BJ88" i="44"/>
  <c r="BJ107" i="44"/>
  <c r="BI90" i="44"/>
  <c r="BI86" i="44"/>
  <c r="BI21" i="44"/>
  <c r="BI116" i="44"/>
  <c r="BJ48" i="44"/>
  <c r="BI69" i="44"/>
  <c r="BI80" i="44"/>
  <c r="BI122" i="44"/>
  <c r="BJ15" i="44"/>
  <c r="BJ89" i="44"/>
  <c r="BI17" i="44"/>
  <c r="BI95" i="44"/>
  <c r="BJ33" i="44"/>
  <c r="BJ73" i="44"/>
  <c r="BJ119" i="44"/>
  <c r="BI62" i="44"/>
  <c r="BI36" i="44"/>
  <c r="BJ80" i="44"/>
  <c r="BI37" i="44"/>
  <c r="BI83" i="44"/>
  <c r="BI15" i="44"/>
  <c r="BI124" i="44"/>
  <c r="BJ30" i="44"/>
  <c r="BI76" i="44"/>
  <c r="BJ28" i="44"/>
  <c r="BI114" i="44"/>
  <c r="BI28" i="44"/>
  <c r="BJ31" i="44"/>
  <c r="BJ121" i="44"/>
  <c r="BJ71" i="44"/>
  <c r="BJ81" i="44"/>
  <c r="BI70" i="44"/>
  <c r="BI120" i="44"/>
  <c r="BJ38" i="44"/>
  <c r="BJ25" i="44"/>
  <c r="BJ103" i="44"/>
  <c r="BI61" i="44"/>
  <c r="BI115" i="44"/>
  <c r="BI44" i="44"/>
  <c r="BJ111" i="44"/>
  <c r="BJ51" i="44"/>
  <c r="BJ65" i="44"/>
  <c r="BJ32" i="44"/>
  <c r="BJ59" i="44"/>
  <c r="BI119" i="44"/>
  <c r="BI73" i="44"/>
  <c r="BJ69" i="44"/>
  <c r="BI92" i="44"/>
  <c r="BI54" i="44"/>
  <c r="BI41" i="44"/>
  <c r="BJ97" i="44"/>
  <c r="BI77" i="44"/>
  <c r="BJ63" i="44"/>
  <c r="BJ101" i="44"/>
  <c r="BJ92" i="44"/>
  <c r="BX113" i="38"/>
  <c r="BX123" i="38"/>
  <c r="BX100" i="38"/>
  <c r="BY91" i="38"/>
  <c r="BY93" i="38"/>
  <c r="BY78" i="38"/>
  <c r="BX59" i="38"/>
  <c r="BY86" i="38"/>
  <c r="BY73" i="38"/>
  <c r="BY54" i="38"/>
  <c r="BX35" i="38"/>
  <c r="BX49" i="38"/>
  <c r="BY26" i="38"/>
  <c r="BX31" i="38"/>
  <c r="BX21" i="38"/>
  <c r="BX92" i="38"/>
  <c r="BY38" i="38"/>
  <c r="BY25" i="38"/>
  <c r="BX14" i="38"/>
  <c r="BX40" i="38"/>
  <c r="BY116" i="38"/>
  <c r="BX68" i="38"/>
  <c r="BX120" i="38"/>
  <c r="BY66" i="38"/>
  <c r="BY88" i="38"/>
  <c r="BY104" i="38"/>
  <c r="BX116" i="38"/>
  <c r="BY27" i="38"/>
  <c r="BX109" i="38"/>
  <c r="BX119" i="38"/>
  <c r="BX96" i="38"/>
  <c r="BY87" i="38"/>
  <c r="BY90" i="38"/>
  <c r="BX73" i="38"/>
  <c r="BY76" i="38"/>
  <c r="BX85" i="38"/>
  <c r="BX71" i="38"/>
  <c r="BY50" i="38"/>
  <c r="BX63" i="38"/>
  <c r="BY48" i="38"/>
  <c r="BX22" i="38"/>
  <c r="BY18" i="38"/>
  <c r="BX24" i="38"/>
  <c r="BX80" i="38"/>
  <c r="BY122" i="38"/>
  <c r="BX115" i="38"/>
  <c r="BY101" i="38"/>
  <c r="BY83" i="38"/>
  <c r="BY82" i="38"/>
  <c r="BY95" i="38"/>
  <c r="BX65" i="38"/>
  <c r="BY74" i="38"/>
  <c r="BX45" i="38"/>
  <c r="BY47" i="38"/>
  <c r="BY43" i="38"/>
  <c r="BX43" i="38"/>
  <c r="BY20" i="38"/>
  <c r="BY16" i="38"/>
  <c r="BY14" i="38"/>
  <c r="BX104" i="38"/>
  <c r="BX88" i="38"/>
  <c r="BY41" i="38"/>
  <c r="BY21" i="38"/>
  <c r="BY45" i="38"/>
  <c r="BX48" i="38"/>
  <c r="BX64" i="38"/>
  <c r="BX58" i="38"/>
  <c r="BY107" i="38"/>
  <c r="BY108" i="38"/>
  <c r="BY69" i="38"/>
  <c r="BX19" i="38"/>
  <c r="BX54" i="38"/>
  <c r="BY118" i="38"/>
  <c r="BX111" i="38"/>
  <c r="BY121" i="38"/>
  <c r="BY103" i="38"/>
  <c r="BX79" i="38"/>
  <c r="BX83" i="38"/>
  <c r="BY62" i="38"/>
  <c r="BX86" i="38"/>
  <c r="BY44" i="38"/>
  <c r="BX55" i="38"/>
  <c r="BY31" i="38"/>
  <c r="BY59" i="38"/>
  <c r="BY42" i="38"/>
  <c r="BY33" i="38"/>
  <c r="BY71" i="38"/>
  <c r="BX124" i="38"/>
  <c r="BY70" i="38"/>
  <c r="BY53" i="38"/>
  <c r="BY29" i="38"/>
  <c r="BY75" i="38"/>
  <c r="BY35" i="38"/>
  <c r="BY94" i="38"/>
  <c r="BX76" i="38"/>
  <c r="BX106" i="38"/>
  <c r="BX112" i="38"/>
  <c r="BY72" i="38"/>
  <c r="BX60" i="38"/>
  <c r="BX103" i="38"/>
  <c r="BY123" i="38"/>
  <c r="BY113" i="38"/>
  <c r="BY114" i="38"/>
  <c r="BY96" i="38"/>
  <c r="BY100" i="38"/>
  <c r="BX82" i="38"/>
  <c r="BY60" i="38"/>
  <c r="BX69" i="38"/>
  <c r="BX39" i="38"/>
  <c r="BX47" i="38"/>
  <c r="BY28" i="38"/>
  <c r="BY51" i="38"/>
  <c r="BX26" i="38"/>
  <c r="BX18" i="38"/>
  <c r="BX38" i="38"/>
  <c r="BX29" i="38"/>
  <c r="BY102" i="38"/>
  <c r="BX50" i="38"/>
  <c r="BY46" i="38"/>
  <c r="BY84" i="38"/>
  <c r="BX32" i="38"/>
  <c r="BY57" i="38"/>
  <c r="BX114" i="38"/>
  <c r="BX17" i="38"/>
  <c r="BY112" i="38"/>
  <c r="BX81" i="38"/>
  <c r="BY89" i="38"/>
  <c r="BX99" i="38"/>
  <c r="BX125" i="38"/>
  <c r="BY119" i="38"/>
  <c r="BX107" i="38"/>
  <c r="BX98" i="38"/>
  <c r="BY109" i="38"/>
  <c r="BX90" i="38"/>
  <c r="BX75" i="38"/>
  <c r="BY56" i="38"/>
  <c r="BX57" i="38"/>
  <c r="BX33" i="38"/>
  <c r="BX53" i="38"/>
  <c r="BY24" i="38"/>
  <c r="BX37" i="38"/>
  <c r="BX20" i="38"/>
  <c r="BX51" i="38"/>
  <c r="BX52" i="38"/>
  <c r="BX121" i="38"/>
  <c r="BY115" i="38"/>
  <c r="BY125" i="38"/>
  <c r="BY110" i="38"/>
  <c r="BY79" i="38"/>
  <c r="BX94" i="38"/>
  <c r="BX67" i="38"/>
  <c r="BY52" i="38"/>
  <c r="BX91" i="38"/>
  <c r="BY30" i="38"/>
  <c r="BX41" i="38"/>
  <c r="BY99" i="38"/>
  <c r="BY22" i="38"/>
  <c r="BX28" i="38"/>
  <c r="BY39" i="38"/>
  <c r="BX70" i="38"/>
  <c r="BY36" i="38"/>
  <c r="BX101" i="38"/>
  <c r="BX42" i="38"/>
  <c r="BY23" i="38"/>
  <c r="BY98" i="38"/>
  <c r="BX62" i="38"/>
  <c r="BY85" i="38"/>
  <c r="BX110" i="38"/>
  <c r="BX36" i="38"/>
  <c r="BX74" i="38"/>
  <c r="BY106" i="38"/>
  <c r="BY120" i="38"/>
  <c r="BX117" i="38"/>
  <c r="BY111" i="38"/>
  <c r="BY117" i="38"/>
  <c r="BX102" i="38"/>
  <c r="BX105" i="38"/>
  <c r="BX87" i="38"/>
  <c r="BY65" i="38"/>
  <c r="BY97" i="38"/>
  <c r="BX77" i="38"/>
  <c r="BY55" i="38"/>
  <c r="BY40" i="38"/>
  <c r="BY67" i="38"/>
  <c r="BY34" i="38"/>
  <c r="BX25" i="38"/>
  <c r="BX30" i="38"/>
  <c r="BX78" i="38"/>
  <c r="BY15" i="38"/>
  <c r="BY105" i="38"/>
  <c r="BX16" i="38"/>
  <c r="BX46" i="38"/>
  <c r="BX97" i="38"/>
  <c r="BY77" i="38"/>
  <c r="BY64" i="38"/>
  <c r="BX66" i="38"/>
  <c r="BY68" i="38"/>
  <c r="BX93" i="38"/>
  <c r="BX118" i="38"/>
  <c r="BX122" i="38"/>
  <c r="BY19" i="38"/>
  <c r="BX108" i="38"/>
  <c r="BX72" i="38"/>
  <c r="BX61" i="38"/>
  <c r="BY81" i="38"/>
  <c r="BY49" i="38"/>
  <c r="BX27" i="38"/>
  <c r="BX95" i="38"/>
  <c r="BY58" i="38"/>
  <c r="BY17" i="38"/>
  <c r="BX15" i="38"/>
  <c r="BY92" i="38"/>
  <c r="BX84" i="38"/>
  <c r="BY63" i="38"/>
  <c r="BX56" i="38"/>
  <c r="BY37" i="38"/>
  <c r="BY80" i="38"/>
  <c r="BX23" i="38"/>
  <c r="BX44" i="38"/>
  <c r="BX34" i="38"/>
  <c r="BX89" i="38"/>
  <c r="BY61" i="38"/>
  <c r="BY124" i="38"/>
  <c r="BY32" i="38"/>
  <c r="AU125" i="46"/>
  <c r="AU104" i="46"/>
  <c r="AU108" i="46"/>
  <c r="AU94" i="46"/>
  <c r="AT94" i="46"/>
  <c r="AU62" i="46"/>
  <c r="AU72" i="46"/>
  <c r="AT46" i="46"/>
  <c r="AT35" i="46"/>
  <c r="AU53" i="46"/>
  <c r="AU34" i="46"/>
  <c r="AU45" i="46"/>
  <c r="AU25" i="46"/>
  <c r="AT25" i="46"/>
  <c r="AT19" i="46"/>
  <c r="AT52" i="46"/>
  <c r="AU95" i="46"/>
  <c r="AT18" i="46"/>
  <c r="AT93" i="46"/>
  <c r="AT118" i="46"/>
  <c r="AT58" i="46"/>
  <c r="AU83" i="46"/>
  <c r="AT17" i="46"/>
  <c r="AU81" i="46"/>
  <c r="AU75" i="46"/>
  <c r="AT28" i="46"/>
  <c r="AT22" i="46"/>
  <c r="AU121" i="46"/>
  <c r="AT113" i="46"/>
  <c r="AT100" i="46"/>
  <c r="AT86" i="46"/>
  <c r="AU123" i="46"/>
  <c r="AU117" i="46"/>
  <c r="AT105" i="46"/>
  <c r="AT90" i="46"/>
  <c r="AT102" i="46"/>
  <c r="AT85" i="46"/>
  <c r="AU76" i="46"/>
  <c r="AT60" i="46"/>
  <c r="AT73" i="46"/>
  <c r="AT27" i="46"/>
  <c r="AT119" i="46"/>
  <c r="AU122" i="46"/>
  <c r="AT117" i="46"/>
  <c r="AT109" i="46"/>
  <c r="AT96" i="46"/>
  <c r="AT65" i="46"/>
  <c r="AU68" i="46"/>
  <c r="AU60" i="46"/>
  <c r="AT51" i="46"/>
  <c r="AT75" i="46"/>
  <c r="AU50" i="46"/>
  <c r="AT20" i="46"/>
  <c r="AT34" i="46"/>
  <c r="AT49" i="46"/>
  <c r="AT15" i="46"/>
  <c r="AT32" i="46"/>
  <c r="AU120" i="46"/>
  <c r="AU24" i="46"/>
  <c r="AU43" i="46"/>
  <c r="AT114" i="46"/>
  <c r="AU35" i="46"/>
  <c r="AU112" i="46"/>
  <c r="AT106" i="46"/>
  <c r="AU64" i="46"/>
  <c r="AU115" i="46"/>
  <c r="AT108" i="46"/>
  <c r="AU93" i="46"/>
  <c r="AT115" i="46"/>
  <c r="AU118" i="46"/>
  <c r="AU109" i="46"/>
  <c r="AU91" i="46"/>
  <c r="AU92" i="46"/>
  <c r="AT111" i="46"/>
  <c r="AU114" i="46"/>
  <c r="AT121" i="46"/>
  <c r="AU102" i="46"/>
  <c r="AT92" i="46"/>
  <c r="AT71" i="46"/>
  <c r="AU89" i="46"/>
  <c r="AT54" i="46"/>
  <c r="AT107" i="46"/>
  <c r="AU110" i="46"/>
  <c r="AU106" i="46"/>
  <c r="AT98" i="46"/>
  <c r="AU90" i="46"/>
  <c r="AU66" i="46"/>
  <c r="AU74" i="46"/>
  <c r="AT50" i="46"/>
  <c r="AT39" i="46"/>
  <c r="AU87" i="46"/>
  <c r="AT59" i="46"/>
  <c r="AT63" i="46"/>
  <c r="AT53" i="46"/>
  <c r="AT38" i="46"/>
  <c r="CA38" i="46" s="1"/>
  <c r="AT26" i="46"/>
  <c r="AU15" i="46"/>
  <c r="AT91" i="46"/>
  <c r="AT36" i="46"/>
  <c r="CA36" i="46" s="1"/>
  <c r="AT89" i="46"/>
  <c r="AU55" i="46"/>
  <c r="AT33" i="46"/>
  <c r="AT37" i="46"/>
  <c r="AU119" i="46"/>
  <c r="AU107" i="46"/>
  <c r="AU22" i="46"/>
  <c r="AT122" i="46"/>
  <c r="AT69" i="46"/>
  <c r="AT78" i="46"/>
  <c r="AU57" i="46"/>
  <c r="AU29" i="46"/>
  <c r="AU28" i="46"/>
  <c r="AU33" i="46"/>
  <c r="AU17" i="46"/>
  <c r="AT103" i="46"/>
  <c r="AU48" i="46"/>
  <c r="AU99" i="46"/>
  <c r="AT44" i="46"/>
  <c r="AT62" i="46"/>
  <c r="AU27" i="46"/>
  <c r="AU32" i="46"/>
  <c r="AT124" i="46"/>
  <c r="AT21" i="46"/>
  <c r="AT61" i="46"/>
  <c r="AT55" i="46"/>
  <c r="AU49" i="46"/>
  <c r="AT24" i="46"/>
  <c r="AT74" i="46"/>
  <c r="AT23" i="46"/>
  <c r="AT16" i="46"/>
  <c r="AU100" i="46"/>
  <c r="AU44" i="46"/>
  <c r="AT116" i="46"/>
  <c r="AU56" i="46"/>
  <c r="AT80" i="46"/>
  <c r="AT68" i="46"/>
  <c r="AT70" i="46"/>
  <c r="AU36" i="46"/>
  <c r="AT48" i="46"/>
  <c r="AU113" i="46"/>
  <c r="AU70" i="46"/>
  <c r="AT43" i="46"/>
  <c r="AU54" i="46"/>
  <c r="AT29" i="46"/>
  <c r="AU23" i="46"/>
  <c r="AU37" i="46"/>
  <c r="AU47" i="46"/>
  <c r="AU105" i="46"/>
  <c r="AU58" i="46"/>
  <c r="AT72" i="46"/>
  <c r="AU71" i="46"/>
  <c r="AU97" i="46"/>
  <c r="AT84" i="46"/>
  <c r="AT83" i="46"/>
  <c r="AU67" i="46"/>
  <c r="AU63" i="46"/>
  <c r="AT125" i="46"/>
  <c r="AU78" i="46"/>
  <c r="AT31" i="46"/>
  <c r="AU46" i="46"/>
  <c r="AU21" i="46"/>
  <c r="AU19" i="46"/>
  <c r="AT67" i="46"/>
  <c r="AT56" i="46"/>
  <c r="AT112" i="46"/>
  <c r="AU86" i="46"/>
  <c r="AT87" i="46"/>
  <c r="AT79" i="46"/>
  <c r="AT110" i="46"/>
  <c r="AU82" i="46"/>
  <c r="AU85" i="46"/>
  <c r="AU103" i="46"/>
  <c r="AU31" i="46"/>
  <c r="AU88" i="46"/>
  <c r="AT64" i="46"/>
  <c r="AU84" i="46"/>
  <c r="AU42" i="46"/>
  <c r="AT42" i="46"/>
  <c r="AU65" i="46"/>
  <c r="AU30" i="46"/>
  <c r="AU79" i="46"/>
  <c r="AU18" i="46"/>
  <c r="AT76" i="46"/>
  <c r="AU20" i="46"/>
  <c r="AT120" i="46"/>
  <c r="AT104" i="46"/>
  <c r="AT101" i="46"/>
  <c r="AU96" i="46"/>
  <c r="AU124" i="46"/>
  <c r="AU69" i="46"/>
  <c r="AU98" i="46"/>
  <c r="AT81" i="46"/>
  <c r="AU61" i="46"/>
  <c r="AU38" i="46"/>
  <c r="AT45" i="46"/>
  <c r="AT30" i="46"/>
  <c r="AU26" i="46"/>
  <c r="AT88" i="46"/>
  <c r="AU14" i="46"/>
  <c r="AU80" i="46"/>
  <c r="AT40" i="46"/>
  <c r="AT14" i="46"/>
  <c r="AU116" i="46"/>
  <c r="AU111" i="46"/>
  <c r="AT95" i="46"/>
  <c r="AU51" i="46"/>
  <c r="AT99" i="46"/>
  <c r="AT123" i="46"/>
  <c r="AT97" i="46"/>
  <c r="AU40" i="46"/>
  <c r="AT82" i="46"/>
  <c r="AU52" i="46"/>
  <c r="AT47" i="46"/>
  <c r="AU77" i="46"/>
  <c r="AU59" i="46"/>
  <c r="AT66" i="46"/>
  <c r="AT57" i="46"/>
  <c r="AU101" i="46"/>
  <c r="AU41" i="46"/>
  <c r="AU73" i="46"/>
  <c r="AT41" i="46"/>
  <c r="AT77" i="46"/>
  <c r="AU16" i="46"/>
  <c r="AU39" i="46"/>
  <c r="BJ14" i="45"/>
  <c r="BJ111" i="45"/>
  <c r="BJ117" i="45"/>
  <c r="BI121" i="45"/>
  <c r="BI101" i="45"/>
  <c r="BI123" i="45"/>
  <c r="BJ109" i="45"/>
  <c r="BJ92" i="45"/>
  <c r="BJ90" i="45"/>
  <c r="BI115" i="45"/>
  <c r="BJ103" i="45"/>
  <c r="BI125" i="45"/>
  <c r="BJ115" i="45"/>
  <c r="BJ121" i="45"/>
  <c r="BJ91" i="45"/>
  <c r="BI109" i="45"/>
  <c r="BI105" i="45"/>
  <c r="BI88" i="45"/>
  <c r="BJ81" i="45"/>
  <c r="BJ57" i="45"/>
  <c r="BI119" i="45"/>
  <c r="BI117" i="45"/>
  <c r="BJ98" i="45"/>
  <c r="BJ75" i="45"/>
  <c r="BI82" i="45"/>
  <c r="BI70" i="45"/>
  <c r="BI60" i="45"/>
  <c r="BI55" i="45"/>
  <c r="BI51" i="45"/>
  <c r="BI41" i="45"/>
  <c r="BJ51" i="45"/>
  <c r="BJ17" i="45"/>
  <c r="BI36" i="45"/>
  <c r="BJ65" i="45"/>
  <c r="BJ118" i="45"/>
  <c r="BJ45" i="45"/>
  <c r="BJ89" i="45"/>
  <c r="BJ63" i="45"/>
  <c r="BI39" i="45"/>
  <c r="BJ97" i="45"/>
  <c r="BI17" i="45"/>
  <c r="BJ69" i="45"/>
  <c r="BJ122" i="45"/>
  <c r="BI97" i="45"/>
  <c r="BI25" i="45"/>
  <c r="BJ116" i="45"/>
  <c r="BI111" i="45"/>
  <c r="BI107" i="45"/>
  <c r="BJ102" i="45"/>
  <c r="BJ71" i="45"/>
  <c r="BJ78" i="45"/>
  <c r="BI65" i="45"/>
  <c r="BJ68" i="45"/>
  <c r="BJ47" i="45"/>
  <c r="BJ50" i="45"/>
  <c r="BJ38" i="45"/>
  <c r="BI37" i="45"/>
  <c r="BI45" i="45"/>
  <c r="BI34" i="45"/>
  <c r="BI58" i="45"/>
  <c r="BJ124" i="45"/>
  <c r="BJ49" i="45"/>
  <c r="BI124" i="45"/>
  <c r="BI80" i="45"/>
  <c r="BI32" i="45"/>
  <c r="BI103" i="45"/>
  <c r="BI18" i="45"/>
  <c r="BJ59" i="45"/>
  <c r="BI120" i="45"/>
  <c r="BI99" i="45"/>
  <c r="BJ25" i="45"/>
  <c r="BJ125" i="45"/>
  <c r="BI102" i="45"/>
  <c r="BI96" i="45"/>
  <c r="BI89" i="45"/>
  <c r="BJ74" i="45"/>
  <c r="BI61" i="45"/>
  <c r="BJ56" i="45"/>
  <c r="BJ43" i="45"/>
  <c r="BJ46" i="45"/>
  <c r="BJ32" i="45"/>
  <c r="BJ35" i="45"/>
  <c r="BJ26" i="45"/>
  <c r="BJ16" i="45"/>
  <c r="BI79" i="45"/>
  <c r="BI116" i="45"/>
  <c r="BI46" i="45"/>
  <c r="BI14" i="45"/>
  <c r="BJ101" i="45"/>
  <c r="BJ33" i="45"/>
  <c r="BJ120" i="45"/>
  <c r="BJ40" i="45"/>
  <c r="BI71" i="45"/>
  <c r="BI44" i="45"/>
  <c r="BJ83" i="45"/>
  <c r="BI33" i="45"/>
  <c r="BJ113" i="45"/>
  <c r="BJ94" i="45"/>
  <c r="BJ85" i="45"/>
  <c r="BI94" i="45"/>
  <c r="BJ70" i="45"/>
  <c r="BI57" i="45"/>
  <c r="BI50" i="45"/>
  <c r="BJ39" i="45"/>
  <c r="BJ42" i="45"/>
  <c r="BJ28" i="45"/>
  <c r="BJ31" i="45"/>
  <c r="BI26" i="45"/>
  <c r="BJ30" i="45"/>
  <c r="BJ80" i="45"/>
  <c r="BI53" i="45"/>
  <c r="BJ62" i="45"/>
  <c r="BJ15" i="45"/>
  <c r="BI118" i="45"/>
  <c r="BJ66" i="45"/>
  <c r="BJ114" i="45"/>
  <c r="BI42" i="45"/>
  <c r="BI75" i="45"/>
  <c r="BJ77" i="45"/>
  <c r="BJ106" i="45"/>
  <c r="BI43" i="45"/>
  <c r="BJ105" i="45"/>
  <c r="BJ86" i="45"/>
  <c r="BJ88" i="45"/>
  <c r="BJ76" i="45"/>
  <c r="BJ61" i="45"/>
  <c r="BI98" i="45"/>
  <c r="BI38" i="45"/>
  <c r="BJ60" i="45"/>
  <c r="BI77" i="45"/>
  <c r="BJ24" i="45"/>
  <c r="BJ27" i="45"/>
  <c r="BJ22" i="45"/>
  <c r="BI16" i="45"/>
  <c r="BI91" i="45"/>
  <c r="BJ44" i="45"/>
  <c r="BI95" i="45"/>
  <c r="BI29" i="45"/>
  <c r="BI19" i="45"/>
  <c r="BJ48" i="45"/>
  <c r="BI24" i="45"/>
  <c r="BJ67" i="45"/>
  <c r="BJ73" i="45"/>
  <c r="BJ79" i="45"/>
  <c r="BI104" i="45"/>
  <c r="BJ55" i="45"/>
  <c r="BJ123" i="45"/>
  <c r="BJ99" i="45"/>
  <c r="BJ82" i="45"/>
  <c r="BI78" i="45"/>
  <c r="BJ72" i="45"/>
  <c r="BJ53" i="45"/>
  <c r="BI81" i="45"/>
  <c r="BI69" i="45"/>
  <c r="BI67" i="45"/>
  <c r="BI63" i="45"/>
  <c r="BJ20" i="45"/>
  <c r="BJ23" i="45"/>
  <c r="BJ18" i="45"/>
  <c r="BI15" i="45"/>
  <c r="BJ110" i="45"/>
  <c r="BI21" i="45"/>
  <c r="BI106" i="45"/>
  <c r="BJ21" i="45"/>
  <c r="BI31" i="45"/>
  <c r="BI66" i="45"/>
  <c r="BJ41" i="45"/>
  <c r="BI85" i="45"/>
  <c r="BI72" i="45"/>
  <c r="BI114" i="45"/>
  <c r="BJ112" i="45"/>
  <c r="BI110" i="45"/>
  <c r="BJ119" i="45"/>
  <c r="BJ95" i="45"/>
  <c r="BI100" i="45"/>
  <c r="BI74" i="45"/>
  <c r="BI90" i="45"/>
  <c r="BJ84" i="45"/>
  <c r="BI68" i="45"/>
  <c r="BJ64" i="45"/>
  <c r="BI59" i="45"/>
  <c r="BI27" i="45"/>
  <c r="BJ52" i="45"/>
  <c r="BI30" i="45"/>
  <c r="BI22" i="45"/>
  <c r="BJ29" i="45"/>
  <c r="BJ108" i="45"/>
  <c r="BI35" i="45"/>
  <c r="BI92" i="45"/>
  <c r="BI47" i="45"/>
  <c r="BI62" i="45"/>
  <c r="BJ58" i="45"/>
  <c r="BI93" i="45"/>
  <c r="BI76" i="45"/>
  <c r="BI83" i="45"/>
  <c r="BI40" i="45"/>
  <c r="BI54" i="45"/>
  <c r="BJ87" i="45"/>
  <c r="BJ107" i="45"/>
  <c r="BJ100" i="45"/>
  <c r="BI113" i="45"/>
  <c r="BI86" i="45"/>
  <c r="BI84" i="45"/>
  <c r="BI73" i="45"/>
  <c r="BI64" i="45"/>
  <c r="BI56" i="45"/>
  <c r="BI52" i="45"/>
  <c r="BI23" i="45"/>
  <c r="BI49" i="45"/>
  <c r="BJ19" i="45"/>
  <c r="BJ34" i="45"/>
  <c r="BI20" i="45"/>
  <c r="BJ104" i="45"/>
  <c r="BI28" i="45"/>
  <c r="BJ93" i="45"/>
  <c r="BI48" i="45"/>
  <c r="BJ36" i="45"/>
  <c r="BJ96" i="45"/>
  <c r="BI112" i="45"/>
  <c r="BJ54" i="45"/>
  <c r="BI108" i="45"/>
  <c r="BJ37" i="45"/>
  <c r="BI87" i="45"/>
  <c r="BI122" i="45"/>
  <c r="N117" i="45" a="1"/>
  <c r="N117" i="45" s="1"/>
  <c r="M114" i="45" a="1"/>
  <c r="M114" i="45" s="1"/>
  <c r="M105" i="45" a="1"/>
  <c r="M105" i="45" s="1"/>
  <c r="N82" i="45" a="1"/>
  <c r="N82" i="45" s="1"/>
  <c r="M86" i="45" a="1"/>
  <c r="M86" i="45" s="1"/>
  <c r="N113" i="45" a="1"/>
  <c r="N113" i="45" s="1"/>
  <c r="M118" i="45" a="1"/>
  <c r="M118" i="45" s="1"/>
  <c r="M101" i="45" a="1"/>
  <c r="M101" i="45" s="1"/>
  <c r="M93" i="45" a="1"/>
  <c r="M93" i="45" s="1"/>
  <c r="M82" i="45" a="1"/>
  <c r="M82" i="45" s="1"/>
  <c r="N102" i="45" a="1"/>
  <c r="N102" i="45" s="1"/>
  <c r="M69" i="45" a="1"/>
  <c r="M69" i="45" s="1"/>
  <c r="N58" i="45" a="1"/>
  <c r="N58" i="45" s="1"/>
  <c r="N119" i="45" a="1"/>
  <c r="N119" i="45" s="1"/>
  <c r="M107" i="45" a="1"/>
  <c r="M107" i="45" s="1"/>
  <c r="N72" i="45" a="1"/>
  <c r="N72" i="45" s="1"/>
  <c r="M95" i="45" a="1"/>
  <c r="M95" i="45" s="1"/>
  <c r="N109" i="45" a="1"/>
  <c r="N109" i="45" s="1"/>
  <c r="M108" i="45" a="1"/>
  <c r="M108" i="45" s="1"/>
  <c r="M99" i="45" a="1"/>
  <c r="M99" i="45" s="1"/>
  <c r="N91" i="45" a="1"/>
  <c r="N91" i="45" s="1"/>
  <c r="N63" i="45" a="1"/>
  <c r="N63" i="45" s="1"/>
  <c r="N121" i="45" a="1"/>
  <c r="N121" i="45" s="1"/>
  <c r="N123" i="45" a="1"/>
  <c r="N123" i="45" s="1"/>
  <c r="M122" i="45" a="1"/>
  <c r="M122" i="45" s="1"/>
  <c r="M110" i="45" a="1"/>
  <c r="M110" i="45" s="1"/>
  <c r="N88" i="45" a="1"/>
  <c r="N88" i="45" s="1"/>
  <c r="N59" i="45" a="1"/>
  <c r="N59" i="45" s="1"/>
  <c r="N96" i="45" a="1"/>
  <c r="N96" i="45" s="1"/>
  <c r="N75" i="45" a="1"/>
  <c r="N75" i="45" s="1"/>
  <c r="M83" i="45" a="1"/>
  <c r="M83" i="45" s="1"/>
  <c r="M74" i="45" a="1"/>
  <c r="M74" i="45" s="1"/>
  <c r="N43" i="45" a="1"/>
  <c r="N43" i="45" s="1"/>
  <c r="N19" i="45" a="1"/>
  <c r="N19" i="45" s="1"/>
  <c r="M23" i="45" a="1"/>
  <c r="M23" i="45" s="1"/>
  <c r="M47" i="45" a="1"/>
  <c r="M47" i="45" s="1"/>
  <c r="N114" i="45" a="1"/>
  <c r="N114" i="45" s="1"/>
  <c r="N49" i="45" a="1"/>
  <c r="N49" i="45" s="1"/>
  <c r="M124" i="45" a="1"/>
  <c r="M124" i="45" s="1"/>
  <c r="M78" i="45" a="1"/>
  <c r="M78" i="45" s="1"/>
  <c r="N107" i="45" a="1"/>
  <c r="N107" i="45" s="1"/>
  <c r="M17" i="45" a="1"/>
  <c r="M17" i="45" s="1"/>
  <c r="N68" i="45" a="1"/>
  <c r="N68" i="45" s="1"/>
  <c r="M81" i="45" a="1"/>
  <c r="M81" i="45" s="1"/>
  <c r="M46" i="45" a="1"/>
  <c r="M46" i="45" s="1"/>
  <c r="M77" i="45" a="1"/>
  <c r="M77" i="45" s="1"/>
  <c r="M75" i="45" a="1"/>
  <c r="M75" i="45" s="1"/>
  <c r="M58" i="45" a="1"/>
  <c r="M58" i="45" s="1"/>
  <c r="M80" i="45" a="1"/>
  <c r="M80" i="45" s="1"/>
  <c r="M109" i="45" a="1"/>
  <c r="M109" i="45" s="1"/>
  <c r="N35" i="45" a="1"/>
  <c r="N35" i="45" s="1"/>
  <c r="N85" i="45" a="1"/>
  <c r="N85" i="45" s="1"/>
  <c r="N76" i="45" a="1"/>
  <c r="N76" i="45" s="1"/>
  <c r="N67" i="45" a="1"/>
  <c r="N67" i="45" s="1"/>
  <c r="N66" i="45" a="1"/>
  <c r="N66" i="45" s="1"/>
  <c r="M64" i="45" a="1"/>
  <c r="M64" i="45" s="1"/>
  <c r="M38" i="45" a="1"/>
  <c r="M38" i="45" s="1"/>
  <c r="N16" i="45" a="1"/>
  <c r="N16" i="45" s="1"/>
  <c r="N18" i="45" a="1"/>
  <c r="N18" i="45" s="1"/>
  <c r="M56" i="45" a="1"/>
  <c r="M56" i="45" s="1"/>
  <c r="N124" i="45" a="1"/>
  <c r="N124" i="45" s="1"/>
  <c r="N57" i="45" a="1"/>
  <c r="N57" i="45" s="1"/>
  <c r="N45" i="45" a="1"/>
  <c r="N45" i="45" s="1"/>
  <c r="N60" i="45" a="1"/>
  <c r="N60" i="45" s="1"/>
  <c r="M121" i="45" a="1"/>
  <c r="M121" i="45" s="1"/>
  <c r="M15" i="45" a="1"/>
  <c r="M15" i="45" s="1"/>
  <c r="N41" i="45" a="1"/>
  <c r="N41" i="45" s="1"/>
  <c r="N97" i="45" a="1"/>
  <c r="N97" i="45" s="1"/>
  <c r="M35" i="45" a="1"/>
  <c r="M35" i="45" s="1"/>
  <c r="M90" i="45" a="1"/>
  <c r="M90" i="45" s="1"/>
  <c r="M84" i="45" a="1"/>
  <c r="M84" i="45" s="1"/>
  <c r="M66" i="45" a="1"/>
  <c r="M66" i="45" s="1"/>
  <c r="M103" i="45" a="1"/>
  <c r="M103" i="45" s="1"/>
  <c r="N122" i="45" a="1"/>
  <c r="N122" i="45" s="1"/>
  <c r="M29" i="45" a="1"/>
  <c r="M29" i="45" s="1"/>
  <c r="N99" i="45" a="1"/>
  <c r="N99" i="45" s="1"/>
  <c r="N100" i="45" a="1"/>
  <c r="N100" i="45" s="1"/>
  <c r="N55" i="45" a="1"/>
  <c r="N55" i="45" s="1"/>
  <c r="N62" i="45" a="1"/>
  <c r="N62" i="45" s="1"/>
  <c r="N29" i="45" a="1"/>
  <c r="N29" i="45" s="1"/>
  <c r="M42" i="45" a="1"/>
  <c r="M42" i="45" s="1"/>
  <c r="M50" i="45" a="1"/>
  <c r="M50" i="45" s="1"/>
  <c r="N17" i="45" a="1"/>
  <c r="N17" i="45" s="1"/>
  <c r="M45" i="45" a="1"/>
  <c r="M45" i="45" s="1"/>
  <c r="M120" i="45" a="1"/>
  <c r="M120" i="45" s="1"/>
  <c r="M89" i="45" a="1"/>
  <c r="M89" i="45" s="1"/>
  <c r="M19" i="45" a="1"/>
  <c r="M19" i="45" s="1"/>
  <c r="M67" i="45" a="1"/>
  <c r="M67" i="45" s="1"/>
  <c r="N125" i="45" a="1"/>
  <c r="N125" i="45" s="1"/>
  <c r="M24" i="45" a="1"/>
  <c r="M24" i="45" s="1"/>
  <c r="M52" i="45" a="1"/>
  <c r="M52" i="45" s="1"/>
  <c r="N93" i="45" a="1"/>
  <c r="N93" i="45" s="1"/>
  <c r="M26" i="45" a="1"/>
  <c r="M26" i="45" s="1"/>
  <c r="M100" i="45" a="1"/>
  <c r="M100" i="45" s="1"/>
  <c r="N106" i="45" a="1"/>
  <c r="N106" i="45" s="1"/>
  <c r="M44" i="45" a="1"/>
  <c r="M44" i="45" s="1"/>
  <c r="N98" i="45" a="1"/>
  <c r="N98" i="45" s="1"/>
  <c r="M125" i="45" a="1"/>
  <c r="M125" i="45" s="1"/>
  <c r="N56" i="45" a="1"/>
  <c r="N56" i="45" s="1"/>
  <c r="M117" i="45" a="1"/>
  <c r="M117" i="45" s="1"/>
  <c r="N111" i="45" a="1"/>
  <c r="N111" i="45" s="1"/>
  <c r="N84" i="45" a="1"/>
  <c r="N84" i="45" s="1"/>
  <c r="N80" i="45" a="1"/>
  <c r="N80" i="45" s="1"/>
  <c r="N115" i="45" a="1"/>
  <c r="N115" i="45" s="1"/>
  <c r="M97" i="45" a="1"/>
  <c r="M97" i="45" s="1"/>
  <c r="N95" i="45" a="1"/>
  <c r="N95" i="45" s="1"/>
  <c r="M70" i="45" a="1"/>
  <c r="M70" i="45" s="1"/>
  <c r="N21" i="45" a="1"/>
  <c r="N21" i="45" s="1"/>
  <c r="N32" i="45" a="1"/>
  <c r="N32" i="45" s="1"/>
  <c r="M22" i="45" a="1"/>
  <c r="M22" i="45" s="1"/>
  <c r="N37" i="45" a="1"/>
  <c r="N37" i="45" s="1"/>
  <c r="N77" i="45" a="1"/>
  <c r="N77" i="45" s="1"/>
  <c r="M31" i="45" a="1"/>
  <c r="M31" i="45" s="1"/>
  <c r="M102" i="45" a="1"/>
  <c r="M102" i="45" s="1"/>
  <c r="N22" i="45" a="1"/>
  <c r="N22" i="45" s="1"/>
  <c r="M61" i="45" a="1"/>
  <c r="M61" i="45" s="1"/>
  <c r="M39" i="45" a="1"/>
  <c r="M39" i="45" s="1"/>
  <c r="N46" i="45" a="1"/>
  <c r="N46" i="45" s="1"/>
  <c r="M65" i="45" a="1"/>
  <c r="M65" i="45" s="1"/>
  <c r="N120" i="45" a="1"/>
  <c r="N120" i="45" s="1"/>
  <c r="N42" i="45" a="1"/>
  <c r="N42" i="45" s="1"/>
  <c r="M115" i="45" a="1"/>
  <c r="M115" i="45" s="1"/>
  <c r="N31" i="45" a="1"/>
  <c r="N31" i="45" s="1"/>
  <c r="M51" i="45" a="1"/>
  <c r="M51" i="45" s="1"/>
  <c r="M96" i="45" a="1"/>
  <c r="M96" i="45" s="1"/>
  <c r="M63" i="45" a="1"/>
  <c r="M63" i="45" s="1"/>
  <c r="N54" i="45" a="1"/>
  <c r="N54" i="45" s="1"/>
  <c r="N44" i="45" a="1"/>
  <c r="N44" i="45" s="1"/>
  <c r="N104" i="45" a="1"/>
  <c r="N104" i="45" s="1"/>
  <c r="N92" i="45" a="1"/>
  <c r="N92" i="45" s="1"/>
  <c r="M85" i="45" a="1"/>
  <c r="M85" i="45" s="1"/>
  <c r="N65" i="45" a="1"/>
  <c r="N65" i="45" s="1"/>
  <c r="N39" i="45" a="1"/>
  <c r="N39" i="45" s="1"/>
  <c r="N24" i="45" a="1"/>
  <c r="N24" i="45" s="1"/>
  <c r="N94" i="45" a="1"/>
  <c r="N94" i="45" s="1"/>
  <c r="M37" i="45" a="1"/>
  <c r="M37" i="45" s="1"/>
  <c r="N74" i="45" a="1"/>
  <c r="N74" i="45" s="1"/>
  <c r="N48" i="45" a="1"/>
  <c r="N48" i="45" s="1"/>
  <c r="N90" i="45" a="1"/>
  <c r="N90" i="45" s="1"/>
  <c r="N27" i="45" a="1"/>
  <c r="N27" i="45" s="1"/>
  <c r="M91" i="45" a="1"/>
  <c r="M91" i="45" s="1"/>
  <c r="M57" i="45" a="1"/>
  <c r="M57" i="45" s="1"/>
  <c r="M28" i="45" a="1"/>
  <c r="M28" i="45" s="1"/>
  <c r="M88" i="45" a="1"/>
  <c r="M88" i="45" s="1"/>
  <c r="M55" i="45" a="1"/>
  <c r="M55" i="45" s="1"/>
  <c r="N69" i="45" a="1"/>
  <c r="N69" i="45" s="1"/>
  <c r="M32" i="45" a="1"/>
  <c r="M32" i="45" s="1"/>
  <c r="M30" i="45" a="1"/>
  <c r="M30" i="45" s="1"/>
  <c r="M60" i="45" a="1"/>
  <c r="M60" i="45" s="1"/>
  <c r="N110" i="45" a="1"/>
  <c r="N110" i="45" s="1"/>
  <c r="N26" i="45" a="1"/>
  <c r="N26" i="45" s="1"/>
  <c r="N87" i="45" a="1"/>
  <c r="N87" i="45" s="1"/>
  <c r="N108" i="45" a="1"/>
  <c r="N108" i="45" s="1"/>
  <c r="M106" i="45" a="1"/>
  <c r="M106" i="45" s="1"/>
  <c r="N79" i="45" a="1"/>
  <c r="N79" i="45" s="1"/>
  <c r="M53" i="45" a="1"/>
  <c r="M53" i="45" s="1"/>
  <c r="N47" i="45" a="1"/>
  <c r="N47" i="45" s="1"/>
  <c r="M20" i="45" a="1"/>
  <c r="M20" i="45" s="1"/>
  <c r="M27" i="45" a="1"/>
  <c r="M27" i="45" s="1"/>
  <c r="N33" i="45" a="1"/>
  <c r="N33" i="45" s="1"/>
  <c r="N89" i="45" a="1"/>
  <c r="N89" i="45" s="1"/>
  <c r="N78" i="45" a="1"/>
  <c r="N78" i="45" s="1"/>
  <c r="M119" i="45" a="1"/>
  <c r="M119" i="45" s="1"/>
  <c r="N40" i="45" a="1"/>
  <c r="N40" i="45" s="1"/>
  <c r="M73" i="45" a="1"/>
  <c r="M73" i="45" s="1"/>
  <c r="M113" i="45" a="1"/>
  <c r="M113" i="45" s="1"/>
  <c r="N34" i="45" a="1"/>
  <c r="N34" i="45" s="1"/>
  <c r="N73" i="45" a="1"/>
  <c r="N73" i="45" s="1"/>
  <c r="M98" i="45" a="1"/>
  <c r="M98" i="45" s="1"/>
  <c r="M62" i="45" a="1"/>
  <c r="M62" i="45" s="1"/>
  <c r="N53" i="45" a="1"/>
  <c r="N53" i="45" s="1"/>
  <c r="N50" i="45" a="1"/>
  <c r="N50" i="45" s="1"/>
  <c r="M76" i="45" a="1"/>
  <c r="M76" i="45" s="1"/>
  <c r="N118" i="45" a="1"/>
  <c r="N118" i="45" s="1"/>
  <c r="N81" i="45" a="1"/>
  <c r="N81" i="45" s="1"/>
  <c r="M71" i="45" a="1"/>
  <c r="M71" i="45" s="1"/>
  <c r="M104" i="45" a="1"/>
  <c r="M104" i="45" s="1"/>
  <c r="N86" i="45" a="1"/>
  <c r="N86" i="45" s="1"/>
  <c r="N71" i="45" a="1"/>
  <c r="N71" i="45" s="1"/>
  <c r="N61" i="45" a="1"/>
  <c r="N61" i="45" s="1"/>
  <c r="M68" i="45" a="1"/>
  <c r="M68" i="45" s="1"/>
  <c r="N38" i="45" a="1"/>
  <c r="N38" i="45" s="1"/>
  <c r="N20" i="45" a="1"/>
  <c r="N20" i="45" s="1"/>
  <c r="N30" i="45" a="1"/>
  <c r="N30" i="45" s="1"/>
  <c r="N103" i="45" a="1"/>
  <c r="N103" i="45" s="1"/>
  <c r="M49" i="45" a="1"/>
  <c r="M49" i="45" s="1"/>
  <c r="N112" i="45" a="1"/>
  <c r="N112" i="45" s="1"/>
  <c r="M33" i="45" a="1"/>
  <c r="M33" i="45" s="1"/>
  <c r="N116" i="45" a="1"/>
  <c r="N116" i="45" s="1"/>
  <c r="M112" i="45" a="1"/>
  <c r="M112" i="45" s="1"/>
  <c r="N64" i="45" a="1"/>
  <c r="N64" i="45" s="1"/>
  <c r="M92" i="45" a="1"/>
  <c r="M92" i="45" s="1"/>
  <c r="M21" i="45" a="1"/>
  <c r="M21" i="45" s="1"/>
  <c r="N83" i="45" a="1"/>
  <c r="N83" i="45" s="1"/>
  <c r="M72" i="45" a="1"/>
  <c r="M72" i="45" s="1"/>
  <c r="N52" i="45" a="1"/>
  <c r="N52" i="45" s="1"/>
  <c r="M87" i="45" a="1"/>
  <c r="M87" i="45" s="1"/>
  <c r="M123" i="45" a="1"/>
  <c r="M123" i="45" s="1"/>
  <c r="M16" i="45" a="1"/>
  <c r="M16" i="45" s="1"/>
  <c r="M79" i="45" a="1"/>
  <c r="M79" i="45" s="1"/>
  <c r="M111" i="45" a="1"/>
  <c r="M111" i="45" s="1"/>
  <c r="M94" i="45" a="1"/>
  <c r="M94" i="45" s="1"/>
  <c r="N70" i="45" a="1"/>
  <c r="N70" i="45" s="1"/>
  <c r="N23" i="45" a="1"/>
  <c r="N23" i="45" s="1"/>
  <c r="M18" i="45" a="1"/>
  <c r="M18" i="45" s="1"/>
  <c r="N25" i="45" a="1"/>
  <c r="N25" i="45" s="1"/>
  <c r="M40" i="45" a="1"/>
  <c r="M40" i="45" s="1"/>
  <c r="M54" i="45" a="1"/>
  <c r="M54" i="45" s="1"/>
  <c r="N36" i="45" a="1"/>
  <c r="N36" i="45" s="1"/>
  <c r="M34" i="45" a="1"/>
  <c r="M34" i="45" s="1"/>
  <c r="N101" i="45" a="1"/>
  <c r="N101" i="45" s="1"/>
  <c r="N28" i="45" a="1"/>
  <c r="N28" i="45" s="1"/>
  <c r="N51" i="45" a="1"/>
  <c r="N51" i="45" s="1"/>
  <c r="M25" i="45" a="1"/>
  <c r="M25" i="45" s="1"/>
  <c r="M36" i="45" a="1"/>
  <c r="M36" i="45" s="1"/>
  <c r="M59" i="45" a="1"/>
  <c r="M59" i="45" s="1"/>
  <c r="M41" i="45" a="1"/>
  <c r="M41" i="45" s="1"/>
  <c r="M48" i="45" a="1"/>
  <c r="M48" i="45" s="1"/>
  <c r="N105" i="45" a="1"/>
  <c r="N105" i="45" s="1"/>
  <c r="M116" i="45" a="1"/>
  <c r="M116" i="45" s="1"/>
  <c r="N15" i="45" a="1"/>
  <c r="N15" i="45" s="1"/>
  <c r="M43" i="45" a="1"/>
  <c r="M43" i="45" s="1"/>
  <c r="N123" i="39" a="1"/>
  <c r="N123" i="39" s="1"/>
  <c r="N112" i="39" a="1"/>
  <c r="N112" i="39" s="1"/>
  <c r="N90" i="39" a="1"/>
  <c r="N90" i="39" s="1"/>
  <c r="N71" i="39" a="1"/>
  <c r="N71" i="39" s="1"/>
  <c r="N63" i="39" a="1"/>
  <c r="N63" i="39" s="1"/>
  <c r="N40" i="39" a="1"/>
  <c r="N40" i="39" s="1"/>
  <c r="N33" i="39" a="1"/>
  <c r="N33" i="39" s="1"/>
  <c r="M35" i="39" a="1"/>
  <c r="M35" i="39" s="1"/>
  <c r="M16" i="39" a="1"/>
  <c r="M16" i="39" s="1"/>
  <c r="M36" i="39" a="1"/>
  <c r="M36" i="39" s="1"/>
  <c r="N62" i="39" a="1"/>
  <c r="N62" i="39" s="1"/>
  <c r="M115" i="39" a="1"/>
  <c r="M115" i="39" s="1"/>
  <c r="N58" i="39" a="1"/>
  <c r="N58" i="39" s="1"/>
  <c r="M87" i="39" a="1"/>
  <c r="M87" i="39" s="1"/>
  <c r="M29" i="39" a="1"/>
  <c r="M29" i="39" s="1"/>
  <c r="M18" i="39" a="1"/>
  <c r="M18" i="39" s="1"/>
  <c r="M74" i="39" a="1"/>
  <c r="M74" i="39" s="1"/>
  <c r="M106" i="39" a="1"/>
  <c r="M106" i="39" s="1"/>
  <c r="N73" i="39" a="1"/>
  <c r="N73" i="39" s="1"/>
  <c r="N88" i="39" a="1"/>
  <c r="N88" i="39" s="1"/>
  <c r="M120" i="39" a="1"/>
  <c r="M120" i="39" s="1"/>
  <c r="M38" i="39" a="1"/>
  <c r="M38" i="39" s="1"/>
  <c r="N104" i="39" a="1"/>
  <c r="N104" i="39" s="1"/>
  <c r="M81" i="39" a="1"/>
  <c r="M81" i="39" s="1"/>
  <c r="M57" i="39" a="1"/>
  <c r="M57" i="39" s="1"/>
  <c r="M37" i="39" a="1"/>
  <c r="M37" i="39" s="1"/>
  <c r="M103" i="39" a="1"/>
  <c r="M103" i="39" s="1"/>
  <c r="N92" i="39" a="1"/>
  <c r="N92" i="39" s="1"/>
  <c r="M117" i="39" a="1"/>
  <c r="M117" i="39" s="1"/>
  <c r="M107" i="39" a="1"/>
  <c r="M107" i="39" s="1"/>
  <c r="M125" i="39" a="1"/>
  <c r="M125" i="39" s="1"/>
  <c r="M93" i="39" a="1"/>
  <c r="M93" i="39" s="1"/>
  <c r="N74" i="39" a="1"/>
  <c r="N74" i="39" s="1"/>
  <c r="M80" i="39" a="1"/>
  <c r="M80" i="39" s="1"/>
  <c r="N29" i="39" a="1"/>
  <c r="N29" i="39" s="1"/>
  <c r="M31" i="39" a="1"/>
  <c r="M31" i="39" s="1"/>
  <c r="N32" i="39" a="1"/>
  <c r="N32" i="39" s="1"/>
  <c r="N34" i="39" a="1"/>
  <c r="N34" i="39" s="1"/>
  <c r="M52" i="39" a="1"/>
  <c r="M52" i="39" s="1"/>
  <c r="N115" i="39" a="1"/>
  <c r="N115" i="39" s="1"/>
  <c r="N69" i="39" a="1"/>
  <c r="N69" i="39" s="1"/>
  <c r="N114" i="39" a="1"/>
  <c r="N114" i="39" s="1"/>
  <c r="M64" i="39" a="1"/>
  <c r="M64" i="39" s="1"/>
  <c r="M34" i="39" a="1"/>
  <c r="M34" i="39" s="1"/>
  <c r="M76" i="39" a="1"/>
  <c r="M76" i="39" s="1"/>
  <c r="M100" i="39" a="1"/>
  <c r="M100" i="39" s="1"/>
  <c r="M59" i="39" a="1"/>
  <c r="M59" i="39" s="1"/>
  <c r="N79" i="39" a="1"/>
  <c r="N79" i="39" s="1"/>
  <c r="M122" i="39" a="1"/>
  <c r="M122" i="39" s="1"/>
  <c r="M73" i="39" a="1"/>
  <c r="M73" i="39" s="1"/>
  <c r="N31" i="39" a="1"/>
  <c r="N31" i="39" s="1"/>
  <c r="N89" i="39" a="1"/>
  <c r="N89" i="39" s="1"/>
  <c r="M89" i="39" a="1"/>
  <c r="M89" i="39" s="1"/>
  <c r="N46" i="39" a="1"/>
  <c r="N46" i="39" s="1"/>
  <c r="N83" i="39" a="1"/>
  <c r="N83" i="39" s="1"/>
  <c r="M96" i="39" a="1"/>
  <c r="M96" i="39" s="1"/>
  <c r="N110" i="39" a="1"/>
  <c r="N110" i="39" s="1"/>
  <c r="M102" i="39" a="1"/>
  <c r="M102" i="39" s="1"/>
  <c r="M98" i="39" a="1"/>
  <c r="M98" i="39" s="1"/>
  <c r="N75" i="39" a="1"/>
  <c r="N75" i="39" s="1"/>
  <c r="N70" i="39" a="1"/>
  <c r="N70" i="39" s="1"/>
  <c r="M58" i="39" a="1"/>
  <c r="M58" i="39" s="1"/>
  <c r="N25" i="39" a="1"/>
  <c r="N25" i="39" s="1"/>
  <c r="M27" i="39" a="1"/>
  <c r="M27" i="39" s="1"/>
  <c r="N28" i="39" a="1"/>
  <c r="N28" i="39" s="1"/>
  <c r="M21" i="39" a="1"/>
  <c r="M21" i="39" s="1"/>
  <c r="M67" i="39" a="1"/>
  <c r="M67" i="39" s="1"/>
  <c r="M39" i="39" a="1"/>
  <c r="M39" i="39" s="1"/>
  <c r="N56" i="39" a="1"/>
  <c r="N56" i="39" s="1"/>
  <c r="M121" i="39" a="1"/>
  <c r="M121" i="39" s="1"/>
  <c r="M69" i="39" a="1"/>
  <c r="M69" i="39" s="1"/>
  <c r="M46" i="39" a="1"/>
  <c r="M46" i="39" s="1"/>
  <c r="N97" i="39" a="1"/>
  <c r="N97" i="39" s="1"/>
  <c r="N122" i="39" a="1"/>
  <c r="N122" i="39" s="1"/>
  <c r="N60" i="39" a="1"/>
  <c r="N60" i="39" s="1"/>
  <c r="M95" i="39" a="1"/>
  <c r="M95" i="39" s="1"/>
  <c r="N125" i="39" a="1"/>
  <c r="N125" i="39" s="1"/>
  <c r="M53" i="39" a="1"/>
  <c r="M53" i="39" s="1"/>
  <c r="N102" i="39" a="1"/>
  <c r="N102" i="39" s="1"/>
  <c r="N108" i="39" a="1"/>
  <c r="N108" i="39" s="1"/>
  <c r="M104" i="39" a="1"/>
  <c r="M104" i="39" s="1"/>
  <c r="M77" i="39" a="1"/>
  <c r="M77" i="39" s="1"/>
  <c r="M99" i="39" a="1"/>
  <c r="M99" i="39" s="1"/>
  <c r="N118" i="39" a="1"/>
  <c r="N118" i="39" s="1"/>
  <c r="N96" i="39" a="1"/>
  <c r="N96" i="39" s="1"/>
  <c r="N116" i="39" a="1"/>
  <c r="N116" i="39" s="1"/>
  <c r="M92" i="39" a="1"/>
  <c r="M92" i="39" s="1"/>
  <c r="M72" i="39" a="1"/>
  <c r="M72" i="39" s="1"/>
  <c r="M54" i="39" a="1"/>
  <c r="M54" i="39" s="1"/>
  <c r="N21" i="39" a="1"/>
  <c r="N21" i="39" s="1"/>
  <c r="M23" i="39" a="1"/>
  <c r="M23" i="39" s="1"/>
  <c r="N24" i="39" a="1"/>
  <c r="N24" i="39" s="1"/>
  <c r="N47" i="39" a="1"/>
  <c r="N47" i="39" s="1"/>
  <c r="M83" i="39" a="1"/>
  <c r="M83" i="39" s="1"/>
  <c r="N22" i="39" a="1"/>
  <c r="N22" i="39" s="1"/>
  <c r="N53" i="39" a="1"/>
  <c r="N53" i="39" s="1"/>
  <c r="M119" i="39" a="1"/>
  <c r="M119" i="39" s="1"/>
  <c r="M56" i="39" a="1"/>
  <c r="M56" i="39" s="1"/>
  <c r="N54" i="39" a="1"/>
  <c r="N54" i="39" s="1"/>
  <c r="N95" i="39" a="1"/>
  <c r="N95" i="39" s="1"/>
  <c r="M110" i="39" a="1"/>
  <c r="M110" i="39" s="1"/>
  <c r="M60" i="39" a="1"/>
  <c r="M60" i="39" s="1"/>
  <c r="N101" i="39" a="1"/>
  <c r="N101" i="39" s="1"/>
  <c r="N121" i="39" a="1"/>
  <c r="N121" i="39" s="1"/>
  <c r="N61" i="39" a="1"/>
  <c r="N61" i="39" s="1"/>
  <c r="M114" i="39" a="1"/>
  <c r="M114" i="39" s="1"/>
  <c r="N111" i="39" a="1"/>
  <c r="N111" i="39" s="1"/>
  <c r="M42" i="39" a="1"/>
  <c r="M42" i="39" s="1"/>
  <c r="N82" i="39" a="1"/>
  <c r="N82" i="39" s="1"/>
  <c r="M32" i="39" a="1"/>
  <c r="M32" i="39" s="1"/>
  <c r="N120" i="39" a="1"/>
  <c r="N120" i="39" s="1"/>
  <c r="N103" i="39" a="1"/>
  <c r="N103" i="39" s="1"/>
  <c r="M101" i="39" a="1"/>
  <c r="M101" i="39" s="1"/>
  <c r="N106" i="39" a="1"/>
  <c r="N106" i="39" s="1"/>
  <c r="N77" i="39" a="1"/>
  <c r="N77" i="39" s="1"/>
  <c r="N51" i="39" a="1"/>
  <c r="N51" i="39" s="1"/>
  <c r="N45" i="39" a="1"/>
  <c r="N45" i="39" s="1"/>
  <c r="N59" i="39" a="1"/>
  <c r="N59" i="39" s="1"/>
  <c r="M19" i="39" a="1"/>
  <c r="M19" i="39" s="1"/>
  <c r="N20" i="39" a="1"/>
  <c r="N20" i="39" s="1"/>
  <c r="M49" i="39" a="1"/>
  <c r="M49" i="39" s="1"/>
  <c r="M66" i="39" a="1"/>
  <c r="M66" i="39" s="1"/>
  <c r="M24" i="39" a="1"/>
  <c r="M24" i="39" s="1"/>
  <c r="M70" i="39" a="1"/>
  <c r="M70" i="39" s="1"/>
  <c r="M41" i="39" a="1"/>
  <c r="M41" i="39" s="1"/>
  <c r="N66" i="39" a="1"/>
  <c r="N66" i="39" s="1"/>
  <c r="N52" i="39" a="1"/>
  <c r="N52" i="39" s="1"/>
  <c r="M85" i="39" a="1"/>
  <c r="M85" i="39" s="1"/>
  <c r="M123" i="39" a="1"/>
  <c r="M123" i="39" s="1"/>
  <c r="N72" i="39" a="1"/>
  <c r="N72" i="39" s="1"/>
  <c r="M109" i="39" a="1"/>
  <c r="M109" i="39" s="1"/>
  <c r="M44" i="39" a="1"/>
  <c r="M44" i="39" s="1"/>
  <c r="N76" i="39" a="1"/>
  <c r="N76" i="39" s="1"/>
  <c r="N113" i="39" a="1"/>
  <c r="N113" i="39" s="1"/>
  <c r="N39" i="39" a="1"/>
  <c r="N39" i="39" s="1"/>
  <c r="M48" i="39" a="1"/>
  <c r="M48" i="39" s="1"/>
  <c r="N98" i="39" a="1"/>
  <c r="N98" i="39" s="1"/>
  <c r="N65" i="39" a="1"/>
  <c r="N65" i="39" s="1"/>
  <c r="M118" i="39" a="1"/>
  <c r="M118" i="39" s="1"/>
  <c r="N87" i="39" a="1"/>
  <c r="N87" i="39" s="1"/>
  <c r="N99" i="39" a="1"/>
  <c r="N99" i="39" s="1"/>
  <c r="M84" i="39" a="1"/>
  <c r="M84" i="39" s="1"/>
  <c r="N81" i="39" a="1"/>
  <c r="N81" i="39" s="1"/>
  <c r="N50" i="39" a="1"/>
  <c r="N50" i="39" s="1"/>
  <c r="N44" i="39" a="1"/>
  <c r="N44" i="39" s="1"/>
  <c r="N55" i="39" a="1"/>
  <c r="N55" i="39" s="1"/>
  <c r="N17" i="39" a="1"/>
  <c r="N17" i="39" s="1"/>
  <c r="N36" i="39" a="1"/>
  <c r="N36" i="39" s="1"/>
  <c r="M63" i="39" a="1"/>
  <c r="M63" i="39" s="1"/>
  <c r="M86" i="39" a="1"/>
  <c r="M86" i="39" s="1"/>
  <c r="M25" i="39" a="1"/>
  <c r="M25" i="39" s="1"/>
  <c r="N84" i="39" a="1"/>
  <c r="N84" i="39" s="1"/>
  <c r="N19" i="39" a="1"/>
  <c r="N19" i="39" s="1"/>
  <c r="M40" i="39" a="1"/>
  <c r="M40" i="39" s="1"/>
  <c r="M51" i="39" a="1"/>
  <c r="M51" i="39" s="1"/>
  <c r="N109" i="39" a="1"/>
  <c r="N109" i="39" s="1"/>
  <c r="N38" i="39" a="1"/>
  <c r="N38" i="39" s="1"/>
  <c r="N64" i="39" a="1"/>
  <c r="N64" i="39" s="1"/>
  <c r="M111" i="39" a="1"/>
  <c r="M111" i="39" s="1"/>
  <c r="N42" i="39" a="1"/>
  <c r="N42" i="39" s="1"/>
  <c r="N86" i="39" a="1"/>
  <c r="N86" i="39" s="1"/>
  <c r="N119" i="39" a="1"/>
  <c r="N119" i="39" s="1"/>
  <c r="M78" i="39" a="1"/>
  <c r="M78" i="39" s="1"/>
  <c r="M26" i="39" a="1"/>
  <c r="M26" i="39" s="1"/>
  <c r="M124" i="39" a="1"/>
  <c r="M124" i="39" s="1"/>
  <c r="N18" i="39" a="1"/>
  <c r="N18" i="39" s="1"/>
  <c r="N124" i="39" a="1"/>
  <c r="N124" i="39" s="1"/>
  <c r="N107" i="39" a="1"/>
  <c r="N107" i="39" s="1"/>
  <c r="N85" i="39" a="1"/>
  <c r="N85" i="39" s="1"/>
  <c r="N94" i="39" a="1"/>
  <c r="N94" i="39" s="1"/>
  <c r="M68" i="39" a="1"/>
  <c r="M68" i="39" s="1"/>
  <c r="N48" i="39" a="1"/>
  <c r="N48" i="39" s="1"/>
  <c r="N41" i="39" a="1"/>
  <c r="N41" i="39" s="1"/>
  <c r="M45" i="39" a="1"/>
  <c r="M45" i="39" s="1"/>
  <c r="N67" i="39" a="1"/>
  <c r="N67" i="39" s="1"/>
  <c r="M15" i="39" a="1"/>
  <c r="M15" i="39" s="1"/>
  <c r="M50" i="39" a="1"/>
  <c r="M50" i="39" s="1"/>
  <c r="M108" i="39" a="1"/>
  <c r="M108" i="39" s="1"/>
  <c r="M30" i="39" a="1"/>
  <c r="M30" i="39" s="1"/>
  <c r="M82" i="39" a="1"/>
  <c r="M82" i="39" s="1"/>
  <c r="N27" i="39" a="1"/>
  <c r="N27" i="39" s="1"/>
  <c r="N26" i="39" a="1"/>
  <c r="N26" i="39" s="1"/>
  <c r="N68" i="39" a="1"/>
  <c r="N68" i="39" s="1"/>
  <c r="M90" i="39" a="1"/>
  <c r="M90" i="39" s="1"/>
  <c r="M17" i="39" a="1"/>
  <c r="M17" i="39" s="1"/>
  <c r="M71" i="39" a="1"/>
  <c r="M71" i="39" s="1"/>
  <c r="M105" i="39" a="1"/>
  <c r="M105" i="39" s="1"/>
  <c r="N30" i="39" a="1"/>
  <c r="N30" i="39" s="1"/>
  <c r="M88" i="39" a="1"/>
  <c r="M88" i="39" s="1"/>
  <c r="N117" i="39" a="1"/>
  <c r="N117" i="39" s="1"/>
  <c r="N23" i="39" a="1"/>
  <c r="N23" i="39" s="1"/>
  <c r="N49" i="39" a="1"/>
  <c r="N49" i="39" s="1"/>
  <c r="M116" i="39" a="1"/>
  <c r="M116" i="39" s="1"/>
  <c r="M55" i="39" a="1"/>
  <c r="M55" i="39" s="1"/>
  <c r="N100" i="39" a="1"/>
  <c r="N100" i="39" s="1"/>
  <c r="M94" i="39" a="1"/>
  <c r="M94" i="39" s="1"/>
  <c r="N78" i="39" a="1"/>
  <c r="N78" i="39" s="1"/>
  <c r="N93" i="39" a="1"/>
  <c r="N93" i="39" s="1"/>
  <c r="M79" i="39" a="1"/>
  <c r="M79" i="39" s="1"/>
  <c r="M47" i="39" a="1"/>
  <c r="M47" i="39" s="1"/>
  <c r="N37" i="39" a="1"/>
  <c r="N37" i="39" s="1"/>
  <c r="M65" i="39" a="1"/>
  <c r="M65" i="39" s="1"/>
  <c r="N16" i="39" a="1"/>
  <c r="N16" i="39" s="1"/>
  <c r="N15" i="39" a="1"/>
  <c r="N15" i="39" s="1"/>
  <c r="M62" i="39" a="1"/>
  <c r="M62" i="39" s="1"/>
  <c r="M112" i="39" a="1"/>
  <c r="M112" i="39" s="1"/>
  <c r="N43" i="39" a="1"/>
  <c r="N43" i="39" s="1"/>
  <c r="M113" i="39" a="1"/>
  <c r="M113" i="39" s="1"/>
  <c r="M43" i="39" a="1"/>
  <c r="M43" i="39" s="1"/>
  <c r="M33" i="39" a="1"/>
  <c r="M33" i="39" s="1"/>
  <c r="N57" i="39" a="1"/>
  <c r="N57" i="39" s="1"/>
  <c r="N105" i="39" a="1"/>
  <c r="N105" i="39" s="1"/>
  <c r="M28" i="39" a="1"/>
  <c r="M28" i="39" s="1"/>
  <c r="M97" i="39" a="1"/>
  <c r="M97" i="39" s="1"/>
  <c r="M91" i="39" a="1"/>
  <c r="M91" i="39" s="1"/>
  <c r="M22" i="39" a="1"/>
  <c r="M22" i="39" s="1"/>
  <c r="N91" i="39" a="1"/>
  <c r="N91" i="39" s="1"/>
  <c r="M75" i="39" a="1"/>
  <c r="M75" i="39" s="1"/>
  <c r="N35" i="39" a="1"/>
  <c r="N35" i="39" s="1"/>
  <c r="M61" i="39" a="1"/>
  <c r="M61" i="39" s="1"/>
  <c r="M20" i="39" a="1"/>
  <c r="M20" i="39" s="1"/>
  <c r="N80" i="39" a="1"/>
  <c r="N80" i="39" s="1"/>
  <c r="AT122" i="41"/>
  <c r="AT125" i="41"/>
  <c r="AU116" i="41"/>
  <c r="AT121" i="41"/>
  <c r="AT98" i="41"/>
  <c r="AT76" i="41"/>
  <c r="AT88" i="41"/>
  <c r="AU53" i="41"/>
  <c r="AU21" i="41"/>
  <c r="AT37" i="41"/>
  <c r="AU30" i="41"/>
  <c r="AU55" i="41"/>
  <c r="AU28" i="41"/>
  <c r="AT23" i="41"/>
  <c r="AU17" i="41"/>
  <c r="AU14" i="41"/>
  <c r="AT71" i="41"/>
  <c r="AT58" i="41"/>
  <c r="AT116" i="41"/>
  <c r="AT56" i="41"/>
  <c r="AT22" i="41"/>
  <c r="AU103" i="41"/>
  <c r="AT73" i="41"/>
  <c r="AT48" i="41"/>
  <c r="AU96" i="41"/>
  <c r="AU119" i="41"/>
  <c r="AU124" i="41"/>
  <c r="AT104" i="41"/>
  <c r="AT118" i="41"/>
  <c r="AU117" i="41"/>
  <c r="AU110" i="41"/>
  <c r="AT102" i="41"/>
  <c r="AU97" i="41"/>
  <c r="AT78" i="41"/>
  <c r="AT70" i="41"/>
  <c r="AU49" i="41"/>
  <c r="AT92" i="41"/>
  <c r="AT25" i="41"/>
  <c r="AU22" i="41"/>
  <c r="AT20" i="41"/>
  <c r="AU24" i="41"/>
  <c r="AT63" i="41"/>
  <c r="AT43" i="41"/>
  <c r="AU47" i="41"/>
  <c r="AT81" i="41"/>
  <c r="AT42" i="41"/>
  <c r="CA42" i="41" s="1"/>
  <c r="AU16" i="41"/>
  <c r="AT101" i="41"/>
  <c r="AU57" i="41"/>
  <c r="AT34" i="41"/>
  <c r="AU121" i="41"/>
  <c r="AT33" i="41"/>
  <c r="AU104" i="41"/>
  <c r="AT110" i="41"/>
  <c r="AT106" i="41"/>
  <c r="AT112" i="41"/>
  <c r="AT114" i="41"/>
  <c r="AU107" i="41"/>
  <c r="AT109" i="41"/>
  <c r="AU120" i="41"/>
  <c r="AU89" i="41"/>
  <c r="AU77" i="41"/>
  <c r="AU69" i="41"/>
  <c r="AU45" i="41"/>
  <c r="AU66" i="41"/>
  <c r="AT21" i="41"/>
  <c r="AT59" i="41"/>
  <c r="AT35" i="41"/>
  <c r="AU15" i="41"/>
  <c r="AT47" i="41"/>
  <c r="AU46" i="41"/>
  <c r="AT30" i="41"/>
  <c r="AT79" i="41"/>
  <c r="AT46" i="41"/>
  <c r="AT15" i="41"/>
  <c r="AT62" i="41"/>
  <c r="AU101" i="41"/>
  <c r="AT40" i="41"/>
  <c r="AU91" i="41"/>
  <c r="AU35" i="41"/>
  <c r="AT29" i="41"/>
  <c r="AT124" i="41"/>
  <c r="AT91" i="41"/>
  <c r="AU111" i="41"/>
  <c r="AT111" i="41"/>
  <c r="AT103" i="41"/>
  <c r="AU102" i="41"/>
  <c r="AU105" i="41"/>
  <c r="AU85" i="41"/>
  <c r="AU88" i="41"/>
  <c r="AU81" i="41"/>
  <c r="AU41" i="41"/>
  <c r="AT65" i="41"/>
  <c r="AT83" i="41"/>
  <c r="AT57" i="41"/>
  <c r="AU32" i="41"/>
  <c r="AU63" i="41"/>
  <c r="AU44" i="41"/>
  <c r="AT66" i="41"/>
  <c r="AT26" i="41"/>
  <c r="AT94" i="41"/>
  <c r="AT36" i="41"/>
  <c r="AT14" i="41"/>
  <c r="AU83" i="41"/>
  <c r="AT64" i="41"/>
  <c r="AT50" i="41"/>
  <c r="AU108" i="41"/>
  <c r="AU61" i="41"/>
  <c r="AU23" i="41"/>
  <c r="AU90" i="41"/>
  <c r="AT115" i="41"/>
  <c r="AU72" i="41"/>
  <c r="AT107" i="41"/>
  <c r="AT99" i="41"/>
  <c r="AT97" i="41"/>
  <c r="AU113" i="41"/>
  <c r="AU82" i="41"/>
  <c r="AU70" i="41"/>
  <c r="AT80" i="41"/>
  <c r="AU37" i="41"/>
  <c r="AT53" i="41"/>
  <c r="AU59" i="41"/>
  <c r="AT84" i="41"/>
  <c r="AT18" i="41"/>
  <c r="AU62" i="41"/>
  <c r="AT16" i="41"/>
  <c r="CA16" i="41" s="1"/>
  <c r="AT69" i="41"/>
  <c r="AU31" i="41"/>
  <c r="AU20" i="41"/>
  <c r="AT77" i="41"/>
  <c r="AU54" i="41"/>
  <c r="AT87" i="41"/>
  <c r="AT67" i="41"/>
  <c r="AT60" i="41"/>
  <c r="AT19" i="41"/>
  <c r="AU67" i="41"/>
  <c r="AU68" i="41"/>
  <c r="AT52" i="41"/>
  <c r="AT108" i="41"/>
  <c r="AT86" i="41"/>
  <c r="AU125" i="41"/>
  <c r="AT95" i="41"/>
  <c r="AU94" i="41"/>
  <c r="AT105" i="41"/>
  <c r="AT82" i="41"/>
  <c r="AU64" i="41"/>
  <c r="AT74" i="41"/>
  <c r="AU33" i="41"/>
  <c r="AT49" i="41"/>
  <c r="AU42" i="41"/>
  <c r="AU74" i="41"/>
  <c r="AT61" i="41"/>
  <c r="AT51" i="41"/>
  <c r="AT39" i="41"/>
  <c r="CA39" i="41" s="1"/>
  <c r="AU80" i="41"/>
  <c r="AU58" i="41"/>
  <c r="AU19" i="41"/>
  <c r="AU87" i="41"/>
  <c r="AT24" i="41"/>
  <c r="AU79" i="41"/>
  <c r="AU109" i="41"/>
  <c r="AT54" i="41"/>
  <c r="AT17" i="41"/>
  <c r="AU71" i="41"/>
  <c r="AU99" i="41"/>
  <c r="AU112" i="41"/>
  <c r="AU123" i="41"/>
  <c r="AU18" i="41"/>
  <c r="AU114" i="41"/>
  <c r="AU118" i="41"/>
  <c r="AT89" i="41"/>
  <c r="AU122" i="41"/>
  <c r="AU98" i="41"/>
  <c r="AU60" i="41"/>
  <c r="CB60" i="41" s="1"/>
  <c r="AT72" i="41"/>
  <c r="AU29" i="41"/>
  <c r="AT45" i="41"/>
  <c r="AU38" i="41"/>
  <c r="AU73" i="41"/>
  <c r="AU52" i="41"/>
  <c r="AU48" i="41"/>
  <c r="AU36" i="41"/>
  <c r="AU93" i="41"/>
  <c r="AT32" i="41"/>
  <c r="AT44" i="41"/>
  <c r="AT100" i="41"/>
  <c r="AT28" i="41"/>
  <c r="AT90" i="41"/>
  <c r="AT93" i="41"/>
  <c r="AU65" i="41"/>
  <c r="AU43" i="41"/>
  <c r="AT75" i="41"/>
  <c r="AT123" i="41"/>
  <c r="AU115" i="41"/>
  <c r="AU76" i="41"/>
  <c r="AU106" i="41"/>
  <c r="AT113" i="41"/>
  <c r="AT117" i="41"/>
  <c r="AT85" i="41"/>
  <c r="AU92" i="41"/>
  <c r="AU78" i="41"/>
  <c r="AU56" i="41"/>
  <c r="AT55" i="41"/>
  <c r="AU25" i="41"/>
  <c r="AT41" i="41"/>
  <c r="AU34" i="41"/>
  <c r="AT68" i="41"/>
  <c r="AT31" i="41"/>
  <c r="AT27" i="41"/>
  <c r="AU40" i="41"/>
  <c r="AT96" i="41"/>
  <c r="AU39" i="41"/>
  <c r="AT38" i="41"/>
  <c r="AU100" i="41"/>
  <c r="AU51" i="41"/>
  <c r="AU26" i="41"/>
  <c r="AU95" i="41"/>
  <c r="AU84" i="41"/>
  <c r="AU50" i="41"/>
  <c r="AU75" i="41"/>
  <c r="AT120" i="41"/>
  <c r="AU27" i="41"/>
  <c r="AU86" i="41"/>
  <c r="AT119" i="41"/>
  <c r="BX14" i="43"/>
  <c r="BY111" i="43"/>
  <c r="BX94" i="43"/>
  <c r="BY92" i="43"/>
  <c r="BX84" i="43"/>
  <c r="BY79" i="43"/>
  <c r="BX65" i="43"/>
  <c r="BX58" i="43"/>
  <c r="BY59" i="43"/>
  <c r="BX48" i="43"/>
  <c r="BY37" i="43"/>
  <c r="BY20" i="43"/>
  <c r="BX89" i="43"/>
  <c r="BY120" i="43"/>
  <c r="BX37" i="43"/>
  <c r="BX19" i="43"/>
  <c r="BX16" i="43"/>
  <c r="BY80" i="43"/>
  <c r="BX114" i="43"/>
  <c r="BX41" i="43"/>
  <c r="BX87" i="43"/>
  <c r="BX43" i="43"/>
  <c r="BY76" i="43"/>
  <c r="BY52" i="43"/>
  <c r="BY102" i="43"/>
  <c r="BX42" i="43"/>
  <c r="BY18" i="43"/>
  <c r="BX27" i="43"/>
  <c r="BX115" i="43"/>
  <c r="BY117" i="43"/>
  <c r="BX90" i="43"/>
  <c r="BY88" i="43"/>
  <c r="BX80" i="43"/>
  <c r="BY68" i="43"/>
  <c r="BX61" i="43"/>
  <c r="BY73" i="43"/>
  <c r="BY51" i="43"/>
  <c r="BX52" i="43"/>
  <c r="BX29" i="43"/>
  <c r="BY70" i="43"/>
  <c r="BX93" i="43"/>
  <c r="BY16" i="43"/>
  <c r="BY54" i="43"/>
  <c r="BY27" i="43"/>
  <c r="BY22" i="43"/>
  <c r="BX95" i="43"/>
  <c r="BX28" i="43"/>
  <c r="BX15" i="43"/>
  <c r="BY104" i="43"/>
  <c r="BX49" i="43"/>
  <c r="BY94" i="43"/>
  <c r="BX56" i="43"/>
  <c r="BY106" i="43"/>
  <c r="BX103" i="43"/>
  <c r="BX34" i="43"/>
  <c r="BY32" i="43"/>
  <c r="BY125" i="43"/>
  <c r="BY113" i="43"/>
  <c r="BX83" i="43"/>
  <c r="BX76" i="43"/>
  <c r="BY64" i="43"/>
  <c r="BY91" i="43"/>
  <c r="BY53" i="43"/>
  <c r="BY47" i="43"/>
  <c r="BX36" i="43"/>
  <c r="BX57" i="43"/>
  <c r="BX64" i="43"/>
  <c r="BX124" i="43"/>
  <c r="BY50" i="43"/>
  <c r="BY86" i="43"/>
  <c r="BX18" i="43"/>
  <c r="BY15" i="43"/>
  <c r="BX91" i="43"/>
  <c r="BX55" i="43"/>
  <c r="BY30" i="43"/>
  <c r="BX109" i="43"/>
  <c r="BY62" i="43"/>
  <c r="BX31" i="43"/>
  <c r="BX45" i="43"/>
  <c r="BY114" i="43"/>
  <c r="BY34" i="43"/>
  <c r="BX72" i="43"/>
  <c r="BY89" i="43"/>
  <c r="BX110" i="43"/>
  <c r="BY105" i="43"/>
  <c r="BY107" i="43"/>
  <c r="BX79" i="43"/>
  <c r="BY87" i="43"/>
  <c r="BY60" i="43"/>
  <c r="BY75" i="43"/>
  <c r="BY49" i="43"/>
  <c r="BY43" i="43"/>
  <c r="BX40" i="43"/>
  <c r="BX21" i="43"/>
  <c r="BY74" i="43"/>
  <c r="BX113" i="43"/>
  <c r="BX24" i="43"/>
  <c r="BX73" i="43"/>
  <c r="BY84" i="43"/>
  <c r="BX46" i="43"/>
  <c r="BX116" i="43"/>
  <c r="BY42" i="43"/>
  <c r="BY35" i="43"/>
  <c r="BX125" i="43"/>
  <c r="BY48" i="43"/>
  <c r="BX22" i="43"/>
  <c r="BX60" i="43"/>
  <c r="BY97" i="43"/>
  <c r="BX77" i="43"/>
  <c r="BX32" i="43"/>
  <c r="BX104" i="43"/>
  <c r="BX106" i="43"/>
  <c r="BY109" i="43"/>
  <c r="BY99" i="43"/>
  <c r="BX75" i="43"/>
  <c r="BX86" i="43"/>
  <c r="BY90" i="43"/>
  <c r="BX96" i="43"/>
  <c r="BY45" i="43"/>
  <c r="BY39" i="43"/>
  <c r="BY29" i="43"/>
  <c r="BY33" i="43"/>
  <c r="BY66" i="43"/>
  <c r="BY122" i="43"/>
  <c r="BY24" i="43"/>
  <c r="BY93" i="43"/>
  <c r="BX119" i="43"/>
  <c r="BX53" i="43"/>
  <c r="BY124" i="43"/>
  <c r="BY69" i="43"/>
  <c r="BY38" i="43"/>
  <c r="BX39" i="43"/>
  <c r="BX33" i="43"/>
  <c r="BY28" i="43"/>
  <c r="BX63" i="43"/>
  <c r="BX111" i="43"/>
  <c r="BY103" i="43"/>
  <c r="BX47" i="43"/>
  <c r="BY108" i="43"/>
  <c r="BY14" i="43"/>
  <c r="BY123" i="43"/>
  <c r="BY121" i="43"/>
  <c r="BY95" i="43"/>
  <c r="BX100" i="43"/>
  <c r="BX82" i="43"/>
  <c r="BY72" i="43"/>
  <c r="BX70" i="43"/>
  <c r="BY41" i="43"/>
  <c r="BY67" i="43"/>
  <c r="BY25" i="43"/>
  <c r="BX44" i="43"/>
  <c r="BY77" i="43"/>
  <c r="BX121" i="43"/>
  <c r="BY23" i="43"/>
  <c r="BY101" i="43"/>
  <c r="BY85" i="43"/>
  <c r="BX38" i="43"/>
  <c r="BX118" i="43"/>
  <c r="BY98" i="43"/>
  <c r="BX59" i="43"/>
  <c r="BX35" i="43"/>
  <c r="BX50" i="43"/>
  <c r="BX30" i="43"/>
  <c r="BX68" i="43"/>
  <c r="BY116" i="43"/>
  <c r="BX122" i="43"/>
  <c r="BX101" i="43"/>
  <c r="BY26" i="43"/>
  <c r="BY119" i="43"/>
  <c r="BX102" i="43"/>
  <c r="BY100" i="43"/>
  <c r="BX92" i="43"/>
  <c r="BX78" i="43"/>
  <c r="BY83" i="43"/>
  <c r="BX66" i="43"/>
  <c r="BY71" i="43"/>
  <c r="BY56" i="43"/>
  <c r="BY21" i="43"/>
  <c r="BX25" i="43"/>
  <c r="BX85" i="43"/>
  <c r="BX105" i="43"/>
  <c r="BY58" i="43"/>
  <c r="BX108" i="43"/>
  <c r="BX99" i="43"/>
  <c r="BY44" i="43"/>
  <c r="BY112" i="43"/>
  <c r="BX97" i="43"/>
  <c r="BX71" i="43"/>
  <c r="BX20" i="43"/>
  <c r="BX67" i="43"/>
  <c r="BX23" i="43"/>
  <c r="BY57" i="43"/>
  <c r="BY118" i="43"/>
  <c r="BX117" i="43"/>
  <c r="BY65" i="43"/>
  <c r="BY36" i="43"/>
  <c r="BY115" i="43"/>
  <c r="BX98" i="43"/>
  <c r="BY96" i="43"/>
  <c r="BX88" i="43"/>
  <c r="BX74" i="43"/>
  <c r="BX69" i="43"/>
  <c r="BX62" i="43"/>
  <c r="BY63" i="43"/>
  <c r="BY55" i="43"/>
  <c r="BY17" i="43"/>
  <c r="BX17" i="43"/>
  <c r="BY82" i="43"/>
  <c r="BY110" i="43"/>
  <c r="BX51" i="43"/>
  <c r="BY19" i="43"/>
  <c r="BX112" i="43"/>
  <c r="BY81" i="43"/>
  <c r="BX120" i="43"/>
  <c r="BX123" i="43"/>
  <c r="BY78" i="43"/>
  <c r="BY40" i="43"/>
  <c r="BY61" i="43"/>
  <c r="BY46" i="43"/>
  <c r="BX81" i="43"/>
  <c r="BY31" i="43"/>
  <c r="BX107" i="43"/>
  <c r="BX26" i="43"/>
  <c r="BX54" i="43"/>
  <c r="BI106" i="40"/>
  <c r="BI109" i="40"/>
  <c r="BI96" i="40"/>
  <c r="BI80" i="40"/>
  <c r="BJ93" i="40"/>
  <c r="BJ83" i="40"/>
  <c r="BJ59" i="40"/>
  <c r="BI49" i="40"/>
  <c r="BJ43" i="40"/>
  <c r="BI45" i="40"/>
  <c r="BI29" i="40"/>
  <c r="BI23" i="40"/>
  <c r="BJ15" i="40"/>
  <c r="BJ78" i="40"/>
  <c r="BJ66" i="40"/>
  <c r="BI77" i="40"/>
  <c r="BJ42" i="40"/>
  <c r="BJ119" i="40"/>
  <c r="BJ61" i="40"/>
  <c r="BJ22" i="40"/>
  <c r="BJ122" i="40"/>
  <c r="BJ125" i="40"/>
  <c r="BI121" i="40"/>
  <c r="BI91" i="40"/>
  <c r="BJ101" i="40"/>
  <c r="BI100" i="40"/>
  <c r="BJ87" i="40"/>
  <c r="BJ55" i="40"/>
  <c r="BI63" i="40"/>
  <c r="BJ39" i="40"/>
  <c r="BJ118" i="40"/>
  <c r="BJ121" i="40"/>
  <c r="BI104" i="40"/>
  <c r="BJ88" i="40"/>
  <c r="BI92" i="40"/>
  <c r="BJ60" i="40"/>
  <c r="BI71" i="40"/>
  <c r="BJ51" i="40"/>
  <c r="BI57" i="40"/>
  <c r="BJ35" i="40"/>
  <c r="BJ16" i="40"/>
  <c r="BI21" i="40"/>
  <c r="BI15" i="40"/>
  <c r="BJ20" i="40"/>
  <c r="BJ104" i="40"/>
  <c r="BJ72" i="40"/>
  <c r="BJ120" i="40"/>
  <c r="BJ53" i="40"/>
  <c r="BJ107" i="40"/>
  <c r="BI97" i="40"/>
  <c r="BI48" i="40"/>
  <c r="BJ98" i="40"/>
  <c r="BJ114" i="40"/>
  <c r="BJ117" i="40"/>
  <c r="BI102" i="40"/>
  <c r="BJ84" i="40"/>
  <c r="BJ89" i="40"/>
  <c r="BI76" i="40"/>
  <c r="BI67" i="40"/>
  <c r="BJ47" i="40"/>
  <c r="BI53" i="40"/>
  <c r="BJ40" i="40"/>
  <c r="BI42" i="40"/>
  <c r="BI17" i="40"/>
  <c r="BJ19" i="40"/>
  <c r="BI28" i="40"/>
  <c r="BI16" i="40"/>
  <c r="BJ62" i="40"/>
  <c r="BI116" i="40"/>
  <c r="BJ65" i="40"/>
  <c r="BJ26" i="40"/>
  <c r="BI101" i="40"/>
  <c r="BJ21" i="40"/>
  <c r="BJ103" i="40"/>
  <c r="BJ69" i="40"/>
  <c r="BI114" i="40"/>
  <c r="BI120" i="40"/>
  <c r="BJ45" i="40"/>
  <c r="BJ73" i="40"/>
  <c r="BJ100" i="40"/>
  <c r="BJ110" i="40"/>
  <c r="BJ113" i="40"/>
  <c r="BI98" i="40"/>
  <c r="BJ80" i="40"/>
  <c r="BJ85" i="40"/>
  <c r="BI72" i="40"/>
  <c r="BI60" i="40"/>
  <c r="BJ56" i="40"/>
  <c r="BJ71" i="40"/>
  <c r="BJ36" i="40"/>
  <c r="BI38" i="40"/>
  <c r="BI46" i="40"/>
  <c r="BJ23" i="40"/>
  <c r="BJ25" i="40"/>
  <c r="BJ14" i="40"/>
  <c r="BI61" i="40"/>
  <c r="BJ116" i="40"/>
  <c r="BI103" i="40"/>
  <c r="BI39" i="40"/>
  <c r="BI112" i="40"/>
  <c r="BI47" i="40"/>
  <c r="BJ106" i="40"/>
  <c r="BJ109" i="40"/>
  <c r="BJ95" i="40"/>
  <c r="BJ76" i="40"/>
  <c r="BJ81" i="40"/>
  <c r="BI68" i="40"/>
  <c r="BJ58" i="40"/>
  <c r="BJ52" i="40"/>
  <c r="BI51" i="40"/>
  <c r="BJ41" i="40"/>
  <c r="BI122" i="40"/>
  <c r="BJ105" i="40"/>
  <c r="BJ91" i="40"/>
  <c r="BI88" i="40"/>
  <c r="BJ77" i="40"/>
  <c r="BI64" i="40"/>
  <c r="BJ67" i="40"/>
  <c r="BJ48" i="40"/>
  <c r="BI59" i="40"/>
  <c r="BJ37" i="40"/>
  <c r="BI40" i="40"/>
  <c r="BI62" i="40"/>
  <c r="BI125" i="40"/>
  <c r="BI56" i="40"/>
  <c r="BI44" i="40"/>
  <c r="BI89" i="40"/>
  <c r="BJ30" i="40"/>
  <c r="BI93" i="40"/>
  <c r="BJ54" i="40"/>
  <c r="BJ108" i="40"/>
  <c r="BI118" i="40"/>
  <c r="BI113" i="40"/>
  <c r="BI117" i="40"/>
  <c r="BI84" i="40"/>
  <c r="BJ97" i="40"/>
  <c r="BJ79" i="40"/>
  <c r="BJ63" i="40"/>
  <c r="BJ44" i="40"/>
  <c r="BI55" i="40"/>
  <c r="BJ33" i="40"/>
  <c r="BI36" i="40"/>
  <c r="BI27" i="40"/>
  <c r="BJ27" i="40"/>
  <c r="BI105" i="40"/>
  <c r="BI58" i="40"/>
  <c r="BI81" i="40"/>
  <c r="BJ18" i="40"/>
  <c r="BI119" i="40"/>
  <c r="BI66" i="40"/>
  <c r="BI33" i="40"/>
  <c r="BJ64" i="40"/>
  <c r="BJ112" i="40"/>
  <c r="BI85" i="40"/>
  <c r="BJ34" i="40"/>
  <c r="BI86" i="40"/>
  <c r="BI52" i="40"/>
  <c r="BI22" i="40"/>
  <c r="BJ82" i="40"/>
  <c r="BI37" i="40"/>
  <c r="BI79" i="40"/>
  <c r="BI82" i="40"/>
  <c r="BI87" i="40"/>
  <c r="BI54" i="40"/>
  <c r="BI35" i="40"/>
  <c r="BI123" i="40"/>
  <c r="BI32" i="40"/>
  <c r="BJ28" i="40"/>
  <c r="BI94" i="40"/>
  <c r="BI107" i="40"/>
  <c r="BI108" i="40"/>
  <c r="BI74" i="40"/>
  <c r="BJ50" i="40"/>
  <c r="BJ38" i="40"/>
  <c r="BJ46" i="40"/>
  <c r="BJ57" i="40"/>
  <c r="BI34" i="40"/>
  <c r="BJ32" i="40"/>
  <c r="BI43" i="40"/>
  <c r="BJ90" i="40"/>
  <c r="BJ74" i="40"/>
  <c r="BJ86" i="40"/>
  <c r="BI73" i="40"/>
  <c r="BI115" i="40"/>
  <c r="BI25" i="40"/>
  <c r="BI65" i="40"/>
  <c r="BJ70" i="40"/>
  <c r="BJ102" i="40"/>
  <c r="BI90" i="40"/>
  <c r="BJ49" i="40"/>
  <c r="BJ92" i="40"/>
  <c r="BJ24" i="40"/>
  <c r="BI30" i="40"/>
  <c r="BJ68" i="40"/>
  <c r="BI111" i="40"/>
  <c r="BJ115" i="40"/>
  <c r="BJ94" i="40"/>
  <c r="BI83" i="40"/>
  <c r="BJ96" i="40"/>
  <c r="BI78" i="40"/>
  <c r="BI19" i="40"/>
  <c r="BJ99" i="40"/>
  <c r="BI24" i="40"/>
  <c r="BJ111" i="40"/>
  <c r="BI95" i="40"/>
  <c r="BI41" i="40"/>
  <c r="BI20" i="40"/>
  <c r="BI99" i="40"/>
  <c r="BJ31" i="40"/>
  <c r="BI18" i="40"/>
  <c r="BI31" i="40"/>
  <c r="BJ17" i="40"/>
  <c r="BI124" i="40"/>
  <c r="BJ75" i="40"/>
  <c r="BI110" i="40"/>
  <c r="BJ124" i="40"/>
  <c r="BI14" i="40"/>
  <c r="BI69" i="40"/>
  <c r="BI70" i="40"/>
  <c r="BI75" i="40"/>
  <c r="BJ123" i="40"/>
  <c r="BI26" i="40"/>
  <c r="BI50" i="40"/>
  <c r="BJ29" i="40"/>
  <c r="BX114" i="45"/>
  <c r="BX116" i="45"/>
  <c r="BX94" i="45"/>
  <c r="BY117" i="45"/>
  <c r="BY98" i="45"/>
  <c r="BX74" i="45"/>
  <c r="BY81" i="45"/>
  <c r="BY57" i="45"/>
  <c r="BY59" i="45"/>
  <c r="BX38" i="45"/>
  <c r="BX45" i="45"/>
  <c r="BX31" i="45"/>
  <c r="BX26" i="45"/>
  <c r="BY21" i="45"/>
  <c r="BY16" i="45"/>
  <c r="BY75" i="45"/>
  <c r="BX17" i="45"/>
  <c r="BY88" i="45"/>
  <c r="BX122" i="45"/>
  <c r="BX91" i="45"/>
  <c r="BY32" i="45"/>
  <c r="BX109" i="45"/>
  <c r="BX89" i="45"/>
  <c r="BY52" i="45"/>
  <c r="BY68" i="45"/>
  <c r="BX105" i="45"/>
  <c r="BX64" i="45"/>
  <c r="BY114" i="45"/>
  <c r="BX110" i="45"/>
  <c r="BX112" i="45"/>
  <c r="BY113" i="45"/>
  <c r="BY109" i="45"/>
  <c r="BY92" i="45"/>
  <c r="BX83" i="45"/>
  <c r="BX79" i="45"/>
  <c r="BY73" i="45"/>
  <c r="BX51" i="45"/>
  <c r="BY56" i="45"/>
  <c r="BX41" i="45"/>
  <c r="BX27" i="45"/>
  <c r="BX22" i="45"/>
  <c r="BX33" i="45"/>
  <c r="BY19" i="45"/>
  <c r="BX54" i="45"/>
  <c r="BY18" i="45"/>
  <c r="BY108" i="45"/>
  <c r="BY15" i="45"/>
  <c r="BY103" i="45"/>
  <c r="BX24" i="45"/>
  <c r="BX107" i="45"/>
  <c r="BY104" i="45"/>
  <c r="BX60" i="45"/>
  <c r="BY66" i="45"/>
  <c r="BX14" i="45"/>
  <c r="BY58" i="45"/>
  <c r="BX125" i="45"/>
  <c r="BX106" i="45"/>
  <c r="BX108" i="45"/>
  <c r="BY105" i="45"/>
  <c r="BX101" i="45"/>
  <c r="BY78" i="45"/>
  <c r="BY86" i="45"/>
  <c r="BX77" i="45"/>
  <c r="BY70" i="45"/>
  <c r="BY50" i="45"/>
  <c r="BY55" i="45"/>
  <c r="BY45" i="45"/>
  <c r="BX23" i="45"/>
  <c r="BY36" i="45"/>
  <c r="BY26" i="45"/>
  <c r="BY28" i="45"/>
  <c r="BX111" i="45"/>
  <c r="BY29" i="45"/>
  <c r="BY116" i="45"/>
  <c r="BY20" i="45"/>
  <c r="BY93" i="45"/>
  <c r="BY80" i="45"/>
  <c r="BY87" i="45"/>
  <c r="BX82" i="45"/>
  <c r="BY24" i="45"/>
  <c r="BX76" i="45"/>
  <c r="BY14" i="45"/>
  <c r="BX62" i="45"/>
  <c r="BY118" i="45"/>
  <c r="BY119" i="45"/>
  <c r="BY125" i="45"/>
  <c r="BY102" i="45"/>
  <c r="BX90" i="45"/>
  <c r="BY90" i="45"/>
  <c r="BX87" i="45"/>
  <c r="BX69" i="45"/>
  <c r="BY69" i="45"/>
  <c r="BX59" i="45"/>
  <c r="BX67" i="45"/>
  <c r="BY27" i="45"/>
  <c r="BY49" i="45"/>
  <c r="BX16" i="45"/>
  <c r="BX29" i="45"/>
  <c r="BX44" i="45"/>
  <c r="BX99" i="45"/>
  <c r="BX48" i="45"/>
  <c r="BY112" i="45"/>
  <c r="BX47" i="45"/>
  <c r="BX121" i="45"/>
  <c r="BY84" i="45"/>
  <c r="BY39" i="45"/>
  <c r="BX28" i="45"/>
  <c r="BY43" i="45"/>
  <c r="BY83" i="45"/>
  <c r="BY42" i="45"/>
  <c r="BY89" i="45"/>
  <c r="BX57" i="45"/>
  <c r="BY115" i="45"/>
  <c r="BY107" i="45"/>
  <c r="BX85" i="45"/>
  <c r="BY97" i="45"/>
  <c r="BY85" i="45"/>
  <c r="BX80" i="45"/>
  <c r="BY79" i="45"/>
  <c r="BY64" i="45"/>
  <c r="BX50" i="45"/>
  <c r="BY63" i="45"/>
  <c r="BY23" i="45"/>
  <c r="BX36" i="45"/>
  <c r="BY67" i="45"/>
  <c r="BX15" i="45"/>
  <c r="BY46" i="45"/>
  <c r="BX103" i="45"/>
  <c r="BY47" i="45"/>
  <c r="BX124" i="45"/>
  <c r="BY62" i="45"/>
  <c r="BX119" i="45"/>
  <c r="BY72" i="45"/>
  <c r="BX52" i="45"/>
  <c r="BY100" i="45"/>
  <c r="BX40" i="45"/>
  <c r="BX115" i="45"/>
  <c r="BY48" i="45"/>
  <c r="BY111" i="45"/>
  <c r="BX102" i="45"/>
  <c r="BX81" i="45"/>
  <c r="BX88" i="45"/>
  <c r="BY82" i="45"/>
  <c r="BX97" i="45"/>
  <c r="BY65" i="45"/>
  <c r="BY60" i="45"/>
  <c r="BX46" i="45"/>
  <c r="BY51" i="45"/>
  <c r="BX37" i="45"/>
  <c r="BX34" i="45"/>
  <c r="BY30" i="45"/>
  <c r="BY34" i="45"/>
  <c r="BY40" i="45"/>
  <c r="BY25" i="45"/>
  <c r="BY54" i="45"/>
  <c r="BY53" i="45"/>
  <c r="BX68" i="45"/>
  <c r="BY17" i="45"/>
  <c r="BY71" i="45"/>
  <c r="BX65" i="45"/>
  <c r="BY91" i="45"/>
  <c r="BX53" i="45"/>
  <c r="BX117" i="45"/>
  <c r="BX39" i="45"/>
  <c r="BY106" i="45"/>
  <c r="BX96" i="45"/>
  <c r="BX118" i="45"/>
  <c r="BX120" i="45"/>
  <c r="BX98" i="45"/>
  <c r="BY101" i="45"/>
  <c r="BX84" i="45"/>
  <c r="BX78" i="45"/>
  <c r="BX93" i="45"/>
  <c r="BY61" i="45"/>
  <c r="BX63" i="45"/>
  <c r="BX42" i="45"/>
  <c r="BX49" i="45"/>
  <c r="BX35" i="45"/>
  <c r="BX30" i="45"/>
  <c r="BX19" i="45"/>
  <c r="BX21" i="45"/>
  <c r="BX75" i="45"/>
  <c r="BY124" i="45"/>
  <c r="BX61" i="45"/>
  <c r="BX123" i="45"/>
  <c r="BX100" i="45"/>
  <c r="BX20" i="45"/>
  <c r="BX92" i="45"/>
  <c r="BX72" i="45"/>
  <c r="BX43" i="45"/>
  <c r="BX56" i="45"/>
  <c r="BX18" i="45"/>
  <c r="BX58" i="45"/>
  <c r="BY99" i="45"/>
  <c r="BY94" i="45"/>
  <c r="BY41" i="45"/>
  <c r="BX113" i="45"/>
  <c r="BY96" i="45"/>
  <c r="BY74" i="45"/>
  <c r="BX25" i="45"/>
  <c r="BX66" i="45"/>
  <c r="BY110" i="45"/>
  <c r="BX71" i="45"/>
  <c r="BY22" i="45"/>
  <c r="BY44" i="45"/>
  <c r="BX95" i="45"/>
  <c r="BX73" i="45"/>
  <c r="BX32" i="45"/>
  <c r="BY122" i="45"/>
  <c r="BY77" i="45"/>
  <c r="BY95" i="45"/>
  <c r="BY35" i="45"/>
  <c r="BY123" i="45"/>
  <c r="BY38" i="45"/>
  <c r="BY33" i="45"/>
  <c r="BX86" i="45"/>
  <c r="BX104" i="45"/>
  <c r="BX55" i="45"/>
  <c r="BY120" i="45"/>
  <c r="BX70" i="45"/>
  <c r="BY121" i="45"/>
  <c r="BY37" i="45"/>
  <c r="BY31" i="45"/>
  <c r="BY76" i="45"/>
  <c r="BY124" i="36"/>
  <c r="BJ116" i="36"/>
  <c r="AT122" i="36"/>
  <c r="BI50" i="36"/>
  <c r="BJ109" i="36"/>
  <c r="BJ45" i="36"/>
  <c r="BI40" i="36"/>
  <c r="BJ70" i="36"/>
  <c r="BJ94" i="36"/>
  <c r="BJ87" i="36"/>
  <c r="BI96" i="36"/>
  <c r="BJ96" i="36"/>
  <c r="BI43" i="36"/>
  <c r="BJ30" i="36"/>
  <c r="BI62" i="36"/>
  <c r="BI73" i="36"/>
  <c r="BI69" i="36"/>
  <c r="BI16" i="36"/>
  <c r="BI47" i="36"/>
  <c r="BJ105" i="36"/>
  <c r="BJ98" i="36"/>
  <c r="BJ46" i="36"/>
  <c r="BJ93" i="36"/>
  <c r="BJ27" i="36"/>
  <c r="BI49" i="36"/>
  <c r="BI93" i="36"/>
  <c r="BI17" i="36"/>
  <c r="BJ50" i="36"/>
  <c r="BI99" i="36"/>
  <c r="BJ18" i="36"/>
  <c r="BJ57" i="36"/>
  <c r="BJ39" i="36"/>
  <c r="BJ37" i="36"/>
  <c r="BI92" i="36"/>
  <c r="BJ82" i="36"/>
  <c r="BJ111" i="36"/>
  <c r="BI74" i="36"/>
  <c r="BJ103" i="36"/>
  <c r="BJ34" i="36"/>
  <c r="BI24" i="36"/>
  <c r="BJ99" i="36"/>
  <c r="BI41" i="36"/>
  <c r="BJ106" i="36"/>
  <c r="BJ76" i="36"/>
  <c r="BI70" i="36"/>
  <c r="BJ73" i="36"/>
  <c r="BI32" i="36"/>
  <c r="BJ107" i="36"/>
  <c r="BI102" i="36"/>
  <c r="BI42" i="36"/>
  <c r="BI89" i="36"/>
  <c r="BI107" i="36"/>
  <c r="BI30" i="36"/>
  <c r="BJ19" i="36"/>
  <c r="BI101" i="36"/>
  <c r="BJ77" i="36"/>
  <c r="BI61" i="36"/>
  <c r="BI105" i="36"/>
  <c r="BJ84" i="36"/>
  <c r="BJ68" i="36"/>
  <c r="BJ102" i="36"/>
  <c r="BJ36" i="36"/>
  <c r="BJ21" i="36"/>
  <c r="BJ20" i="36"/>
  <c r="BJ97" i="36"/>
  <c r="BJ112" i="36"/>
  <c r="BJ58" i="36"/>
  <c r="BI55" i="36"/>
  <c r="BJ61" i="36"/>
  <c r="BI66" i="36"/>
  <c r="BI38" i="36"/>
  <c r="BJ90" i="36"/>
  <c r="BJ78" i="36"/>
  <c r="BJ51" i="36"/>
  <c r="BJ22" i="36"/>
  <c r="BJ100" i="36"/>
  <c r="BI75" i="36"/>
  <c r="BI106" i="36"/>
  <c r="BI63" i="36"/>
  <c r="BI48" i="36"/>
  <c r="BJ92" i="36"/>
  <c r="BI85" i="36"/>
  <c r="BI114" i="36"/>
  <c r="BI113" i="36"/>
  <c r="BJ86" i="36"/>
  <c r="BI33" i="36"/>
  <c r="BJ74" i="36"/>
  <c r="AT116" i="36"/>
  <c r="AT39" i="36"/>
  <c r="AU79" i="36"/>
  <c r="BV110" i="24"/>
  <c r="BV102" i="24"/>
  <c r="BW99" i="24"/>
  <c r="BW96" i="24"/>
  <c r="BV85" i="24"/>
  <c r="BW115" i="24"/>
  <c r="BW112" i="24"/>
  <c r="BW107" i="24"/>
  <c r="BW104" i="24"/>
  <c r="BV99" i="24"/>
  <c r="BV96" i="24"/>
  <c r="BW93" i="24"/>
  <c r="BW90" i="24"/>
  <c r="BW87" i="24"/>
  <c r="BW84" i="24"/>
  <c r="BW81" i="24"/>
  <c r="BV70" i="24"/>
  <c r="BV67" i="24"/>
  <c r="BV115" i="24"/>
  <c r="BV112" i="24"/>
  <c r="BV107" i="24"/>
  <c r="BV104" i="24"/>
  <c r="BV93" i="24"/>
  <c r="BV90" i="24"/>
  <c r="BV87" i="24"/>
  <c r="BV84" i="24"/>
  <c r="BV81" i="24"/>
  <c r="BW78" i="24"/>
  <c r="BW75" i="24"/>
  <c r="BW72" i="24"/>
  <c r="BW109" i="24"/>
  <c r="BW101" i="24"/>
  <c r="BW98" i="24"/>
  <c r="BW95" i="24"/>
  <c r="BW92" i="24"/>
  <c r="BW89" i="24"/>
  <c r="BW114" i="24"/>
  <c r="BW111" i="24"/>
  <c r="BV109" i="24"/>
  <c r="BW106" i="24"/>
  <c r="BW103" i="24"/>
  <c r="BV101" i="24"/>
  <c r="BV98" i="24"/>
  <c r="BV95" i="24"/>
  <c r="BV92" i="24"/>
  <c r="BV89" i="24"/>
  <c r="BW86" i="24"/>
  <c r="BW83" i="24"/>
  <c r="BW80" i="24"/>
  <c r="BV69" i="24"/>
  <c r="BV66" i="24"/>
  <c r="BV114" i="24"/>
  <c r="BV111" i="24"/>
  <c r="BV106" i="24"/>
  <c r="BV103" i="24"/>
  <c r="BW100" i="24"/>
  <c r="BW97" i="24"/>
  <c r="BV86" i="24"/>
  <c r="BV83" i="24"/>
  <c r="BV80" i="24"/>
  <c r="BW77" i="24"/>
  <c r="BW74" i="24"/>
  <c r="BW71" i="24"/>
  <c r="BW68" i="24"/>
  <c r="BW65" i="24"/>
  <c r="BV113" i="24"/>
  <c r="BW110" i="24"/>
  <c r="BV108" i="24"/>
  <c r="BV105" i="24"/>
  <c r="BW102" i="24"/>
  <c r="BV94" i="24"/>
  <c r="BV91" i="24"/>
  <c r="BV88" i="24"/>
  <c r="BW85" i="24"/>
  <c r="BW82" i="24"/>
  <c r="BW79" i="24"/>
  <c r="BW76" i="24"/>
  <c r="BW73" i="24"/>
  <c r="BV97" i="24"/>
  <c r="BV72" i="24"/>
  <c r="BV53" i="24"/>
  <c r="BV50" i="24"/>
  <c r="BV47" i="24"/>
  <c r="BV44" i="24"/>
  <c r="BV41" i="24"/>
  <c r="BW38" i="24"/>
  <c r="BW35" i="24"/>
  <c r="BW32" i="24"/>
  <c r="BV21" i="24"/>
  <c r="BV18" i="24"/>
  <c r="BH110" i="24"/>
  <c r="BG108" i="24"/>
  <c r="BH105" i="24"/>
  <c r="BG103" i="24"/>
  <c r="BH98" i="24"/>
  <c r="BG93" i="24"/>
  <c r="BG91" i="24"/>
  <c r="BG88" i="24"/>
  <c r="BH85" i="24"/>
  <c r="BG83" i="24"/>
  <c r="BG80" i="24"/>
  <c r="BH77" i="24"/>
  <c r="BG75" i="24"/>
  <c r="BG72" i="24"/>
  <c r="BH69" i="24"/>
  <c r="BW94" i="24"/>
  <c r="BV79" i="24"/>
  <c r="BV71" i="24"/>
  <c r="BW64" i="24"/>
  <c r="BW61" i="24"/>
  <c r="BW58" i="24"/>
  <c r="BW55" i="24"/>
  <c r="BW52" i="24"/>
  <c r="BW49" i="24"/>
  <c r="BV38" i="24"/>
  <c r="BV35" i="24"/>
  <c r="BV32" i="24"/>
  <c r="BW29" i="24"/>
  <c r="BW26" i="24"/>
  <c r="BW23" i="24"/>
  <c r="BW20" i="24"/>
  <c r="BW17" i="24"/>
  <c r="BH115" i="24"/>
  <c r="BH112" i="24"/>
  <c r="BG110" i="24"/>
  <c r="BG105" i="24"/>
  <c r="BH100" i="24"/>
  <c r="BG98" i="24"/>
  <c r="BH95" i="24"/>
  <c r="BG85" i="24"/>
  <c r="BG77" i="24"/>
  <c r="BG69" i="24"/>
  <c r="BW113" i="24"/>
  <c r="BW91" i="24"/>
  <c r="BV78" i="24"/>
  <c r="BW70" i="24"/>
  <c r="BV64" i="24"/>
  <c r="BV61" i="24"/>
  <c r="BV58" i="24"/>
  <c r="BV55" i="24"/>
  <c r="BV52" i="24"/>
  <c r="BV49" i="24"/>
  <c r="BW46" i="24"/>
  <c r="BW43" i="24"/>
  <c r="BW40" i="24"/>
  <c r="BV29" i="24"/>
  <c r="BV26" i="24"/>
  <c r="BV23" i="24"/>
  <c r="BV20" i="24"/>
  <c r="BV17" i="24"/>
  <c r="BG115" i="24"/>
  <c r="BG112" i="24"/>
  <c r="BH102" i="24"/>
  <c r="BG100" i="24"/>
  <c r="BH97" i="24"/>
  <c r="BG95" i="24"/>
  <c r="BH90" i="24"/>
  <c r="BH82" i="24"/>
  <c r="BH74" i="24"/>
  <c r="BW88" i="24"/>
  <c r="BV77" i="24"/>
  <c r="BW69" i="24"/>
  <c r="BW63" i="24"/>
  <c r="BW60" i="24"/>
  <c r="BW57" i="24"/>
  <c r="BV46" i="24"/>
  <c r="BV43" i="24"/>
  <c r="BV40" i="24"/>
  <c r="BW37" i="24"/>
  <c r="BW34" i="24"/>
  <c r="BW31" i="24"/>
  <c r="BW28" i="24"/>
  <c r="BW25" i="24"/>
  <c r="BH109" i="24"/>
  <c r="BH107" i="24"/>
  <c r="BH104" i="24"/>
  <c r="BG102" i="24"/>
  <c r="BG97" i="24"/>
  <c r="BH92" i="24"/>
  <c r="BG90" i="24"/>
  <c r="BH87" i="24"/>
  <c r="BH84" i="24"/>
  <c r="BG82" i="24"/>
  <c r="BH79" i="24"/>
  <c r="BH76" i="24"/>
  <c r="BG74" i="24"/>
  <c r="BH71" i="24"/>
  <c r="BH68" i="24"/>
  <c r="BW108" i="24"/>
  <c r="BV76" i="24"/>
  <c r="BV68" i="24"/>
  <c r="BV63" i="24"/>
  <c r="BV60" i="24"/>
  <c r="BV57" i="24"/>
  <c r="BW54" i="24"/>
  <c r="BW51" i="24"/>
  <c r="BW48" i="24"/>
  <c r="BV37" i="24"/>
  <c r="BV34" i="24"/>
  <c r="BV31" i="24"/>
  <c r="BV28" i="24"/>
  <c r="BV25" i="24"/>
  <c r="BW22" i="24"/>
  <c r="BW19" i="24"/>
  <c r="BW16" i="24"/>
  <c r="BH114" i="24"/>
  <c r="BG109" i="24"/>
  <c r="BG107" i="24"/>
  <c r="BG104" i="24"/>
  <c r="BH94" i="24"/>
  <c r="BG92" i="24"/>
  <c r="BH89" i="24"/>
  <c r="BG87" i="24"/>
  <c r="BG84" i="24"/>
  <c r="BH81" i="24"/>
  <c r="BV100" i="24"/>
  <c r="BV73" i="24"/>
  <c r="BV65" i="24"/>
  <c r="BV62" i="24"/>
  <c r="BV59" i="24"/>
  <c r="BV56" i="24"/>
  <c r="BW53" i="24"/>
  <c r="BW50" i="24"/>
  <c r="BW47" i="24"/>
  <c r="BW44" i="24"/>
  <c r="BW41" i="24"/>
  <c r="BV30" i="24"/>
  <c r="BV27" i="24"/>
  <c r="BV24" i="24"/>
  <c r="BW21" i="24"/>
  <c r="BW18" i="24"/>
  <c r="BG113" i="24"/>
  <c r="BH108" i="24"/>
  <c r="BG106" i="24"/>
  <c r="BH103" i="24"/>
  <c r="BH93" i="24"/>
  <c r="BH91" i="24"/>
  <c r="BH88" i="24"/>
  <c r="BG86" i="24"/>
  <c r="BH83" i="24"/>
  <c r="BH80" i="24"/>
  <c r="BG78" i="24"/>
  <c r="BH75" i="24"/>
  <c r="BH72" i="24"/>
  <c r="BG70" i="24"/>
  <c r="BW105" i="24"/>
  <c r="BV51" i="24"/>
  <c r="BW39" i="24"/>
  <c r="BV16" i="24"/>
  <c r="BG99" i="24"/>
  <c r="BG71" i="24"/>
  <c r="BG67" i="24"/>
  <c r="BG64" i="24"/>
  <c r="BH61" i="24"/>
  <c r="BG59" i="24"/>
  <c r="BG56" i="24"/>
  <c r="BH53" i="24"/>
  <c r="BG51" i="24"/>
  <c r="BG48" i="24"/>
  <c r="BH45" i="24"/>
  <c r="BG43" i="24"/>
  <c r="BG40" i="24"/>
  <c r="BH37" i="24"/>
  <c r="BG35" i="24"/>
  <c r="BG32" i="24"/>
  <c r="BH29" i="24"/>
  <c r="BG27" i="24"/>
  <c r="BG24" i="24"/>
  <c r="BH21" i="24"/>
  <c r="BG19" i="24"/>
  <c r="BG16" i="24"/>
  <c r="BH73" i="24"/>
  <c r="BG33" i="24"/>
  <c r="BW62" i="24"/>
  <c r="BV39" i="24"/>
  <c r="BW27" i="24"/>
  <c r="BH96" i="24"/>
  <c r="BH78" i="24"/>
  <c r="BG61" i="24"/>
  <c r="BG53" i="24"/>
  <c r="BG45" i="24"/>
  <c r="BG37" i="24"/>
  <c r="BG29" i="24"/>
  <c r="BG21" i="24"/>
  <c r="BV45" i="24"/>
  <c r="BH101" i="24"/>
  <c r="BG57" i="24"/>
  <c r="BG41" i="24"/>
  <c r="BV48" i="24"/>
  <c r="BW36" i="24"/>
  <c r="BH106" i="24"/>
  <c r="BG96" i="24"/>
  <c r="BH86" i="24"/>
  <c r="BG76" i="24"/>
  <c r="BH70" i="24"/>
  <c r="BH66" i="24"/>
  <c r="BH58" i="24"/>
  <c r="BH50" i="24"/>
  <c r="BH42" i="24"/>
  <c r="BH34" i="24"/>
  <c r="BH26" i="24"/>
  <c r="BH18" i="24"/>
  <c r="BW56" i="24"/>
  <c r="BG81" i="24"/>
  <c r="BG49" i="24"/>
  <c r="BG25" i="24"/>
  <c r="BV82" i="24"/>
  <c r="BW59" i="24"/>
  <c r="BV36" i="24"/>
  <c r="BW24" i="24"/>
  <c r="BG114" i="24"/>
  <c r="BG94" i="24"/>
  <c r="BG66" i="24"/>
  <c r="BH63" i="24"/>
  <c r="BH60" i="24"/>
  <c r="BG58" i="24"/>
  <c r="BH55" i="24"/>
  <c r="BH52" i="24"/>
  <c r="BG50" i="24"/>
  <c r="BH47" i="24"/>
  <c r="BH44" i="24"/>
  <c r="BG42" i="24"/>
  <c r="BH39" i="24"/>
  <c r="BH36" i="24"/>
  <c r="BG34" i="24"/>
  <c r="BH31" i="24"/>
  <c r="BH28" i="24"/>
  <c r="BG26" i="24"/>
  <c r="BH23" i="24"/>
  <c r="BH20" i="24"/>
  <c r="BG18" i="24"/>
  <c r="BV33" i="24"/>
  <c r="BH111" i="24"/>
  <c r="BV75" i="24"/>
  <c r="BW45" i="24"/>
  <c r="BW33" i="24"/>
  <c r="BV22" i="24"/>
  <c r="BH113" i="24"/>
  <c r="BG68" i="24"/>
  <c r="BH65" i="24"/>
  <c r="BG63" i="24"/>
  <c r="BG60" i="24"/>
  <c r="BH57" i="24"/>
  <c r="BG55" i="24"/>
  <c r="BG52" i="24"/>
  <c r="BH49" i="24"/>
  <c r="BG47" i="24"/>
  <c r="BG44" i="24"/>
  <c r="BH41" i="24"/>
  <c r="BG39" i="24"/>
  <c r="BG36" i="24"/>
  <c r="BH33" i="24"/>
  <c r="BG31" i="24"/>
  <c r="BG28" i="24"/>
  <c r="BH25" i="24"/>
  <c r="BG23" i="24"/>
  <c r="BG20" i="24"/>
  <c r="BH17" i="24"/>
  <c r="BV74" i="24"/>
  <c r="BG17" i="24"/>
  <c r="BW66" i="24"/>
  <c r="BV42" i="24"/>
  <c r="BW30" i="24"/>
  <c r="BH99" i="24"/>
  <c r="BG89" i="24"/>
  <c r="BG79" i="24"/>
  <c r="BH67" i="24"/>
  <c r="BH64" i="24"/>
  <c r="BG62" i="24"/>
  <c r="BH59" i="24"/>
  <c r="BH56" i="24"/>
  <c r="BG54" i="24"/>
  <c r="BH51" i="24"/>
  <c r="BH48" i="24"/>
  <c r="BG46" i="24"/>
  <c r="BH43" i="24"/>
  <c r="BH40" i="24"/>
  <c r="BG38" i="24"/>
  <c r="BH35" i="24"/>
  <c r="BH32" i="24"/>
  <c r="BG30" i="24"/>
  <c r="BH27" i="24"/>
  <c r="BH24" i="24"/>
  <c r="BG22" i="24"/>
  <c r="BH19" i="24"/>
  <c r="BH16" i="24"/>
  <c r="BG65" i="24"/>
  <c r="BH46" i="24"/>
  <c r="BW67" i="24"/>
  <c r="BH22" i="24"/>
  <c r="BH54" i="24"/>
  <c r="BV54" i="24"/>
  <c r="BH62" i="24"/>
  <c r="BW42" i="24"/>
  <c r="BG111" i="24"/>
  <c r="BH38" i="24"/>
  <c r="BG101" i="24"/>
  <c r="BG73" i="24"/>
  <c r="BV19" i="24"/>
  <c r="BH30" i="24"/>
  <c r="BW14" i="24"/>
  <c r="BV14" i="24"/>
  <c r="Q15" i="21"/>
  <c r="J15" i="21"/>
  <c r="L6" i="40" s="1" a="1"/>
  <c r="L6" i="40" s="1"/>
  <c r="N4" i="24" a="1"/>
  <c r="N4" i="24" s="1"/>
  <c r="J10" i="21"/>
  <c r="L6" i="24" s="1" a="1"/>
  <c r="L6" i="24" s="1"/>
  <c r="Q13" i="21"/>
  <c r="J13" i="21"/>
  <c r="L6" i="38" s="1" a="1"/>
  <c r="L6" i="38" s="1"/>
  <c r="Q24" i="21"/>
  <c r="J24" i="21"/>
  <c r="L6" i="49" s="1" a="1"/>
  <c r="L6" i="49" s="1"/>
  <c r="Q16" i="21"/>
  <c r="J16" i="21"/>
  <c r="L6" i="41" s="1" a="1"/>
  <c r="L6" i="41" s="1"/>
  <c r="Q18" i="21"/>
  <c r="J18" i="21"/>
  <c r="L6" i="43" s="1" a="1"/>
  <c r="L6" i="43" s="1"/>
  <c r="Q11" i="21"/>
  <c r="J11" i="21"/>
  <c r="L6" i="36" s="1" a="1"/>
  <c r="L6" i="36" s="1"/>
  <c r="Q19" i="21"/>
  <c r="J19" i="21"/>
  <c r="L6" i="44" s="1" a="1"/>
  <c r="L6" i="44" s="1"/>
  <c r="Q22" i="21"/>
  <c r="J22" i="21"/>
  <c r="L6" i="47" s="1" a="1"/>
  <c r="L6" i="47" s="1"/>
  <c r="Q14" i="21"/>
  <c r="J14" i="21"/>
  <c r="L6" i="39" s="1" a="1"/>
  <c r="L6" i="39" s="1"/>
  <c r="Q12" i="21"/>
  <c r="J12" i="21"/>
  <c r="L6" i="37" s="1" a="1"/>
  <c r="L6" i="37" s="1"/>
  <c r="Q17" i="21"/>
  <c r="J17" i="21"/>
  <c r="L6" i="42" s="1" a="1"/>
  <c r="L6" i="42" s="1"/>
  <c r="Q23" i="21"/>
  <c r="J23" i="21"/>
  <c r="L6" i="48" s="1" a="1"/>
  <c r="L6" i="48" s="1"/>
  <c r="Q20" i="21"/>
  <c r="J20" i="21"/>
  <c r="L6" i="45" s="1" a="1"/>
  <c r="L6" i="45" s="1"/>
  <c r="B21" i="21"/>
  <c r="N4" i="46" s="1" a="1"/>
  <c r="N4" i="46" s="1"/>
  <c r="F33" i="21" a="1"/>
  <c r="F33" i="21" s="1"/>
  <c r="G10" i="21"/>
  <c r="C17" i="3" s="1"/>
  <c r="CA62" i="47" l="1"/>
  <c r="CB44" i="47"/>
  <c r="CA47" i="47"/>
  <c r="CA86" i="47"/>
  <c r="CB86" i="47"/>
  <c r="CA46" i="47"/>
  <c r="CA20" i="47"/>
  <c r="CB27" i="47"/>
  <c r="CB64" i="47"/>
  <c r="CA81" i="47"/>
  <c r="CA71" i="47"/>
  <c r="CB102" i="47"/>
  <c r="CB78" i="47"/>
  <c r="CB58" i="39"/>
  <c r="CB112" i="41"/>
  <c r="CA95" i="41"/>
  <c r="CB124" i="41"/>
  <c r="CB56" i="41"/>
  <c r="CA100" i="46"/>
  <c r="CB48" i="47"/>
  <c r="CB45" i="47"/>
  <c r="CA64" i="41"/>
  <c r="CB95" i="47"/>
  <c r="CA76" i="47"/>
  <c r="CA22" i="47"/>
  <c r="CA121" i="47"/>
  <c r="CB111" i="47"/>
  <c r="CA44" i="47"/>
  <c r="CB34" i="41"/>
  <c r="CA51" i="46"/>
  <c r="CA33" i="47"/>
  <c r="CA92" i="41"/>
  <c r="CB19" i="47"/>
  <c r="CB38" i="47"/>
  <c r="CA95" i="47"/>
  <c r="CB91" i="46"/>
  <c r="CB29" i="47"/>
  <c r="CB112" i="47"/>
  <c r="CB122" i="47"/>
  <c r="CB121" i="41"/>
  <c r="CB99" i="47"/>
  <c r="CA116" i="47"/>
  <c r="CB116" i="47"/>
  <c r="CB77" i="47"/>
  <c r="CB55" i="47"/>
  <c r="CB71" i="47"/>
  <c r="CB109" i="47"/>
  <c r="CA49" i="47"/>
  <c r="CB26" i="47"/>
  <c r="CB75" i="47"/>
  <c r="CB81" i="47"/>
  <c r="CA30" i="47"/>
  <c r="CA73" i="47"/>
  <c r="CB69" i="47"/>
  <c r="CA36" i="47"/>
  <c r="CA94" i="47"/>
  <c r="CB105" i="47"/>
  <c r="CB72" i="47"/>
  <c r="CB120" i="47"/>
  <c r="CB46" i="47"/>
  <c r="CA78" i="47"/>
  <c r="CB31" i="47"/>
  <c r="CB51" i="47"/>
  <c r="CB30" i="47"/>
  <c r="CA51" i="47"/>
  <c r="CA61" i="47"/>
  <c r="CA53" i="47"/>
  <c r="CA120" i="47"/>
  <c r="CA58" i="47"/>
  <c r="CA88" i="47"/>
  <c r="CA41" i="47"/>
  <c r="CA91" i="47"/>
  <c r="CA83" i="47"/>
  <c r="CC82" i="47" s="1"/>
  <c r="CG82" i="47" s="1"/>
  <c r="CA25" i="41"/>
  <c r="CB44" i="41"/>
  <c r="CB119" i="41"/>
  <c r="CB114" i="41"/>
  <c r="CA51" i="41"/>
  <c r="CB65" i="41"/>
  <c r="CA36" i="41"/>
  <c r="CB82" i="41"/>
  <c r="CB122" i="41"/>
  <c r="CA87" i="41"/>
  <c r="CA35" i="41"/>
  <c r="CB116" i="41"/>
  <c r="CA107" i="47"/>
  <c r="CB94" i="47"/>
  <c r="CA66" i="47"/>
  <c r="CA106" i="47"/>
  <c r="CB41" i="47"/>
  <c r="CB67" i="47"/>
  <c r="CA108" i="47"/>
  <c r="CB117" i="47"/>
  <c r="CA87" i="47"/>
  <c r="CA34" i="47"/>
  <c r="CB80" i="47"/>
  <c r="CB36" i="46"/>
  <c r="CB22" i="46"/>
  <c r="CB118" i="47"/>
  <c r="CA119" i="47"/>
  <c r="CB104" i="47"/>
  <c r="CB89" i="47"/>
  <c r="CB49" i="47"/>
  <c r="CB108" i="47"/>
  <c r="CA23" i="47"/>
  <c r="CB24" i="47"/>
  <c r="CA17" i="47"/>
  <c r="CA31" i="47"/>
  <c r="CA102" i="47"/>
  <c r="CA21" i="47"/>
  <c r="CA105" i="47"/>
  <c r="CA84" i="47"/>
  <c r="CA109" i="46"/>
  <c r="CB20" i="41"/>
  <c r="CB100" i="41"/>
  <c r="CA83" i="41"/>
  <c r="CA40" i="41"/>
  <c r="CA47" i="41"/>
  <c r="CA41" i="41"/>
  <c r="CB98" i="41"/>
  <c r="CA90" i="41"/>
  <c r="CB111" i="41"/>
  <c r="CB61" i="41"/>
  <c r="CA28" i="41"/>
  <c r="CB108" i="41"/>
  <c r="CA91" i="41"/>
  <c r="CA43" i="41"/>
  <c r="CA70" i="41"/>
  <c r="CA55" i="47"/>
  <c r="CA19" i="47"/>
  <c r="CB113" i="47"/>
  <c r="CB50" i="47"/>
  <c r="CB65" i="47"/>
  <c r="CD64" i="47" s="1"/>
  <c r="CH64" i="47" s="1"/>
  <c r="CB17" i="47"/>
  <c r="CA69" i="47"/>
  <c r="CA32" i="47"/>
  <c r="CB74" i="47"/>
  <c r="CA39" i="47"/>
  <c r="CB28" i="47"/>
  <c r="CB47" i="47"/>
  <c r="CA16" i="47"/>
  <c r="CB62" i="47"/>
  <c r="CD63" i="47" s="1"/>
  <c r="CH63" i="47" s="1"/>
  <c r="CB82" i="47"/>
  <c r="CA125" i="47"/>
  <c r="CA104" i="47"/>
  <c r="CB66" i="47"/>
  <c r="CA45" i="47"/>
  <c r="CA103" i="47"/>
  <c r="CA57" i="47"/>
  <c r="CA123" i="47"/>
  <c r="CB20" i="47"/>
  <c r="CA63" i="47"/>
  <c r="CB39" i="47"/>
  <c r="CA68" i="47"/>
  <c r="CB37" i="47"/>
  <c r="CA114" i="47"/>
  <c r="CA99" i="41"/>
  <c r="CB115" i="47"/>
  <c r="CB60" i="47"/>
  <c r="CB42" i="47"/>
  <c r="CA100" i="47"/>
  <c r="CA74" i="47"/>
  <c r="CA85" i="47"/>
  <c r="CA97" i="47"/>
  <c r="CA122" i="47"/>
  <c r="CA24" i="47"/>
  <c r="CB103" i="47"/>
  <c r="CB124" i="47"/>
  <c r="CA35" i="47"/>
  <c r="CB68" i="47"/>
  <c r="CA59" i="47"/>
  <c r="CB53" i="47"/>
  <c r="CB74" i="41"/>
  <c r="CB83" i="47"/>
  <c r="CA112" i="47"/>
  <c r="CB90" i="47"/>
  <c r="CB114" i="47"/>
  <c r="CA109" i="47"/>
  <c r="CB42" i="41"/>
  <c r="CB70" i="41"/>
  <c r="CB77" i="41"/>
  <c r="CA99" i="47"/>
  <c r="CA65" i="47"/>
  <c r="CB100" i="47"/>
  <c r="CA70" i="47"/>
  <c r="CB119" i="47"/>
  <c r="CA52" i="47"/>
  <c r="CA124" i="47"/>
  <c r="CB59" i="47"/>
  <c r="CA79" i="47"/>
  <c r="CA42" i="47"/>
  <c r="CA77" i="47"/>
  <c r="CA118" i="47"/>
  <c r="CB92" i="47"/>
  <c r="CB75" i="41"/>
  <c r="CB32" i="47"/>
  <c r="CB88" i="47"/>
  <c r="CD87" i="47" s="1"/>
  <c r="CH87" i="47" s="1"/>
  <c r="CA117" i="47"/>
  <c r="CA15" i="47"/>
  <c r="CC15" i="47" s="1"/>
  <c r="CG15" i="47" s="1"/>
  <c r="CB61" i="47"/>
  <c r="CA74" i="41"/>
  <c r="CA75" i="47"/>
  <c r="CB96" i="47"/>
  <c r="CB43" i="47"/>
  <c r="CA43" i="47"/>
  <c r="CB58" i="47"/>
  <c r="CB16" i="47"/>
  <c r="CA45" i="41"/>
  <c r="CB21" i="41"/>
  <c r="CB55" i="46"/>
  <c r="CA48" i="47"/>
  <c r="CA92" i="47"/>
  <c r="CB73" i="47"/>
  <c r="CA80" i="47"/>
  <c r="CC81" i="47" s="1"/>
  <c r="CG81" i="47" s="1"/>
  <c r="CB21" i="47"/>
  <c r="CB101" i="47"/>
  <c r="CA119" i="41"/>
  <c r="CB67" i="41"/>
  <c r="CA30" i="41"/>
  <c r="CA20" i="41"/>
  <c r="CA61" i="46"/>
  <c r="CB55" i="39"/>
  <c r="CB36" i="47"/>
  <c r="CB93" i="47"/>
  <c r="CA29" i="47"/>
  <c r="CA27" i="47"/>
  <c r="CB98" i="47"/>
  <c r="CB57" i="47"/>
  <c r="CB33" i="47"/>
  <c r="CA93" i="47"/>
  <c r="CA115" i="41"/>
  <c r="CA106" i="41"/>
  <c r="CB121" i="47"/>
  <c r="CB123" i="47"/>
  <c r="CB91" i="47"/>
  <c r="CA111" i="47"/>
  <c r="CB107" i="47"/>
  <c r="CA25" i="47"/>
  <c r="CA37" i="47"/>
  <c r="CB36" i="41"/>
  <c r="CB87" i="41"/>
  <c r="CA60" i="41"/>
  <c r="CB117" i="41"/>
  <c r="CB103" i="41"/>
  <c r="CB101" i="46"/>
  <c r="CB82" i="46"/>
  <c r="CB17" i="46"/>
  <c r="CB70" i="47"/>
  <c r="CA96" i="47"/>
  <c r="CB35" i="47"/>
  <c r="CA26" i="47"/>
  <c r="CA54" i="47"/>
  <c r="CB22" i="47"/>
  <c r="CA40" i="47"/>
  <c r="CB89" i="41"/>
  <c r="CA22" i="41"/>
  <c r="CA98" i="41"/>
  <c r="CA97" i="46"/>
  <c r="CB15" i="46"/>
  <c r="CD15" i="46" s="1"/>
  <c r="CH15" i="46" s="1"/>
  <c r="CB75" i="46"/>
  <c r="CB95" i="46"/>
  <c r="CB52" i="47"/>
  <c r="CA89" i="47"/>
  <c r="CB56" i="47"/>
  <c r="CB54" i="47"/>
  <c r="CA110" i="47"/>
  <c r="CB106" i="41"/>
  <c r="CB52" i="41"/>
  <c r="CB33" i="41"/>
  <c r="CA121" i="41"/>
  <c r="CB89" i="39"/>
  <c r="CA28" i="47"/>
  <c r="CA101" i="47"/>
  <c r="CA72" i="47"/>
  <c r="CB15" i="47"/>
  <c r="CD15" i="47" s="1"/>
  <c r="CH15" i="47" s="1"/>
  <c r="CB81" i="41"/>
  <c r="CA76" i="46"/>
  <c r="CA113" i="47"/>
  <c r="CB40" i="47"/>
  <c r="CA64" i="47"/>
  <c r="CB76" i="47"/>
  <c r="CA115" i="47"/>
  <c r="CB85" i="47"/>
  <c r="CB34" i="47"/>
  <c r="CA60" i="47"/>
  <c r="CB80" i="49"/>
  <c r="CB37" i="49"/>
  <c r="CA82" i="49"/>
  <c r="CA58" i="49"/>
  <c r="CB53" i="49"/>
  <c r="CB61" i="49"/>
  <c r="CB36" i="49"/>
  <c r="CA17" i="49"/>
  <c r="CA124" i="49"/>
  <c r="CB20" i="49"/>
  <c r="CB110" i="49"/>
  <c r="CB93" i="49"/>
  <c r="CB87" i="49"/>
  <c r="CA26" i="49"/>
  <c r="CA51" i="49"/>
  <c r="CB115" i="49"/>
  <c r="CB25" i="49"/>
  <c r="CA90" i="49"/>
  <c r="CB57" i="49"/>
  <c r="CB21" i="49"/>
  <c r="CA84" i="49"/>
  <c r="CA89" i="49"/>
  <c r="CB18" i="49"/>
  <c r="CA53" i="49"/>
  <c r="CA115" i="49"/>
  <c r="CA66" i="49"/>
  <c r="CA25" i="49"/>
  <c r="CA100" i="49"/>
  <c r="CB101" i="48"/>
  <c r="CA83" i="48"/>
  <c r="CA49" i="48"/>
  <c r="CB121" i="48"/>
  <c r="CB87" i="48"/>
  <c r="CA28" i="48"/>
  <c r="CA89" i="48"/>
  <c r="CB62" i="48"/>
  <c r="CB33" i="48"/>
  <c r="CB37" i="48"/>
  <c r="CA60" i="48"/>
  <c r="CB22" i="48"/>
  <c r="CB48" i="48"/>
  <c r="CA94" i="48"/>
  <c r="CB28" i="48"/>
  <c r="CB41" i="48"/>
  <c r="CB105" i="48"/>
  <c r="CA64" i="48"/>
  <c r="CA58" i="48"/>
  <c r="CA67" i="48"/>
  <c r="CA110" i="48"/>
  <c r="CB59" i="48"/>
  <c r="CA59" i="48"/>
  <c r="CA119" i="48"/>
  <c r="CA46" i="48"/>
  <c r="CB25" i="48"/>
  <c r="CB81" i="48"/>
  <c r="CB106" i="48"/>
  <c r="CB29" i="49"/>
  <c r="CA83" i="49"/>
  <c r="CA121" i="49"/>
  <c r="CA63" i="49"/>
  <c r="CB51" i="49"/>
  <c r="CA55" i="49"/>
  <c r="CB41" i="49"/>
  <c r="CB30" i="49"/>
  <c r="CA68" i="49"/>
  <c r="CA97" i="49"/>
  <c r="CA123" i="49"/>
  <c r="CB55" i="49"/>
  <c r="CA76" i="49"/>
  <c r="CA85" i="49"/>
  <c r="CA79" i="49"/>
  <c r="CA111" i="49"/>
  <c r="CA23" i="49"/>
  <c r="CB90" i="49"/>
  <c r="CA109" i="49"/>
  <c r="CA34" i="49"/>
  <c r="CB122" i="49"/>
  <c r="CB32" i="49"/>
  <c r="CA22" i="49"/>
  <c r="CA71" i="49"/>
  <c r="CA32" i="49"/>
  <c r="CB88" i="49"/>
  <c r="CB26" i="48"/>
  <c r="CB92" i="48"/>
  <c r="CA61" i="48"/>
  <c r="CA22" i="48"/>
  <c r="CA88" i="48"/>
  <c r="CA125" i="48"/>
  <c r="CA63" i="48"/>
  <c r="CA65" i="48"/>
  <c r="CA33" i="48"/>
  <c r="CB116" i="48"/>
  <c r="CA66" i="48"/>
  <c r="CB79" i="48"/>
  <c r="CB46" i="48"/>
  <c r="CB68" i="48"/>
  <c r="CA93" i="48"/>
  <c r="CA108" i="48"/>
  <c r="CA26" i="48"/>
  <c r="CB104" i="48"/>
  <c r="CA27" i="48"/>
  <c r="CA17" i="48"/>
  <c r="CA57" i="48"/>
  <c r="CB99" i="48"/>
  <c r="CA106" i="48"/>
  <c r="CA43" i="48"/>
  <c r="CA103" i="48"/>
  <c r="CA111" i="48"/>
  <c r="CA31" i="49"/>
  <c r="CB109" i="49"/>
  <c r="CA28" i="49"/>
  <c r="CB74" i="49"/>
  <c r="CA99" i="49"/>
  <c r="CA67" i="49"/>
  <c r="CB45" i="49"/>
  <c r="CA36" i="49"/>
  <c r="CA37" i="49"/>
  <c r="CA29" i="49"/>
  <c r="CB120" i="49"/>
  <c r="CB112" i="49"/>
  <c r="CA106" i="49"/>
  <c r="CB99" i="49"/>
  <c r="CB94" i="49"/>
  <c r="CB105" i="49"/>
  <c r="CB52" i="49"/>
  <c r="CA35" i="49"/>
  <c r="CB76" i="49"/>
  <c r="CA47" i="49"/>
  <c r="CA104" i="49"/>
  <c r="CA73" i="49"/>
  <c r="CA61" i="49"/>
  <c r="CB118" i="49"/>
  <c r="CA50" i="49"/>
  <c r="CB104" i="49"/>
  <c r="CA15" i="49"/>
  <c r="CC15" i="49" s="1"/>
  <c r="CG15" i="49" s="1"/>
  <c r="CA98" i="49"/>
  <c r="CA82" i="48"/>
  <c r="CA84" i="48"/>
  <c r="CB75" i="48"/>
  <c r="CA45" i="48"/>
  <c r="CB94" i="48"/>
  <c r="CB47" i="48"/>
  <c r="CA112" i="48"/>
  <c r="CB96" i="48"/>
  <c r="CB80" i="48"/>
  <c r="CB35" i="48"/>
  <c r="CB70" i="48"/>
  <c r="CB76" i="48"/>
  <c r="CB78" i="48"/>
  <c r="CB107" i="48"/>
  <c r="CB97" i="48"/>
  <c r="CA55" i="48"/>
  <c r="CA107" i="48"/>
  <c r="CB66" i="48"/>
  <c r="CB31" i="48"/>
  <c r="CA77" i="48"/>
  <c r="CA114" i="48"/>
  <c r="CB102" i="48"/>
  <c r="CA62" i="48"/>
  <c r="CB18" i="48"/>
  <c r="CA54" i="48"/>
  <c r="CA48" i="48"/>
  <c r="CA117" i="48"/>
  <c r="CB88" i="48"/>
  <c r="CB15" i="49"/>
  <c r="CD15" i="49" s="1"/>
  <c r="CH15" i="49" s="1"/>
  <c r="CB101" i="49"/>
  <c r="CB67" i="49"/>
  <c r="CB77" i="49"/>
  <c r="CB111" i="49"/>
  <c r="CB69" i="49"/>
  <c r="CA86" i="49"/>
  <c r="CB50" i="49"/>
  <c r="CB26" i="49"/>
  <c r="CB42" i="49"/>
  <c r="CA64" i="49"/>
  <c r="CB28" i="49"/>
  <c r="CA110" i="49"/>
  <c r="CA41" i="49"/>
  <c r="CA80" i="49"/>
  <c r="CB31" i="49"/>
  <c r="CB79" i="49"/>
  <c r="CA105" i="49"/>
  <c r="CB58" i="49"/>
  <c r="CB46" i="49"/>
  <c r="CA114" i="49"/>
  <c r="CB124" i="49"/>
  <c r="CB19" i="49"/>
  <c r="CA96" i="49"/>
  <c r="CA39" i="49"/>
  <c r="CB66" i="49"/>
  <c r="CA57" i="49"/>
  <c r="CA120" i="49"/>
  <c r="CB111" i="48"/>
  <c r="CB17" i="48"/>
  <c r="CB122" i="48"/>
  <c r="CB52" i="48"/>
  <c r="CA18" i="48"/>
  <c r="CB103" i="48"/>
  <c r="CA72" i="48"/>
  <c r="CA102" i="48"/>
  <c r="CA99" i="48"/>
  <c r="CB50" i="48"/>
  <c r="CB16" i="48"/>
  <c r="CB19" i="48"/>
  <c r="CB72" i="48"/>
  <c r="CB49" i="48"/>
  <c r="CB24" i="48"/>
  <c r="CA53" i="48"/>
  <c r="CB125" i="48"/>
  <c r="CA19" i="48"/>
  <c r="CA37" i="48"/>
  <c r="CB118" i="48"/>
  <c r="CA50" i="48"/>
  <c r="CB64" i="48"/>
  <c r="CA75" i="48"/>
  <c r="CB51" i="48"/>
  <c r="CB34" i="48"/>
  <c r="CB45" i="48"/>
  <c r="CB69" i="48"/>
  <c r="CA85" i="48"/>
  <c r="CA70" i="49"/>
  <c r="CA101" i="49"/>
  <c r="CB108" i="49"/>
  <c r="CB78" i="49"/>
  <c r="CB96" i="49"/>
  <c r="CB70" i="49"/>
  <c r="CB85" i="49"/>
  <c r="CB125" i="49"/>
  <c r="CB73" i="49"/>
  <c r="CA43" i="49"/>
  <c r="CA40" i="49"/>
  <c r="CB121" i="49"/>
  <c r="CB64" i="49"/>
  <c r="CA125" i="49"/>
  <c r="CB117" i="49"/>
  <c r="CA102" i="49"/>
  <c r="CA81" i="49"/>
  <c r="CA77" i="49"/>
  <c r="CB33" i="49"/>
  <c r="CA33" i="49"/>
  <c r="CA49" i="49"/>
  <c r="CB107" i="49"/>
  <c r="CB82" i="49"/>
  <c r="CA21" i="49"/>
  <c r="CB92" i="49"/>
  <c r="CB86" i="49"/>
  <c r="CA24" i="49"/>
  <c r="CB54" i="49"/>
  <c r="CB74" i="48"/>
  <c r="CB112" i="48"/>
  <c r="CA40" i="48"/>
  <c r="CB84" i="48"/>
  <c r="CA47" i="48"/>
  <c r="CB83" i="48"/>
  <c r="CB40" i="48"/>
  <c r="CA32" i="48"/>
  <c r="CB123" i="48"/>
  <c r="CB73" i="48"/>
  <c r="CA92" i="48"/>
  <c r="CB20" i="48"/>
  <c r="CB82" i="48"/>
  <c r="CA116" i="48"/>
  <c r="CB113" i="48"/>
  <c r="CB56" i="48"/>
  <c r="CB57" i="48"/>
  <c r="CA29" i="48"/>
  <c r="CA69" i="48"/>
  <c r="CA97" i="48"/>
  <c r="CB120" i="48"/>
  <c r="CA16" i="48"/>
  <c r="CA87" i="48"/>
  <c r="CB124" i="48"/>
  <c r="CA38" i="48"/>
  <c r="CB63" i="48"/>
  <c r="CB71" i="48"/>
  <c r="CB109" i="48"/>
  <c r="CA78" i="49"/>
  <c r="CA27" i="49"/>
  <c r="CA18" i="49"/>
  <c r="CB97" i="49"/>
  <c r="CA108" i="49"/>
  <c r="CA72" i="49"/>
  <c r="CB100" i="49"/>
  <c r="CA65" i="49"/>
  <c r="CB89" i="49"/>
  <c r="CB62" i="49"/>
  <c r="CB68" i="49"/>
  <c r="CB113" i="49"/>
  <c r="CB34" i="49"/>
  <c r="CB75" i="49"/>
  <c r="CB16" i="49"/>
  <c r="CA118" i="49"/>
  <c r="CA45" i="49"/>
  <c r="CA88" i="49"/>
  <c r="CB123" i="49"/>
  <c r="CB91" i="49"/>
  <c r="CA59" i="49"/>
  <c r="CB35" i="49"/>
  <c r="CA56" i="49"/>
  <c r="CA30" i="49"/>
  <c r="CB84" i="49"/>
  <c r="CA16" i="49"/>
  <c r="CB116" i="49"/>
  <c r="CA75" i="49"/>
  <c r="CA30" i="48"/>
  <c r="CA96" i="48"/>
  <c r="CB108" i="48"/>
  <c r="CA105" i="48"/>
  <c r="CB67" i="48"/>
  <c r="CB42" i="48"/>
  <c r="CB44" i="48"/>
  <c r="CA36" i="48"/>
  <c r="CB36" i="48"/>
  <c r="CA91" i="48"/>
  <c r="CB30" i="48"/>
  <c r="CB29" i="48"/>
  <c r="CB85" i="48"/>
  <c r="CA86" i="48"/>
  <c r="CB61" i="48"/>
  <c r="CA71" i="48"/>
  <c r="CA118" i="48"/>
  <c r="CB77" i="48"/>
  <c r="CA56" i="48"/>
  <c r="CA115" i="48"/>
  <c r="CA78" i="48"/>
  <c r="CB38" i="48"/>
  <c r="CA81" i="48"/>
  <c r="CA80" i="48"/>
  <c r="CA90" i="48"/>
  <c r="CB65" i="48"/>
  <c r="CB95" i="48"/>
  <c r="CB114" i="48"/>
  <c r="CB95" i="49"/>
  <c r="CA93" i="49"/>
  <c r="CB60" i="49"/>
  <c r="CB23" i="49"/>
  <c r="CA44" i="49"/>
  <c r="CA60" i="49"/>
  <c r="CA112" i="49"/>
  <c r="CB40" i="49"/>
  <c r="CB114" i="49"/>
  <c r="CA117" i="49"/>
  <c r="CA87" i="49"/>
  <c r="CB24" i="49"/>
  <c r="CB43" i="49"/>
  <c r="CA95" i="49"/>
  <c r="CB17" i="49"/>
  <c r="CB49" i="49"/>
  <c r="CA107" i="49"/>
  <c r="CB106" i="49"/>
  <c r="CA46" i="49"/>
  <c r="CB22" i="49"/>
  <c r="CB83" i="49"/>
  <c r="CA48" i="49"/>
  <c r="CB103" i="49"/>
  <c r="CB48" i="49"/>
  <c r="CA94" i="49"/>
  <c r="CA69" i="49"/>
  <c r="CA74" i="49"/>
  <c r="CB65" i="49"/>
  <c r="CA39" i="48"/>
  <c r="CB53" i="48"/>
  <c r="CA120" i="48"/>
  <c r="CA35" i="48"/>
  <c r="CB86" i="48"/>
  <c r="CA52" i="48"/>
  <c r="CA74" i="48"/>
  <c r="CA44" i="48"/>
  <c r="CA31" i="48"/>
  <c r="CB93" i="48"/>
  <c r="CB98" i="48"/>
  <c r="CA73" i="48"/>
  <c r="CB110" i="48"/>
  <c r="CA104" i="48"/>
  <c r="CB23" i="48"/>
  <c r="CB91" i="48"/>
  <c r="CA23" i="48"/>
  <c r="CA21" i="48"/>
  <c r="CB54" i="48"/>
  <c r="CB117" i="48"/>
  <c r="CA15" i="48"/>
  <c r="CC15" i="48" s="1"/>
  <c r="CG15" i="48" s="1"/>
  <c r="CB39" i="48"/>
  <c r="CA76" i="48"/>
  <c r="CA25" i="48"/>
  <c r="CB15" i="48"/>
  <c r="CD15" i="48" s="1"/>
  <c r="CH15" i="48" s="1"/>
  <c r="CA79" i="48"/>
  <c r="CB89" i="48"/>
  <c r="CA113" i="48"/>
  <c r="CA92" i="49"/>
  <c r="CB44" i="49"/>
  <c r="CA62" i="49"/>
  <c r="CA42" i="49"/>
  <c r="CB39" i="49"/>
  <c r="CB38" i="49"/>
  <c r="CA91" i="49"/>
  <c r="CA52" i="49"/>
  <c r="CA119" i="49"/>
  <c r="CA54" i="49"/>
  <c r="CB102" i="49"/>
  <c r="CB71" i="49"/>
  <c r="CB72" i="49"/>
  <c r="CA113" i="49"/>
  <c r="CA19" i="49"/>
  <c r="CB47" i="49"/>
  <c r="CD48" i="49" s="1"/>
  <c r="CH48" i="49" s="1"/>
  <c r="CA38" i="49"/>
  <c r="CA122" i="49"/>
  <c r="CA103" i="49"/>
  <c r="CB59" i="49"/>
  <c r="CB81" i="49"/>
  <c r="CA20" i="49"/>
  <c r="CB63" i="49"/>
  <c r="CB56" i="49"/>
  <c r="CA116" i="49"/>
  <c r="CB119" i="49"/>
  <c r="CB27" i="49"/>
  <c r="CB98" i="49"/>
  <c r="CB58" i="48"/>
  <c r="CA20" i="48"/>
  <c r="CB32" i="48"/>
  <c r="CA98" i="48"/>
  <c r="CA109" i="48"/>
  <c r="CA70" i="48"/>
  <c r="CB43" i="48"/>
  <c r="CA42" i="48"/>
  <c r="CA124" i="48"/>
  <c r="CB21" i="48"/>
  <c r="CB115" i="48"/>
  <c r="CA51" i="48"/>
  <c r="CA121" i="48"/>
  <c r="CA68" i="48"/>
  <c r="CB27" i="48"/>
  <c r="CB90" i="48"/>
  <c r="CA122" i="48"/>
  <c r="CB119" i="48"/>
  <c r="CB60" i="48"/>
  <c r="CB55" i="48"/>
  <c r="CA24" i="48"/>
  <c r="CA41" i="48"/>
  <c r="CA101" i="48"/>
  <c r="CA100" i="48"/>
  <c r="CA34" i="48"/>
  <c r="CA95" i="48"/>
  <c r="CB100" i="48"/>
  <c r="CA123" i="48"/>
  <c r="CB28" i="41"/>
  <c r="CA120" i="46"/>
  <c r="CA70" i="46"/>
  <c r="CA57" i="39"/>
  <c r="CB71" i="41"/>
  <c r="CA104" i="41"/>
  <c r="CB80" i="46"/>
  <c r="CA81" i="46"/>
  <c r="CA106" i="46"/>
  <c r="CB123" i="46"/>
  <c r="CB37" i="39"/>
  <c r="CB115" i="41"/>
  <c r="CA52" i="41"/>
  <c r="CB35" i="46"/>
  <c r="CB76" i="46"/>
  <c r="CA44" i="41"/>
  <c r="CB68" i="41"/>
  <c r="CB63" i="41"/>
  <c r="CB85" i="41"/>
  <c r="CA29" i="41"/>
  <c r="CB97" i="41"/>
  <c r="CB96" i="41"/>
  <c r="CB58" i="46"/>
  <c r="CA78" i="46"/>
  <c r="CA58" i="46"/>
  <c r="CB83" i="41"/>
  <c r="CB52" i="46"/>
  <c r="CA30" i="46"/>
  <c r="CA56" i="46"/>
  <c r="CB121" i="46"/>
  <c r="CA118" i="46"/>
  <c r="CB51" i="41"/>
  <c r="CB93" i="41"/>
  <c r="CB123" i="41"/>
  <c r="CA24" i="41"/>
  <c r="CA19" i="41"/>
  <c r="CA57" i="41"/>
  <c r="CB91" i="41"/>
  <c r="CA47" i="39"/>
  <c r="CB114" i="39"/>
  <c r="CA16" i="46"/>
  <c r="CB115" i="46"/>
  <c r="CB21" i="46"/>
  <c r="CA96" i="39"/>
  <c r="CB82" i="39"/>
  <c r="CA120" i="39"/>
  <c r="CB39" i="46"/>
  <c r="CB46" i="46"/>
  <c r="CB87" i="39"/>
  <c r="CB72" i="46"/>
  <c r="CA34" i="39"/>
  <c r="CA30" i="39"/>
  <c r="CA77" i="46"/>
  <c r="CB118" i="46"/>
  <c r="CA96" i="46"/>
  <c r="CB99" i="46"/>
  <c r="CB63" i="46"/>
  <c r="CB113" i="46"/>
  <c r="CA23" i="41"/>
  <c r="CB40" i="46"/>
  <c r="CA104" i="46"/>
  <c r="CB19" i="46"/>
  <c r="CA91" i="46"/>
  <c r="CA111" i="46"/>
  <c r="CA105" i="46"/>
  <c r="CA18" i="46"/>
  <c r="CA93" i="41"/>
  <c r="CB62" i="41"/>
  <c r="CB23" i="41"/>
  <c r="CA110" i="46"/>
  <c r="CA50" i="46"/>
  <c r="CB117" i="46"/>
  <c r="CA35" i="46"/>
  <c r="CB58" i="41"/>
  <c r="CB20" i="46"/>
  <c r="CB97" i="46"/>
  <c r="CA26" i="46"/>
  <c r="CB81" i="46"/>
  <c r="CA17" i="41"/>
  <c r="CC16" i="41" s="1"/>
  <c r="CG16" i="41" s="1"/>
  <c r="CA15" i="41"/>
  <c r="CC15" i="41" s="1"/>
  <c r="CG15" i="41" s="1"/>
  <c r="CA86" i="46"/>
  <c r="CA100" i="41"/>
  <c r="CA54" i="41"/>
  <c r="CB88" i="41"/>
  <c r="CA125" i="41"/>
  <c r="CB56" i="46"/>
  <c r="CA105" i="41"/>
  <c r="CB45" i="41"/>
  <c r="CB53" i="41"/>
  <c r="CA59" i="46"/>
  <c r="CB93" i="46"/>
  <c r="CB43" i="46"/>
  <c r="CA20" i="39"/>
  <c r="CA68" i="41"/>
  <c r="CB69" i="41"/>
  <c r="CB116" i="46"/>
  <c r="CA103" i="46"/>
  <c r="CA83" i="46"/>
  <c r="CB37" i="46"/>
  <c r="CA124" i="46"/>
  <c r="CB120" i="46"/>
  <c r="CA57" i="46"/>
  <c r="CB42" i="46"/>
  <c r="CB23" i="46"/>
  <c r="CA23" i="46"/>
  <c r="CB107" i="46"/>
  <c r="CB92" i="46"/>
  <c r="CB64" i="46"/>
  <c r="CB125" i="46"/>
  <c r="CA19" i="39"/>
  <c r="CA123" i="46"/>
  <c r="CA68" i="46"/>
  <c r="CB119" i="46"/>
  <c r="CB89" i="46"/>
  <c r="CA46" i="46"/>
  <c r="CB59" i="39"/>
  <c r="CA80" i="39"/>
  <c r="CA99" i="39"/>
  <c r="CA15" i="39"/>
  <c r="CC15" i="39" s="1"/>
  <c r="CG15" i="39" s="1"/>
  <c r="CB16" i="46"/>
  <c r="CA99" i="46"/>
  <c r="CA87" i="46"/>
  <c r="CB54" i="46"/>
  <c r="CA27" i="39"/>
  <c r="CB71" i="39"/>
  <c r="CB93" i="39"/>
  <c r="CA22" i="39"/>
  <c r="CB49" i="46"/>
  <c r="CA34" i="46"/>
  <c r="CC35" i="46" s="1"/>
  <c r="CG35" i="46" s="1"/>
  <c r="CA25" i="46"/>
  <c r="CA114" i="41"/>
  <c r="CA125" i="46"/>
  <c r="CB70" i="46"/>
  <c r="CB102" i="46"/>
  <c r="CB47" i="46"/>
  <c r="CA105" i="39"/>
  <c r="CB27" i="41"/>
  <c r="CB90" i="41"/>
  <c r="CA103" i="41"/>
  <c r="CB38" i="46"/>
  <c r="CA42" i="46"/>
  <c r="CA39" i="46"/>
  <c r="CA107" i="46"/>
  <c r="CA119" i="46"/>
  <c r="CA28" i="46"/>
  <c r="CB53" i="46"/>
  <c r="CB104" i="46"/>
  <c r="CB113" i="41"/>
  <c r="CB41" i="41"/>
  <c r="CB49" i="41"/>
  <c r="CB55" i="41"/>
  <c r="CA96" i="41"/>
  <c r="CB54" i="41"/>
  <c r="CA58" i="41"/>
  <c r="CA37" i="41"/>
  <c r="CA27" i="41"/>
  <c r="CA107" i="41"/>
  <c r="CB92" i="41"/>
  <c r="CA88" i="41"/>
  <c r="CB91" i="39"/>
  <c r="CB21" i="39"/>
  <c r="CA121" i="39"/>
  <c r="CA43" i="39"/>
  <c r="CA68" i="39"/>
  <c r="CB36" i="39"/>
  <c r="CA56" i="39"/>
  <c r="CA75" i="39"/>
  <c r="CA83" i="39"/>
  <c r="CB80" i="39"/>
  <c r="CB20" i="39"/>
  <c r="CB60" i="39"/>
  <c r="CB33" i="39"/>
  <c r="CA110" i="39"/>
  <c r="CA111" i="39"/>
  <c r="CA32" i="39"/>
  <c r="CA64" i="39"/>
  <c r="CA64" i="46"/>
  <c r="CA98" i="46"/>
  <c r="CA114" i="46"/>
  <c r="CA113" i="46"/>
  <c r="CB73" i="46"/>
  <c r="CB30" i="46"/>
  <c r="CB105" i="46"/>
  <c r="CB48" i="46"/>
  <c r="CA69" i="46"/>
  <c r="CB50" i="46"/>
  <c r="CB45" i="46"/>
  <c r="CA45" i="46"/>
  <c r="CB114" i="46"/>
  <c r="CA18" i="41"/>
  <c r="CA62" i="41"/>
  <c r="CA95" i="39"/>
  <c r="CA123" i="39"/>
  <c r="CA33" i="39"/>
  <c r="CA40" i="39"/>
  <c r="CA50" i="39"/>
  <c r="CA42" i="39"/>
  <c r="CA103" i="39"/>
  <c r="CA16" i="39"/>
  <c r="CB61" i="39"/>
  <c r="CA54" i="39"/>
  <c r="CB125" i="39"/>
  <c r="CB84" i="46"/>
  <c r="CA79" i="46"/>
  <c r="CB28" i="46"/>
  <c r="CB74" i="46"/>
  <c r="CA52" i="46"/>
  <c r="CA63" i="46"/>
  <c r="CB103" i="46"/>
  <c r="CA101" i="46"/>
  <c r="CA122" i="46"/>
  <c r="CA29" i="46"/>
  <c r="CA31" i="46"/>
  <c r="CB71" i="46"/>
  <c r="CA49" i="46"/>
  <c r="CA65" i="46"/>
  <c r="CA19" i="46"/>
  <c r="CA88" i="46"/>
  <c r="CB86" i="46"/>
  <c r="CA72" i="46"/>
  <c r="CA33" i="46"/>
  <c r="CA53" i="46"/>
  <c r="CB90" i="46"/>
  <c r="CB79" i="46"/>
  <c r="CA112" i="46"/>
  <c r="CA20" i="46"/>
  <c r="CA67" i="46"/>
  <c r="CA108" i="46"/>
  <c r="CB108" i="46"/>
  <c r="CA27" i="42"/>
  <c r="CB51" i="42"/>
  <c r="CA111" i="42"/>
  <c r="CB99" i="42"/>
  <c r="CA86" i="42"/>
  <c r="CA117" i="41"/>
  <c r="CA110" i="41"/>
  <c r="CA76" i="41"/>
  <c r="CA33" i="41"/>
  <c r="CB47" i="41"/>
  <c r="CB76" i="41"/>
  <c r="CB30" i="41"/>
  <c r="CB59" i="41"/>
  <c r="CB107" i="41"/>
  <c r="CA34" i="41"/>
  <c r="CA78" i="41"/>
  <c r="CB95" i="41"/>
  <c r="CB38" i="41"/>
  <c r="CA75" i="41"/>
  <c r="CB29" i="41"/>
  <c r="CB79" i="41"/>
  <c r="CA61" i="41"/>
  <c r="CB37" i="41"/>
  <c r="CA71" i="41"/>
  <c r="CA69" i="41"/>
  <c r="CB22" i="41"/>
  <c r="CA26" i="41"/>
  <c r="CB120" i="41"/>
  <c r="CA56" i="41"/>
  <c r="CA86" i="41"/>
  <c r="CB25" i="41"/>
  <c r="CB39" i="41"/>
  <c r="CB28" i="39"/>
  <c r="CB72" i="39"/>
  <c r="CB65" i="39"/>
  <c r="CB56" i="39"/>
  <c r="CA60" i="39"/>
  <c r="CB57" i="39"/>
  <c r="CB83" i="39"/>
  <c r="CA124" i="39"/>
  <c r="CB67" i="39"/>
  <c r="CB121" i="39"/>
  <c r="CB66" i="39"/>
  <c r="CA51" i="39"/>
  <c r="CB19" i="39"/>
  <c r="CA92" i="39"/>
  <c r="CB116" i="39"/>
  <c r="CB113" i="39"/>
  <c r="CB41" i="39"/>
  <c r="CB27" i="39"/>
  <c r="CB94" i="39"/>
  <c r="CB42" i="39"/>
  <c r="CA53" i="39"/>
  <c r="CA89" i="39"/>
  <c r="CB122" i="39"/>
  <c r="CA125" i="39"/>
  <c r="CA62" i="39"/>
  <c r="CA79" i="39"/>
  <c r="CA52" i="39"/>
  <c r="CA31" i="39"/>
  <c r="CB118" i="39"/>
  <c r="CB123" i="39"/>
  <c r="CA69" i="39"/>
  <c r="CB64" i="39"/>
  <c r="CB34" i="39"/>
  <c r="CB44" i="39"/>
  <c r="CA77" i="39"/>
  <c r="CA98" i="39"/>
  <c r="CB110" i="39"/>
  <c r="CA84" i="39"/>
  <c r="CA18" i="39"/>
  <c r="BI91" i="36"/>
  <c r="BJ60" i="36"/>
  <c r="BJ101" i="36"/>
  <c r="BI68" i="36"/>
  <c r="BI46" i="36"/>
  <c r="BI98" i="36"/>
  <c r="CA120" i="41"/>
  <c r="CA38" i="41"/>
  <c r="CA113" i="41"/>
  <c r="CB48" i="41"/>
  <c r="CB99" i="41"/>
  <c r="CB19" i="41"/>
  <c r="CA49" i="41"/>
  <c r="CB125" i="41"/>
  <c r="CA67" i="41"/>
  <c r="CA94" i="41"/>
  <c r="CA65" i="41"/>
  <c r="CA111" i="41"/>
  <c r="CB101" i="41"/>
  <c r="CB15" i="41"/>
  <c r="CD15" i="41" s="1"/>
  <c r="CH15" i="41" s="1"/>
  <c r="CB104" i="41"/>
  <c r="CA81" i="41"/>
  <c r="CA118" i="41"/>
  <c r="CA40" i="46"/>
  <c r="CB61" i="46"/>
  <c r="CA84" i="46"/>
  <c r="CB32" i="46"/>
  <c r="CB33" i="46"/>
  <c r="CA54" i="46"/>
  <c r="CA32" i="46"/>
  <c r="CB60" i="46"/>
  <c r="CA27" i="46"/>
  <c r="CB97" i="39"/>
  <c r="CA66" i="39"/>
  <c r="CA118" i="39"/>
  <c r="CB78" i="39"/>
  <c r="CB47" i="39"/>
  <c r="CB84" i="39"/>
  <c r="CB26" i="39"/>
  <c r="CB15" i="39"/>
  <c r="CD15" i="39" s="1"/>
  <c r="CH15" i="39" s="1"/>
  <c r="CA38" i="39"/>
  <c r="CA58" i="39"/>
  <c r="CB23" i="39"/>
  <c r="CA93" i="39"/>
  <c r="CA102" i="39"/>
  <c r="CB45" i="39"/>
  <c r="CB31" i="39"/>
  <c r="CB81" i="39"/>
  <c r="CB76" i="39"/>
  <c r="CA61" i="39"/>
  <c r="CA49" i="42"/>
  <c r="CA17" i="42"/>
  <c r="CA67" i="42"/>
  <c r="CB121" i="42"/>
  <c r="CB60" i="42"/>
  <c r="CA77" i="42"/>
  <c r="CA33" i="42"/>
  <c r="CB16" i="42"/>
  <c r="CA99" i="42"/>
  <c r="CA42" i="42"/>
  <c r="CA114" i="42"/>
  <c r="CA16" i="42"/>
  <c r="CA31" i="42"/>
  <c r="CA20" i="42"/>
  <c r="CA18" i="42"/>
  <c r="CB72" i="42"/>
  <c r="CA115" i="42"/>
  <c r="CA66" i="46"/>
  <c r="CA68" i="42"/>
  <c r="CB50" i="41"/>
  <c r="CA55" i="41"/>
  <c r="CB73" i="41"/>
  <c r="CA89" i="41"/>
  <c r="CB80" i="41"/>
  <c r="CA108" i="41"/>
  <c r="CA84" i="41"/>
  <c r="CA97" i="41"/>
  <c r="CA66" i="41"/>
  <c r="CA59" i="41"/>
  <c r="CA109" i="41"/>
  <c r="CA116" i="41"/>
  <c r="CB59" i="46"/>
  <c r="CB98" i="46"/>
  <c r="CA80" i="46"/>
  <c r="CA24" i="46"/>
  <c r="CA62" i="46"/>
  <c r="CB29" i="46"/>
  <c r="CA37" i="46"/>
  <c r="CB66" i="46"/>
  <c r="CA71" i="46"/>
  <c r="CB109" i="46"/>
  <c r="CB112" i="46"/>
  <c r="CA60" i="46"/>
  <c r="CA17" i="46"/>
  <c r="CA88" i="39"/>
  <c r="CB86" i="39"/>
  <c r="CB52" i="39"/>
  <c r="CA70" i="39"/>
  <c r="CA49" i="39"/>
  <c r="CA101" i="39"/>
  <c r="CB112" i="39"/>
  <c r="CB106" i="39"/>
  <c r="CA71" i="39"/>
  <c r="CB96" i="39"/>
  <c r="CB102" i="39"/>
  <c r="CA55" i="39"/>
  <c r="CA94" i="39"/>
  <c r="CA51" i="42"/>
  <c r="CA91" i="42"/>
  <c r="CA125" i="42"/>
  <c r="CB54" i="42"/>
  <c r="CA32" i="42"/>
  <c r="CA88" i="42"/>
  <c r="CB62" i="42"/>
  <c r="CA76" i="42"/>
  <c r="CA60" i="42"/>
  <c r="CB125" i="42"/>
  <c r="CA109" i="42"/>
  <c r="CB27" i="46"/>
  <c r="CA73" i="46"/>
  <c r="CB84" i="41"/>
  <c r="CB40" i="41"/>
  <c r="CB118" i="41"/>
  <c r="CB64" i="41"/>
  <c r="CA77" i="41"/>
  <c r="CA50" i="41"/>
  <c r="CA124" i="41"/>
  <c r="CA46" i="41"/>
  <c r="CA21" i="41"/>
  <c r="CA63" i="41"/>
  <c r="CB77" i="46"/>
  <c r="CB51" i="46"/>
  <c r="CB69" i="46"/>
  <c r="CB18" i="46"/>
  <c r="CB88" i="46"/>
  <c r="CB78" i="46"/>
  <c r="CA43" i="46"/>
  <c r="CA44" i="46"/>
  <c r="CB57" i="46"/>
  <c r="CA92" i="46"/>
  <c r="CB83" i="46"/>
  <c r="CB62" i="46"/>
  <c r="CA74" i="46"/>
  <c r="CB68" i="46"/>
  <c r="CA104" i="39"/>
  <c r="CB73" i="39"/>
  <c r="CB75" i="39"/>
  <c r="CB78" i="41"/>
  <c r="CA123" i="41"/>
  <c r="CB109" i="41"/>
  <c r="CA82" i="41"/>
  <c r="CA53" i="41"/>
  <c r="CA79" i="41"/>
  <c r="CB66" i="41"/>
  <c r="CB57" i="41"/>
  <c r="CB24" i="41"/>
  <c r="CA122" i="41"/>
  <c r="CA41" i="46"/>
  <c r="CA47" i="46"/>
  <c r="CA95" i="46"/>
  <c r="CB26" i="46"/>
  <c r="CB124" i="46"/>
  <c r="CB31" i="46"/>
  <c r="CA116" i="46"/>
  <c r="CA55" i="46"/>
  <c r="CA115" i="46"/>
  <c r="CA85" i="46"/>
  <c r="CB25" i="46"/>
  <c r="CA94" i="46"/>
  <c r="CA78" i="39"/>
  <c r="CA112" i="39"/>
  <c r="CB108" i="39"/>
  <c r="CA114" i="39"/>
  <c r="CB77" i="39"/>
  <c r="CB50" i="39"/>
  <c r="CA116" i="39"/>
  <c r="CA119" i="42"/>
  <c r="CB124" i="42"/>
  <c r="CA97" i="42"/>
  <c r="CB87" i="42"/>
  <c r="CA108" i="42"/>
  <c r="CB21" i="42"/>
  <c r="CB76" i="42"/>
  <c r="CA15" i="46"/>
  <c r="CC15" i="46" s="1"/>
  <c r="CG15" i="46" s="1"/>
  <c r="CA91" i="39"/>
  <c r="CA109" i="39"/>
  <c r="CA94" i="42"/>
  <c r="BJ40" i="36"/>
  <c r="BJ79" i="36"/>
  <c r="BI81" i="36"/>
  <c r="CB26" i="41"/>
  <c r="CA31" i="41"/>
  <c r="CA32" i="41"/>
  <c r="CB18" i="41"/>
  <c r="CB31" i="41"/>
  <c r="CB72" i="41"/>
  <c r="CB32" i="41"/>
  <c r="CB105" i="41"/>
  <c r="CB35" i="41"/>
  <c r="CA112" i="41"/>
  <c r="CA101" i="41"/>
  <c r="CA102" i="41"/>
  <c r="CA48" i="41"/>
  <c r="CB111" i="46"/>
  <c r="CB96" i="46"/>
  <c r="CB44" i="46"/>
  <c r="CA89" i="46"/>
  <c r="CB106" i="46"/>
  <c r="CA121" i="46"/>
  <c r="CA117" i="46"/>
  <c r="CA102" i="46"/>
  <c r="CB94" i="46"/>
  <c r="CB69" i="39"/>
  <c r="CB88" i="39"/>
  <c r="CA72" i="39"/>
  <c r="CB46" i="39"/>
  <c r="CB104" i="39"/>
  <c r="CA122" i="39"/>
  <c r="CA65" i="39"/>
  <c r="CB24" i="39"/>
  <c r="CA76" i="39"/>
  <c r="CA97" i="39"/>
  <c r="CB62" i="39"/>
  <c r="CB109" i="39"/>
  <c r="CB32" i="39"/>
  <c r="CA73" i="39"/>
  <c r="CA86" i="39"/>
  <c r="CB40" i="39"/>
  <c r="CA56" i="42"/>
  <c r="CB97" i="42"/>
  <c r="CA23" i="42"/>
  <c r="CB96" i="42"/>
  <c r="CA78" i="42"/>
  <c r="CB55" i="42"/>
  <c r="CA95" i="42"/>
  <c r="CB28" i="42"/>
  <c r="CB63" i="42"/>
  <c r="CB36" i="42"/>
  <c r="CA80" i="42"/>
  <c r="CB98" i="42"/>
  <c r="CA113" i="42"/>
  <c r="BI14" i="36"/>
  <c r="BI90" i="36"/>
  <c r="BI26" i="36"/>
  <c r="CB86" i="41"/>
  <c r="CA85" i="41"/>
  <c r="CB43" i="41"/>
  <c r="CA72" i="41"/>
  <c r="CB94" i="41"/>
  <c r="CA80" i="41"/>
  <c r="CB102" i="41"/>
  <c r="CB46" i="41"/>
  <c r="CB16" i="41"/>
  <c r="CB110" i="41"/>
  <c r="CA73" i="41"/>
  <c r="CB17" i="41"/>
  <c r="CB41" i="46"/>
  <c r="CA82" i="46"/>
  <c r="CB65" i="46"/>
  <c r="CB85" i="46"/>
  <c r="CB67" i="46"/>
  <c r="CA48" i="46"/>
  <c r="CB100" i="46"/>
  <c r="CA21" i="46"/>
  <c r="CB87" i="46"/>
  <c r="CB110" i="46"/>
  <c r="CB24" i="46"/>
  <c r="CA75" i="46"/>
  <c r="CB122" i="46"/>
  <c r="CA90" i="46"/>
  <c r="CA22" i="46"/>
  <c r="CA93" i="46"/>
  <c r="CB34" i="46"/>
  <c r="CB48" i="39"/>
  <c r="CB90" i="39"/>
  <c r="CA100" i="39"/>
  <c r="CB22" i="39"/>
  <c r="CB54" i="39"/>
  <c r="CA106" i="39"/>
  <c r="CA90" i="39"/>
  <c r="CA67" i="39"/>
  <c r="CB124" i="39"/>
  <c r="CB51" i="39"/>
  <c r="CA26" i="39"/>
  <c r="CA23" i="39"/>
  <c r="CA65" i="42"/>
  <c r="CB41" i="42"/>
  <c r="CB15" i="42"/>
  <c r="CD15" i="42" s="1"/>
  <c r="CH15" i="42" s="1"/>
  <c r="CB94" i="42"/>
  <c r="CA21" i="42"/>
  <c r="CB52" i="42"/>
  <c r="CA58" i="42"/>
  <c r="AT43" i="36"/>
  <c r="AU45" i="36"/>
  <c r="AT14" i="36"/>
  <c r="AU53" i="36"/>
  <c r="BI77" i="36"/>
  <c r="BJ114" i="36"/>
  <c r="BI82" i="36"/>
  <c r="AT59" i="36"/>
  <c r="AU97" i="36"/>
  <c r="AT120" i="36"/>
  <c r="BI84" i="36"/>
  <c r="BI111" i="36"/>
  <c r="BI37" i="36"/>
  <c r="BJ49" i="36"/>
  <c r="BI27" i="36"/>
  <c r="BJ25" i="36"/>
  <c r="BI36" i="36"/>
  <c r="BJ42" i="36"/>
  <c r="BJ14" i="36"/>
  <c r="BI87" i="36"/>
  <c r="BJ63" i="36"/>
  <c r="BJ83" i="36"/>
  <c r="BI45" i="36"/>
  <c r="BJ28" i="36"/>
  <c r="BJ113" i="36"/>
  <c r="BI39" i="36"/>
  <c r="CB101" i="39"/>
  <c r="CB35" i="39"/>
  <c r="CB85" i="39"/>
  <c r="CA117" i="39"/>
  <c r="CB17" i="39"/>
  <c r="CA63" i="39"/>
  <c r="CB103" i="39"/>
  <c r="CB68" i="39"/>
  <c r="CB16" i="39"/>
  <c r="CA74" i="39"/>
  <c r="CA46" i="39"/>
  <c r="CA36" i="39"/>
  <c r="CA39" i="39"/>
  <c r="CB98" i="39"/>
  <c r="CA28" i="39"/>
  <c r="CA21" i="39"/>
  <c r="CA87" i="39"/>
  <c r="CA115" i="39"/>
  <c r="CA119" i="39"/>
  <c r="CB49" i="39"/>
  <c r="CB119" i="39"/>
  <c r="CB100" i="39"/>
  <c r="CA29" i="39"/>
  <c r="CB74" i="39"/>
  <c r="CB120" i="39"/>
  <c r="CB63" i="39"/>
  <c r="CA44" i="39"/>
  <c r="CB115" i="39"/>
  <c r="CB23" i="42"/>
  <c r="CB47" i="42"/>
  <c r="CB78" i="42"/>
  <c r="CA74" i="42"/>
  <c r="CA124" i="42"/>
  <c r="CA36" i="42"/>
  <c r="CB122" i="42"/>
  <c r="CB31" i="42"/>
  <c r="CA26" i="42"/>
  <c r="CA90" i="42"/>
  <c r="CB117" i="42"/>
  <c r="CA105" i="42"/>
  <c r="CA44" i="42"/>
  <c r="CA104" i="42"/>
  <c r="CA46" i="42"/>
  <c r="CA47" i="42"/>
  <c r="CB77" i="42"/>
  <c r="CA85" i="42"/>
  <c r="CA117" i="42"/>
  <c r="CB53" i="42"/>
  <c r="CB104" i="42"/>
  <c r="CB68" i="42"/>
  <c r="CA43" i="42"/>
  <c r="CB70" i="42"/>
  <c r="CB93" i="42"/>
  <c r="CA22" i="42"/>
  <c r="CB44" i="42"/>
  <c r="CB106" i="42"/>
  <c r="CB72" i="45"/>
  <c r="CA93" i="45"/>
  <c r="CA38" i="45"/>
  <c r="CA109" i="45"/>
  <c r="CB98" i="45"/>
  <c r="CB34" i="45"/>
  <c r="CB35" i="45"/>
  <c r="CA40" i="45"/>
  <c r="CA17" i="45"/>
  <c r="CB102" i="45"/>
  <c r="CB101" i="45"/>
  <c r="CB68" i="45"/>
  <c r="CB103" i="45"/>
  <c r="CA26" i="45"/>
  <c r="CA75" i="45"/>
  <c r="CA87" i="45"/>
  <c r="CB51" i="45"/>
  <c r="CB43" i="45"/>
  <c r="CB120" i="45"/>
  <c r="CA124" i="45"/>
  <c r="CA27" i="45"/>
  <c r="CB75" i="45"/>
  <c r="CB100" i="45"/>
  <c r="CA42" i="45"/>
  <c r="CA99" i="45"/>
  <c r="CA58" i="45"/>
  <c r="CB46" i="45"/>
  <c r="CB87" i="45"/>
  <c r="CA47" i="44"/>
  <c r="CB32" i="44"/>
  <c r="CA106" i="44"/>
  <c r="CA30" i="44"/>
  <c r="CB43" i="44"/>
  <c r="CA74" i="44"/>
  <c r="CB122" i="44"/>
  <c r="CB29" i="44"/>
  <c r="CA25" i="44"/>
  <c r="CA110" i="44"/>
  <c r="CB80" i="44"/>
  <c r="CB113" i="44"/>
  <c r="CB79" i="44"/>
  <c r="CB93" i="44"/>
  <c r="CA73" i="44"/>
  <c r="CA40" i="44"/>
  <c r="CB99" i="44"/>
  <c r="CB54" i="44"/>
  <c r="CB58" i="44"/>
  <c r="CA53" i="44"/>
  <c r="CA55" i="44"/>
  <c r="CB67" i="44"/>
  <c r="CA60" i="44"/>
  <c r="CA108" i="44"/>
  <c r="CA41" i="44"/>
  <c r="CB62" i="44"/>
  <c r="CA61" i="44"/>
  <c r="CB55" i="40"/>
  <c r="CB24" i="40"/>
  <c r="CB93" i="40"/>
  <c r="CB108" i="40"/>
  <c r="CA54" i="40"/>
  <c r="CA44" i="40"/>
  <c r="CA106" i="40"/>
  <c r="CA34" i="40"/>
  <c r="CB34" i="40"/>
  <c r="CB81" i="40"/>
  <c r="CA82" i="40"/>
  <c r="CA38" i="40"/>
  <c r="CA52" i="40"/>
  <c r="CA114" i="40"/>
  <c r="CB19" i="40"/>
  <c r="CB42" i="40"/>
  <c r="CB89" i="40"/>
  <c r="CB74" i="40"/>
  <c r="CA18" i="40"/>
  <c r="CA47" i="40"/>
  <c r="CA122" i="40"/>
  <c r="CB15" i="40"/>
  <c r="CD15" i="40" s="1"/>
  <c r="CH15" i="40" s="1"/>
  <c r="CB31" i="40"/>
  <c r="CB97" i="40"/>
  <c r="CB51" i="40"/>
  <c r="CB112" i="40"/>
  <c r="CA55" i="40"/>
  <c r="CB71" i="43"/>
  <c r="CB70" i="43"/>
  <c r="CA62" i="43"/>
  <c r="CB98" i="43"/>
  <c r="CA64" i="43"/>
  <c r="CB18" i="43"/>
  <c r="CB100" i="43"/>
  <c r="CB47" i="43"/>
  <c r="CB75" i="43"/>
  <c r="CA70" i="43"/>
  <c r="CA44" i="43"/>
  <c r="CB31" i="43"/>
  <c r="CB26" i="43"/>
  <c r="CB110" i="43"/>
  <c r="CA54" i="43"/>
  <c r="CA43" i="43"/>
  <c r="CB61" i="43"/>
  <c r="CA109" i="43"/>
  <c r="CB95" i="43"/>
  <c r="CA37" i="43"/>
  <c r="CA95" i="43"/>
  <c r="CB58" i="43"/>
  <c r="CA94" i="43"/>
  <c r="CB80" i="43"/>
  <c r="CA17" i="43"/>
  <c r="CA120" i="43"/>
  <c r="CA26" i="43"/>
  <c r="CB118" i="43"/>
  <c r="CA47" i="38"/>
  <c r="CA63" i="38"/>
  <c r="CB75" i="38"/>
  <c r="CA121" i="38"/>
  <c r="CB67" i="38"/>
  <c r="CA80" i="38"/>
  <c r="CB118" i="38"/>
  <c r="CB51" i="38"/>
  <c r="CA67" i="38"/>
  <c r="CB61" i="38"/>
  <c r="CA109" i="38"/>
  <c r="CB58" i="38"/>
  <c r="CB29" i="38"/>
  <c r="CA104" i="38"/>
  <c r="CB113" i="38"/>
  <c r="CA94" i="38"/>
  <c r="CA58" i="38"/>
  <c r="CB121" i="38"/>
  <c r="CA87" i="38"/>
  <c r="CA70" i="38"/>
  <c r="CA103" i="38"/>
  <c r="CA102" i="38"/>
  <c r="CA83" i="38"/>
  <c r="CA64" i="38"/>
  <c r="CA69" i="38"/>
  <c r="CA73" i="38"/>
  <c r="CB66" i="38"/>
  <c r="CB96" i="38"/>
  <c r="CA123" i="42"/>
  <c r="CA75" i="42"/>
  <c r="CB61" i="42"/>
  <c r="CA82" i="42"/>
  <c r="CB56" i="42"/>
  <c r="CB69" i="42"/>
  <c r="CA122" i="42"/>
  <c r="CB49" i="42"/>
  <c r="CA52" i="42"/>
  <c r="CB83" i="42"/>
  <c r="CA38" i="42"/>
  <c r="CB22" i="45"/>
  <c r="CA89" i="45"/>
  <c r="CA91" i="45"/>
  <c r="CA101" i="45"/>
  <c r="CA110" i="45"/>
  <c r="CB55" i="45"/>
  <c r="CA84" i="45"/>
  <c r="CA96" i="45"/>
  <c r="CB38" i="45"/>
  <c r="CA102" i="45"/>
  <c r="CB18" i="45"/>
  <c r="CB24" i="45"/>
  <c r="CB95" i="45"/>
  <c r="CB50" i="45"/>
  <c r="CA98" i="45"/>
  <c r="CB49" i="45"/>
  <c r="CB85" i="45"/>
  <c r="CB70" i="45"/>
  <c r="CB113" i="45"/>
  <c r="CB48" i="45"/>
  <c r="CA28" i="45"/>
  <c r="CA82" i="45"/>
  <c r="CA77" i="45"/>
  <c r="CA43" i="45"/>
  <c r="CA117" i="45"/>
  <c r="CA59" i="45"/>
  <c r="CB23" i="45"/>
  <c r="CB91" i="45"/>
  <c r="CB120" i="44"/>
  <c r="CB124" i="44"/>
  <c r="CA44" i="44"/>
  <c r="CB87" i="44"/>
  <c r="CB90" i="44"/>
  <c r="CA101" i="44"/>
  <c r="CB74" i="44"/>
  <c r="CA84" i="44"/>
  <c r="CB125" i="44"/>
  <c r="CB72" i="44"/>
  <c r="CA94" i="44"/>
  <c r="CA24" i="44"/>
  <c r="CB16" i="44"/>
  <c r="CB49" i="44"/>
  <c r="CA121" i="44"/>
  <c r="CA119" i="44"/>
  <c r="CB55" i="44"/>
  <c r="CA105" i="44"/>
  <c r="CA21" i="44"/>
  <c r="CA27" i="44"/>
  <c r="CB57" i="44"/>
  <c r="CB77" i="44"/>
  <c r="CB100" i="44"/>
  <c r="CA42" i="44"/>
  <c r="CA118" i="44"/>
  <c r="CA15" i="44"/>
  <c r="CC15" i="44" s="1"/>
  <c r="CG15" i="44" s="1"/>
  <c r="CB38" i="44"/>
  <c r="CB65" i="44"/>
  <c r="CA72" i="40"/>
  <c r="CA119" i="40"/>
  <c r="CB22" i="40"/>
  <c r="CB106" i="40"/>
  <c r="CB63" i="40"/>
  <c r="CA102" i="40"/>
  <c r="CA63" i="40"/>
  <c r="CA22" i="40"/>
  <c r="CB113" i="40"/>
  <c r="CB30" i="40"/>
  <c r="CA80" i="40"/>
  <c r="CA42" i="40"/>
  <c r="CA94" i="40"/>
  <c r="CA67" i="40"/>
  <c r="CB102" i="40"/>
  <c r="CA92" i="40"/>
  <c r="CB39" i="40"/>
  <c r="CA88" i="40"/>
  <c r="CB53" i="40"/>
  <c r="CB86" i="40"/>
  <c r="CB91" i="40"/>
  <c r="CA30" i="40"/>
  <c r="CA96" i="40"/>
  <c r="CA28" i="40"/>
  <c r="CB110" i="40"/>
  <c r="CB23" i="40"/>
  <c r="CA100" i="40"/>
  <c r="CB72" i="40"/>
  <c r="CB15" i="43"/>
  <c r="CD15" i="43" s="1"/>
  <c r="CH15" i="43" s="1"/>
  <c r="CA39" i="43"/>
  <c r="CB89" i="43"/>
  <c r="CB103" i="43"/>
  <c r="CA68" i="43"/>
  <c r="CA19" i="43"/>
  <c r="CB114" i="43"/>
  <c r="CA124" i="43"/>
  <c r="CB33" i="43"/>
  <c r="CA75" i="43"/>
  <c r="CA21" i="43"/>
  <c r="CA35" i="43"/>
  <c r="CB35" i="43"/>
  <c r="CA113" i="43"/>
  <c r="CA108" i="43"/>
  <c r="CB115" i="43"/>
  <c r="CA83" i="43"/>
  <c r="CA88" i="43"/>
  <c r="CB72" i="43"/>
  <c r="CA121" i="43"/>
  <c r="CA25" i="43"/>
  <c r="CB43" i="43"/>
  <c r="CB69" i="43"/>
  <c r="CA57" i="43"/>
  <c r="CB99" i="43"/>
  <c r="CA45" i="43"/>
  <c r="CA103" i="43"/>
  <c r="CA111" i="38"/>
  <c r="CA38" i="38"/>
  <c r="CA62" i="38"/>
  <c r="CB93" i="38"/>
  <c r="CB62" i="38"/>
  <c r="CA101" i="38"/>
  <c r="CA96" i="38"/>
  <c r="CB35" i="38"/>
  <c r="CA68" i="38"/>
  <c r="CA43" i="38"/>
  <c r="CB71" i="38"/>
  <c r="CA32" i="38"/>
  <c r="CB106" i="38"/>
  <c r="CB38" i="38"/>
  <c r="CA20" i="38"/>
  <c r="CB53" i="38"/>
  <c r="CA125" i="38"/>
  <c r="CB30" i="38"/>
  <c r="CA42" i="38"/>
  <c r="CB109" i="38"/>
  <c r="CB39" i="38"/>
  <c r="CA17" i="38"/>
  <c r="CB79" i="38"/>
  <c r="CB105" i="38"/>
  <c r="CA53" i="38"/>
  <c r="CA48" i="38"/>
  <c r="CB111" i="38"/>
  <c r="CB115" i="42"/>
  <c r="CB108" i="42"/>
  <c r="CB75" i="42"/>
  <c r="CB27" i="42"/>
  <c r="CB109" i="42"/>
  <c r="CB24" i="42"/>
  <c r="CB84" i="42"/>
  <c r="CA70" i="42"/>
  <c r="CB29" i="42"/>
  <c r="CB59" i="42"/>
  <c r="CA100" i="42"/>
  <c r="CA84" i="42"/>
  <c r="CB48" i="42"/>
  <c r="CB19" i="42"/>
  <c r="CB116" i="42"/>
  <c r="CA54" i="42"/>
  <c r="CB20" i="42"/>
  <c r="CB91" i="42"/>
  <c r="CB105" i="42"/>
  <c r="CA66" i="45"/>
  <c r="CA24" i="45"/>
  <c r="CB115" i="45"/>
  <c r="CB33" i="45"/>
  <c r="CA25" i="45"/>
  <c r="CB19" i="45"/>
  <c r="CB92" i="45"/>
  <c r="CA63" i="45"/>
  <c r="CB20" i="45"/>
  <c r="CA94" i="45"/>
  <c r="CB107" i="45"/>
  <c r="CB56" i="45"/>
  <c r="CB108" i="45"/>
  <c r="CB28" i="45"/>
  <c r="CA100" i="45"/>
  <c r="CB17" i="45"/>
  <c r="CA70" i="45"/>
  <c r="CA69" i="45"/>
  <c r="CA104" i="45"/>
  <c r="CA52" i="45"/>
  <c r="CA95" i="45"/>
  <c r="CB109" i="45"/>
  <c r="CB60" i="45"/>
  <c r="CA111" i="45"/>
  <c r="CA92" i="45"/>
  <c r="CA35" i="45"/>
  <c r="CA85" i="45"/>
  <c r="CB37" i="44"/>
  <c r="CB15" i="44"/>
  <c r="CD15" i="44" s="1"/>
  <c r="CH15" i="44" s="1"/>
  <c r="CA48" i="44"/>
  <c r="CA102" i="44"/>
  <c r="CA51" i="44"/>
  <c r="CB19" i="44"/>
  <c r="CA78" i="44"/>
  <c r="CB91" i="44"/>
  <c r="CA19" i="44"/>
  <c r="CB56" i="44"/>
  <c r="CA95" i="44"/>
  <c r="CB96" i="44"/>
  <c r="CA31" i="44"/>
  <c r="CB88" i="44"/>
  <c r="CA32" i="44"/>
  <c r="CB70" i="44"/>
  <c r="CA93" i="44"/>
  <c r="CB105" i="44"/>
  <c r="CA77" i="44"/>
  <c r="CB48" i="44"/>
  <c r="CA125" i="44"/>
  <c r="CB107" i="44"/>
  <c r="CA65" i="44"/>
  <c r="CB45" i="44"/>
  <c r="CB106" i="44"/>
  <c r="CA71" i="44"/>
  <c r="CB17" i="44"/>
  <c r="CA98" i="44"/>
  <c r="CB92" i="40"/>
  <c r="CA68" i="40"/>
  <c r="CA37" i="40"/>
  <c r="CA95" i="40"/>
  <c r="CB105" i="40"/>
  <c r="CA66" i="40"/>
  <c r="CA87" i="40"/>
  <c r="CB60" i="40"/>
  <c r="CA75" i="40"/>
  <c r="CA36" i="40"/>
  <c r="CB99" i="40"/>
  <c r="CA103" i="40"/>
  <c r="CA70" i="40"/>
  <c r="CB69" i="40"/>
  <c r="CB17" i="40"/>
  <c r="CA61" i="40"/>
  <c r="CA35" i="40"/>
  <c r="CB122" i="40"/>
  <c r="CB79" i="40"/>
  <c r="CB57" i="40"/>
  <c r="CB75" i="40"/>
  <c r="CB46" i="40"/>
  <c r="CB37" i="40"/>
  <c r="CA43" i="40"/>
  <c r="CA105" i="40"/>
  <c r="CB88" i="40"/>
  <c r="CB29" i="40"/>
  <c r="CA60" i="40"/>
  <c r="CA100" i="43"/>
  <c r="CB85" i="43"/>
  <c r="CA101" i="43"/>
  <c r="CA47" i="43"/>
  <c r="CA24" i="43"/>
  <c r="CB48" i="43"/>
  <c r="CB116" i="43"/>
  <c r="CA82" i="43"/>
  <c r="CA50" i="43"/>
  <c r="CB91" i="43"/>
  <c r="CB45" i="43"/>
  <c r="CB66" i="43"/>
  <c r="CB57" i="43"/>
  <c r="CB124" i="43"/>
  <c r="CB67" i="43"/>
  <c r="CB56" i="43"/>
  <c r="CA73" i="43"/>
  <c r="CB34" i="43"/>
  <c r="CA60" i="43"/>
  <c r="CB42" i="43"/>
  <c r="CA111" i="43"/>
  <c r="CB105" i="43"/>
  <c r="CB90" i="43"/>
  <c r="CB88" i="43"/>
  <c r="CB73" i="43"/>
  <c r="CA32" i="43"/>
  <c r="CB40" i="43"/>
  <c r="CA116" i="43"/>
  <c r="CB77" i="38"/>
  <c r="CB23" i="38"/>
  <c r="CB86" i="38"/>
  <c r="CA113" i="38"/>
  <c r="CB22" i="38"/>
  <c r="CB60" i="38"/>
  <c r="CA124" i="38"/>
  <c r="CA49" i="38"/>
  <c r="CA30" i="38"/>
  <c r="CB91" i="38"/>
  <c r="CA37" i="38"/>
  <c r="CB28" i="38"/>
  <c r="CA36" i="38"/>
  <c r="CB116" i="38"/>
  <c r="CB37" i="38"/>
  <c r="CB56" i="38"/>
  <c r="CA76" i="38"/>
  <c r="CA31" i="38"/>
  <c r="CA65" i="38"/>
  <c r="CB32" i="38"/>
  <c r="CB122" i="38"/>
  <c r="CA85" i="38"/>
  <c r="CA23" i="38"/>
  <c r="CB82" i="38"/>
  <c r="CA89" i="38"/>
  <c r="CB78" i="38"/>
  <c r="CB43" i="38"/>
  <c r="CA116" i="38"/>
  <c r="AT20" i="36"/>
  <c r="AT49" i="36"/>
  <c r="BJ43" i="36"/>
  <c r="CB34" i="42"/>
  <c r="CB26" i="42"/>
  <c r="CB103" i="42"/>
  <c r="CB81" i="42"/>
  <c r="CB80" i="42"/>
  <c r="CA98" i="42"/>
  <c r="CB92" i="42"/>
  <c r="CB113" i="42"/>
  <c r="CB67" i="42"/>
  <c r="CA25" i="42"/>
  <c r="CB118" i="42"/>
  <c r="CA63" i="42"/>
  <c r="CA81" i="42"/>
  <c r="CA66" i="42"/>
  <c r="CB40" i="42"/>
  <c r="CA83" i="42"/>
  <c r="CA62" i="42"/>
  <c r="CA106" i="45"/>
  <c r="CB118" i="45"/>
  <c r="CB21" i="45"/>
  <c r="CB29" i="45"/>
  <c r="CB76" i="45"/>
  <c r="CA74" i="45"/>
  <c r="CA44" i="45"/>
  <c r="CB111" i="45"/>
  <c r="CA50" i="45"/>
  <c r="CB106" i="45"/>
  <c r="CB63" i="45"/>
  <c r="CA60" i="45"/>
  <c r="CB112" i="45"/>
  <c r="CB64" i="45"/>
  <c r="CB122" i="45"/>
  <c r="CA97" i="45"/>
  <c r="CA22" i="45"/>
  <c r="CB83" i="45"/>
  <c r="CA33" i="45"/>
  <c r="CB90" i="45"/>
  <c r="CA39" i="45"/>
  <c r="CA113" i="45"/>
  <c r="CB59" i="45"/>
  <c r="CB66" i="45"/>
  <c r="CA118" i="45"/>
  <c r="CB30" i="45"/>
  <c r="CB42" i="45"/>
  <c r="CA90" i="45"/>
  <c r="CA81" i="44"/>
  <c r="CA86" i="44"/>
  <c r="CA64" i="44"/>
  <c r="CA91" i="44"/>
  <c r="CB104" i="44"/>
  <c r="CA22" i="44"/>
  <c r="CB73" i="44"/>
  <c r="CA49" i="44"/>
  <c r="CA97" i="44"/>
  <c r="CB64" i="44"/>
  <c r="CA100" i="44"/>
  <c r="CA59" i="44"/>
  <c r="CB30" i="44"/>
  <c r="CA113" i="44"/>
  <c r="CB34" i="44"/>
  <c r="CB22" i="44"/>
  <c r="CA54" i="44"/>
  <c r="CA116" i="44"/>
  <c r="CB26" i="44"/>
  <c r="CA20" i="44"/>
  <c r="CA79" i="44"/>
  <c r="CB111" i="44"/>
  <c r="CB23" i="44"/>
  <c r="CA62" i="44"/>
  <c r="CB103" i="44"/>
  <c r="CB115" i="44"/>
  <c r="CA52" i="44"/>
  <c r="CB86" i="44"/>
  <c r="CA120" i="40"/>
  <c r="CB27" i="40"/>
  <c r="CB52" i="40"/>
  <c r="CA113" i="40"/>
  <c r="CB33" i="40"/>
  <c r="CA15" i="40"/>
  <c r="CC15" i="40" s="1"/>
  <c r="CG15" i="40" s="1"/>
  <c r="CA79" i="40"/>
  <c r="CA69" i="40"/>
  <c r="CB121" i="40"/>
  <c r="CB43" i="40"/>
  <c r="CA121" i="40"/>
  <c r="CB124" i="40"/>
  <c r="CB49" i="40"/>
  <c r="CA93" i="40"/>
  <c r="CB125" i="40"/>
  <c r="CB87" i="40"/>
  <c r="CB54" i="40"/>
  <c r="CB107" i="40"/>
  <c r="CA98" i="40"/>
  <c r="CA19" i="40"/>
  <c r="CA81" i="40"/>
  <c r="CA115" i="40"/>
  <c r="CB67" i="40"/>
  <c r="CB61" i="40"/>
  <c r="CB115" i="40"/>
  <c r="CB80" i="40"/>
  <c r="CB20" i="40"/>
  <c r="CA89" i="40"/>
  <c r="CB20" i="43"/>
  <c r="CA23" i="43"/>
  <c r="CB87" i="43"/>
  <c r="CA105" i="43"/>
  <c r="CB113" i="43"/>
  <c r="CA59" i="43"/>
  <c r="CA106" i="43"/>
  <c r="CB37" i="43"/>
  <c r="CA33" i="43"/>
  <c r="CA80" i="43"/>
  <c r="CB82" i="43"/>
  <c r="CB117" i="43"/>
  <c r="CA67" i="43"/>
  <c r="CA114" i="43"/>
  <c r="CB27" i="43"/>
  <c r="CA30" i="43"/>
  <c r="CA89" i="43"/>
  <c r="CA72" i="43"/>
  <c r="CB94" i="43"/>
  <c r="CB76" i="43"/>
  <c r="CA122" i="43"/>
  <c r="CA51" i="43"/>
  <c r="CA28" i="43"/>
  <c r="CA81" i="43"/>
  <c r="CA36" i="43"/>
  <c r="CB36" i="43"/>
  <c r="CB50" i="43"/>
  <c r="CA119" i="43"/>
  <c r="CA28" i="38"/>
  <c r="CA27" i="38"/>
  <c r="CB101" i="38"/>
  <c r="CA33" i="38"/>
  <c r="CA25" i="38"/>
  <c r="CA78" i="38"/>
  <c r="CA114" i="38"/>
  <c r="CB108" i="38"/>
  <c r="CA44" i="38"/>
  <c r="CB88" i="38"/>
  <c r="CA105" i="38"/>
  <c r="CB107" i="38"/>
  <c r="CB90" i="38"/>
  <c r="CA122" i="38"/>
  <c r="CB42" i="38"/>
  <c r="CA21" i="38"/>
  <c r="CA92" i="38"/>
  <c r="CB59" i="38"/>
  <c r="CB97" i="38"/>
  <c r="CB49" i="38"/>
  <c r="CB124" i="38"/>
  <c r="CA16" i="38"/>
  <c r="CB15" i="38"/>
  <c r="CD15" i="38" s="1"/>
  <c r="CH15" i="38" s="1"/>
  <c r="CA93" i="38"/>
  <c r="CA86" i="38"/>
  <c r="CB55" i="38"/>
  <c r="CB70" i="38"/>
  <c r="CB123" i="38"/>
  <c r="AT109" i="36"/>
  <c r="AU109" i="36"/>
  <c r="AT105" i="36"/>
  <c r="AU72" i="36"/>
  <c r="BJ62" i="36"/>
  <c r="BI35" i="36"/>
  <c r="BJ88" i="36"/>
  <c r="BJ56" i="36"/>
  <c r="BJ71" i="36"/>
  <c r="BJ72" i="36"/>
  <c r="BI78" i="36"/>
  <c r="BJ41" i="36"/>
  <c r="BJ48" i="36"/>
  <c r="BI25" i="36"/>
  <c r="BJ66" i="36"/>
  <c r="BI95" i="36"/>
  <c r="BI97" i="36"/>
  <c r="BJ108" i="36"/>
  <c r="BI115" i="36"/>
  <c r="BJ38" i="36"/>
  <c r="BJ55" i="36"/>
  <c r="CA107" i="39"/>
  <c r="CB38" i="39"/>
  <c r="CA45" i="39"/>
  <c r="CB99" i="39"/>
  <c r="CB92" i="39"/>
  <c r="CA37" i="39"/>
  <c r="CA82" i="39"/>
  <c r="CA59" i="39"/>
  <c r="CB29" i="39"/>
  <c r="CA35" i="39"/>
  <c r="CB95" i="39"/>
  <c r="CB30" i="39"/>
  <c r="CA17" i="39"/>
  <c r="CB79" i="39"/>
  <c r="CA48" i="39"/>
  <c r="CB18" i="39"/>
  <c r="CB43" i="39"/>
  <c r="CB111" i="39"/>
  <c r="CA113" i="39"/>
  <c r="CA25" i="39"/>
  <c r="CB70" i="39"/>
  <c r="CB25" i="39"/>
  <c r="CB105" i="39"/>
  <c r="CB39" i="39"/>
  <c r="CA108" i="39"/>
  <c r="CB117" i="39"/>
  <c r="CA41" i="39"/>
  <c r="CA85" i="39"/>
  <c r="CA89" i="42"/>
  <c r="CA57" i="42"/>
  <c r="CB114" i="42"/>
  <c r="CA37" i="42"/>
  <c r="CB45" i="42"/>
  <c r="CB82" i="42"/>
  <c r="CA59" i="42"/>
  <c r="CB112" i="42"/>
  <c r="CA40" i="42"/>
  <c r="CB110" i="42"/>
  <c r="CA55" i="42"/>
  <c r="CA24" i="42"/>
  <c r="CB73" i="42"/>
  <c r="CB107" i="42"/>
  <c r="CB95" i="42"/>
  <c r="CA48" i="42"/>
  <c r="CA112" i="42"/>
  <c r="CA41" i="42"/>
  <c r="CB25" i="42"/>
  <c r="CA93" i="42"/>
  <c r="CB101" i="42"/>
  <c r="CB50" i="42"/>
  <c r="CB32" i="42"/>
  <c r="CB100" i="42"/>
  <c r="CB33" i="42"/>
  <c r="CB42" i="42"/>
  <c r="CB74" i="42"/>
  <c r="CA23" i="45"/>
  <c r="CB45" i="45"/>
  <c r="CB52" i="45"/>
  <c r="CA15" i="45"/>
  <c r="CC15" i="45" s="1"/>
  <c r="CG15" i="45" s="1"/>
  <c r="CB81" i="45"/>
  <c r="CB79" i="45"/>
  <c r="CA122" i="45"/>
  <c r="CB67" i="45"/>
  <c r="CB54" i="45"/>
  <c r="CA125" i="45"/>
  <c r="CB96" i="45"/>
  <c r="CB61" i="45"/>
  <c r="CA123" i="45"/>
  <c r="CB39" i="45"/>
  <c r="CB116" i="45"/>
  <c r="CB16" i="45"/>
  <c r="CA51" i="45"/>
  <c r="CB94" i="45"/>
  <c r="CB69" i="45"/>
  <c r="CB73" i="45"/>
  <c r="CA56" i="45"/>
  <c r="CA107" i="45"/>
  <c r="CB31" i="45"/>
  <c r="CB86" i="45"/>
  <c r="CA67" i="45"/>
  <c r="CB105" i="45"/>
  <c r="CA46" i="45"/>
  <c r="CA103" i="45"/>
  <c r="CA92" i="44"/>
  <c r="CA80" i="44"/>
  <c r="CA72" i="44"/>
  <c r="CA122" i="44"/>
  <c r="CB33" i="44"/>
  <c r="CA35" i="44"/>
  <c r="CA109" i="44"/>
  <c r="CB47" i="44"/>
  <c r="CA17" i="44"/>
  <c r="CB83" i="44"/>
  <c r="CA63" i="44"/>
  <c r="CB101" i="44"/>
  <c r="CB44" i="44"/>
  <c r="CB117" i="44"/>
  <c r="CB63" i="44"/>
  <c r="CB98" i="44"/>
  <c r="CB94" i="44"/>
  <c r="CA67" i="44"/>
  <c r="CB85" i="44"/>
  <c r="CB40" i="44"/>
  <c r="CA117" i="44"/>
  <c r="CB71" i="44"/>
  <c r="CB66" i="44"/>
  <c r="CA57" i="44"/>
  <c r="CA26" i="44"/>
  <c r="CB46" i="44"/>
  <c r="CA56" i="44"/>
  <c r="CB110" i="44"/>
  <c r="CA116" i="40"/>
  <c r="CA53" i="40"/>
  <c r="CA71" i="40"/>
  <c r="CB123" i="40"/>
  <c r="CB40" i="40"/>
  <c r="CB28" i="40"/>
  <c r="CA97" i="40"/>
  <c r="CB109" i="40"/>
  <c r="CB47" i="40"/>
  <c r="CA48" i="40"/>
  <c r="CA110" i="40"/>
  <c r="CA46" i="40"/>
  <c r="CB38" i="40"/>
  <c r="CB85" i="40"/>
  <c r="CB78" i="40"/>
  <c r="CA25" i="40"/>
  <c r="CA56" i="40"/>
  <c r="CA118" i="40"/>
  <c r="CA29" i="40"/>
  <c r="CA31" i="40"/>
  <c r="CB90" i="40"/>
  <c r="CA64" i="40"/>
  <c r="CA124" i="40"/>
  <c r="CA51" i="40"/>
  <c r="CA45" i="40"/>
  <c r="CA107" i="40"/>
  <c r="CB18" i="40"/>
  <c r="CA101" i="40"/>
  <c r="CB16" i="43"/>
  <c r="CA102" i="43"/>
  <c r="CB96" i="43"/>
  <c r="CB63" i="43"/>
  <c r="CB62" i="43"/>
  <c r="CA66" i="43"/>
  <c r="CB83" i="43"/>
  <c r="CA46" i="43"/>
  <c r="CB22" i="43"/>
  <c r="CB108" i="43"/>
  <c r="CB41" i="43"/>
  <c r="CB53" i="43"/>
  <c r="CB74" i="43"/>
  <c r="CB111" i="43"/>
  <c r="CA96" i="43"/>
  <c r="CB30" i="43"/>
  <c r="CA91" i="43"/>
  <c r="CA48" i="43"/>
  <c r="CA38" i="43"/>
  <c r="CB65" i="43"/>
  <c r="CB19" i="43"/>
  <c r="CB28" i="43"/>
  <c r="CA53" i="43"/>
  <c r="CB101" i="43"/>
  <c r="CA65" i="43"/>
  <c r="CB79" i="43"/>
  <c r="CA58" i="43"/>
  <c r="CA61" i="38"/>
  <c r="CB69" i="38"/>
  <c r="CA108" i="38"/>
  <c r="CB72" i="38"/>
  <c r="CA35" i="38"/>
  <c r="CB83" i="38"/>
  <c r="CA115" i="38"/>
  <c r="CA41" i="38"/>
  <c r="CB25" i="38"/>
  <c r="CB102" i="38"/>
  <c r="CB18" i="38"/>
  <c r="CA51" i="38"/>
  <c r="CA79" i="38"/>
  <c r="CA123" i="38"/>
  <c r="CA90" i="38"/>
  <c r="CA54" i="38"/>
  <c r="CB94" i="38"/>
  <c r="CB125" i="38"/>
  <c r="CB99" i="38"/>
  <c r="CB63" i="38"/>
  <c r="CB117" i="38"/>
  <c r="CB73" i="38"/>
  <c r="CA34" i="38"/>
  <c r="CA95" i="38"/>
  <c r="CA81" i="38"/>
  <c r="CB76" i="38"/>
  <c r="CB64" i="38"/>
  <c r="AU107" i="36"/>
  <c r="CB38" i="42"/>
  <c r="CA72" i="42"/>
  <c r="CA61" i="42"/>
  <c r="CA39" i="42"/>
  <c r="CB17" i="42"/>
  <c r="CA71" i="42"/>
  <c r="CA35" i="42"/>
  <c r="CB57" i="42"/>
  <c r="CA110" i="42"/>
  <c r="CB35" i="42"/>
  <c r="CB18" i="42"/>
  <c r="CA79" i="42"/>
  <c r="CB90" i="42"/>
  <c r="CA69" i="42"/>
  <c r="CA118" i="42"/>
  <c r="CA116" i="42"/>
  <c r="CA19" i="42"/>
  <c r="CB111" i="42"/>
  <c r="CA92" i="42"/>
  <c r="CA34" i="42"/>
  <c r="CB39" i="42"/>
  <c r="CB71" i="45"/>
  <c r="CA54" i="45"/>
  <c r="CA21" i="45"/>
  <c r="CA36" i="45"/>
  <c r="CB58" i="45"/>
  <c r="CA62" i="45"/>
  <c r="CB93" i="45"/>
  <c r="CB88" i="45"/>
  <c r="CB57" i="45"/>
  <c r="CA119" i="45"/>
  <c r="CA48" i="45"/>
  <c r="CA57" i="45"/>
  <c r="CB80" i="45"/>
  <c r="CB65" i="45"/>
  <c r="CB41" i="45"/>
  <c r="CB84" i="45"/>
  <c r="CA20" i="45"/>
  <c r="CB99" i="45"/>
  <c r="CB40" i="45"/>
  <c r="CA65" i="45"/>
  <c r="CB62" i="45"/>
  <c r="CA49" i="45"/>
  <c r="CA30" i="45"/>
  <c r="CA76" i="45"/>
  <c r="CB121" i="45"/>
  <c r="CA55" i="45"/>
  <c r="CA47" i="45"/>
  <c r="CA121" i="45"/>
  <c r="CB76" i="44"/>
  <c r="CB112" i="44"/>
  <c r="CA70" i="44"/>
  <c r="CA120" i="44"/>
  <c r="CA103" i="44"/>
  <c r="CB51" i="44"/>
  <c r="CB92" i="44"/>
  <c r="CA76" i="44"/>
  <c r="CA123" i="44"/>
  <c r="CA82" i="44"/>
  <c r="CB123" i="44"/>
  <c r="CA23" i="44"/>
  <c r="CB60" i="44"/>
  <c r="CB102" i="44"/>
  <c r="CA34" i="44"/>
  <c r="CB20" i="44"/>
  <c r="CB53" i="44"/>
  <c r="CA89" i="44"/>
  <c r="CB116" i="44"/>
  <c r="CB59" i="44"/>
  <c r="CA114" i="44"/>
  <c r="CB31" i="44"/>
  <c r="CA33" i="44"/>
  <c r="CB61" i="44"/>
  <c r="CB81" i="44"/>
  <c r="CB121" i="44"/>
  <c r="CA46" i="44"/>
  <c r="CA87" i="44"/>
  <c r="CA57" i="40"/>
  <c r="CB117" i="40"/>
  <c r="CA59" i="40"/>
  <c r="CA78" i="40"/>
  <c r="CB120" i="40"/>
  <c r="CB26" i="40"/>
  <c r="CA76" i="40"/>
  <c r="CB32" i="40"/>
  <c r="CB94" i="40"/>
  <c r="CA58" i="40"/>
  <c r="CB100" i="40"/>
  <c r="CA123" i="40"/>
  <c r="CB35" i="40"/>
  <c r="CA84" i="40"/>
  <c r="CB36" i="40"/>
  <c r="CB82" i="40"/>
  <c r="CB64" i="40"/>
  <c r="CA50" i="40"/>
  <c r="CA99" i="40"/>
  <c r="CA16" i="40"/>
  <c r="CB101" i="40"/>
  <c r="CB25" i="40"/>
  <c r="CA86" i="40"/>
  <c r="CB68" i="40"/>
  <c r="CB41" i="40"/>
  <c r="CB104" i="40"/>
  <c r="CA33" i="40"/>
  <c r="CB118" i="40"/>
  <c r="CA112" i="43"/>
  <c r="CA86" i="43"/>
  <c r="CB38" i="43"/>
  <c r="CB106" i="43"/>
  <c r="CB119" i="43"/>
  <c r="CA31" i="43"/>
  <c r="CA93" i="43"/>
  <c r="CB49" i="43"/>
  <c r="CA55" i="43"/>
  <c r="CA41" i="43"/>
  <c r="CB122" i="43"/>
  <c r="CB123" i="43"/>
  <c r="CB24" i="43"/>
  <c r="CA79" i="43"/>
  <c r="CB109" i="43"/>
  <c r="CB59" i="43"/>
  <c r="CB64" i="43"/>
  <c r="CA117" i="43"/>
  <c r="CA104" i="43"/>
  <c r="CB121" i="43"/>
  <c r="CB93" i="43"/>
  <c r="CB104" i="43"/>
  <c r="CA98" i="43"/>
  <c r="CA49" i="43"/>
  <c r="CA99" i="43"/>
  <c r="CA34" i="43"/>
  <c r="CA56" i="43"/>
  <c r="CB84" i="43"/>
  <c r="CA91" i="38"/>
  <c r="CB24" i="38"/>
  <c r="CA52" i="38"/>
  <c r="CA97" i="38"/>
  <c r="CA100" i="38"/>
  <c r="CB31" i="38"/>
  <c r="CA66" i="38"/>
  <c r="CB46" i="38"/>
  <c r="CB54" i="38"/>
  <c r="CB68" i="38"/>
  <c r="CB104" i="38"/>
  <c r="CA75" i="38"/>
  <c r="CA19" i="38"/>
  <c r="CB87" i="38"/>
  <c r="CB95" i="38"/>
  <c r="CB48" i="38"/>
  <c r="CB34" i="38"/>
  <c r="CA106" i="38"/>
  <c r="CB26" i="38"/>
  <c r="CB20" i="38"/>
  <c r="CB57" i="38"/>
  <c r="CA98" i="38"/>
  <c r="CA57" i="38"/>
  <c r="CB45" i="38"/>
  <c r="CB110" i="38"/>
  <c r="CB50" i="38"/>
  <c r="CA22" i="38"/>
  <c r="CA60" i="38"/>
  <c r="AU90" i="36"/>
  <c r="CB89" i="42"/>
  <c r="CB43" i="42"/>
  <c r="CB66" i="42"/>
  <c r="CA50" i="42"/>
  <c r="CB85" i="42"/>
  <c r="CB88" i="42"/>
  <c r="CA30" i="42"/>
  <c r="CA15" i="42"/>
  <c r="CC15" i="42" s="1"/>
  <c r="CG15" i="42" s="1"/>
  <c r="CB79" i="42"/>
  <c r="CA101" i="42"/>
  <c r="CA102" i="42"/>
  <c r="CA45" i="42"/>
  <c r="CA28" i="42"/>
  <c r="CA73" i="42"/>
  <c r="CB120" i="42"/>
  <c r="CB22" i="42"/>
  <c r="CB53" i="45"/>
  <c r="CA79" i="45"/>
  <c r="CB44" i="45"/>
  <c r="CB47" i="45"/>
  <c r="CA83" i="45"/>
  <c r="CA120" i="45"/>
  <c r="CB25" i="45"/>
  <c r="CA45" i="45"/>
  <c r="CA53" i="45"/>
  <c r="CA114" i="45"/>
  <c r="CB15" i="45"/>
  <c r="CD15" i="45" s="1"/>
  <c r="CH15" i="45" s="1"/>
  <c r="CB114" i="45"/>
  <c r="CB37" i="45"/>
  <c r="CA61" i="45"/>
  <c r="CB82" i="45"/>
  <c r="CB117" i="45"/>
  <c r="CB32" i="45"/>
  <c r="CB110" i="45"/>
  <c r="CB77" i="45"/>
  <c r="CB27" i="45"/>
  <c r="CA78" i="45"/>
  <c r="CB125" i="45"/>
  <c r="CA31" i="45"/>
  <c r="CB89" i="45"/>
  <c r="CA108" i="45"/>
  <c r="CB123" i="45"/>
  <c r="CA64" i="45"/>
  <c r="CA115" i="45"/>
  <c r="CA43" i="44"/>
  <c r="CB39" i="44"/>
  <c r="CB75" i="44"/>
  <c r="CA28" i="44"/>
  <c r="CB24" i="44"/>
  <c r="CB52" i="44"/>
  <c r="CA112" i="44"/>
  <c r="CA36" i="44"/>
  <c r="CB36" i="44"/>
  <c r="CA99" i="44"/>
  <c r="CA39" i="44"/>
  <c r="CB50" i="44"/>
  <c r="CA68" i="44"/>
  <c r="CA104" i="44"/>
  <c r="CA88" i="44"/>
  <c r="CA37" i="44"/>
  <c r="CA90" i="44"/>
  <c r="CA38" i="44"/>
  <c r="CB84" i="44"/>
  <c r="CB41" i="44"/>
  <c r="CB118" i="44"/>
  <c r="CA69" i="44"/>
  <c r="CA29" i="44"/>
  <c r="CA96" i="44"/>
  <c r="CA107" i="44"/>
  <c r="CA45" i="44"/>
  <c r="CB68" i="44"/>
  <c r="CB114" i="44"/>
  <c r="CB45" i="40"/>
  <c r="CB66" i="40"/>
  <c r="CB76" i="40"/>
  <c r="CB96" i="40"/>
  <c r="CB62" i="40"/>
  <c r="CA41" i="40"/>
  <c r="CB95" i="40"/>
  <c r="CB98" i="40"/>
  <c r="CA62" i="40"/>
  <c r="CB65" i="40"/>
  <c r="CB70" i="40"/>
  <c r="CA74" i="40"/>
  <c r="CA40" i="40"/>
  <c r="CB103" i="40"/>
  <c r="CA90" i="40"/>
  <c r="CB59" i="40"/>
  <c r="CB73" i="40"/>
  <c r="CB116" i="40"/>
  <c r="CA32" i="40"/>
  <c r="CA39" i="40"/>
  <c r="CB114" i="40"/>
  <c r="CB84" i="40"/>
  <c r="CA24" i="40"/>
  <c r="CA83" i="40"/>
  <c r="CA111" i="40"/>
  <c r="CA17" i="40"/>
  <c r="CB44" i="40"/>
  <c r="CA109" i="40"/>
  <c r="CB39" i="43"/>
  <c r="CA15" i="43"/>
  <c r="CC15" i="43" s="1"/>
  <c r="CG15" i="43" s="1"/>
  <c r="CB44" i="43"/>
  <c r="CB112" i="43"/>
  <c r="CA78" i="43"/>
  <c r="CA92" i="43"/>
  <c r="CA87" i="43"/>
  <c r="CA40" i="43"/>
  <c r="CA52" i="43"/>
  <c r="CB52" i="43"/>
  <c r="CB120" i="43"/>
  <c r="CA74" i="43"/>
  <c r="CB51" i="43"/>
  <c r="CA97" i="43"/>
  <c r="CA42" i="43"/>
  <c r="CA61" i="43"/>
  <c r="CB68" i="43"/>
  <c r="CA107" i="43"/>
  <c r="CB78" i="43"/>
  <c r="CA69" i="43"/>
  <c r="CA77" i="43"/>
  <c r="CB86" i="43"/>
  <c r="CB17" i="43"/>
  <c r="CB60" i="43"/>
  <c r="CA125" i="43"/>
  <c r="CA90" i="43"/>
  <c r="CB102" i="43"/>
  <c r="CB92" i="43"/>
  <c r="CA82" i="38"/>
  <c r="CB33" i="38"/>
  <c r="CA46" i="38"/>
  <c r="CA120" i="38"/>
  <c r="CA77" i="38"/>
  <c r="CA18" i="38"/>
  <c r="CA88" i="38"/>
  <c r="CB65" i="38"/>
  <c r="CA26" i="38"/>
  <c r="CB27" i="38"/>
  <c r="CB112" i="38"/>
  <c r="CA59" i="38"/>
  <c r="CA15" i="38"/>
  <c r="CC15" i="38" s="1"/>
  <c r="CG15" i="38" s="1"/>
  <c r="CA84" i="38"/>
  <c r="CA45" i="38"/>
  <c r="CA71" i="38"/>
  <c r="CB52" i="38"/>
  <c r="CB115" i="38"/>
  <c r="CB85" i="38"/>
  <c r="CB19" i="38"/>
  <c r="CA74" i="38"/>
  <c r="CA117" i="38"/>
  <c r="CA55" i="38"/>
  <c r="CA40" i="38"/>
  <c r="CA112" i="38"/>
  <c r="CB81" i="38"/>
  <c r="CB17" i="38"/>
  <c r="CB98" i="38"/>
  <c r="AT44" i="36"/>
  <c r="AU46" i="36"/>
  <c r="AT19" i="36"/>
  <c r="BI57" i="36"/>
  <c r="CB123" i="42"/>
  <c r="CA107" i="42"/>
  <c r="CB30" i="42"/>
  <c r="CA103" i="42"/>
  <c r="CA96" i="42"/>
  <c r="CB58" i="42"/>
  <c r="CB37" i="42"/>
  <c r="CB71" i="42"/>
  <c r="CB102" i="42"/>
  <c r="CB64" i="42"/>
  <c r="CB86" i="42"/>
  <c r="CB65" i="42"/>
  <c r="CA120" i="42"/>
  <c r="CA29" i="42"/>
  <c r="CA106" i="42"/>
  <c r="CB119" i="42"/>
  <c r="CA121" i="42"/>
  <c r="CA64" i="42"/>
  <c r="CB46" i="42"/>
  <c r="CA53" i="42"/>
  <c r="CA87" i="42"/>
  <c r="CA73" i="45"/>
  <c r="CA112" i="45"/>
  <c r="CB78" i="45"/>
  <c r="CB124" i="45"/>
  <c r="CB104" i="45"/>
  <c r="CA116" i="45"/>
  <c r="CB119" i="45"/>
  <c r="CA34" i="45"/>
  <c r="CA88" i="45"/>
  <c r="CA37" i="45"/>
  <c r="CA19" i="45"/>
  <c r="CA71" i="45"/>
  <c r="CA18" i="45"/>
  <c r="CA81" i="45"/>
  <c r="CB26" i="45"/>
  <c r="CB97" i="45"/>
  <c r="CA68" i="45"/>
  <c r="CA105" i="45"/>
  <c r="CA80" i="45"/>
  <c r="CA16" i="45"/>
  <c r="CA72" i="45"/>
  <c r="CB36" i="45"/>
  <c r="CA32" i="45"/>
  <c r="CA86" i="45"/>
  <c r="CA29" i="45"/>
  <c r="CA41" i="45"/>
  <c r="CB74" i="45"/>
  <c r="CB27" i="44"/>
  <c r="CA18" i="44"/>
  <c r="CB69" i="44"/>
  <c r="CB82" i="44"/>
  <c r="CB97" i="44"/>
  <c r="CA85" i="44"/>
  <c r="CB95" i="44"/>
  <c r="CB108" i="44"/>
  <c r="CB28" i="44"/>
  <c r="CB78" i="44"/>
  <c r="CB25" i="44"/>
  <c r="CB18" i="44"/>
  <c r="CA50" i="44"/>
  <c r="CB119" i="44"/>
  <c r="CB21" i="44"/>
  <c r="CA16" i="44"/>
  <c r="CA75" i="44"/>
  <c r="CB109" i="44"/>
  <c r="CB42" i="44"/>
  <c r="CA58" i="44"/>
  <c r="CA111" i="44"/>
  <c r="CA124" i="44"/>
  <c r="CB35" i="44"/>
  <c r="CA83" i="44"/>
  <c r="CB89" i="44"/>
  <c r="CA115" i="44"/>
  <c r="CA66" i="44"/>
  <c r="CA49" i="40"/>
  <c r="CB77" i="40"/>
  <c r="CA65" i="40"/>
  <c r="CB21" i="40"/>
  <c r="CB56" i="40"/>
  <c r="CA117" i="40"/>
  <c r="CA21" i="40"/>
  <c r="CA27" i="40"/>
  <c r="CA91" i="40"/>
  <c r="CA26" i="40"/>
  <c r="CA104" i="40"/>
  <c r="CB48" i="40"/>
  <c r="CA125" i="40"/>
  <c r="CA108" i="40"/>
  <c r="CA23" i="40"/>
  <c r="CA77" i="40"/>
  <c r="CA112" i="40"/>
  <c r="CA73" i="40"/>
  <c r="CB58" i="40"/>
  <c r="CB111" i="40"/>
  <c r="CB83" i="40"/>
  <c r="CB16" i="40"/>
  <c r="CA85" i="40"/>
  <c r="CA20" i="40"/>
  <c r="CB71" i="40"/>
  <c r="CB50" i="40"/>
  <c r="CB119" i="40"/>
  <c r="CA29" i="43"/>
  <c r="CB55" i="43"/>
  <c r="CB54" i="43"/>
  <c r="CA123" i="43"/>
  <c r="CA20" i="43"/>
  <c r="CA27" i="43"/>
  <c r="CA76" i="43"/>
  <c r="CB81" i="43"/>
  <c r="CB107" i="43"/>
  <c r="CA63" i="43"/>
  <c r="CA110" i="43"/>
  <c r="CB29" i="43"/>
  <c r="CA22" i="43"/>
  <c r="CA84" i="43"/>
  <c r="CB77" i="43"/>
  <c r="CB125" i="43"/>
  <c r="CA71" i="43"/>
  <c r="CA118" i="43"/>
  <c r="CB21" i="43"/>
  <c r="CA18" i="43"/>
  <c r="CB97" i="43"/>
  <c r="CB32" i="43"/>
  <c r="CB25" i="43"/>
  <c r="CB46" i="43"/>
  <c r="CA115" i="43"/>
  <c r="CA16" i="43"/>
  <c r="CB23" i="43"/>
  <c r="CA85" i="43"/>
  <c r="CB74" i="38"/>
  <c r="CA29" i="38"/>
  <c r="CA72" i="38"/>
  <c r="CA110" i="38"/>
  <c r="CA107" i="38"/>
  <c r="CB41" i="38"/>
  <c r="CB84" i="38"/>
  <c r="CB16" i="38"/>
  <c r="CA119" i="38"/>
  <c r="CB80" i="38"/>
  <c r="CA118" i="38"/>
  <c r="CB89" i="38"/>
  <c r="CA50" i="38"/>
  <c r="CB92" i="38"/>
  <c r="CB44" i="38"/>
  <c r="CB114" i="38"/>
  <c r="CB40" i="38"/>
  <c r="CB120" i="38"/>
  <c r="CA24" i="38"/>
  <c r="CB36" i="38"/>
  <c r="CB100" i="38"/>
  <c r="CB103" i="38"/>
  <c r="CA39" i="38"/>
  <c r="CA56" i="38"/>
  <c r="CB119" i="38"/>
  <c r="CB47" i="38"/>
  <c r="CB21" i="38"/>
  <c r="CA99" i="38"/>
  <c r="BJ59" i="36"/>
  <c r="BJ69" i="36"/>
  <c r="BI53" i="36"/>
  <c r="BJ75" i="36"/>
  <c r="BJ31" i="36"/>
  <c r="BJ29" i="36"/>
  <c r="BI100" i="36"/>
  <c r="BJ53" i="36"/>
  <c r="BJ115" i="36"/>
  <c r="BI54" i="36"/>
  <c r="BI83" i="36"/>
  <c r="BI67" i="36"/>
  <c r="BI23" i="36"/>
  <c r="BI86" i="36"/>
  <c r="BI71" i="36"/>
  <c r="BJ89" i="36"/>
  <c r="BI108" i="36"/>
  <c r="BI112" i="36"/>
  <c r="BI22" i="36"/>
  <c r="BI110" i="36"/>
  <c r="BJ54" i="36"/>
  <c r="BI103" i="36"/>
  <c r="BI44" i="36"/>
  <c r="BI94" i="36"/>
  <c r="BJ32" i="36"/>
  <c r="BJ80" i="36"/>
  <c r="BI59" i="36"/>
  <c r="BI64" i="36"/>
  <c r="BI15" i="36"/>
  <c r="BI34" i="36"/>
  <c r="BJ91" i="36"/>
  <c r="BJ24" i="36"/>
  <c r="BJ17" i="36"/>
  <c r="BJ23" i="36"/>
  <c r="BI20" i="36"/>
  <c r="BI60" i="36"/>
  <c r="BJ16" i="36"/>
  <c r="BI21" i="36"/>
  <c r="BJ33" i="36"/>
  <c r="BI109" i="36"/>
  <c r="BJ95" i="36"/>
  <c r="BI117" i="36"/>
  <c r="BI52" i="36"/>
  <c r="BJ121" i="36"/>
  <c r="BI80" i="36"/>
  <c r="BJ104" i="36"/>
  <c r="BJ110" i="36"/>
  <c r="BI104" i="36"/>
  <c r="BI118" i="36"/>
  <c r="BJ52" i="36"/>
  <c r="BJ35" i="36"/>
  <c r="BJ81" i="36"/>
  <c r="BJ64" i="36"/>
  <c r="BI119" i="36"/>
  <c r="BI88" i="36"/>
  <c r="BI79" i="36"/>
  <c r="BJ44" i="36"/>
  <c r="BJ15" i="36"/>
  <c r="BI116" i="36"/>
  <c r="BI29" i="36"/>
  <c r="BJ67" i="36"/>
  <c r="BI76" i="36"/>
  <c r="BI19" i="36"/>
  <c r="BI124" i="36"/>
  <c r="BI58" i="36"/>
  <c r="BJ118" i="36"/>
  <c r="BI122" i="36"/>
  <c r="AT110" i="36"/>
  <c r="AU96" i="36"/>
  <c r="AU106" i="36"/>
  <c r="AU102" i="36"/>
  <c r="AT112" i="36"/>
  <c r="AU48" i="36"/>
  <c r="AU117" i="36"/>
  <c r="BI18" i="36"/>
  <c r="BI56" i="36"/>
  <c r="BJ117" i="36"/>
  <c r="BJ120" i="36"/>
  <c r="AT28" i="36"/>
  <c r="AT48" i="36"/>
  <c r="AT102" i="36"/>
  <c r="AU37" i="36"/>
  <c r="AT34" i="36"/>
  <c r="AT32" i="36"/>
  <c r="AT42" i="36"/>
  <c r="AT119" i="36"/>
  <c r="AU47" i="36"/>
  <c r="AT108" i="36"/>
  <c r="AT82" i="36"/>
  <c r="AT52" i="36"/>
  <c r="AT77" i="36"/>
  <c r="AT55" i="36"/>
  <c r="AU78" i="36"/>
  <c r="AU44" i="36"/>
  <c r="AU35" i="36"/>
  <c r="AT78" i="36"/>
  <c r="AU63" i="36"/>
  <c r="AU61" i="36"/>
  <c r="AU23" i="36"/>
  <c r="AT26" i="36"/>
  <c r="AT83" i="36"/>
  <c r="AT36" i="36"/>
  <c r="AU71" i="36"/>
  <c r="AT74" i="36"/>
  <c r="AU51" i="36"/>
  <c r="AU17" i="36"/>
  <c r="AU120" i="36"/>
  <c r="BI72" i="36"/>
  <c r="BJ85" i="36"/>
  <c r="BI28" i="36"/>
  <c r="BI51" i="36"/>
  <c r="BJ47" i="36"/>
  <c r="BJ65" i="36"/>
  <c r="BI121" i="36"/>
  <c r="BI123" i="36"/>
  <c r="BJ124" i="36"/>
  <c r="BI65" i="36"/>
  <c r="BI31" i="36"/>
  <c r="BJ26" i="36"/>
  <c r="BJ125" i="36"/>
  <c r="BJ119" i="36"/>
  <c r="BI125" i="36"/>
  <c r="BJ123" i="36"/>
  <c r="BJ122" i="36"/>
  <c r="BI120" i="36"/>
  <c r="BX62" i="36"/>
  <c r="BX95" i="36"/>
  <c r="BX90" i="36"/>
  <c r="BX93" i="36"/>
  <c r="BX84" i="36"/>
  <c r="BX53" i="36"/>
  <c r="BY40" i="36"/>
  <c r="BY100" i="36"/>
  <c r="BY102" i="36"/>
  <c r="BY76" i="36"/>
  <c r="BX100" i="36"/>
  <c r="BX59" i="36"/>
  <c r="BX99" i="36"/>
  <c r="BX76" i="36"/>
  <c r="BY17" i="36"/>
  <c r="BY16" i="36"/>
  <c r="BY35" i="36"/>
  <c r="BX44" i="36"/>
  <c r="BX20" i="36"/>
  <c r="BY97" i="36"/>
  <c r="BX19" i="36"/>
  <c r="BX50" i="36"/>
  <c r="BY99" i="36"/>
  <c r="BX26" i="36"/>
  <c r="BY29" i="36"/>
  <c r="BX117" i="36"/>
  <c r="BY74" i="36"/>
  <c r="BX61" i="36"/>
  <c r="BX124" i="36"/>
  <c r="BY75" i="36"/>
  <c r="BY53" i="36"/>
  <c r="BY48" i="36"/>
  <c r="BX86" i="36"/>
  <c r="BX96" i="36"/>
  <c r="BY72" i="36"/>
  <c r="BX103" i="36"/>
  <c r="BY83" i="36"/>
  <c r="BX58" i="36"/>
  <c r="BY103" i="36"/>
  <c r="BX63" i="36"/>
  <c r="BY59" i="36"/>
  <c r="BX101" i="36"/>
  <c r="BX113" i="36"/>
  <c r="BX111" i="36"/>
  <c r="BX72" i="36"/>
  <c r="BX92" i="36"/>
  <c r="BX14" i="36"/>
  <c r="BX25" i="36"/>
  <c r="BX69" i="36"/>
  <c r="BY30" i="36"/>
  <c r="BX105" i="36"/>
  <c r="BY122" i="36"/>
  <c r="BY115" i="36"/>
  <c r="BY36" i="36"/>
  <c r="BX73" i="36"/>
  <c r="BY93" i="36"/>
  <c r="BX64" i="36"/>
  <c r="BY45" i="36"/>
  <c r="BX83" i="36"/>
  <c r="BY19" i="36"/>
  <c r="BX38" i="36"/>
  <c r="BX46" i="36"/>
  <c r="BY60" i="36"/>
  <c r="BY24" i="36"/>
  <c r="BY49" i="36"/>
  <c r="BY54" i="36"/>
  <c r="BY50" i="36"/>
  <c r="BY62" i="36"/>
  <c r="BY108" i="36"/>
  <c r="BY106" i="36"/>
  <c r="BY38" i="36"/>
  <c r="BX74" i="36"/>
  <c r="BY85" i="36"/>
  <c r="BX31" i="36"/>
  <c r="BY107" i="36"/>
  <c r="BX108" i="36"/>
  <c r="BY61" i="36"/>
  <c r="BY63" i="36"/>
  <c r="BY33" i="36"/>
  <c r="BX51" i="36"/>
  <c r="BX87" i="36"/>
  <c r="BY68" i="36"/>
  <c r="BY21" i="36"/>
  <c r="BY26" i="36"/>
  <c r="BY65" i="36"/>
  <c r="BX66" i="36"/>
  <c r="BX65" i="36"/>
  <c r="BX115" i="36"/>
  <c r="BX37" i="36"/>
  <c r="BY92" i="36"/>
  <c r="BY43" i="36"/>
  <c r="BX78" i="36"/>
  <c r="BY52" i="36"/>
  <c r="BX85" i="36"/>
  <c r="BX55" i="36"/>
  <c r="BY51" i="36"/>
  <c r="BX45" i="36"/>
  <c r="BX97" i="36"/>
  <c r="BX49" i="36"/>
  <c r="BY101" i="36"/>
  <c r="BX39" i="36"/>
  <c r="BY110" i="36"/>
  <c r="BX52" i="36"/>
  <c r="BX30" i="36"/>
  <c r="BY94" i="36"/>
  <c r="BY70" i="36"/>
  <c r="BX67" i="36"/>
  <c r="BY22" i="36"/>
  <c r="BY32" i="36"/>
  <c r="BY66" i="36"/>
  <c r="BX34" i="36"/>
  <c r="BX94" i="36"/>
  <c r="BY31" i="36"/>
  <c r="BX24" i="36"/>
  <c r="BY81" i="36"/>
  <c r="BY23" i="36"/>
  <c r="BY28" i="36"/>
  <c r="BX16" i="36"/>
  <c r="BY79" i="36"/>
  <c r="BY20" i="36"/>
  <c r="BY39" i="36"/>
  <c r="BX40" i="36"/>
  <c r="BY109" i="36"/>
  <c r="BX106" i="36"/>
  <c r="BX35" i="36"/>
  <c r="BY98" i="36"/>
  <c r="BX107" i="36"/>
  <c r="BY42" i="36"/>
  <c r="BX32" i="36"/>
  <c r="BY73" i="36"/>
  <c r="BY78" i="36"/>
  <c r="BY37" i="36"/>
  <c r="BX110" i="36"/>
  <c r="BY112" i="36"/>
  <c r="BX88" i="36"/>
  <c r="BY89" i="36"/>
  <c r="BX112" i="36"/>
  <c r="BY88" i="36"/>
  <c r="BY18" i="36"/>
  <c r="BX18" i="36"/>
  <c r="BX41" i="36"/>
  <c r="BX71" i="36"/>
  <c r="BX29" i="36"/>
  <c r="BX17" i="36"/>
  <c r="BY82" i="36"/>
  <c r="BY27" i="36"/>
  <c r="BY86" i="36"/>
  <c r="BX47" i="36"/>
  <c r="BX102" i="36"/>
  <c r="BY95" i="36"/>
  <c r="BX54" i="36"/>
  <c r="BY41" i="36"/>
  <c r="BX116" i="36"/>
  <c r="BY46" i="36"/>
  <c r="BX80" i="36"/>
  <c r="BY87" i="36"/>
  <c r="BX81" i="36"/>
  <c r="BY77" i="36"/>
  <c r="BX91" i="36"/>
  <c r="BY114" i="36"/>
  <c r="BX22" i="36"/>
  <c r="BY105" i="36"/>
  <c r="BX27" i="36"/>
  <c r="BX42" i="36"/>
  <c r="BY64" i="36"/>
  <c r="BY111" i="36"/>
  <c r="BX28" i="36"/>
  <c r="BY80" i="36"/>
  <c r="BY113" i="36"/>
  <c r="BY67" i="36"/>
  <c r="BX89" i="36"/>
  <c r="BX60" i="36"/>
  <c r="BY44" i="36"/>
  <c r="BX56" i="36"/>
  <c r="BY56" i="36"/>
  <c r="BX114" i="36"/>
  <c r="BY34" i="36"/>
  <c r="BX15" i="36"/>
  <c r="BY96" i="36"/>
  <c r="BY90" i="36"/>
  <c r="BX109" i="36"/>
  <c r="BY123" i="36"/>
  <c r="BX23" i="36"/>
  <c r="BY91" i="36"/>
  <c r="BX104" i="36"/>
  <c r="BX36" i="36"/>
  <c r="BY125" i="36"/>
  <c r="BY47" i="36"/>
  <c r="BX43" i="36"/>
  <c r="BX70" i="36"/>
  <c r="BX121" i="36"/>
  <c r="BY117" i="36"/>
  <c r="BX98" i="36"/>
  <c r="BY55" i="36"/>
  <c r="BX48" i="36"/>
  <c r="BX68" i="36"/>
  <c r="BX77" i="36"/>
  <c r="BY104" i="36"/>
  <c r="BY57" i="36"/>
  <c r="BY25" i="36"/>
  <c r="BX118" i="36"/>
  <c r="BY118" i="36"/>
  <c r="BY121" i="36"/>
  <c r="BY58" i="36"/>
  <c r="BY14" i="36"/>
  <c r="BX119" i="36"/>
  <c r="BY119" i="36"/>
  <c r="BX125" i="36"/>
  <c r="BY15" i="36"/>
  <c r="BY116" i="36"/>
  <c r="BX75" i="36"/>
  <c r="BX79" i="36"/>
  <c r="BY69" i="36"/>
  <c r="BX57" i="36"/>
  <c r="BY71" i="36"/>
  <c r="BX33" i="36"/>
  <c r="BX82" i="36"/>
  <c r="BX123" i="36"/>
  <c r="BX120" i="36"/>
  <c r="BY120" i="36"/>
  <c r="BY84" i="36"/>
  <c r="BX21" i="36"/>
  <c r="BX122" i="36"/>
  <c r="AU33" i="36"/>
  <c r="AT75" i="36"/>
  <c r="AT115" i="36"/>
  <c r="AT65" i="36"/>
  <c r="AT98" i="36"/>
  <c r="AT50" i="36"/>
  <c r="AU29" i="36"/>
  <c r="AU66" i="36"/>
  <c r="AU81" i="36"/>
  <c r="AU74" i="36"/>
  <c r="AU41" i="36"/>
  <c r="AU94" i="36"/>
  <c r="AT47" i="36"/>
  <c r="AU95" i="36"/>
  <c r="AU20" i="36"/>
  <c r="AU124" i="36"/>
  <c r="CB124" i="36" s="1"/>
  <c r="AT125" i="36"/>
  <c r="AT123" i="36"/>
  <c r="AU36" i="36"/>
  <c r="AU70" i="36"/>
  <c r="AU88" i="36"/>
  <c r="AT41" i="36"/>
  <c r="AT76" i="36"/>
  <c r="AU92" i="36"/>
  <c r="AT79" i="36"/>
  <c r="AT106" i="36"/>
  <c r="AU34" i="36"/>
  <c r="AU65" i="36"/>
  <c r="AT31" i="36"/>
  <c r="AT94" i="36"/>
  <c r="AU112" i="36"/>
  <c r="AU56" i="36"/>
  <c r="AT27" i="36"/>
  <c r="AT73" i="36"/>
  <c r="AT58" i="36"/>
  <c r="AU114" i="36"/>
  <c r="AT92" i="36"/>
  <c r="AU25" i="36"/>
  <c r="AU111" i="36"/>
  <c r="AU49" i="36"/>
  <c r="AT84" i="36"/>
  <c r="AU68" i="36"/>
  <c r="AT16" i="36"/>
  <c r="AT85" i="36"/>
  <c r="AT53" i="36"/>
  <c r="AU108" i="36"/>
  <c r="AU32" i="36"/>
  <c r="AU93" i="36"/>
  <c r="AT86" i="36"/>
  <c r="AT64" i="36"/>
  <c r="AU113" i="36"/>
  <c r="AT62" i="36"/>
  <c r="AU116" i="36"/>
  <c r="AU119" i="36"/>
  <c r="AT124" i="36"/>
  <c r="AU43" i="36"/>
  <c r="AU82" i="36"/>
  <c r="AT89" i="36"/>
  <c r="AU89" i="36"/>
  <c r="AT107" i="36"/>
  <c r="AT63" i="36"/>
  <c r="AU85" i="36"/>
  <c r="AT25" i="36"/>
  <c r="AT29" i="36"/>
  <c r="AU18" i="36"/>
  <c r="AT97" i="36"/>
  <c r="AU30" i="36"/>
  <c r="AU54" i="36"/>
  <c r="AU62" i="36"/>
  <c r="AT69" i="36"/>
  <c r="AU52" i="36"/>
  <c r="AT60" i="36"/>
  <c r="AU26" i="36"/>
  <c r="AU69" i="36"/>
  <c r="AT72" i="36"/>
  <c r="AT91" i="36"/>
  <c r="AU28" i="36"/>
  <c r="AT70" i="36"/>
  <c r="AT101" i="36"/>
  <c r="AU99" i="36"/>
  <c r="AU118" i="36"/>
  <c r="AU122" i="36"/>
  <c r="AT117" i="36"/>
  <c r="AU31" i="36"/>
  <c r="AU64" i="36"/>
  <c r="AU22" i="36"/>
  <c r="AT51" i="36"/>
  <c r="AT35" i="36"/>
  <c r="AU58" i="36"/>
  <c r="AT17" i="36"/>
  <c r="AT80" i="36"/>
  <c r="AT90" i="36"/>
  <c r="AT37" i="36"/>
  <c r="AT100" i="36"/>
  <c r="AU27" i="36"/>
  <c r="AU103" i="36"/>
  <c r="AU21" i="36"/>
  <c r="AT93" i="36"/>
  <c r="AT104" i="36"/>
  <c r="AU42" i="36"/>
  <c r="AT88" i="36"/>
  <c r="AU100" i="36"/>
  <c r="AT30" i="36"/>
  <c r="AT54" i="36"/>
  <c r="AT24" i="36"/>
  <c r="AT95" i="36"/>
  <c r="AT99" i="36"/>
  <c r="AU40" i="36"/>
  <c r="AU125" i="36"/>
  <c r="AU123" i="36"/>
  <c r="AT121" i="36"/>
  <c r="AU57" i="36"/>
  <c r="AU14" i="36"/>
  <c r="AU55" i="36"/>
  <c r="AU98" i="36"/>
  <c r="AU83" i="36"/>
  <c r="AU16" i="36"/>
  <c r="AU73" i="36"/>
  <c r="AU91" i="36"/>
  <c r="AU115" i="36"/>
  <c r="AT111" i="36"/>
  <c r="AT87" i="36"/>
  <c r="AT56" i="36"/>
  <c r="AU87" i="36"/>
  <c r="AU60" i="36"/>
  <c r="AU84" i="36"/>
  <c r="AT40" i="36"/>
  <c r="AT113" i="36"/>
  <c r="AU86" i="36"/>
  <c r="AU38" i="36"/>
  <c r="AU75" i="36"/>
  <c r="AU110" i="36"/>
  <c r="AT103" i="36"/>
  <c r="AU104" i="36"/>
  <c r="AT45" i="36"/>
  <c r="AT57" i="36"/>
  <c r="AU121" i="36"/>
  <c r="AT23" i="36"/>
  <c r="AT118" i="36"/>
  <c r="AT81" i="36"/>
  <c r="AT96" i="36"/>
  <c r="AT67" i="36"/>
  <c r="AU105" i="36"/>
  <c r="AU101" i="36"/>
  <c r="AT66" i="36"/>
  <c r="AT61" i="36"/>
  <c r="AT18" i="36"/>
  <c r="AU76" i="36"/>
  <c r="AU24" i="36"/>
  <c r="AT71" i="36"/>
  <c r="AU67" i="36"/>
  <c r="AU77" i="36"/>
  <c r="AT38" i="36"/>
  <c r="AU59" i="36"/>
  <c r="AT114" i="36"/>
  <c r="AT68" i="36"/>
  <c r="AT33" i="36"/>
  <c r="AU39" i="36"/>
  <c r="AT21" i="36"/>
  <c r="AU80" i="36"/>
  <c r="AU50" i="36"/>
  <c r="AU19" i="36"/>
  <c r="AT46" i="36"/>
  <c r="AT22" i="36"/>
  <c r="AT15" i="36"/>
  <c r="AU15" i="36"/>
  <c r="AU117" i="37"/>
  <c r="AU116" i="37"/>
  <c r="AU15" i="37"/>
  <c r="AT15" i="37"/>
  <c r="AU124" i="37"/>
  <c r="AU120" i="37"/>
  <c r="AU119" i="37"/>
  <c r="AT119" i="37"/>
  <c r="AT118" i="37"/>
  <c r="AU118" i="37"/>
  <c r="AU123" i="37"/>
  <c r="AU122" i="37"/>
  <c r="AT123" i="37"/>
  <c r="AT120" i="37"/>
  <c r="AT124" i="37"/>
  <c r="AT125" i="37"/>
  <c r="AT122" i="37"/>
  <c r="AU121" i="37"/>
  <c r="AU16" i="37"/>
  <c r="AT117" i="37"/>
  <c r="AT116" i="37"/>
  <c r="AT121" i="37"/>
  <c r="AU125" i="37"/>
  <c r="AT44" i="37"/>
  <c r="AT41" i="37"/>
  <c r="AT45" i="37"/>
  <c r="AU38" i="37"/>
  <c r="AT18" i="37"/>
  <c r="AU56" i="37"/>
  <c r="AT59" i="37"/>
  <c r="AT47" i="37"/>
  <c r="AT56" i="37"/>
  <c r="AU76" i="37"/>
  <c r="AU103" i="37"/>
  <c r="AU74" i="37"/>
  <c r="AU36" i="37"/>
  <c r="AU24" i="37"/>
  <c r="AT25" i="37"/>
  <c r="AT112" i="37"/>
  <c r="AU78" i="37"/>
  <c r="AU97" i="37"/>
  <c r="AT24" i="37"/>
  <c r="AU80" i="37"/>
  <c r="AT102" i="37"/>
  <c r="AU49" i="37"/>
  <c r="AU39" i="37"/>
  <c r="AT53" i="37"/>
  <c r="AT22" i="37"/>
  <c r="AU68" i="37"/>
  <c r="AT107" i="37"/>
  <c r="AU93" i="37"/>
  <c r="AT40" i="37"/>
  <c r="AU54" i="37"/>
  <c r="AT33" i="37"/>
  <c r="AU114" i="37"/>
  <c r="AT111" i="37"/>
  <c r="AU50" i="37"/>
  <c r="AU40" i="37"/>
  <c r="AU105" i="37"/>
  <c r="AU100" i="37"/>
  <c r="AU81" i="37"/>
  <c r="AT61" i="37"/>
  <c r="AT70" i="37"/>
  <c r="AU32" i="37"/>
  <c r="AT92" i="37"/>
  <c r="AU23" i="37"/>
  <c r="AT88" i="37"/>
  <c r="AU44" i="37"/>
  <c r="AU61" i="37"/>
  <c r="AU28" i="37"/>
  <c r="AT29" i="37"/>
  <c r="AU95" i="37"/>
  <c r="AU41" i="37"/>
  <c r="AT36" i="37"/>
  <c r="AU31" i="37"/>
  <c r="AU112" i="37"/>
  <c r="AT60" i="37"/>
  <c r="AT49" i="37"/>
  <c r="AU94" i="37"/>
  <c r="AU33" i="37"/>
  <c r="AT21" i="37"/>
  <c r="AU59" i="37"/>
  <c r="AT94" i="37"/>
  <c r="AT31" i="37"/>
  <c r="AT90" i="37"/>
  <c r="AT85" i="37"/>
  <c r="AU86" i="37"/>
  <c r="AU48" i="37"/>
  <c r="AU37" i="37"/>
  <c r="AT82" i="37"/>
  <c r="AT23" i="37"/>
  <c r="AU77" i="37"/>
  <c r="AT67" i="37"/>
  <c r="AU84" i="37"/>
  <c r="AT57" i="37"/>
  <c r="AT37" i="37"/>
  <c r="AU69" i="37"/>
  <c r="AU88" i="37"/>
  <c r="AU64" i="37"/>
  <c r="AU45" i="37"/>
  <c r="AT104" i="37"/>
  <c r="AT48" i="37"/>
  <c r="AU113" i="37"/>
  <c r="AT114" i="37"/>
  <c r="AT71" i="37"/>
  <c r="AU83" i="37"/>
  <c r="AU47" i="37"/>
  <c r="AU20" i="37"/>
  <c r="AT98" i="37"/>
  <c r="AU26" i="37"/>
  <c r="AT75" i="37"/>
  <c r="AU89" i="37"/>
  <c r="AT93" i="37"/>
  <c r="AU111" i="37"/>
  <c r="AT87" i="37"/>
  <c r="AU62" i="37"/>
  <c r="AT35" i="37"/>
  <c r="AU53" i="37"/>
  <c r="AU34" i="37"/>
  <c r="AT89" i="37"/>
  <c r="AT105" i="37"/>
  <c r="AU73" i="37"/>
  <c r="AU66" i="37"/>
  <c r="AT20" i="37"/>
  <c r="AU91" i="37"/>
  <c r="AT97" i="37"/>
  <c r="AT17" i="37"/>
  <c r="AT108" i="37"/>
  <c r="AT65" i="37"/>
  <c r="AT26" i="37"/>
  <c r="AT27" i="37"/>
  <c r="AT43" i="37"/>
  <c r="AU108" i="37"/>
  <c r="AT76" i="37"/>
  <c r="AT54" i="37"/>
  <c r="AU58" i="37"/>
  <c r="AT69" i="37"/>
  <c r="AT99" i="37"/>
  <c r="AT115" i="37"/>
  <c r="AU46" i="37"/>
  <c r="AU42" i="37"/>
  <c r="AU57" i="37"/>
  <c r="AT66" i="37"/>
  <c r="AT30" i="37"/>
  <c r="AU87" i="37"/>
  <c r="AU107" i="37"/>
  <c r="AT80" i="37"/>
  <c r="AT86" i="37"/>
  <c r="AU35" i="37"/>
  <c r="AU106" i="37"/>
  <c r="AT78" i="37"/>
  <c r="AT96" i="37"/>
  <c r="AU99" i="37"/>
  <c r="AT68" i="37"/>
  <c r="AU70" i="37"/>
  <c r="AT100" i="37"/>
  <c r="AT50" i="37"/>
  <c r="AU27" i="37"/>
  <c r="AT84" i="37"/>
  <c r="AT103" i="37"/>
  <c r="AT34" i="37"/>
  <c r="AU67" i="37"/>
  <c r="AU52" i="37"/>
  <c r="AU19" i="37"/>
  <c r="AU43" i="37"/>
  <c r="AT79" i="37"/>
  <c r="AT73" i="37"/>
  <c r="AT28" i="37"/>
  <c r="AT32" i="37"/>
  <c r="AT51" i="37"/>
  <c r="AT52" i="37"/>
  <c r="AU63" i="37"/>
  <c r="AU51" i="37"/>
  <c r="AU110" i="37"/>
  <c r="AT62" i="37"/>
  <c r="AT77" i="37"/>
  <c r="AU25" i="37"/>
  <c r="AU55" i="37"/>
  <c r="AT58" i="37"/>
  <c r="AT38" i="37"/>
  <c r="AU60" i="37"/>
  <c r="AT14" i="37"/>
  <c r="AT109" i="37"/>
  <c r="AT63" i="37"/>
  <c r="AT110" i="37"/>
  <c r="AU96" i="37"/>
  <c r="AT72" i="37"/>
  <c r="AU30" i="37"/>
  <c r="AU85" i="37"/>
  <c r="AT46" i="37"/>
  <c r="AT64" i="37"/>
  <c r="AU101" i="37"/>
  <c r="AU22" i="37"/>
  <c r="AU17" i="37"/>
  <c r="AT19" i="37"/>
  <c r="AT74" i="37"/>
  <c r="AU115" i="37"/>
  <c r="AT83" i="37"/>
  <c r="AU102" i="37"/>
  <c r="AU14" i="37"/>
  <c r="AT16" i="37"/>
  <c r="AT101" i="37"/>
  <c r="AU21" i="37"/>
  <c r="AU79" i="37"/>
  <c r="AU65" i="37"/>
  <c r="AU18" i="37"/>
  <c r="AU82" i="37"/>
  <c r="AT95" i="37"/>
  <c r="AT113" i="37"/>
  <c r="AU98" i="37"/>
  <c r="AT39" i="37"/>
  <c r="AU90" i="37"/>
  <c r="AT91" i="37"/>
  <c r="AU29" i="37"/>
  <c r="AT106" i="37"/>
  <c r="AT55" i="37"/>
  <c r="AU109" i="37"/>
  <c r="AU71" i="37"/>
  <c r="AU92" i="37"/>
  <c r="AU104" i="37"/>
  <c r="AU75" i="37"/>
  <c r="AU72" i="37"/>
  <c r="AT81" i="37"/>
  <c r="AT42" i="37"/>
  <c r="BI124" i="37"/>
  <c r="BI120" i="37"/>
  <c r="BI117" i="37"/>
  <c r="BI116" i="37"/>
  <c r="BI125" i="37"/>
  <c r="BJ15" i="37"/>
  <c r="BI27" i="37"/>
  <c r="BI19" i="37"/>
  <c r="BI26" i="37"/>
  <c r="BI22" i="37"/>
  <c r="BJ117" i="37"/>
  <c r="BI30" i="37"/>
  <c r="BI31" i="37"/>
  <c r="BI121" i="37"/>
  <c r="BI23" i="37"/>
  <c r="BI39" i="37"/>
  <c r="BI16" i="37"/>
  <c r="BI29" i="37"/>
  <c r="BJ22" i="37"/>
  <c r="BI118" i="37"/>
  <c r="BJ121" i="37"/>
  <c r="BJ125" i="37"/>
  <c r="BJ14" i="37"/>
  <c r="BI17" i="37"/>
  <c r="BI15" i="37"/>
  <c r="BI21" i="37"/>
  <c r="BI34" i="37"/>
  <c r="BI33" i="37"/>
  <c r="BJ26" i="37"/>
  <c r="BJ18" i="37"/>
  <c r="BI119" i="37"/>
  <c r="BJ119" i="37"/>
  <c r="BJ122" i="37"/>
  <c r="BI123" i="37"/>
  <c r="BI18" i="37"/>
  <c r="BI35" i="37"/>
  <c r="BJ30" i="37"/>
  <c r="BJ120" i="37"/>
  <c r="BJ123" i="37"/>
  <c r="BJ118" i="37"/>
  <c r="BJ116" i="37"/>
  <c r="BI25" i="37"/>
  <c r="BJ34" i="37"/>
  <c r="BI122" i="37"/>
  <c r="BJ124" i="37"/>
  <c r="BJ40" i="37"/>
  <c r="BI75" i="37"/>
  <c r="BI73" i="37"/>
  <c r="BI92" i="37"/>
  <c r="BI64" i="37"/>
  <c r="BJ25" i="37"/>
  <c r="BJ55" i="37"/>
  <c r="BJ100" i="37"/>
  <c r="BJ102" i="37"/>
  <c r="BI47" i="37"/>
  <c r="BI24" i="37"/>
  <c r="BI49" i="37"/>
  <c r="BI54" i="37"/>
  <c r="BI79" i="37"/>
  <c r="BI46" i="37"/>
  <c r="BJ96" i="37"/>
  <c r="BJ56" i="37"/>
  <c r="BI103" i="37"/>
  <c r="BI88" i="37"/>
  <c r="BI89" i="37"/>
  <c r="BI110" i="37"/>
  <c r="BI62" i="37"/>
  <c r="BJ75" i="37"/>
  <c r="BJ58" i="37"/>
  <c r="BI101" i="37"/>
  <c r="BJ108" i="37"/>
  <c r="BJ82" i="37"/>
  <c r="BJ103" i="37"/>
  <c r="BJ27" i="37"/>
  <c r="BI78" i="37"/>
  <c r="BI55" i="37"/>
  <c r="BJ39" i="37"/>
  <c r="BJ62" i="37"/>
  <c r="BI105" i="37"/>
  <c r="BJ48" i="37"/>
  <c r="BI111" i="37"/>
  <c r="BI72" i="37"/>
  <c r="BI50" i="37"/>
  <c r="BJ29" i="37"/>
  <c r="BJ73" i="37"/>
  <c r="BJ33" i="37"/>
  <c r="BJ63" i="37"/>
  <c r="BI95" i="37"/>
  <c r="BI38" i="37"/>
  <c r="BJ113" i="37"/>
  <c r="BI32" i="37"/>
  <c r="BJ23" i="37"/>
  <c r="BJ53" i="37"/>
  <c r="BJ65" i="37"/>
  <c r="BJ106" i="37"/>
  <c r="BJ21" i="37"/>
  <c r="BI108" i="37"/>
  <c r="BI74" i="37"/>
  <c r="BJ112" i="37"/>
  <c r="BJ24" i="37"/>
  <c r="BJ93" i="37"/>
  <c r="BJ90" i="37"/>
  <c r="BJ72" i="37"/>
  <c r="BJ64" i="37"/>
  <c r="BJ19" i="37"/>
  <c r="BI66" i="37"/>
  <c r="BI28" i="37"/>
  <c r="BJ92" i="37"/>
  <c r="BJ99" i="37"/>
  <c r="BI14" i="37"/>
  <c r="BJ76" i="37"/>
  <c r="BJ80" i="37"/>
  <c r="BJ66" i="37"/>
  <c r="BI100" i="37"/>
  <c r="BI45" i="37"/>
  <c r="BI52" i="37"/>
  <c r="BJ44" i="37"/>
  <c r="BJ31" i="37"/>
  <c r="BJ109" i="37"/>
  <c r="BJ85" i="37"/>
  <c r="BI81" i="37"/>
  <c r="BJ16" i="37"/>
  <c r="BJ97" i="37"/>
  <c r="BJ32" i="37"/>
  <c r="BJ98" i="37"/>
  <c r="BI83" i="37"/>
  <c r="BJ89" i="37"/>
  <c r="BJ86" i="37"/>
  <c r="BJ114" i="37"/>
  <c r="BJ61" i="37"/>
  <c r="BI93" i="37"/>
  <c r="BI42" i="37"/>
  <c r="BI61" i="37"/>
  <c r="BI65" i="37"/>
  <c r="BJ69" i="37"/>
  <c r="BI40" i="37"/>
  <c r="BI56" i="37"/>
  <c r="BI84" i="37"/>
  <c r="BI77" i="37"/>
  <c r="BI90" i="37"/>
  <c r="BJ87" i="37"/>
  <c r="BI114" i="37"/>
  <c r="BJ67" i="37"/>
  <c r="BJ41" i="37"/>
  <c r="BI43" i="37"/>
  <c r="BJ35" i="37"/>
  <c r="BI102" i="37"/>
  <c r="BI57" i="37"/>
  <c r="BJ101" i="37"/>
  <c r="BJ50" i="37"/>
  <c r="BI53" i="37"/>
  <c r="BJ43" i="37"/>
  <c r="BI59" i="37"/>
  <c r="BJ68" i="37"/>
  <c r="BI112" i="37"/>
  <c r="BI113" i="37"/>
  <c r="BI68" i="37"/>
  <c r="BI80" i="37"/>
  <c r="BI69" i="37"/>
  <c r="BI96" i="37"/>
  <c r="BI63" i="37"/>
  <c r="BI70" i="37"/>
  <c r="BI87" i="37"/>
  <c r="BJ77" i="37"/>
  <c r="BJ20" i="37"/>
  <c r="BI44" i="37"/>
  <c r="BI85" i="37"/>
  <c r="BI107" i="37"/>
  <c r="BJ95" i="37"/>
  <c r="BJ107" i="37"/>
  <c r="BJ46" i="37"/>
  <c r="BI86" i="37"/>
  <c r="BI58" i="37"/>
  <c r="BI67" i="37"/>
  <c r="BI51" i="37"/>
  <c r="BI37" i="37"/>
  <c r="BJ45" i="37"/>
  <c r="BJ110" i="37"/>
  <c r="BI60" i="37"/>
  <c r="BJ47" i="37"/>
  <c r="BJ81" i="37"/>
  <c r="BI106" i="37"/>
  <c r="BJ54" i="37"/>
  <c r="BJ36" i="37"/>
  <c r="BJ51" i="37"/>
  <c r="BI99" i="37"/>
  <c r="BI91" i="37"/>
  <c r="BI94" i="37"/>
  <c r="BI82" i="37"/>
  <c r="BJ70" i="37"/>
  <c r="BI48" i="37"/>
  <c r="BJ37" i="37"/>
  <c r="BI41" i="37"/>
  <c r="BJ28" i="37"/>
  <c r="BJ78" i="37"/>
  <c r="BJ88" i="37"/>
  <c r="BI109" i="37"/>
  <c r="BI36" i="37"/>
  <c r="BJ38" i="37"/>
  <c r="BJ60" i="37"/>
  <c r="BJ111" i="37"/>
  <c r="BJ42" i="37"/>
  <c r="BJ79" i="37"/>
  <c r="BI97" i="37"/>
  <c r="BI20" i="37"/>
  <c r="BI104" i="37"/>
  <c r="BI76" i="37"/>
  <c r="BI98" i="37"/>
  <c r="BJ83" i="37"/>
  <c r="BJ52" i="37"/>
  <c r="BJ84" i="37"/>
  <c r="BJ104" i="37"/>
  <c r="BJ105" i="37"/>
  <c r="BJ115" i="37"/>
  <c r="BJ57" i="37"/>
  <c r="BJ91" i="37"/>
  <c r="BJ74" i="37"/>
  <c r="BI71" i="37"/>
  <c r="BJ94" i="37"/>
  <c r="BJ59" i="37"/>
  <c r="BJ17" i="37"/>
  <c r="BJ49" i="37"/>
  <c r="BI115" i="37"/>
  <c r="BJ71" i="37"/>
  <c r="BX125" i="37"/>
  <c r="BX124" i="37"/>
  <c r="BX123" i="37"/>
  <c r="BX122" i="37"/>
  <c r="BX121" i="37"/>
  <c r="BX120" i="37"/>
  <c r="BX119" i="37"/>
  <c r="BX118" i="37"/>
  <c r="BX117" i="37"/>
  <c r="BX116" i="37"/>
  <c r="BY120" i="37"/>
  <c r="BY125" i="37"/>
  <c r="BY118" i="37"/>
  <c r="BX14" i="37"/>
  <c r="BY116" i="37"/>
  <c r="BY14" i="37"/>
  <c r="BX15" i="37"/>
  <c r="BX42" i="37"/>
  <c r="BY124" i="37"/>
  <c r="BY119" i="37"/>
  <c r="BY16" i="37"/>
  <c r="BY38" i="37"/>
  <c r="BX16" i="37"/>
  <c r="BY122" i="37"/>
  <c r="BY121" i="37"/>
  <c r="BY72" i="37"/>
  <c r="BY39" i="37"/>
  <c r="BY15" i="37"/>
  <c r="BY123" i="37"/>
  <c r="BY117" i="37"/>
  <c r="BX32" i="37"/>
  <c r="BY114" i="37"/>
  <c r="BY113" i="37"/>
  <c r="BX29" i="37"/>
  <c r="BX40" i="37"/>
  <c r="BX85" i="37"/>
  <c r="BX22" i="37"/>
  <c r="BY35" i="37"/>
  <c r="BY84" i="37"/>
  <c r="BX68" i="37"/>
  <c r="BX92" i="37"/>
  <c r="BX113" i="37"/>
  <c r="BY88" i="37"/>
  <c r="BX81" i="37"/>
  <c r="BY109" i="37"/>
  <c r="BX20" i="37"/>
  <c r="BY65" i="37"/>
  <c r="BX74" i="37"/>
  <c r="BY82" i="37"/>
  <c r="BY26" i="37"/>
  <c r="BX67" i="37"/>
  <c r="BX35" i="37"/>
  <c r="BY63" i="37"/>
  <c r="BX54" i="37"/>
  <c r="BX30" i="37"/>
  <c r="BY105" i="37"/>
  <c r="BY75" i="37"/>
  <c r="BY90" i="37"/>
  <c r="BY92" i="37"/>
  <c r="BY108" i="37"/>
  <c r="BY29" i="37"/>
  <c r="BY80" i="37"/>
  <c r="BY95" i="37"/>
  <c r="BX89" i="37"/>
  <c r="BY23" i="37"/>
  <c r="BX28" i="37"/>
  <c r="BY89" i="37"/>
  <c r="BY62" i="37"/>
  <c r="BX69" i="37"/>
  <c r="BX79" i="37"/>
  <c r="BX100" i="37"/>
  <c r="BY57" i="37"/>
  <c r="BX55" i="37"/>
  <c r="BX73" i="37"/>
  <c r="BY112" i="37"/>
  <c r="BX65" i="37"/>
  <c r="BX108" i="37"/>
  <c r="BY93" i="37"/>
  <c r="BX48" i="37"/>
  <c r="BY54" i="37"/>
  <c r="BY83" i="37"/>
  <c r="BY55" i="37"/>
  <c r="BX44" i="37"/>
  <c r="BY37" i="37"/>
  <c r="BY59" i="37"/>
  <c r="BX62" i="37"/>
  <c r="BX41" i="37"/>
  <c r="BX25" i="37"/>
  <c r="BX38" i="37"/>
  <c r="BX61" i="37"/>
  <c r="BY73" i="37"/>
  <c r="BX103" i="37"/>
  <c r="BY45" i="37"/>
  <c r="BY71" i="37"/>
  <c r="BX109" i="37"/>
  <c r="BY21" i="37"/>
  <c r="BY31" i="37"/>
  <c r="BY46" i="37"/>
  <c r="BY64" i="37"/>
  <c r="BY102" i="37"/>
  <c r="BX97" i="37"/>
  <c r="BX19" i="37"/>
  <c r="BX36" i="37"/>
  <c r="BX80" i="37"/>
  <c r="BX87" i="37"/>
  <c r="BY33" i="37"/>
  <c r="BX47" i="37"/>
  <c r="BY68" i="37"/>
  <c r="BX63" i="37"/>
  <c r="BX112" i="37"/>
  <c r="BX52" i="37"/>
  <c r="BX91" i="37"/>
  <c r="BX94" i="37"/>
  <c r="BY79" i="37"/>
  <c r="BX99" i="37"/>
  <c r="BX76" i="37"/>
  <c r="BX110" i="37"/>
  <c r="BY40" i="37"/>
  <c r="BY77" i="37"/>
  <c r="BX102" i="37"/>
  <c r="BX46" i="37"/>
  <c r="BY94" i="37"/>
  <c r="BY101" i="37"/>
  <c r="BX60" i="37"/>
  <c r="BY103" i="37"/>
  <c r="BX50" i="37"/>
  <c r="BY53" i="37"/>
  <c r="BY19" i="37"/>
  <c r="BY49" i="37"/>
  <c r="BY99" i="37"/>
  <c r="BX56" i="37"/>
  <c r="BX64" i="37"/>
  <c r="BX88" i="37"/>
  <c r="BY91" i="37"/>
  <c r="BY34" i="37"/>
  <c r="BY61" i="37"/>
  <c r="BX78" i="37"/>
  <c r="BX82" i="37"/>
  <c r="BY42" i="37"/>
  <c r="BX58" i="37"/>
  <c r="BX95" i="37"/>
  <c r="BX17" i="37"/>
  <c r="BX21" i="37"/>
  <c r="BX86" i="37"/>
  <c r="BY86" i="37"/>
  <c r="BY74" i="37"/>
  <c r="BX104" i="37"/>
  <c r="BX114" i="37"/>
  <c r="BX49" i="37"/>
  <c r="BX51" i="37"/>
  <c r="BY51" i="37"/>
  <c r="BX24" i="37"/>
  <c r="BY56" i="37"/>
  <c r="BY111" i="37"/>
  <c r="BX101" i="37"/>
  <c r="BY18" i="37"/>
  <c r="BX37" i="37"/>
  <c r="BX72" i="37"/>
  <c r="BY20" i="37"/>
  <c r="BY60" i="37"/>
  <c r="BY115" i="37"/>
  <c r="BX57" i="37"/>
  <c r="BX70" i="37"/>
  <c r="BX96" i="37"/>
  <c r="BY58" i="37"/>
  <c r="BY85" i="37"/>
  <c r="BY50" i="37"/>
  <c r="BY78" i="37"/>
  <c r="BY81" i="37"/>
  <c r="BX23" i="37"/>
  <c r="BY44" i="37"/>
  <c r="BX90" i="37"/>
  <c r="BY24" i="37"/>
  <c r="BY67" i="37"/>
  <c r="BX66" i="37"/>
  <c r="BY106" i="37"/>
  <c r="BX93" i="37"/>
  <c r="BX18" i="37"/>
  <c r="BY66" i="37"/>
  <c r="BY27" i="37"/>
  <c r="BY36" i="37"/>
  <c r="BY30" i="37"/>
  <c r="BY100" i="37"/>
  <c r="BX53" i="37"/>
  <c r="BX34" i="37"/>
  <c r="BY104" i="37"/>
  <c r="BX45" i="37"/>
  <c r="BY28" i="37"/>
  <c r="BY47" i="37"/>
  <c r="BX71" i="37"/>
  <c r="BX83" i="37"/>
  <c r="BY25" i="37"/>
  <c r="BY17" i="37"/>
  <c r="BX84" i="37"/>
  <c r="BX115" i="37"/>
  <c r="BY69" i="37"/>
  <c r="BX59" i="37"/>
  <c r="BY76" i="37"/>
  <c r="BY70" i="37"/>
  <c r="BX105" i="37"/>
  <c r="BX33" i="37"/>
  <c r="BX27" i="37"/>
  <c r="BX75" i="37"/>
  <c r="BY96" i="37"/>
  <c r="BY107" i="37"/>
  <c r="BX111" i="37"/>
  <c r="BX43" i="37"/>
  <c r="BY87" i="37"/>
  <c r="BX31" i="37"/>
  <c r="BY52" i="37"/>
  <c r="BX98" i="37"/>
  <c r="BY110" i="37"/>
  <c r="BY48" i="37"/>
  <c r="BX77" i="37"/>
  <c r="BY32" i="37"/>
  <c r="BY43" i="37"/>
  <c r="BX26" i="37"/>
  <c r="BX106" i="37"/>
  <c r="BY41" i="37"/>
  <c r="BY97" i="37"/>
  <c r="BX39" i="37"/>
  <c r="BY22" i="37"/>
  <c r="BY98" i="37"/>
  <c r="BX107" i="37"/>
  <c r="C41" i="3"/>
  <c r="C38" i="3"/>
  <c r="C39" i="3"/>
  <c r="C40" i="3"/>
  <c r="C37" i="3"/>
  <c r="Q10" i="21"/>
  <c r="L3" i="24" a="1"/>
  <c r="L3" i="24" s="1"/>
  <c r="P5" i="24" s="1" a="1"/>
  <c r="P5" i="24" s="1"/>
  <c r="Q21" i="21"/>
  <c r="J21" i="21"/>
  <c r="L6" i="46" s="1" a="1"/>
  <c r="L6" i="46" s="1"/>
  <c r="B2" i="6" a="1"/>
  <c r="B2" i="6" s="1"/>
  <c r="B2" i="3" a="1"/>
  <c r="B2" i="3" s="1"/>
  <c r="B2" i="5" a="1"/>
  <c r="B2" i="5" s="1"/>
  <c r="B2" i="4" a="1"/>
  <c r="B2" i="4" s="1"/>
  <c r="CC42" i="41" l="1"/>
  <c r="CG42" i="41" s="1"/>
  <c r="CC37" i="47"/>
  <c r="CG37" i="47" s="1"/>
  <c r="CC43" i="41"/>
  <c r="CG43" i="41" s="1"/>
  <c r="CD78" i="47"/>
  <c r="CH78" i="47" s="1"/>
  <c r="CC46" i="47"/>
  <c r="CG46" i="47" s="1"/>
  <c r="CD16" i="46"/>
  <c r="CH16" i="46" s="1"/>
  <c r="CD94" i="47"/>
  <c r="CH94" i="47" s="1"/>
  <c r="CD95" i="47"/>
  <c r="CH95" i="47" s="1"/>
  <c r="CC33" i="47"/>
  <c r="CG33" i="47" s="1"/>
  <c r="CD61" i="41"/>
  <c r="CH61" i="41" s="1"/>
  <c r="CC21" i="47"/>
  <c r="CG21" i="47" s="1"/>
  <c r="CD98" i="47"/>
  <c r="CH98" i="47" s="1"/>
  <c r="CD19" i="47"/>
  <c r="CH19" i="47" s="1"/>
  <c r="CD23" i="49"/>
  <c r="CH23" i="49" s="1"/>
  <c r="CD48" i="47"/>
  <c r="CH48" i="47" s="1"/>
  <c r="CD60" i="41"/>
  <c r="CH60" i="41" s="1"/>
  <c r="CD96" i="47"/>
  <c r="CH96" i="47" s="1"/>
  <c r="CC18" i="47"/>
  <c r="CG18" i="47" s="1"/>
  <c r="CD49" i="47"/>
  <c r="CH49" i="47" s="1"/>
  <c r="CC34" i="47"/>
  <c r="CG34" i="47" s="1"/>
  <c r="CD80" i="47"/>
  <c r="CH80" i="47" s="1"/>
  <c r="CC77" i="47"/>
  <c r="CG77" i="47" s="1"/>
  <c r="CC24" i="41"/>
  <c r="CG24" i="41" s="1"/>
  <c r="CC45" i="47"/>
  <c r="CG45" i="47" s="1"/>
  <c r="CD77" i="47"/>
  <c r="CH77" i="47" s="1"/>
  <c r="CD92" i="46"/>
  <c r="CH92" i="46" s="1"/>
  <c r="CC50" i="46"/>
  <c r="CG50" i="46" s="1"/>
  <c r="CD45" i="47"/>
  <c r="CH45" i="47" s="1"/>
  <c r="CD28" i="47"/>
  <c r="CH28" i="47" s="1"/>
  <c r="CD30" i="47"/>
  <c r="CH30" i="47" s="1"/>
  <c r="CC50" i="47"/>
  <c r="CG50" i="47" s="1"/>
  <c r="CA55" i="36"/>
  <c r="CC94" i="47"/>
  <c r="CG94" i="47" s="1"/>
  <c r="CD31" i="47"/>
  <c r="CH31" i="47" s="1"/>
  <c r="CC49" i="47"/>
  <c r="CG49" i="47" s="1"/>
  <c r="CC105" i="47"/>
  <c r="CG105" i="47" s="1"/>
  <c r="CC85" i="47"/>
  <c r="CG85" i="47" s="1"/>
  <c r="CD35" i="46"/>
  <c r="CH35" i="46" s="1"/>
  <c r="CD27" i="47"/>
  <c r="CH27" i="47" s="1"/>
  <c r="CC83" i="47"/>
  <c r="CG83" i="47" s="1"/>
  <c r="CD71" i="47"/>
  <c r="CH71" i="47" s="1"/>
  <c r="CC90" i="47"/>
  <c r="CG90" i="47" s="1"/>
  <c r="CD79" i="47"/>
  <c r="CH79" i="47" s="1"/>
  <c r="CD26" i="47"/>
  <c r="CH26" i="47" s="1"/>
  <c r="CC87" i="47"/>
  <c r="CG87" i="47" s="1"/>
  <c r="CD108" i="47"/>
  <c r="CH108" i="47" s="1"/>
  <c r="CD105" i="47"/>
  <c r="CH105" i="47" s="1"/>
  <c r="CC91" i="47"/>
  <c r="CG91" i="47" s="1"/>
  <c r="CC51" i="47"/>
  <c r="CG51" i="47" s="1"/>
  <c r="CD25" i="47"/>
  <c r="CH25" i="47" s="1"/>
  <c r="CC40" i="41"/>
  <c r="CG40" i="41" s="1"/>
  <c r="CD103" i="42"/>
  <c r="CH103" i="42" s="1"/>
  <c r="CC112" i="42"/>
  <c r="CG112" i="42" s="1"/>
  <c r="CC120" i="42"/>
  <c r="CC113" i="42"/>
  <c r="CG113" i="42" s="1"/>
  <c r="CC121" i="42"/>
  <c r="CG121" i="42" s="1"/>
  <c r="CC114" i="42"/>
  <c r="CG114" i="42" s="1"/>
  <c r="CC122" i="42"/>
  <c r="CG122" i="42" s="1"/>
  <c r="CC107" i="42"/>
  <c r="CG107" i="42" s="1"/>
  <c r="CC115" i="42"/>
  <c r="CG115" i="42" s="1"/>
  <c r="CC123" i="42"/>
  <c r="CG123" i="42" s="1"/>
  <c r="CC108" i="42"/>
  <c r="CG108" i="42" s="1"/>
  <c r="CC116" i="42"/>
  <c r="CG116" i="42" s="1"/>
  <c r="CC124" i="42"/>
  <c r="CG124" i="42" s="1"/>
  <c r="CC109" i="42"/>
  <c r="CG109" i="42" s="1"/>
  <c r="CC117" i="42"/>
  <c r="CG117" i="42" s="1"/>
  <c r="CC125" i="42"/>
  <c r="CG125" i="42" s="1"/>
  <c r="CC110" i="42"/>
  <c r="CG110" i="42" s="1"/>
  <c r="CC118" i="42"/>
  <c r="CG118" i="42" s="1"/>
  <c r="CC106" i="42"/>
  <c r="CG106" i="42" s="1"/>
  <c r="CC111" i="42"/>
  <c r="CG111" i="42" s="1"/>
  <c r="CC119" i="42"/>
  <c r="CG119" i="42" s="1"/>
  <c r="CD114" i="47"/>
  <c r="CH114" i="47" s="1"/>
  <c r="CD118" i="47"/>
  <c r="CH118" i="47" s="1"/>
  <c r="CD121" i="47"/>
  <c r="CH121" i="47" s="1"/>
  <c r="CD110" i="47"/>
  <c r="CH110" i="47" s="1"/>
  <c r="CC112" i="38"/>
  <c r="CG112" i="38" s="1"/>
  <c r="CC120" i="38"/>
  <c r="CG120" i="38" s="1"/>
  <c r="CC113" i="38"/>
  <c r="CG113" i="38" s="1"/>
  <c r="CC121" i="38"/>
  <c r="CG121" i="38" s="1"/>
  <c r="CC114" i="38"/>
  <c r="CG114" i="38" s="1"/>
  <c r="CC122" i="38"/>
  <c r="CG122" i="38" s="1"/>
  <c r="CC107" i="38"/>
  <c r="CG107" i="38" s="1"/>
  <c r="CC115" i="38"/>
  <c r="CG115" i="38" s="1"/>
  <c r="CC123" i="38"/>
  <c r="CG123" i="38" s="1"/>
  <c r="CC108" i="38"/>
  <c r="CC116" i="38"/>
  <c r="CG116" i="38" s="1"/>
  <c r="CC124" i="38"/>
  <c r="CG124" i="38" s="1"/>
  <c r="CC109" i="38"/>
  <c r="CG109" i="38" s="1"/>
  <c r="CC117" i="38"/>
  <c r="CG117" i="38" s="1"/>
  <c r="CC125" i="38"/>
  <c r="CG125" i="38" s="1"/>
  <c r="CC110" i="38"/>
  <c r="CC118" i="38"/>
  <c r="CG118" i="38" s="1"/>
  <c r="CC106" i="38"/>
  <c r="CG106" i="38" s="1"/>
  <c r="CC111" i="38"/>
  <c r="CG111" i="38" s="1"/>
  <c r="CC119" i="38"/>
  <c r="CG119" i="38" s="1"/>
  <c r="CD108" i="45"/>
  <c r="CH108" i="45" s="1"/>
  <c r="CD116" i="45"/>
  <c r="CH116" i="45" s="1"/>
  <c r="CD124" i="45"/>
  <c r="CH124" i="45" s="1"/>
  <c r="CD109" i="45"/>
  <c r="CD117" i="45"/>
  <c r="CH117" i="45" s="1"/>
  <c r="CD125" i="45"/>
  <c r="CH125" i="45" s="1"/>
  <c r="CD110" i="45"/>
  <c r="CH110" i="45" s="1"/>
  <c r="CD118" i="45"/>
  <c r="CH118" i="45" s="1"/>
  <c r="CD106" i="45"/>
  <c r="CH106" i="45" s="1"/>
  <c r="CD111" i="45"/>
  <c r="CH111" i="45" s="1"/>
  <c r="CD119" i="45"/>
  <c r="CH119" i="45" s="1"/>
  <c r="CD112" i="45"/>
  <c r="CH112" i="45" s="1"/>
  <c r="CD120" i="45"/>
  <c r="CH120" i="45" s="1"/>
  <c r="CD113" i="45"/>
  <c r="CH113" i="45" s="1"/>
  <c r="CD121" i="45"/>
  <c r="CH121" i="45" s="1"/>
  <c r="CD114" i="45"/>
  <c r="CH114" i="45" s="1"/>
  <c r="CD122" i="45"/>
  <c r="CH122" i="45" s="1"/>
  <c r="CD107" i="45"/>
  <c r="CH107" i="45" s="1"/>
  <c r="CD115" i="45"/>
  <c r="CH115" i="45" s="1"/>
  <c r="CD123" i="45"/>
  <c r="CD108" i="41"/>
  <c r="CH108" i="41" s="1"/>
  <c r="CD116" i="41"/>
  <c r="CH116" i="41" s="1"/>
  <c r="CD124" i="41"/>
  <c r="CH124" i="41" s="1"/>
  <c r="CD109" i="41"/>
  <c r="CH109" i="41" s="1"/>
  <c r="CD117" i="41"/>
  <c r="CH117" i="41" s="1"/>
  <c r="CD125" i="41"/>
  <c r="CH125" i="41" s="1"/>
  <c r="CD110" i="41"/>
  <c r="CH110" i="41" s="1"/>
  <c r="CD118" i="41"/>
  <c r="CH118" i="41" s="1"/>
  <c r="CD106" i="41"/>
  <c r="CH106" i="41" s="1"/>
  <c r="CD111" i="41"/>
  <c r="CH111" i="41" s="1"/>
  <c r="CD119" i="41"/>
  <c r="CH119" i="41" s="1"/>
  <c r="CD112" i="41"/>
  <c r="CH112" i="41" s="1"/>
  <c r="CD120" i="41"/>
  <c r="CH120" i="41" s="1"/>
  <c r="CD113" i="41"/>
  <c r="CH113" i="41" s="1"/>
  <c r="CD121" i="41"/>
  <c r="CH121" i="41" s="1"/>
  <c r="CD114" i="41"/>
  <c r="CH114" i="41" s="1"/>
  <c r="CD122" i="41"/>
  <c r="CH122" i="41" s="1"/>
  <c r="CD107" i="41"/>
  <c r="CH107" i="41" s="1"/>
  <c r="CD115" i="41"/>
  <c r="CH115" i="41" s="1"/>
  <c r="CD123" i="41"/>
  <c r="CH123" i="41" s="1"/>
  <c r="CD113" i="47"/>
  <c r="CH113" i="47" s="1"/>
  <c r="CD125" i="47"/>
  <c r="CH125" i="47" s="1"/>
  <c r="CC112" i="45"/>
  <c r="CG112" i="45" s="1"/>
  <c r="CC120" i="45"/>
  <c r="CC113" i="45"/>
  <c r="CG113" i="45" s="1"/>
  <c r="CC121" i="45"/>
  <c r="CG121" i="45" s="1"/>
  <c r="CC114" i="45"/>
  <c r="CG114" i="45" s="1"/>
  <c r="CC122" i="45"/>
  <c r="CG122" i="45" s="1"/>
  <c r="CC107" i="45"/>
  <c r="CG107" i="45" s="1"/>
  <c r="CC115" i="45"/>
  <c r="CG115" i="45" s="1"/>
  <c r="CC123" i="45"/>
  <c r="CG123" i="45" s="1"/>
  <c r="CC108" i="45"/>
  <c r="CG108" i="45" s="1"/>
  <c r="CC116" i="45"/>
  <c r="CG116" i="45" s="1"/>
  <c r="CC124" i="45"/>
  <c r="CG124" i="45" s="1"/>
  <c r="CC109" i="45"/>
  <c r="CG109" i="45" s="1"/>
  <c r="CC117" i="45"/>
  <c r="CG117" i="45" s="1"/>
  <c r="CC125" i="45"/>
  <c r="CG125" i="45" s="1"/>
  <c r="CC110" i="45"/>
  <c r="CG110" i="45" s="1"/>
  <c r="CC118" i="45"/>
  <c r="CG118" i="45" s="1"/>
  <c r="CC106" i="45"/>
  <c r="CC111" i="45"/>
  <c r="CG111" i="45" s="1"/>
  <c r="CC119" i="45"/>
  <c r="CD108" i="46"/>
  <c r="CH108" i="46" s="1"/>
  <c r="CD116" i="46"/>
  <c r="CH116" i="46" s="1"/>
  <c r="CD124" i="46"/>
  <c r="CH124" i="46" s="1"/>
  <c r="CD109" i="46"/>
  <c r="CH109" i="46" s="1"/>
  <c r="CD117" i="46"/>
  <c r="CH117" i="46" s="1"/>
  <c r="CD125" i="46"/>
  <c r="CH125" i="46" s="1"/>
  <c r="CD110" i="46"/>
  <c r="CH110" i="46" s="1"/>
  <c r="CD118" i="46"/>
  <c r="CH118" i="46" s="1"/>
  <c r="CD106" i="46"/>
  <c r="CH106" i="46" s="1"/>
  <c r="CD111" i="46"/>
  <c r="CH111" i="46" s="1"/>
  <c r="CD119" i="46"/>
  <c r="CH119" i="46" s="1"/>
  <c r="CD112" i="46"/>
  <c r="CH112" i="46" s="1"/>
  <c r="CD120" i="46"/>
  <c r="CH120" i="46" s="1"/>
  <c r="CD113" i="46"/>
  <c r="CH113" i="46" s="1"/>
  <c r="CD121" i="46"/>
  <c r="CH121" i="46" s="1"/>
  <c r="CD114" i="46"/>
  <c r="CH114" i="46" s="1"/>
  <c r="CD122" i="46"/>
  <c r="CH122" i="46" s="1"/>
  <c r="CD107" i="46"/>
  <c r="CH107" i="46" s="1"/>
  <c r="CD115" i="46"/>
  <c r="CH115" i="46" s="1"/>
  <c r="CD123" i="46"/>
  <c r="CH123" i="46" s="1"/>
  <c r="CD120" i="47"/>
  <c r="CH120" i="47" s="1"/>
  <c r="CD117" i="47"/>
  <c r="CH117" i="47" s="1"/>
  <c r="CD108" i="43"/>
  <c r="CH108" i="43" s="1"/>
  <c r="CD116" i="43"/>
  <c r="CH116" i="43" s="1"/>
  <c r="CD124" i="43"/>
  <c r="CH124" i="43" s="1"/>
  <c r="CD109" i="43"/>
  <c r="CH109" i="43" s="1"/>
  <c r="CD117" i="43"/>
  <c r="CH117" i="43" s="1"/>
  <c r="CD125" i="43"/>
  <c r="CH125" i="43" s="1"/>
  <c r="CD110" i="43"/>
  <c r="CH110" i="43" s="1"/>
  <c r="CD118" i="43"/>
  <c r="CH118" i="43" s="1"/>
  <c r="CD106" i="43"/>
  <c r="CH106" i="43" s="1"/>
  <c r="CD111" i="43"/>
  <c r="CH111" i="43" s="1"/>
  <c r="CD119" i="43"/>
  <c r="CH119" i="43" s="1"/>
  <c r="CD112" i="43"/>
  <c r="CH112" i="43" s="1"/>
  <c r="CD120" i="43"/>
  <c r="CH120" i="43" s="1"/>
  <c r="CD113" i="43"/>
  <c r="CH113" i="43" s="1"/>
  <c r="CD121" i="43"/>
  <c r="CH121" i="43" s="1"/>
  <c r="CD114" i="43"/>
  <c r="CH114" i="43" s="1"/>
  <c r="CD122" i="43"/>
  <c r="CH122" i="43" s="1"/>
  <c r="CD107" i="43"/>
  <c r="CH107" i="43" s="1"/>
  <c r="CD115" i="43"/>
  <c r="CH115" i="43" s="1"/>
  <c r="CD123" i="43"/>
  <c r="CH123" i="43" s="1"/>
  <c r="CD108" i="38"/>
  <c r="CH108" i="38" s="1"/>
  <c r="CD116" i="38"/>
  <c r="CH116" i="38" s="1"/>
  <c r="CD124" i="38"/>
  <c r="CH124" i="38" s="1"/>
  <c r="CD109" i="38"/>
  <c r="CH109" i="38" s="1"/>
  <c r="CD117" i="38"/>
  <c r="CH117" i="38" s="1"/>
  <c r="CD125" i="38"/>
  <c r="CH125" i="38" s="1"/>
  <c r="CD110" i="38"/>
  <c r="CH110" i="38" s="1"/>
  <c r="CD118" i="38"/>
  <c r="CH118" i="38" s="1"/>
  <c r="CD106" i="38"/>
  <c r="CH106" i="38" s="1"/>
  <c r="CD111" i="38"/>
  <c r="CH111" i="38" s="1"/>
  <c r="CD119" i="38"/>
  <c r="CH119" i="38" s="1"/>
  <c r="CD112" i="38"/>
  <c r="CH112" i="38" s="1"/>
  <c r="CD120" i="38"/>
  <c r="CH120" i="38" s="1"/>
  <c r="CD113" i="38"/>
  <c r="CH113" i="38" s="1"/>
  <c r="CD121" i="38"/>
  <c r="CH121" i="38" s="1"/>
  <c r="CD114" i="38"/>
  <c r="CH114" i="38" s="1"/>
  <c r="CD122" i="38"/>
  <c r="CH122" i="38" s="1"/>
  <c r="CD107" i="38"/>
  <c r="CH107" i="38" s="1"/>
  <c r="CD115" i="38"/>
  <c r="CH115" i="38" s="1"/>
  <c r="CD123" i="38"/>
  <c r="CH123" i="38" s="1"/>
  <c r="CD108" i="40"/>
  <c r="CH108" i="40" s="1"/>
  <c r="CD116" i="40"/>
  <c r="CH116" i="40" s="1"/>
  <c r="CD124" i="40"/>
  <c r="CH124" i="40" s="1"/>
  <c r="CD109" i="40"/>
  <c r="CH109" i="40" s="1"/>
  <c r="CD117" i="40"/>
  <c r="CH117" i="40" s="1"/>
  <c r="CD125" i="40"/>
  <c r="CH125" i="40" s="1"/>
  <c r="CD110" i="40"/>
  <c r="CH110" i="40" s="1"/>
  <c r="CD118" i="40"/>
  <c r="CH118" i="40" s="1"/>
  <c r="CD106" i="40"/>
  <c r="CH106" i="40" s="1"/>
  <c r="CD111" i="40"/>
  <c r="CH111" i="40" s="1"/>
  <c r="CD119" i="40"/>
  <c r="CH119" i="40" s="1"/>
  <c r="CD112" i="40"/>
  <c r="CH112" i="40" s="1"/>
  <c r="CD120" i="40"/>
  <c r="CH120" i="40" s="1"/>
  <c r="CD113" i="40"/>
  <c r="CH113" i="40" s="1"/>
  <c r="CD121" i="40"/>
  <c r="CH121" i="40" s="1"/>
  <c r="CD114" i="40"/>
  <c r="CH114" i="40" s="1"/>
  <c r="CD122" i="40"/>
  <c r="CH122" i="40" s="1"/>
  <c r="CD107" i="40"/>
  <c r="CH107" i="40" s="1"/>
  <c r="CD115" i="40"/>
  <c r="CH115" i="40" s="1"/>
  <c r="CD123" i="40"/>
  <c r="CH123" i="40" s="1"/>
  <c r="CC112" i="39"/>
  <c r="CG112" i="39" s="1"/>
  <c r="CC120" i="39"/>
  <c r="CG120" i="39" s="1"/>
  <c r="CC113" i="39"/>
  <c r="CG113" i="39" s="1"/>
  <c r="CC121" i="39"/>
  <c r="CG121" i="39" s="1"/>
  <c r="CC114" i="39"/>
  <c r="CG114" i="39" s="1"/>
  <c r="CC122" i="39"/>
  <c r="CG122" i="39" s="1"/>
  <c r="CC107" i="39"/>
  <c r="CG107" i="39" s="1"/>
  <c r="CC115" i="39"/>
  <c r="CG115" i="39" s="1"/>
  <c r="CC123" i="39"/>
  <c r="CG123" i="39" s="1"/>
  <c r="CC108" i="39"/>
  <c r="CG108" i="39" s="1"/>
  <c r="CC116" i="39"/>
  <c r="CG116" i="39" s="1"/>
  <c r="CC124" i="39"/>
  <c r="CC109" i="39"/>
  <c r="CG109" i="39" s="1"/>
  <c r="CC117" i="39"/>
  <c r="CG117" i="39" s="1"/>
  <c r="CC125" i="39"/>
  <c r="CG125" i="39" s="1"/>
  <c r="CC110" i="39"/>
  <c r="CG110" i="39" s="1"/>
  <c r="CC118" i="39"/>
  <c r="CG118" i="39" s="1"/>
  <c r="CC106" i="39"/>
  <c r="CG106" i="39" s="1"/>
  <c r="CC111" i="39"/>
  <c r="CG111" i="39" s="1"/>
  <c r="CC119" i="39"/>
  <c r="CD123" i="47"/>
  <c r="CH123" i="47" s="1"/>
  <c r="CD112" i="47"/>
  <c r="CH112" i="47" s="1"/>
  <c r="CD109" i="47"/>
  <c r="CH109" i="47" s="1"/>
  <c r="CD108" i="42"/>
  <c r="CH108" i="42" s="1"/>
  <c r="CD116" i="42"/>
  <c r="CH116" i="42" s="1"/>
  <c r="CD124" i="42"/>
  <c r="CH124" i="42" s="1"/>
  <c r="CD109" i="42"/>
  <c r="CH109" i="42" s="1"/>
  <c r="CD117" i="42"/>
  <c r="CH117" i="42" s="1"/>
  <c r="CD125" i="42"/>
  <c r="CH125" i="42" s="1"/>
  <c r="CD110" i="42"/>
  <c r="CD118" i="42"/>
  <c r="CH118" i="42" s="1"/>
  <c r="CD106" i="42"/>
  <c r="CH106" i="42" s="1"/>
  <c r="CD111" i="42"/>
  <c r="CH111" i="42" s="1"/>
  <c r="CD119" i="42"/>
  <c r="CH119" i="42" s="1"/>
  <c r="CD112" i="42"/>
  <c r="CH112" i="42" s="1"/>
  <c r="CD120" i="42"/>
  <c r="CH120" i="42" s="1"/>
  <c r="CD113" i="42"/>
  <c r="CH113" i="42" s="1"/>
  <c r="CD121" i="42"/>
  <c r="CH121" i="42" s="1"/>
  <c r="CD114" i="42"/>
  <c r="CH114" i="42" s="1"/>
  <c r="CD122" i="42"/>
  <c r="CH122" i="42" s="1"/>
  <c r="CD107" i="42"/>
  <c r="CH107" i="42" s="1"/>
  <c r="CD115" i="42"/>
  <c r="CH115" i="42" s="1"/>
  <c r="CD123" i="42"/>
  <c r="CH123" i="42" s="1"/>
  <c r="CD108" i="39"/>
  <c r="CH108" i="39" s="1"/>
  <c r="CD116" i="39"/>
  <c r="CH116" i="39" s="1"/>
  <c r="CD124" i="39"/>
  <c r="CH124" i="39" s="1"/>
  <c r="CD109" i="39"/>
  <c r="CH109" i="39" s="1"/>
  <c r="CD117" i="39"/>
  <c r="CH117" i="39" s="1"/>
  <c r="CD125" i="39"/>
  <c r="CH125" i="39" s="1"/>
  <c r="CD110" i="39"/>
  <c r="CH110" i="39" s="1"/>
  <c r="CD118" i="39"/>
  <c r="CH118" i="39" s="1"/>
  <c r="CD106" i="39"/>
  <c r="CH106" i="39" s="1"/>
  <c r="CD111" i="39"/>
  <c r="CH111" i="39" s="1"/>
  <c r="CD119" i="39"/>
  <c r="CH119" i="39" s="1"/>
  <c r="CD112" i="39"/>
  <c r="CH112" i="39" s="1"/>
  <c r="CD120" i="39"/>
  <c r="CH120" i="39" s="1"/>
  <c r="CD113" i="39"/>
  <c r="CH113" i="39" s="1"/>
  <c r="CD121" i="39"/>
  <c r="CH121" i="39" s="1"/>
  <c r="CD114" i="39"/>
  <c r="CH114" i="39" s="1"/>
  <c r="CD122" i="39"/>
  <c r="CH122" i="39" s="1"/>
  <c r="CD107" i="39"/>
  <c r="CH107" i="39" s="1"/>
  <c r="CD115" i="39"/>
  <c r="CH115" i="39" s="1"/>
  <c r="CD123" i="39"/>
  <c r="CH123" i="39" s="1"/>
  <c r="CD115" i="47"/>
  <c r="CH115" i="47" s="1"/>
  <c r="CD119" i="47"/>
  <c r="CH119" i="47" s="1"/>
  <c r="CD124" i="47"/>
  <c r="CH124" i="47" s="1"/>
  <c r="CC112" i="44"/>
  <c r="CG112" i="44" s="1"/>
  <c r="CC120" i="44"/>
  <c r="CG120" i="44" s="1"/>
  <c r="CC113" i="44"/>
  <c r="CG113" i="44" s="1"/>
  <c r="CC121" i="44"/>
  <c r="CG121" i="44" s="1"/>
  <c r="CC114" i="44"/>
  <c r="CG114" i="44" s="1"/>
  <c r="CC122" i="44"/>
  <c r="CG122" i="44" s="1"/>
  <c r="CC107" i="44"/>
  <c r="CG107" i="44" s="1"/>
  <c r="CC115" i="44"/>
  <c r="CG115" i="44" s="1"/>
  <c r="CC123" i="44"/>
  <c r="CG123" i="44" s="1"/>
  <c r="CC108" i="44"/>
  <c r="CC116" i="44"/>
  <c r="CG116" i="44" s="1"/>
  <c r="CC124" i="44"/>
  <c r="CG124" i="44" s="1"/>
  <c r="CC109" i="44"/>
  <c r="CG109" i="44" s="1"/>
  <c r="CC117" i="44"/>
  <c r="CG117" i="44" s="1"/>
  <c r="CC125" i="44"/>
  <c r="CG125" i="44" s="1"/>
  <c r="CC110" i="44"/>
  <c r="CG110" i="44" s="1"/>
  <c r="CC118" i="44"/>
  <c r="CG118" i="44" s="1"/>
  <c r="CC106" i="44"/>
  <c r="CC111" i="44"/>
  <c r="CG111" i="44" s="1"/>
  <c r="CC119" i="44"/>
  <c r="CG119" i="44" s="1"/>
  <c r="CD108" i="49"/>
  <c r="CH108" i="49" s="1"/>
  <c r="CD116" i="49"/>
  <c r="CH116" i="49" s="1"/>
  <c r="CD124" i="49"/>
  <c r="CH124" i="49" s="1"/>
  <c r="CD109" i="49"/>
  <c r="CH109" i="49" s="1"/>
  <c r="CD117" i="49"/>
  <c r="CH117" i="49" s="1"/>
  <c r="CD125" i="49"/>
  <c r="CH125" i="49" s="1"/>
  <c r="CD110" i="49"/>
  <c r="CH110" i="49" s="1"/>
  <c r="CD118" i="49"/>
  <c r="CH118" i="49" s="1"/>
  <c r="CD106" i="49"/>
  <c r="CH106" i="49" s="1"/>
  <c r="CD111" i="49"/>
  <c r="CH111" i="49" s="1"/>
  <c r="CD119" i="49"/>
  <c r="CH119" i="49" s="1"/>
  <c r="CD112" i="49"/>
  <c r="CH112" i="49" s="1"/>
  <c r="CD120" i="49"/>
  <c r="CH120" i="49" s="1"/>
  <c r="CD113" i="49"/>
  <c r="CH113" i="49" s="1"/>
  <c r="CD121" i="49"/>
  <c r="CH121" i="49" s="1"/>
  <c r="CD114" i="49"/>
  <c r="CH114" i="49" s="1"/>
  <c r="CD122" i="49"/>
  <c r="CH122" i="49" s="1"/>
  <c r="CD107" i="49"/>
  <c r="CH107" i="49" s="1"/>
  <c r="CD115" i="49"/>
  <c r="CH115" i="49" s="1"/>
  <c r="CD123" i="49"/>
  <c r="CH123" i="49" s="1"/>
  <c r="CC112" i="49"/>
  <c r="CG112" i="49" s="1"/>
  <c r="CC120" i="49"/>
  <c r="CG120" i="49" s="1"/>
  <c r="CC113" i="49"/>
  <c r="CG113" i="49" s="1"/>
  <c r="CC121" i="49"/>
  <c r="CG121" i="49" s="1"/>
  <c r="CC114" i="49"/>
  <c r="CG114" i="49" s="1"/>
  <c r="CC122" i="49"/>
  <c r="CG122" i="49" s="1"/>
  <c r="CC107" i="49"/>
  <c r="CG107" i="49" s="1"/>
  <c r="CC115" i="49"/>
  <c r="CG115" i="49" s="1"/>
  <c r="CC123" i="49"/>
  <c r="CG123" i="49" s="1"/>
  <c r="CC108" i="49"/>
  <c r="CG108" i="49" s="1"/>
  <c r="CC116" i="49"/>
  <c r="CG116" i="49" s="1"/>
  <c r="CC124" i="49"/>
  <c r="CG124" i="49" s="1"/>
  <c r="CC109" i="49"/>
  <c r="CG109" i="49" s="1"/>
  <c r="CC117" i="49"/>
  <c r="CG117" i="49" s="1"/>
  <c r="CC125" i="49"/>
  <c r="CG125" i="49" s="1"/>
  <c r="CC110" i="49"/>
  <c r="CG110" i="49" s="1"/>
  <c r="CC118" i="49"/>
  <c r="CG118" i="49" s="1"/>
  <c r="CC106" i="49"/>
  <c r="CG106" i="49" s="1"/>
  <c r="CC111" i="49"/>
  <c r="CG111" i="49" s="1"/>
  <c r="CC119" i="49"/>
  <c r="CG119" i="49" s="1"/>
  <c r="CC112" i="47"/>
  <c r="CG112" i="47" s="1"/>
  <c r="CC120" i="47"/>
  <c r="CG120" i="47" s="1"/>
  <c r="CC113" i="47"/>
  <c r="CG113" i="47" s="1"/>
  <c r="CC121" i="47"/>
  <c r="CG121" i="47" s="1"/>
  <c r="CC114" i="47"/>
  <c r="CG114" i="47" s="1"/>
  <c r="CC122" i="47"/>
  <c r="CG122" i="47" s="1"/>
  <c r="CC107" i="47"/>
  <c r="CG107" i="47" s="1"/>
  <c r="CC115" i="47"/>
  <c r="CG115" i="47" s="1"/>
  <c r="CC123" i="47"/>
  <c r="CG123" i="47" s="1"/>
  <c r="CC108" i="47"/>
  <c r="CG108" i="47" s="1"/>
  <c r="CC116" i="47"/>
  <c r="CG116" i="47" s="1"/>
  <c r="CC124" i="47"/>
  <c r="CG124" i="47" s="1"/>
  <c r="CC109" i="47"/>
  <c r="CG109" i="47" s="1"/>
  <c r="CC117" i="47"/>
  <c r="CG117" i="47" s="1"/>
  <c r="CC125" i="47"/>
  <c r="CG125" i="47" s="1"/>
  <c r="CC110" i="47"/>
  <c r="CG110" i="47" s="1"/>
  <c r="CC118" i="47"/>
  <c r="CG118" i="47" s="1"/>
  <c r="CC106" i="47"/>
  <c r="CG106" i="47" s="1"/>
  <c r="CC111" i="47"/>
  <c r="CG111" i="47" s="1"/>
  <c r="CC119" i="47"/>
  <c r="CG119" i="47" s="1"/>
  <c r="CD107" i="47"/>
  <c r="CH107" i="47" s="1"/>
  <c r="CD111" i="47"/>
  <c r="CH111" i="47" s="1"/>
  <c r="CD116" i="47"/>
  <c r="CH116" i="47" s="1"/>
  <c r="CC112" i="43"/>
  <c r="CC120" i="43"/>
  <c r="CG120" i="43" s="1"/>
  <c r="CC113" i="43"/>
  <c r="CG113" i="43" s="1"/>
  <c r="CC121" i="43"/>
  <c r="CG121" i="43" s="1"/>
  <c r="CC114" i="43"/>
  <c r="CG114" i="43" s="1"/>
  <c r="CC122" i="43"/>
  <c r="CG122" i="43" s="1"/>
  <c r="CC107" i="43"/>
  <c r="CG107" i="43" s="1"/>
  <c r="CC115" i="43"/>
  <c r="CG115" i="43" s="1"/>
  <c r="CC123" i="43"/>
  <c r="CG123" i="43" s="1"/>
  <c r="CC108" i="43"/>
  <c r="CG108" i="43" s="1"/>
  <c r="CC116" i="43"/>
  <c r="CG116" i="43" s="1"/>
  <c r="CC124" i="43"/>
  <c r="CG124" i="43" s="1"/>
  <c r="CC109" i="43"/>
  <c r="CG109" i="43" s="1"/>
  <c r="CC117" i="43"/>
  <c r="CG117" i="43" s="1"/>
  <c r="CC125" i="43"/>
  <c r="CC110" i="43"/>
  <c r="CG110" i="43" s="1"/>
  <c r="CC118" i="43"/>
  <c r="CG118" i="43" s="1"/>
  <c r="CC106" i="43"/>
  <c r="CG106" i="43" s="1"/>
  <c r="CC111" i="43"/>
  <c r="CG111" i="43" s="1"/>
  <c r="CC119" i="43"/>
  <c r="CG119" i="43" s="1"/>
  <c r="CD108" i="44"/>
  <c r="CH108" i="44" s="1"/>
  <c r="CD116" i="44"/>
  <c r="CH116" i="44" s="1"/>
  <c r="CD124" i="44"/>
  <c r="CH124" i="44" s="1"/>
  <c r="CD109" i="44"/>
  <c r="CH109" i="44" s="1"/>
  <c r="CD117" i="44"/>
  <c r="CD125" i="44"/>
  <c r="CH125" i="44" s="1"/>
  <c r="CD110" i="44"/>
  <c r="CH110" i="44" s="1"/>
  <c r="CD118" i="44"/>
  <c r="CH118" i="44" s="1"/>
  <c r="CD106" i="44"/>
  <c r="CH106" i="44" s="1"/>
  <c r="CD111" i="44"/>
  <c r="CH111" i="44" s="1"/>
  <c r="CD119" i="44"/>
  <c r="CH119" i="44" s="1"/>
  <c r="CD112" i="44"/>
  <c r="CH112" i="44" s="1"/>
  <c r="CD120" i="44"/>
  <c r="CH120" i="44" s="1"/>
  <c r="CD113" i="44"/>
  <c r="CH113" i="44" s="1"/>
  <c r="CD121" i="44"/>
  <c r="CH121" i="44" s="1"/>
  <c r="CD114" i="44"/>
  <c r="CH114" i="44" s="1"/>
  <c r="CD122" i="44"/>
  <c r="CH122" i="44" s="1"/>
  <c r="CD107" i="44"/>
  <c r="CH107" i="44" s="1"/>
  <c r="CD115" i="44"/>
  <c r="CH115" i="44" s="1"/>
  <c r="CD123" i="44"/>
  <c r="CH123" i="44" s="1"/>
  <c r="CC112" i="40"/>
  <c r="CC120" i="40"/>
  <c r="CG120" i="40" s="1"/>
  <c r="CC113" i="40"/>
  <c r="CG113" i="40" s="1"/>
  <c r="CC121" i="40"/>
  <c r="CG121" i="40" s="1"/>
  <c r="CC114" i="40"/>
  <c r="CG114" i="40" s="1"/>
  <c r="CC122" i="40"/>
  <c r="CG122" i="40" s="1"/>
  <c r="CC107" i="40"/>
  <c r="CG107" i="40" s="1"/>
  <c r="CC115" i="40"/>
  <c r="CG115" i="40" s="1"/>
  <c r="CC123" i="40"/>
  <c r="CC108" i="40"/>
  <c r="CG108" i="40" s="1"/>
  <c r="CC116" i="40"/>
  <c r="CG116" i="40" s="1"/>
  <c r="CC124" i="40"/>
  <c r="CG124" i="40" s="1"/>
  <c r="CC109" i="40"/>
  <c r="CG109" i="40" s="1"/>
  <c r="CC117" i="40"/>
  <c r="CG117" i="40" s="1"/>
  <c r="CC125" i="40"/>
  <c r="CC110" i="40"/>
  <c r="CG110" i="40" s="1"/>
  <c r="CC118" i="40"/>
  <c r="CG118" i="40" s="1"/>
  <c r="CC106" i="40"/>
  <c r="CG106" i="40" s="1"/>
  <c r="CC111" i="40"/>
  <c r="CG111" i="40" s="1"/>
  <c r="CC119" i="40"/>
  <c r="CG119" i="40" s="1"/>
  <c r="CC112" i="46"/>
  <c r="CG112" i="46" s="1"/>
  <c r="CC120" i="46"/>
  <c r="CG120" i="46" s="1"/>
  <c r="CC113" i="46"/>
  <c r="CG113" i="46" s="1"/>
  <c r="CC121" i="46"/>
  <c r="CG121" i="46" s="1"/>
  <c r="CC114" i="46"/>
  <c r="CG114" i="46" s="1"/>
  <c r="CC122" i="46"/>
  <c r="CG122" i="46" s="1"/>
  <c r="CC107" i="46"/>
  <c r="CG107" i="46" s="1"/>
  <c r="CC115" i="46"/>
  <c r="CG115" i="46" s="1"/>
  <c r="CC123" i="46"/>
  <c r="CG123" i="46" s="1"/>
  <c r="CC108" i="46"/>
  <c r="CG108" i="46" s="1"/>
  <c r="CC116" i="46"/>
  <c r="CG116" i="46" s="1"/>
  <c r="CC124" i="46"/>
  <c r="CG124" i="46" s="1"/>
  <c r="CC109" i="46"/>
  <c r="CG109" i="46" s="1"/>
  <c r="CC117" i="46"/>
  <c r="CG117" i="46" s="1"/>
  <c r="CC125" i="46"/>
  <c r="CG125" i="46" s="1"/>
  <c r="CC110" i="46"/>
  <c r="CG110" i="46" s="1"/>
  <c r="CC118" i="46"/>
  <c r="CG118" i="46" s="1"/>
  <c r="CC106" i="46"/>
  <c r="CG106" i="46" s="1"/>
  <c r="CC111" i="46"/>
  <c r="CG111" i="46" s="1"/>
  <c r="CC119" i="46"/>
  <c r="CG119" i="46" s="1"/>
  <c r="CC112" i="48"/>
  <c r="CG112" i="48" s="1"/>
  <c r="CC120" i="48"/>
  <c r="CG120" i="48" s="1"/>
  <c r="CC113" i="48"/>
  <c r="CG113" i="48" s="1"/>
  <c r="CC121" i="48"/>
  <c r="CG121" i="48" s="1"/>
  <c r="CC114" i="48"/>
  <c r="CG114" i="48" s="1"/>
  <c r="CC122" i="48"/>
  <c r="CG122" i="48" s="1"/>
  <c r="CC107" i="48"/>
  <c r="CG107" i="48" s="1"/>
  <c r="CC115" i="48"/>
  <c r="CG115" i="48" s="1"/>
  <c r="CC123" i="48"/>
  <c r="CG123" i="48" s="1"/>
  <c r="CC108" i="48"/>
  <c r="CG108" i="48" s="1"/>
  <c r="CC116" i="48"/>
  <c r="CG116" i="48" s="1"/>
  <c r="CC124" i="48"/>
  <c r="CG124" i="48" s="1"/>
  <c r="CC109" i="48"/>
  <c r="CG109" i="48" s="1"/>
  <c r="CC117" i="48"/>
  <c r="CG117" i="48" s="1"/>
  <c r="CC125" i="48"/>
  <c r="CG125" i="48" s="1"/>
  <c r="CC110" i="48"/>
  <c r="CG110" i="48" s="1"/>
  <c r="CC118" i="48"/>
  <c r="CG118" i="48" s="1"/>
  <c r="CC106" i="48"/>
  <c r="CG106" i="48" s="1"/>
  <c r="CC111" i="48"/>
  <c r="CG111" i="48" s="1"/>
  <c r="CC119" i="48"/>
  <c r="CG119" i="48" s="1"/>
  <c r="CD108" i="48"/>
  <c r="CH108" i="48" s="1"/>
  <c r="CD116" i="48"/>
  <c r="CH116" i="48" s="1"/>
  <c r="CD124" i="48"/>
  <c r="CH124" i="48" s="1"/>
  <c r="CD109" i="48"/>
  <c r="CH109" i="48" s="1"/>
  <c r="CD117" i="48"/>
  <c r="CH117" i="48" s="1"/>
  <c r="CD125" i="48"/>
  <c r="CH125" i="48" s="1"/>
  <c r="CD110" i="48"/>
  <c r="CH110" i="48" s="1"/>
  <c r="CD118" i="48"/>
  <c r="CH118" i="48" s="1"/>
  <c r="CD106" i="48"/>
  <c r="CH106" i="48" s="1"/>
  <c r="CD111" i="48"/>
  <c r="CH111" i="48" s="1"/>
  <c r="CD119" i="48"/>
  <c r="CH119" i="48" s="1"/>
  <c r="CD112" i="48"/>
  <c r="CH112" i="48" s="1"/>
  <c r="CD120" i="48"/>
  <c r="CH120" i="48" s="1"/>
  <c r="CD113" i="48"/>
  <c r="CH113" i="48" s="1"/>
  <c r="CD121" i="48"/>
  <c r="CH121" i="48" s="1"/>
  <c r="CD114" i="48"/>
  <c r="CH114" i="48" s="1"/>
  <c r="CD122" i="48"/>
  <c r="CH122" i="48" s="1"/>
  <c r="CD107" i="48"/>
  <c r="CH107" i="48" s="1"/>
  <c r="CD115" i="48"/>
  <c r="CH115" i="48" s="1"/>
  <c r="CD123" i="48"/>
  <c r="CH123" i="48" s="1"/>
  <c r="CC112" i="41"/>
  <c r="CG112" i="41" s="1"/>
  <c r="CC120" i="41"/>
  <c r="CG120" i="41" s="1"/>
  <c r="CC113" i="41"/>
  <c r="CG113" i="41" s="1"/>
  <c r="CC121" i="41"/>
  <c r="CG121" i="41" s="1"/>
  <c r="CC114" i="41"/>
  <c r="CG114" i="41" s="1"/>
  <c r="CC122" i="41"/>
  <c r="CG122" i="41" s="1"/>
  <c r="CC107" i="41"/>
  <c r="CG107" i="41" s="1"/>
  <c r="CC115" i="41"/>
  <c r="CG115" i="41" s="1"/>
  <c r="CC123" i="41"/>
  <c r="CG123" i="41" s="1"/>
  <c r="CC108" i="41"/>
  <c r="CG108" i="41" s="1"/>
  <c r="CC116" i="41"/>
  <c r="CG116" i="41" s="1"/>
  <c r="CC124" i="41"/>
  <c r="CG124" i="41" s="1"/>
  <c r="CC109" i="41"/>
  <c r="CG109" i="41" s="1"/>
  <c r="CC117" i="41"/>
  <c r="CG117" i="41" s="1"/>
  <c r="CC125" i="41"/>
  <c r="CG125" i="41" s="1"/>
  <c r="CC110" i="41"/>
  <c r="CG110" i="41" s="1"/>
  <c r="CC118" i="41"/>
  <c r="CG118" i="41" s="1"/>
  <c r="CC106" i="41"/>
  <c r="CG106" i="41" s="1"/>
  <c r="CC111" i="41"/>
  <c r="CG111" i="41" s="1"/>
  <c r="CC119" i="41"/>
  <c r="CG119" i="41" s="1"/>
  <c r="CD122" i="47"/>
  <c r="CH122" i="47" s="1"/>
  <c r="CD106" i="47"/>
  <c r="CH106" i="47" s="1"/>
  <c r="CD54" i="47"/>
  <c r="CH54" i="47" s="1"/>
  <c r="CD24" i="47"/>
  <c r="CH24" i="47" s="1"/>
  <c r="CD50" i="47"/>
  <c r="CH50" i="47" s="1"/>
  <c r="CD47" i="47"/>
  <c r="CH47" i="47" s="1"/>
  <c r="CD46" i="47"/>
  <c r="CH46" i="47" s="1"/>
  <c r="CC21" i="41"/>
  <c r="CG21" i="41" s="1"/>
  <c r="CC35" i="41"/>
  <c r="CG35" i="41" s="1"/>
  <c r="CC28" i="41"/>
  <c r="CG28" i="41" s="1"/>
  <c r="CC29" i="41"/>
  <c r="CG29" i="41" s="1"/>
  <c r="CC36" i="41"/>
  <c r="CG36" i="41" s="1"/>
  <c r="CC104" i="49"/>
  <c r="CG104" i="49" s="1"/>
  <c r="CC97" i="47"/>
  <c r="CG97" i="47" s="1"/>
  <c r="CC30" i="47"/>
  <c r="CG30" i="47" s="1"/>
  <c r="CC34" i="49"/>
  <c r="CG34" i="49" s="1"/>
  <c r="CD51" i="47"/>
  <c r="CH51" i="47" s="1"/>
  <c r="CC44" i="47"/>
  <c r="CG44" i="47" s="1"/>
  <c r="CC58" i="47"/>
  <c r="CG58" i="47" s="1"/>
  <c r="CC16" i="47"/>
  <c r="CG16" i="47" s="1"/>
  <c r="CC59" i="47"/>
  <c r="CG59" i="47" s="1"/>
  <c r="CD29" i="47"/>
  <c r="CH29" i="47" s="1"/>
  <c r="CD68" i="47"/>
  <c r="CH68" i="47" s="1"/>
  <c r="CD37" i="47"/>
  <c r="CH37" i="47" s="1"/>
  <c r="CD18" i="49"/>
  <c r="CH18" i="49" s="1"/>
  <c r="CC41" i="41"/>
  <c r="CG41" i="41" s="1"/>
  <c r="CC39" i="41"/>
  <c r="CG39" i="41" s="1"/>
  <c r="CC17" i="47"/>
  <c r="CG17" i="47" s="1"/>
  <c r="CD65" i="47"/>
  <c r="CH65" i="47" s="1"/>
  <c r="CC43" i="49"/>
  <c r="CG43" i="49" s="1"/>
  <c r="CD38" i="47"/>
  <c r="CH38" i="47" s="1"/>
  <c r="CC104" i="47"/>
  <c r="CG104" i="47" s="1"/>
  <c r="CC86" i="47"/>
  <c r="CG86" i="47" s="1"/>
  <c r="CC66" i="47"/>
  <c r="CG66" i="47" s="1"/>
  <c r="CC38" i="46"/>
  <c r="CG38" i="46" s="1"/>
  <c r="CC39" i="46"/>
  <c r="CG39" i="46" s="1"/>
  <c r="CD73" i="47"/>
  <c r="CH73" i="47" s="1"/>
  <c r="CD88" i="41"/>
  <c r="CH88" i="41" s="1"/>
  <c r="CD36" i="46"/>
  <c r="CH36" i="46" s="1"/>
  <c r="CD20" i="46"/>
  <c r="CH20" i="46" s="1"/>
  <c r="CC22" i="47"/>
  <c r="CG22" i="47" s="1"/>
  <c r="CD84" i="47"/>
  <c r="CH84" i="47" s="1"/>
  <c r="CC84" i="47"/>
  <c r="CG84" i="47" s="1"/>
  <c r="CC71" i="47"/>
  <c r="CG71" i="47" s="1"/>
  <c r="CC67" i="47"/>
  <c r="CG67" i="47" s="1"/>
  <c r="CC20" i="47"/>
  <c r="CG20" i="47" s="1"/>
  <c r="CD93" i="47"/>
  <c r="CH93" i="47" s="1"/>
  <c r="CD67" i="47"/>
  <c r="CH67" i="47" s="1"/>
  <c r="CC38" i="47"/>
  <c r="CG38" i="47" s="1"/>
  <c r="CC99" i="47"/>
  <c r="CG99" i="47" s="1"/>
  <c r="CC23" i="47"/>
  <c r="CG23" i="47" s="1"/>
  <c r="CC56" i="47"/>
  <c r="CG56" i="47" s="1"/>
  <c r="CD66" i="47"/>
  <c r="CH66" i="47" s="1"/>
  <c r="CC95" i="47"/>
  <c r="CG95" i="47" s="1"/>
  <c r="CC55" i="49"/>
  <c r="CG55" i="49" s="1"/>
  <c r="CD20" i="41"/>
  <c r="CH20" i="41" s="1"/>
  <c r="CC96" i="47"/>
  <c r="CG96" i="47" s="1"/>
  <c r="CD88" i="47"/>
  <c r="CH88" i="47" s="1"/>
  <c r="CC102" i="47"/>
  <c r="CG102" i="47" s="1"/>
  <c r="CC40" i="47"/>
  <c r="CG40" i="47" s="1"/>
  <c r="CD23" i="47"/>
  <c r="CH23" i="47" s="1"/>
  <c r="CD22" i="47"/>
  <c r="CH22" i="47" s="1"/>
  <c r="CD100" i="47"/>
  <c r="CH100" i="47" s="1"/>
  <c r="CD89" i="47"/>
  <c r="CH89" i="47" s="1"/>
  <c r="CC82" i="48"/>
  <c r="CG82" i="48" s="1"/>
  <c r="CC19" i="47"/>
  <c r="CG19" i="47" s="1"/>
  <c r="CD55" i="47"/>
  <c r="CH55" i="47" s="1"/>
  <c r="CD103" i="47"/>
  <c r="CH103" i="47" s="1"/>
  <c r="CC27" i="47"/>
  <c r="CG27" i="47" s="1"/>
  <c r="CC51" i="41"/>
  <c r="CG51" i="41" s="1"/>
  <c r="CD71" i="41"/>
  <c r="CH71" i="41" s="1"/>
  <c r="CC80" i="39"/>
  <c r="CG80" i="39" s="1"/>
  <c r="CD70" i="41"/>
  <c r="CH70" i="41" s="1"/>
  <c r="CD96" i="41"/>
  <c r="CH96" i="41" s="1"/>
  <c r="CC31" i="49"/>
  <c r="CG31" i="49" s="1"/>
  <c r="CB45" i="36"/>
  <c r="CC50" i="49"/>
  <c r="CG50" i="49" s="1"/>
  <c r="CD78" i="48"/>
  <c r="CH78" i="48" s="1"/>
  <c r="CC25" i="49"/>
  <c r="CG25" i="49" s="1"/>
  <c r="CC103" i="47"/>
  <c r="CG103" i="47" s="1"/>
  <c r="CD104" i="49"/>
  <c r="CH104" i="49" s="1"/>
  <c r="CC82" i="49"/>
  <c r="CG82" i="49" s="1"/>
  <c r="CC91" i="41"/>
  <c r="CG91" i="41" s="1"/>
  <c r="CD54" i="46"/>
  <c r="CH54" i="46" s="1"/>
  <c r="CD92" i="41"/>
  <c r="CH92" i="41" s="1"/>
  <c r="CC69" i="41"/>
  <c r="CG69" i="41" s="1"/>
  <c r="CD33" i="41"/>
  <c r="CH33" i="41" s="1"/>
  <c r="CC92" i="41"/>
  <c r="CG92" i="41" s="1"/>
  <c r="CD82" i="41"/>
  <c r="CH82" i="41" s="1"/>
  <c r="CD93" i="41"/>
  <c r="CH93" i="41" s="1"/>
  <c r="CC46" i="41"/>
  <c r="CG46" i="41" s="1"/>
  <c r="CD88" i="39"/>
  <c r="CH88" i="39" s="1"/>
  <c r="CA39" i="36"/>
  <c r="CD20" i="39"/>
  <c r="CH20" i="39" s="1"/>
  <c r="CD28" i="49"/>
  <c r="CH28" i="49" s="1"/>
  <c r="CC63" i="47"/>
  <c r="CG63" i="47" s="1"/>
  <c r="CD36" i="47"/>
  <c r="CH36" i="47" s="1"/>
  <c r="CC52" i="48"/>
  <c r="CG52" i="48" s="1"/>
  <c r="CD76" i="49"/>
  <c r="CH76" i="49" s="1"/>
  <c r="CC63" i="48"/>
  <c r="CG63" i="48" s="1"/>
  <c r="CD103" i="46"/>
  <c r="CH103" i="46" s="1"/>
  <c r="CC42" i="47"/>
  <c r="CG42" i="47" s="1"/>
  <c r="CD59" i="47"/>
  <c r="CH59" i="47" s="1"/>
  <c r="CD83" i="47"/>
  <c r="CH83" i="47" s="1"/>
  <c r="CC69" i="47"/>
  <c r="CG69" i="47" s="1"/>
  <c r="CD42" i="47"/>
  <c r="CH42" i="47" s="1"/>
  <c r="CD16" i="47"/>
  <c r="CH16" i="47" s="1"/>
  <c r="CD66" i="49"/>
  <c r="CH66" i="49" s="1"/>
  <c r="CC48" i="48"/>
  <c r="CG48" i="48" s="1"/>
  <c r="CD99" i="47"/>
  <c r="CH99" i="47" s="1"/>
  <c r="CC61" i="47"/>
  <c r="CG61" i="47" s="1"/>
  <c r="CC75" i="49"/>
  <c r="CG75" i="49" s="1"/>
  <c r="CC32" i="47"/>
  <c r="CG32" i="47" s="1"/>
  <c r="CC62" i="47"/>
  <c r="CG62" i="47" s="1"/>
  <c r="CC31" i="47"/>
  <c r="CG31" i="47" s="1"/>
  <c r="CC76" i="47"/>
  <c r="CG76" i="47" s="1"/>
  <c r="CD41" i="47"/>
  <c r="CH41" i="47" s="1"/>
  <c r="CC35" i="48"/>
  <c r="CG35" i="48" s="1"/>
  <c r="CC36" i="48"/>
  <c r="CG36" i="48" s="1"/>
  <c r="CC60" i="47"/>
  <c r="CG60" i="47" s="1"/>
  <c r="CD60" i="49"/>
  <c r="CH60" i="49" s="1"/>
  <c r="CD86" i="47"/>
  <c r="CH86" i="47" s="1"/>
  <c r="CD72" i="47"/>
  <c r="CH72" i="47" s="1"/>
  <c r="CC89" i="49"/>
  <c r="CG89" i="49" s="1"/>
  <c r="CC53" i="48"/>
  <c r="CG53" i="48" s="1"/>
  <c r="CC93" i="48"/>
  <c r="CG93" i="48" s="1"/>
  <c r="CC41" i="47"/>
  <c r="CG41" i="47" s="1"/>
  <c r="CD74" i="47"/>
  <c r="CH74" i="47" s="1"/>
  <c r="CD18" i="47"/>
  <c r="CH18" i="47" s="1"/>
  <c r="CC23" i="41"/>
  <c r="CG23" i="41" s="1"/>
  <c r="CC89" i="47"/>
  <c r="CG89" i="47" s="1"/>
  <c r="CC65" i="47"/>
  <c r="CG65" i="47" s="1"/>
  <c r="CD87" i="48"/>
  <c r="CH87" i="48" s="1"/>
  <c r="CC66" i="49"/>
  <c r="CG66" i="49" s="1"/>
  <c r="CD21" i="46"/>
  <c r="CH21" i="46" s="1"/>
  <c r="CD17" i="47"/>
  <c r="CH17" i="47" s="1"/>
  <c r="CD49" i="49"/>
  <c r="CH49" i="49" s="1"/>
  <c r="CD50" i="49"/>
  <c r="CH50" i="49" s="1"/>
  <c r="CD79" i="48"/>
  <c r="CH79" i="48" s="1"/>
  <c r="CC92" i="48"/>
  <c r="CG92" i="48" s="1"/>
  <c r="CD36" i="49"/>
  <c r="CH36" i="49" s="1"/>
  <c r="CC39" i="47"/>
  <c r="CG39" i="47" s="1"/>
  <c r="CC58" i="41"/>
  <c r="CG58" i="41" s="1"/>
  <c r="CD94" i="48"/>
  <c r="CH94" i="48" s="1"/>
  <c r="CC96" i="49"/>
  <c r="CG96" i="49" s="1"/>
  <c r="CD19" i="39"/>
  <c r="CH19" i="39" s="1"/>
  <c r="CD93" i="46"/>
  <c r="CH93" i="46" s="1"/>
  <c r="CD37" i="46"/>
  <c r="CH37" i="46" s="1"/>
  <c r="CD59" i="39"/>
  <c r="CH59" i="39" s="1"/>
  <c r="CC101" i="48"/>
  <c r="CG101" i="48" s="1"/>
  <c r="CC98" i="47"/>
  <c r="CG98" i="47" s="1"/>
  <c r="CC42" i="42"/>
  <c r="CG42" i="42" s="1"/>
  <c r="CC103" i="41"/>
  <c r="CG103" i="41" s="1"/>
  <c r="CD81" i="47"/>
  <c r="CH81" i="47" s="1"/>
  <c r="CD104" i="47"/>
  <c r="CH104" i="47" s="1"/>
  <c r="CD82" i="47"/>
  <c r="CH82" i="47" s="1"/>
  <c r="CD20" i="47"/>
  <c r="CH20" i="47" s="1"/>
  <c r="CD97" i="47"/>
  <c r="CH97" i="47" s="1"/>
  <c r="CD60" i="47"/>
  <c r="CH60" i="47" s="1"/>
  <c r="CD62" i="47"/>
  <c r="CH62" i="47" s="1"/>
  <c r="CD21" i="47"/>
  <c r="CH21" i="47" s="1"/>
  <c r="CC22" i="41"/>
  <c r="CG22" i="41" s="1"/>
  <c r="CD84" i="41"/>
  <c r="CH84" i="41" s="1"/>
  <c r="CD56" i="48"/>
  <c r="CH56" i="48" s="1"/>
  <c r="CD102" i="47"/>
  <c r="CH102" i="47" s="1"/>
  <c r="CD21" i="41"/>
  <c r="CH21" i="41" s="1"/>
  <c r="CC25" i="47"/>
  <c r="CG25" i="47" s="1"/>
  <c r="CC70" i="47"/>
  <c r="CG70" i="47" s="1"/>
  <c r="CD96" i="49"/>
  <c r="CH96" i="49" s="1"/>
  <c r="CC68" i="47"/>
  <c r="CG68" i="47" s="1"/>
  <c r="CD36" i="39"/>
  <c r="CH36" i="39" s="1"/>
  <c r="CD19" i="46"/>
  <c r="CH19" i="46" s="1"/>
  <c r="CC97" i="46"/>
  <c r="CG97" i="46" s="1"/>
  <c r="CC47" i="47"/>
  <c r="CG47" i="47" s="1"/>
  <c r="CD101" i="47"/>
  <c r="CH101" i="47" s="1"/>
  <c r="CD64" i="46"/>
  <c r="CH64" i="46" s="1"/>
  <c r="CD63" i="41"/>
  <c r="CH63" i="41" s="1"/>
  <c r="CD68" i="48"/>
  <c r="CH68" i="48" s="1"/>
  <c r="CD93" i="49"/>
  <c r="CH93" i="49" s="1"/>
  <c r="CD104" i="48"/>
  <c r="CH104" i="48" s="1"/>
  <c r="CD76" i="47"/>
  <c r="CH76" i="47" s="1"/>
  <c r="CC53" i="47"/>
  <c r="CG53" i="47" s="1"/>
  <c r="CC57" i="47"/>
  <c r="CG57" i="47" s="1"/>
  <c r="CD89" i="41"/>
  <c r="CH89" i="41" s="1"/>
  <c r="CD62" i="41"/>
  <c r="CH62" i="41" s="1"/>
  <c r="CC61" i="39"/>
  <c r="CG61" i="39" s="1"/>
  <c r="CC57" i="39"/>
  <c r="CG57" i="39" s="1"/>
  <c r="CD55" i="46"/>
  <c r="CH55" i="46" s="1"/>
  <c r="CD103" i="49"/>
  <c r="CH103" i="49" s="1"/>
  <c r="CC49" i="49"/>
  <c r="CG49" i="49" s="1"/>
  <c r="CD72" i="48"/>
  <c r="CH72" i="48" s="1"/>
  <c r="CC97" i="49"/>
  <c r="CG97" i="49" s="1"/>
  <c r="CD51" i="49"/>
  <c r="CH51" i="49" s="1"/>
  <c r="CC58" i="48"/>
  <c r="CG58" i="48" s="1"/>
  <c r="CD85" i="47"/>
  <c r="CH85" i="47" s="1"/>
  <c r="CC24" i="47"/>
  <c r="CG24" i="47" s="1"/>
  <c r="CC48" i="47"/>
  <c r="CG48" i="47" s="1"/>
  <c r="CC99" i="41"/>
  <c r="CG99" i="41" s="1"/>
  <c r="CD45" i="49"/>
  <c r="CH45" i="49" s="1"/>
  <c r="CC52" i="47"/>
  <c r="CG52" i="47" s="1"/>
  <c r="CC26" i="47"/>
  <c r="CG26" i="47" s="1"/>
  <c r="CD74" i="41"/>
  <c r="CH74" i="41" s="1"/>
  <c r="CC39" i="49"/>
  <c r="CG39" i="49" s="1"/>
  <c r="CC45" i="48"/>
  <c r="CG45" i="48" s="1"/>
  <c r="CD25" i="49"/>
  <c r="CH25" i="49" s="1"/>
  <c r="CD75" i="48"/>
  <c r="CH75" i="48" s="1"/>
  <c r="CC29" i="47"/>
  <c r="CG29" i="47" s="1"/>
  <c r="CC75" i="47"/>
  <c r="CG75" i="47" s="1"/>
  <c r="CD76" i="41"/>
  <c r="CH76" i="41" s="1"/>
  <c r="CC88" i="49"/>
  <c r="CG88" i="49" s="1"/>
  <c r="CD61" i="49"/>
  <c r="CH61" i="49" s="1"/>
  <c r="CC37" i="48"/>
  <c r="CG37" i="48" s="1"/>
  <c r="CC76" i="49"/>
  <c r="CG76" i="49" s="1"/>
  <c r="CD79" i="49"/>
  <c r="CH79" i="49" s="1"/>
  <c r="CD87" i="41"/>
  <c r="CH87" i="41" s="1"/>
  <c r="CD63" i="46"/>
  <c r="CH63" i="46" s="1"/>
  <c r="CC65" i="41"/>
  <c r="CG65" i="41" s="1"/>
  <c r="CD51" i="41"/>
  <c r="CH51" i="41" s="1"/>
  <c r="CD55" i="41"/>
  <c r="CH55" i="41" s="1"/>
  <c r="CC104" i="41"/>
  <c r="CG104" i="41" s="1"/>
  <c r="CC51" i="46"/>
  <c r="CG51" i="46" s="1"/>
  <c r="CC96" i="46"/>
  <c r="CG96" i="46" s="1"/>
  <c r="CD39" i="46"/>
  <c r="CH39" i="46" s="1"/>
  <c r="CD81" i="46"/>
  <c r="CH81" i="46" s="1"/>
  <c r="CD101" i="48"/>
  <c r="CH101" i="48" s="1"/>
  <c r="CD33" i="48"/>
  <c r="CH33" i="48" s="1"/>
  <c r="CD64" i="49"/>
  <c r="CH64" i="49" s="1"/>
  <c r="CC54" i="48"/>
  <c r="CG54" i="48" s="1"/>
  <c r="CD29" i="49"/>
  <c r="CH29" i="49" s="1"/>
  <c r="CC28" i="47"/>
  <c r="CG28" i="47" s="1"/>
  <c r="CD90" i="47"/>
  <c r="CH90" i="47" s="1"/>
  <c r="CD58" i="47"/>
  <c r="CH58" i="47" s="1"/>
  <c r="CC20" i="41"/>
  <c r="CG20" i="41" s="1"/>
  <c r="CC92" i="47"/>
  <c r="CG92" i="47" s="1"/>
  <c r="CC79" i="47"/>
  <c r="CG79" i="47" s="1"/>
  <c r="CD58" i="39"/>
  <c r="CH58" i="39" s="1"/>
  <c r="CD87" i="49"/>
  <c r="CH87" i="49" s="1"/>
  <c r="CD54" i="41"/>
  <c r="CH54" i="41" s="1"/>
  <c r="CC105" i="41"/>
  <c r="CG105" i="41" s="1"/>
  <c r="CD56" i="41"/>
  <c r="CH56" i="41" s="1"/>
  <c r="CD80" i="46"/>
  <c r="CH80" i="46" s="1"/>
  <c r="CD45" i="46"/>
  <c r="CH45" i="46" s="1"/>
  <c r="CC78" i="46"/>
  <c r="CG78" i="46" s="1"/>
  <c r="CD57" i="49"/>
  <c r="CH57" i="49" s="1"/>
  <c r="CD96" i="48"/>
  <c r="CH96" i="48" s="1"/>
  <c r="CC57" i="48"/>
  <c r="CG57" i="48" s="1"/>
  <c r="CC22" i="49"/>
  <c r="CG22" i="49" s="1"/>
  <c r="CD91" i="47"/>
  <c r="CH91" i="47" s="1"/>
  <c r="CC74" i="47"/>
  <c r="CG74" i="47" s="1"/>
  <c r="CD56" i="47"/>
  <c r="CH56" i="47" s="1"/>
  <c r="CD44" i="47"/>
  <c r="CH44" i="47" s="1"/>
  <c r="CD34" i="47"/>
  <c r="CH34" i="47" s="1"/>
  <c r="CC43" i="47"/>
  <c r="CG43" i="47" s="1"/>
  <c r="CD38" i="46"/>
  <c r="CH38" i="46" s="1"/>
  <c r="CC19" i="41"/>
  <c r="CG19" i="41" s="1"/>
  <c r="CC96" i="48"/>
  <c r="CG96" i="48" s="1"/>
  <c r="CD22" i="48"/>
  <c r="CH22" i="48" s="1"/>
  <c r="CC21" i="49"/>
  <c r="CG21" i="49" s="1"/>
  <c r="CD39" i="49"/>
  <c r="CH39" i="49" s="1"/>
  <c r="CC54" i="47"/>
  <c r="CG54" i="47" s="1"/>
  <c r="CD24" i="48"/>
  <c r="CH24" i="48" s="1"/>
  <c r="CC55" i="47"/>
  <c r="CG55" i="47" s="1"/>
  <c r="CC36" i="49"/>
  <c r="CG36" i="49" s="1"/>
  <c r="CD43" i="47"/>
  <c r="CH43" i="47" s="1"/>
  <c r="CC36" i="47"/>
  <c r="CG36" i="47" s="1"/>
  <c r="CD57" i="46"/>
  <c r="CH57" i="46" s="1"/>
  <c r="CD82" i="49"/>
  <c r="CH82" i="49" s="1"/>
  <c r="CD40" i="49"/>
  <c r="CH40" i="49" s="1"/>
  <c r="CC81" i="48"/>
  <c r="CG81" i="48" s="1"/>
  <c r="CD92" i="47"/>
  <c r="CH92" i="47" s="1"/>
  <c r="CC93" i="47"/>
  <c r="CG93" i="47" s="1"/>
  <c r="CD35" i="41"/>
  <c r="CH35" i="41" s="1"/>
  <c r="CD69" i="41"/>
  <c r="CH69" i="41" s="1"/>
  <c r="CD91" i="48"/>
  <c r="CH91" i="48" s="1"/>
  <c r="CC43" i="48"/>
  <c r="CG43" i="48" s="1"/>
  <c r="CC64" i="47"/>
  <c r="CG64" i="47" s="1"/>
  <c r="CD105" i="48"/>
  <c r="CH105" i="48" s="1"/>
  <c r="CD102" i="46"/>
  <c r="CH102" i="46" s="1"/>
  <c r="CD43" i="46"/>
  <c r="CH43" i="46" s="1"/>
  <c r="CC89" i="41"/>
  <c r="CG89" i="41" s="1"/>
  <c r="CC61" i="41"/>
  <c r="CG61" i="41" s="1"/>
  <c r="CC63" i="49"/>
  <c r="CG63" i="49" s="1"/>
  <c r="CC74" i="48"/>
  <c r="CG74" i="48" s="1"/>
  <c r="CD41" i="49"/>
  <c r="CH41" i="49" s="1"/>
  <c r="CC73" i="47"/>
  <c r="CG73" i="47" s="1"/>
  <c r="CC87" i="48"/>
  <c r="CG87" i="48" s="1"/>
  <c r="CC28" i="49"/>
  <c r="CG28" i="49" s="1"/>
  <c r="CC78" i="47"/>
  <c r="CG78" i="47" s="1"/>
  <c r="CC88" i="48"/>
  <c r="CG88" i="48" s="1"/>
  <c r="CD57" i="47"/>
  <c r="CH57" i="47" s="1"/>
  <c r="CC35" i="47"/>
  <c r="CG35" i="47" s="1"/>
  <c r="CD61" i="47"/>
  <c r="CH61" i="47" s="1"/>
  <c r="CC23" i="39"/>
  <c r="CG23" i="39" s="1"/>
  <c r="CC69" i="48"/>
  <c r="CG69" i="48" s="1"/>
  <c r="CC71" i="48"/>
  <c r="CG71" i="48" s="1"/>
  <c r="CD85" i="49"/>
  <c r="CH85" i="49" s="1"/>
  <c r="CC79" i="49"/>
  <c r="CG79" i="49" s="1"/>
  <c r="CD46" i="48"/>
  <c r="CH46" i="48" s="1"/>
  <c r="CD70" i="47"/>
  <c r="CH70" i="47" s="1"/>
  <c r="CD51" i="42"/>
  <c r="CH51" i="42" s="1"/>
  <c r="CC93" i="49"/>
  <c r="CG93" i="49" s="1"/>
  <c r="CC80" i="48"/>
  <c r="CG80" i="48" s="1"/>
  <c r="CC22" i="48"/>
  <c r="CG22" i="48" s="1"/>
  <c r="CD30" i="48"/>
  <c r="CH30" i="48" s="1"/>
  <c r="CD69" i="47"/>
  <c r="CH69" i="47" s="1"/>
  <c r="CD54" i="39"/>
  <c r="CH54" i="39" s="1"/>
  <c r="CC80" i="47"/>
  <c r="CG80" i="47" s="1"/>
  <c r="CD18" i="46"/>
  <c r="CH18" i="46" s="1"/>
  <c r="CD68" i="41"/>
  <c r="CH68" i="41" s="1"/>
  <c r="CC25" i="48"/>
  <c r="CG25" i="48" s="1"/>
  <c r="CC46" i="49"/>
  <c r="CG46" i="49" s="1"/>
  <c r="CD90" i="49"/>
  <c r="CH90" i="49" s="1"/>
  <c r="CD20" i="49"/>
  <c r="CH20" i="49" s="1"/>
  <c r="CC72" i="47"/>
  <c r="CG72" i="47" s="1"/>
  <c r="CD53" i="47"/>
  <c r="CH53" i="47" s="1"/>
  <c r="CD61" i="48"/>
  <c r="CH61" i="48" s="1"/>
  <c r="CC32" i="48"/>
  <c r="CG32" i="48" s="1"/>
  <c r="CC57" i="49"/>
  <c r="CG57" i="49" s="1"/>
  <c r="CD39" i="47"/>
  <c r="CH39" i="47" s="1"/>
  <c r="CC88" i="47"/>
  <c r="CG88" i="47" s="1"/>
  <c r="CC21" i="48"/>
  <c r="CG21" i="48" s="1"/>
  <c r="CC26" i="48"/>
  <c r="CG26" i="48" s="1"/>
  <c r="CD92" i="48"/>
  <c r="CH92" i="48" s="1"/>
  <c r="CD32" i="47"/>
  <c r="CH32" i="47" s="1"/>
  <c r="CC99" i="49"/>
  <c r="CG99" i="49" s="1"/>
  <c r="CC64" i="48"/>
  <c r="CG64" i="48" s="1"/>
  <c r="CC77" i="46"/>
  <c r="CG77" i="46" s="1"/>
  <c r="CD73" i="49"/>
  <c r="CH73" i="49" s="1"/>
  <c r="CD25" i="48"/>
  <c r="CH25" i="48" s="1"/>
  <c r="CD33" i="47"/>
  <c r="CH33" i="47" s="1"/>
  <c r="CD101" i="46"/>
  <c r="CH101" i="46" s="1"/>
  <c r="CD99" i="49"/>
  <c r="CH99" i="49" s="1"/>
  <c r="CD72" i="49"/>
  <c r="CH72" i="49" s="1"/>
  <c r="CD40" i="48"/>
  <c r="CH40" i="48" s="1"/>
  <c r="CC105" i="48"/>
  <c r="CG105" i="48" s="1"/>
  <c r="CC70" i="49"/>
  <c r="CG70" i="49" s="1"/>
  <c r="CD92" i="49"/>
  <c r="CH92" i="49" s="1"/>
  <c r="CD50" i="48"/>
  <c r="CH50" i="48" s="1"/>
  <c r="CC100" i="47"/>
  <c r="CG100" i="47" s="1"/>
  <c r="CC102" i="48"/>
  <c r="CG102" i="48" s="1"/>
  <c r="CD28" i="48"/>
  <c r="CH28" i="48" s="1"/>
  <c r="CD44" i="48"/>
  <c r="CH44" i="48" s="1"/>
  <c r="CD35" i="47"/>
  <c r="CH35" i="47" s="1"/>
  <c r="CC95" i="49"/>
  <c r="CG95" i="49" s="1"/>
  <c r="CD62" i="48"/>
  <c r="CH62" i="48" s="1"/>
  <c r="CD45" i="48"/>
  <c r="CH45" i="48" s="1"/>
  <c r="CD69" i="49"/>
  <c r="CH69" i="49" s="1"/>
  <c r="CC59" i="48"/>
  <c r="CG59" i="48" s="1"/>
  <c r="CC101" i="47"/>
  <c r="CG101" i="47" s="1"/>
  <c r="CD40" i="47"/>
  <c r="CH40" i="47" s="1"/>
  <c r="CD96" i="46"/>
  <c r="CH96" i="46" s="1"/>
  <c r="CD52" i="47"/>
  <c r="CH52" i="47" s="1"/>
  <c r="CD75" i="47"/>
  <c r="CH75" i="47" s="1"/>
  <c r="CC94" i="49"/>
  <c r="CG94" i="49" s="1"/>
  <c r="CC72" i="48"/>
  <c r="CG72" i="48" s="1"/>
  <c r="CD98" i="49"/>
  <c r="CH98" i="49" s="1"/>
  <c r="CC39" i="48"/>
  <c r="CG39" i="48" s="1"/>
  <c r="CD58" i="48"/>
  <c r="CH58" i="48" s="1"/>
  <c r="CD65" i="49"/>
  <c r="CH65" i="49" s="1"/>
  <c r="CD97" i="49"/>
  <c r="CH97" i="49" s="1"/>
  <c r="CD65" i="48"/>
  <c r="CH65" i="48" s="1"/>
  <c r="CD67" i="49"/>
  <c r="CH67" i="49" s="1"/>
  <c r="CD43" i="49"/>
  <c r="CH43" i="49" s="1"/>
  <c r="CD102" i="49"/>
  <c r="CH102" i="49" s="1"/>
  <c r="CD103" i="48"/>
  <c r="CH103" i="48" s="1"/>
  <c r="CD48" i="48"/>
  <c r="CH48" i="48" s="1"/>
  <c r="CD105" i="49"/>
  <c r="CH105" i="49" s="1"/>
  <c r="CC30" i="49"/>
  <c r="CG30" i="49" s="1"/>
  <c r="CD47" i="48"/>
  <c r="CH47" i="48" s="1"/>
  <c r="CC89" i="48"/>
  <c r="CG89" i="48" s="1"/>
  <c r="CC23" i="49"/>
  <c r="CG23" i="49" s="1"/>
  <c r="CC80" i="49"/>
  <c r="CG80" i="49" s="1"/>
  <c r="CD42" i="49"/>
  <c r="CH42" i="49" s="1"/>
  <c r="CC68" i="48"/>
  <c r="CG68" i="48" s="1"/>
  <c r="CD23" i="48"/>
  <c r="CH23" i="48" s="1"/>
  <c r="CC54" i="49"/>
  <c r="CG54" i="49" s="1"/>
  <c r="CC18" i="49"/>
  <c r="CG18" i="49" s="1"/>
  <c r="CD22" i="46"/>
  <c r="CH22" i="46" s="1"/>
  <c r="CC19" i="49"/>
  <c r="CG19" i="49" s="1"/>
  <c r="CD57" i="48"/>
  <c r="CH57" i="48" s="1"/>
  <c r="CC33" i="48"/>
  <c r="CG33" i="48" s="1"/>
  <c r="CD55" i="49"/>
  <c r="CH55" i="49" s="1"/>
  <c r="CC51" i="48"/>
  <c r="CG51" i="48" s="1"/>
  <c r="CD73" i="48"/>
  <c r="CH73" i="48" s="1"/>
  <c r="CC19" i="48"/>
  <c r="CG19" i="48" s="1"/>
  <c r="CC40" i="49"/>
  <c r="CG40" i="49" s="1"/>
  <c r="CD80" i="49"/>
  <c r="CH80" i="49" s="1"/>
  <c r="CD27" i="49"/>
  <c r="CH27" i="49" s="1"/>
  <c r="CD95" i="48"/>
  <c r="CH95" i="48" s="1"/>
  <c r="CC51" i="49"/>
  <c r="CG51" i="49" s="1"/>
  <c r="CD53" i="49"/>
  <c r="CH53" i="49" s="1"/>
  <c r="CC38" i="49"/>
  <c r="CG38" i="49" s="1"/>
  <c r="CC32" i="49"/>
  <c r="CG32" i="49" s="1"/>
  <c r="CC18" i="48"/>
  <c r="CG18" i="48" s="1"/>
  <c r="CD80" i="48"/>
  <c r="CH80" i="48" s="1"/>
  <c r="CC23" i="48"/>
  <c r="CG23" i="48" s="1"/>
  <c r="CD33" i="49"/>
  <c r="CH33" i="49" s="1"/>
  <c r="CC86" i="49"/>
  <c r="CG86" i="49" s="1"/>
  <c r="CC56" i="49"/>
  <c r="CG56" i="49" s="1"/>
  <c r="CD82" i="48"/>
  <c r="CH82" i="48" s="1"/>
  <c r="CC61" i="48"/>
  <c r="CG61" i="48" s="1"/>
  <c r="CC50" i="48"/>
  <c r="CG50" i="48" s="1"/>
  <c r="CD19" i="49"/>
  <c r="CH19" i="49" s="1"/>
  <c r="CC52" i="49"/>
  <c r="CG52" i="49" s="1"/>
  <c r="CD37" i="49"/>
  <c r="CH37" i="49" s="1"/>
  <c r="CC42" i="48"/>
  <c r="CG42" i="48" s="1"/>
  <c r="CD39" i="48"/>
  <c r="CH39" i="48" s="1"/>
  <c r="CD43" i="48"/>
  <c r="CH43" i="48" s="1"/>
  <c r="CC16" i="49"/>
  <c r="CG16" i="49" s="1"/>
  <c r="CC17" i="49"/>
  <c r="CG17" i="49" s="1"/>
  <c r="CD63" i="49"/>
  <c r="CH63" i="49" s="1"/>
  <c r="CD41" i="48"/>
  <c r="CH41" i="48" s="1"/>
  <c r="CD34" i="49"/>
  <c r="CH34" i="49" s="1"/>
  <c r="CC41" i="49"/>
  <c r="CG41" i="49" s="1"/>
  <c r="CC86" i="48"/>
  <c r="CG86" i="48" s="1"/>
  <c r="CD20" i="48"/>
  <c r="CH20" i="48" s="1"/>
  <c r="CD53" i="48"/>
  <c r="CH53" i="48" s="1"/>
  <c r="CD32" i="49"/>
  <c r="CH32" i="49" s="1"/>
  <c r="CD89" i="48"/>
  <c r="CH89" i="48" s="1"/>
  <c r="CC78" i="48"/>
  <c r="CG78" i="48" s="1"/>
  <c r="CD77" i="48"/>
  <c r="CH77" i="48" s="1"/>
  <c r="CC46" i="48"/>
  <c r="CG46" i="48" s="1"/>
  <c r="CC37" i="49"/>
  <c r="CG37" i="49" s="1"/>
  <c r="CC28" i="48"/>
  <c r="CG28" i="48" s="1"/>
  <c r="CC67" i="48"/>
  <c r="CG67" i="48" s="1"/>
  <c r="CC62" i="48"/>
  <c r="CG62" i="48" s="1"/>
  <c r="CC77" i="49"/>
  <c r="CG77" i="49" s="1"/>
  <c r="CD52" i="49"/>
  <c r="CH52" i="49" s="1"/>
  <c r="CD26" i="48"/>
  <c r="CH26" i="48" s="1"/>
  <c r="CC65" i="48"/>
  <c r="CG65" i="48" s="1"/>
  <c r="CD38" i="48"/>
  <c r="CH38" i="48" s="1"/>
  <c r="CC84" i="48"/>
  <c r="CG84" i="48" s="1"/>
  <c r="CC90" i="49"/>
  <c r="CG90" i="49" s="1"/>
  <c r="CC27" i="49"/>
  <c r="CG27" i="49" s="1"/>
  <c r="CD62" i="49"/>
  <c r="CH62" i="49" s="1"/>
  <c r="CD61" i="46"/>
  <c r="CH61" i="46" s="1"/>
  <c r="CD90" i="48"/>
  <c r="CH90" i="48" s="1"/>
  <c r="CD55" i="48"/>
  <c r="CH55" i="48" s="1"/>
  <c r="CD99" i="48"/>
  <c r="CH99" i="48" s="1"/>
  <c r="CC79" i="48"/>
  <c r="CG79" i="48" s="1"/>
  <c r="CD86" i="48"/>
  <c r="CH86" i="48" s="1"/>
  <c r="CC17" i="48"/>
  <c r="CG17" i="48" s="1"/>
  <c r="CC16" i="48"/>
  <c r="CG16" i="48" s="1"/>
  <c r="CD84" i="48"/>
  <c r="CH84" i="48" s="1"/>
  <c r="CC78" i="49"/>
  <c r="CG78" i="49" s="1"/>
  <c r="CC44" i="49"/>
  <c r="CG44" i="49" s="1"/>
  <c r="CC102" i="49"/>
  <c r="CG102" i="49" s="1"/>
  <c r="CD70" i="48"/>
  <c r="CH70" i="48" s="1"/>
  <c r="CC38" i="48"/>
  <c r="CG38" i="48" s="1"/>
  <c r="CD16" i="48"/>
  <c r="CH16" i="48" s="1"/>
  <c r="CD17" i="48"/>
  <c r="CH17" i="48" s="1"/>
  <c r="CC81" i="49"/>
  <c r="CG81" i="49" s="1"/>
  <c r="CC87" i="49"/>
  <c r="CG87" i="49" s="1"/>
  <c r="CD32" i="48"/>
  <c r="CH32" i="48" s="1"/>
  <c r="CD71" i="48"/>
  <c r="CH71" i="48" s="1"/>
  <c r="CD76" i="48"/>
  <c r="CH76" i="48" s="1"/>
  <c r="CC62" i="49"/>
  <c r="CG62" i="49" s="1"/>
  <c r="CD95" i="49"/>
  <c r="CH95" i="49" s="1"/>
  <c r="CD46" i="49"/>
  <c r="CH46" i="49" s="1"/>
  <c r="CD93" i="48"/>
  <c r="CH93" i="48" s="1"/>
  <c r="CC35" i="49"/>
  <c r="CG35" i="49" s="1"/>
  <c r="CD56" i="49"/>
  <c r="CH56" i="49" s="1"/>
  <c r="CC64" i="49"/>
  <c r="CG64" i="49" s="1"/>
  <c r="CC47" i="48"/>
  <c r="CG47" i="48" s="1"/>
  <c r="CD34" i="48"/>
  <c r="CH34" i="48" s="1"/>
  <c r="CD102" i="48"/>
  <c r="CH102" i="48" s="1"/>
  <c r="CC85" i="49"/>
  <c r="CG85" i="49" s="1"/>
  <c r="CD88" i="49"/>
  <c r="CH88" i="49" s="1"/>
  <c r="CD54" i="49"/>
  <c r="CH54" i="49" s="1"/>
  <c r="CD60" i="39"/>
  <c r="CH60" i="39" s="1"/>
  <c r="CC68" i="46"/>
  <c r="CG68" i="46" s="1"/>
  <c r="CD45" i="41"/>
  <c r="CH45" i="41" s="1"/>
  <c r="CD46" i="46"/>
  <c r="CH46" i="46" s="1"/>
  <c r="CD50" i="41"/>
  <c r="CH50" i="41" s="1"/>
  <c r="CC99" i="48"/>
  <c r="CG99" i="48" s="1"/>
  <c r="CC53" i="49"/>
  <c r="CG53" i="49" s="1"/>
  <c r="CD54" i="48"/>
  <c r="CH54" i="48" s="1"/>
  <c r="CC61" i="49"/>
  <c r="CG61" i="49" s="1"/>
  <c r="CD83" i="48"/>
  <c r="CH83" i="48" s="1"/>
  <c r="CD74" i="49"/>
  <c r="CH74" i="49" s="1"/>
  <c r="CC71" i="49"/>
  <c r="CG71" i="49" s="1"/>
  <c r="CC20" i="48"/>
  <c r="CG20" i="48" s="1"/>
  <c r="CD51" i="48"/>
  <c r="CH51" i="48" s="1"/>
  <c r="CD18" i="48"/>
  <c r="CH18" i="48" s="1"/>
  <c r="CC42" i="49"/>
  <c r="CG42" i="49" s="1"/>
  <c r="CD70" i="49"/>
  <c r="CH70" i="49" s="1"/>
  <c r="CC49" i="48"/>
  <c r="CG49" i="48" s="1"/>
  <c r="CD67" i="48"/>
  <c r="CH67" i="48" s="1"/>
  <c r="CD36" i="48"/>
  <c r="CH36" i="48" s="1"/>
  <c r="CC85" i="48"/>
  <c r="CG85" i="48" s="1"/>
  <c r="CC74" i="49"/>
  <c r="CG74" i="49" s="1"/>
  <c r="CD100" i="49"/>
  <c r="CH100" i="49" s="1"/>
  <c r="CC68" i="49"/>
  <c r="CG68" i="49" s="1"/>
  <c r="CC104" i="48"/>
  <c r="CG104" i="48" s="1"/>
  <c r="CC27" i="48"/>
  <c r="CG27" i="48" s="1"/>
  <c r="CC34" i="48"/>
  <c r="CG34" i="48" s="1"/>
  <c r="CD27" i="48"/>
  <c r="CH27" i="48" s="1"/>
  <c r="CD42" i="48"/>
  <c r="CH42" i="48" s="1"/>
  <c r="CD63" i="48"/>
  <c r="CH63" i="48" s="1"/>
  <c r="CC101" i="49"/>
  <c r="CG101" i="49" s="1"/>
  <c r="CD22" i="49"/>
  <c r="CH22" i="49" s="1"/>
  <c r="CD94" i="49"/>
  <c r="CH94" i="49" s="1"/>
  <c r="CC59" i="49"/>
  <c r="CG59" i="49" s="1"/>
  <c r="CC20" i="49"/>
  <c r="CG20" i="49" s="1"/>
  <c r="CC92" i="49"/>
  <c r="CG92" i="49" s="1"/>
  <c r="CC24" i="48"/>
  <c r="CG24" i="48" s="1"/>
  <c r="CC40" i="48"/>
  <c r="CG40" i="48" s="1"/>
  <c r="CD84" i="49"/>
  <c r="CH84" i="49" s="1"/>
  <c r="CD44" i="49"/>
  <c r="CH44" i="49" s="1"/>
  <c r="CC45" i="49"/>
  <c r="CG45" i="49" s="1"/>
  <c r="CD31" i="48"/>
  <c r="CH31" i="48" s="1"/>
  <c r="CD17" i="49"/>
  <c r="CH17" i="49" s="1"/>
  <c r="CD16" i="49"/>
  <c r="CH16" i="49" s="1"/>
  <c r="CD101" i="49"/>
  <c r="CH101" i="49" s="1"/>
  <c r="CC98" i="48"/>
  <c r="CG98" i="48" s="1"/>
  <c r="CD21" i="48"/>
  <c r="CH21" i="48" s="1"/>
  <c r="CD85" i="48"/>
  <c r="CH85" i="48" s="1"/>
  <c r="CC103" i="49"/>
  <c r="CG103" i="49" s="1"/>
  <c r="CD35" i="48"/>
  <c r="CH35" i="48" s="1"/>
  <c r="CC100" i="48"/>
  <c r="CG100" i="48" s="1"/>
  <c r="CC55" i="48"/>
  <c r="CG55" i="48" s="1"/>
  <c r="CD81" i="48"/>
  <c r="CH81" i="48" s="1"/>
  <c r="CC83" i="48"/>
  <c r="CG83" i="48" s="1"/>
  <c r="CC105" i="49"/>
  <c r="CG105" i="49" s="1"/>
  <c r="CC100" i="49"/>
  <c r="CG100" i="49" s="1"/>
  <c r="CC44" i="48"/>
  <c r="CG44" i="48" s="1"/>
  <c r="CC66" i="48"/>
  <c r="CG66" i="48" s="1"/>
  <c r="CD89" i="49"/>
  <c r="CH89" i="49" s="1"/>
  <c r="CD91" i="49"/>
  <c r="CH91" i="49" s="1"/>
  <c r="CC98" i="49"/>
  <c r="CG98" i="49" s="1"/>
  <c r="CC84" i="49"/>
  <c r="CG84" i="49" s="1"/>
  <c r="CC60" i="48"/>
  <c r="CG60" i="48" s="1"/>
  <c r="CD29" i="48"/>
  <c r="CH29" i="48" s="1"/>
  <c r="CC90" i="48"/>
  <c r="CG90" i="48" s="1"/>
  <c r="CC26" i="49"/>
  <c r="CG26" i="49" s="1"/>
  <c r="CD58" i="49"/>
  <c r="CH58" i="49" s="1"/>
  <c r="CC83" i="49"/>
  <c r="CG83" i="49" s="1"/>
  <c r="CA32" i="36"/>
  <c r="CD24" i="49"/>
  <c r="CH24" i="49" s="1"/>
  <c r="CD66" i="48"/>
  <c r="CH66" i="48" s="1"/>
  <c r="CC97" i="48"/>
  <c r="CG97" i="48" s="1"/>
  <c r="CC73" i="49"/>
  <c r="CG73" i="49" s="1"/>
  <c r="CC70" i="48"/>
  <c r="CG70" i="48" s="1"/>
  <c r="CC41" i="48"/>
  <c r="CG41" i="48" s="1"/>
  <c r="CD83" i="49"/>
  <c r="CH83" i="49" s="1"/>
  <c r="CD86" i="49"/>
  <c r="CH86" i="49" s="1"/>
  <c r="CD52" i="48"/>
  <c r="CH52" i="48" s="1"/>
  <c r="CC103" i="48"/>
  <c r="CG103" i="48" s="1"/>
  <c r="CD47" i="49"/>
  <c r="CH47" i="49" s="1"/>
  <c r="CD78" i="49"/>
  <c r="CH78" i="49" s="1"/>
  <c r="CD19" i="48"/>
  <c r="CH19" i="48" s="1"/>
  <c r="CC56" i="48"/>
  <c r="CG56" i="48" s="1"/>
  <c r="CD97" i="48"/>
  <c r="CH97" i="48" s="1"/>
  <c r="CC48" i="49"/>
  <c r="CG48" i="49" s="1"/>
  <c r="CD75" i="49"/>
  <c r="CH75" i="49" s="1"/>
  <c r="CC94" i="48"/>
  <c r="CG94" i="48" s="1"/>
  <c r="CC33" i="49"/>
  <c r="CG33" i="49" s="1"/>
  <c r="CC24" i="49"/>
  <c r="CG24" i="49" s="1"/>
  <c r="CC69" i="49"/>
  <c r="CG69" i="49" s="1"/>
  <c r="CD30" i="49"/>
  <c r="CH30" i="49" s="1"/>
  <c r="CD60" i="48"/>
  <c r="CH60" i="48" s="1"/>
  <c r="CC95" i="48"/>
  <c r="CG95" i="48" s="1"/>
  <c r="CC29" i="48"/>
  <c r="CG29" i="48" s="1"/>
  <c r="CC67" i="49"/>
  <c r="CG67" i="49" s="1"/>
  <c r="CC91" i="49"/>
  <c r="CG91" i="49" s="1"/>
  <c r="CD21" i="49"/>
  <c r="CH21" i="49" s="1"/>
  <c r="CD38" i="49"/>
  <c r="CH38" i="49" s="1"/>
  <c r="CC104" i="46"/>
  <c r="CG104" i="46" s="1"/>
  <c r="CC57" i="46"/>
  <c r="CG57" i="46" s="1"/>
  <c r="CD97" i="41"/>
  <c r="CH97" i="41" s="1"/>
  <c r="CD59" i="48"/>
  <c r="CH59" i="48" s="1"/>
  <c r="CC77" i="48"/>
  <c r="CG77" i="48" s="1"/>
  <c r="CC75" i="48"/>
  <c r="CG75" i="48" s="1"/>
  <c r="CC47" i="49"/>
  <c r="CG47" i="49" s="1"/>
  <c r="CC91" i="48"/>
  <c r="CG91" i="48" s="1"/>
  <c r="CD37" i="48"/>
  <c r="CH37" i="48" s="1"/>
  <c r="CC31" i="48"/>
  <c r="CG31" i="48" s="1"/>
  <c r="CC60" i="49"/>
  <c r="CG60" i="49" s="1"/>
  <c r="CD35" i="49"/>
  <c r="CH35" i="49" s="1"/>
  <c r="CD64" i="48"/>
  <c r="CH64" i="48" s="1"/>
  <c r="CC30" i="48"/>
  <c r="CG30" i="48" s="1"/>
  <c r="CD74" i="48"/>
  <c r="CH74" i="48" s="1"/>
  <c r="CD71" i="49"/>
  <c r="CH71" i="49" s="1"/>
  <c r="CC76" i="48"/>
  <c r="CG76" i="48" s="1"/>
  <c r="CC73" i="48"/>
  <c r="CG73" i="48" s="1"/>
  <c r="CC58" i="49"/>
  <c r="CG58" i="49" s="1"/>
  <c r="CD59" i="49"/>
  <c r="CH59" i="49" s="1"/>
  <c r="CC65" i="49"/>
  <c r="CG65" i="49" s="1"/>
  <c r="CD68" i="49"/>
  <c r="CH68" i="49" s="1"/>
  <c r="CD98" i="48"/>
  <c r="CH98" i="48" s="1"/>
  <c r="CD77" i="49"/>
  <c r="CH77" i="49" s="1"/>
  <c r="CC29" i="49"/>
  <c r="CG29" i="49" s="1"/>
  <c r="CD100" i="48"/>
  <c r="CH100" i="48" s="1"/>
  <c r="CD69" i="48"/>
  <c r="CH69" i="48" s="1"/>
  <c r="CC72" i="49"/>
  <c r="CG72" i="49" s="1"/>
  <c r="CD31" i="49"/>
  <c r="CH31" i="49" s="1"/>
  <c r="CD49" i="48"/>
  <c r="CH49" i="48" s="1"/>
  <c r="CD88" i="48"/>
  <c r="CH88" i="48" s="1"/>
  <c r="CD26" i="49"/>
  <c r="CH26" i="49" s="1"/>
  <c r="CD81" i="49"/>
  <c r="CH81" i="49" s="1"/>
  <c r="CC84" i="39"/>
  <c r="CG84" i="39" s="1"/>
  <c r="CC44" i="41"/>
  <c r="CG44" i="41" s="1"/>
  <c r="CC76" i="46"/>
  <c r="CG76" i="46" s="1"/>
  <c r="CA43" i="36"/>
  <c r="CC105" i="46"/>
  <c r="CG105" i="46" s="1"/>
  <c r="CD23" i="46"/>
  <c r="CH23" i="46" s="1"/>
  <c r="CC56" i="46"/>
  <c r="CG56" i="46" s="1"/>
  <c r="CB107" i="36"/>
  <c r="CA105" i="36"/>
  <c r="CC65" i="39"/>
  <c r="CG65" i="39" s="1"/>
  <c r="CC57" i="41"/>
  <c r="CG57" i="41" s="1"/>
  <c r="CD52" i="41"/>
  <c r="CH52" i="41" s="1"/>
  <c r="CC25" i="41"/>
  <c r="CG25" i="41" s="1"/>
  <c r="CD53" i="46"/>
  <c r="CH53" i="46" s="1"/>
  <c r="CD62" i="42"/>
  <c r="CH62" i="42" s="1"/>
  <c r="CD42" i="41"/>
  <c r="CH42" i="41" s="1"/>
  <c r="CC53" i="41"/>
  <c r="CG53" i="41" s="1"/>
  <c r="CC19" i="39"/>
  <c r="CG19" i="39" s="1"/>
  <c r="CD22" i="41"/>
  <c r="CH22" i="41" s="1"/>
  <c r="CC69" i="46"/>
  <c r="CG69" i="46" s="1"/>
  <c r="CC50" i="40"/>
  <c r="CG50" i="40" s="1"/>
  <c r="CD91" i="41"/>
  <c r="CH91" i="41" s="1"/>
  <c r="CD59" i="41"/>
  <c r="CH59" i="41" s="1"/>
  <c r="CC78" i="40"/>
  <c r="CG78" i="40" s="1"/>
  <c r="CD53" i="41"/>
  <c r="CH53" i="41" s="1"/>
  <c r="CC25" i="42"/>
  <c r="CG25" i="42" s="1"/>
  <c r="CD81" i="39"/>
  <c r="CH81" i="39" s="1"/>
  <c r="CC26" i="46"/>
  <c r="CG26" i="46" s="1"/>
  <c r="CD90" i="41"/>
  <c r="CH90" i="41" s="1"/>
  <c r="CC17" i="46"/>
  <c r="CG17" i="46" s="1"/>
  <c r="CD90" i="46"/>
  <c r="CH90" i="46" s="1"/>
  <c r="CC59" i="46"/>
  <c r="CG59" i="46" s="1"/>
  <c r="CC100" i="41"/>
  <c r="CG100" i="41" s="1"/>
  <c r="CD52" i="46"/>
  <c r="CH52" i="46" s="1"/>
  <c r="CC58" i="46"/>
  <c r="CG58" i="46" s="1"/>
  <c r="CD21" i="39"/>
  <c r="CH21" i="39" s="1"/>
  <c r="CC86" i="46"/>
  <c r="CG86" i="46" s="1"/>
  <c r="CC54" i="39"/>
  <c r="CG54" i="39" s="1"/>
  <c r="CD46" i="41"/>
  <c r="CH46" i="41" s="1"/>
  <c r="CC87" i="46"/>
  <c r="CG87" i="46" s="1"/>
  <c r="CD90" i="39"/>
  <c r="CH90" i="39" s="1"/>
  <c r="CC33" i="39"/>
  <c r="CG33" i="39" s="1"/>
  <c r="CC34" i="46"/>
  <c r="CG34" i="46" s="1"/>
  <c r="CC24" i="46"/>
  <c r="CG24" i="46" s="1"/>
  <c r="CC96" i="41"/>
  <c r="CG96" i="41" s="1"/>
  <c r="CC96" i="42"/>
  <c r="CG96" i="42" s="1"/>
  <c r="CC58" i="45"/>
  <c r="CG58" i="45" s="1"/>
  <c r="CC94" i="42"/>
  <c r="CG94" i="42" s="1"/>
  <c r="CC29" i="46"/>
  <c r="CG29" i="46" s="1"/>
  <c r="CC83" i="39"/>
  <c r="CG83" i="39" s="1"/>
  <c r="CD28" i="41"/>
  <c r="CH28" i="41" s="1"/>
  <c r="CC100" i="46"/>
  <c r="CG100" i="46" s="1"/>
  <c r="CC98" i="46"/>
  <c r="CG98" i="46" s="1"/>
  <c r="CC16" i="42"/>
  <c r="CG16" i="42" s="1"/>
  <c r="CD72" i="46"/>
  <c r="CH72" i="46" s="1"/>
  <c r="CD74" i="46"/>
  <c r="CH74" i="46" s="1"/>
  <c r="CD38" i="41"/>
  <c r="CH38" i="41" s="1"/>
  <c r="CC87" i="41"/>
  <c r="CG87" i="41" s="1"/>
  <c r="CC43" i="42"/>
  <c r="CG43" i="42" s="1"/>
  <c r="CC53" i="43"/>
  <c r="CG53" i="43" s="1"/>
  <c r="CB90" i="36"/>
  <c r="CD30" i="46"/>
  <c r="CH30" i="46" s="1"/>
  <c r="CA44" i="36"/>
  <c r="CC67" i="42"/>
  <c r="CG67" i="42" s="1"/>
  <c r="CC43" i="43"/>
  <c r="CG43" i="43" s="1"/>
  <c r="CC25" i="43"/>
  <c r="CG25" i="43" s="1"/>
  <c r="CD76" i="42"/>
  <c r="CH76" i="42" s="1"/>
  <c r="CB92" i="36"/>
  <c r="CD37" i="45"/>
  <c r="CH37" i="45" s="1"/>
  <c r="CD31" i="42"/>
  <c r="CH31" i="42" s="1"/>
  <c r="CC18" i="41"/>
  <c r="CG18" i="41" s="1"/>
  <c r="CC75" i="39"/>
  <c r="CG75" i="39" s="1"/>
  <c r="CC17" i="41"/>
  <c r="CG17" i="41" s="1"/>
  <c r="CA101" i="36"/>
  <c r="CD80" i="41"/>
  <c r="CH80" i="41" s="1"/>
  <c r="CD29" i="44"/>
  <c r="CH29" i="44" s="1"/>
  <c r="CB76" i="36"/>
  <c r="CB70" i="36"/>
  <c r="CD36" i="44"/>
  <c r="CH36" i="44" s="1"/>
  <c r="CC46" i="42"/>
  <c r="CG46" i="42" s="1"/>
  <c r="CC56" i="41"/>
  <c r="CG56" i="41" s="1"/>
  <c r="CB30" i="36"/>
  <c r="CD78" i="41"/>
  <c r="CH78" i="41" s="1"/>
  <c r="CB102" i="36"/>
  <c r="CD90" i="42"/>
  <c r="CH90" i="42" s="1"/>
  <c r="CC21" i="40"/>
  <c r="CG21" i="40" s="1"/>
  <c r="CD61" i="39"/>
  <c r="CH61" i="39" s="1"/>
  <c r="CB63" i="36"/>
  <c r="CC70" i="42"/>
  <c r="CG70" i="42" s="1"/>
  <c r="CA90" i="36"/>
  <c r="CC41" i="38"/>
  <c r="CG41" i="38" s="1"/>
  <c r="CD60" i="40"/>
  <c r="CH60" i="40" s="1"/>
  <c r="CC32" i="39"/>
  <c r="CG32" i="39" s="1"/>
  <c r="CD57" i="39"/>
  <c r="CH57" i="39" s="1"/>
  <c r="CC75" i="41"/>
  <c r="CG75" i="41" s="1"/>
  <c r="CC74" i="41"/>
  <c r="CG74" i="41" s="1"/>
  <c r="CD48" i="41"/>
  <c r="CH48" i="41" s="1"/>
  <c r="CC53" i="39"/>
  <c r="CG53" i="39" s="1"/>
  <c r="CD28" i="45"/>
  <c r="CH28" i="45" s="1"/>
  <c r="CC99" i="46"/>
  <c r="CG99" i="46" s="1"/>
  <c r="CD75" i="41"/>
  <c r="CH75" i="41" s="1"/>
  <c r="CC68" i="41"/>
  <c r="CG68" i="41" s="1"/>
  <c r="CD49" i="46"/>
  <c r="CH49" i="46" s="1"/>
  <c r="CC73" i="44"/>
  <c r="CG73" i="44" s="1"/>
  <c r="CC62" i="41"/>
  <c r="CG62" i="41" s="1"/>
  <c r="P7" i="24" a="1"/>
  <c r="P7" i="24" s="1"/>
  <c r="P6" i="24" a="1"/>
  <c r="P6" i="24" s="1"/>
  <c r="P4" i="24" a="1"/>
  <c r="P4" i="24" s="1"/>
  <c r="L7" i="24"/>
  <c r="CB37" i="36"/>
  <c r="CA117" i="36"/>
  <c r="CB79" i="36"/>
  <c r="CA81" i="36"/>
  <c r="CC34" i="44"/>
  <c r="CG34" i="44" s="1"/>
  <c r="CC63" i="46"/>
  <c r="CG63" i="46" s="1"/>
  <c r="CB74" i="36"/>
  <c r="CD45" i="45"/>
  <c r="CH45" i="45" s="1"/>
  <c r="CB100" i="36"/>
  <c r="CD42" i="43"/>
  <c r="CH42" i="43" s="1"/>
  <c r="CD65" i="39"/>
  <c r="CH65" i="39" s="1"/>
  <c r="CB38" i="36"/>
  <c r="CB53" i="36"/>
  <c r="CD87" i="39"/>
  <c r="CH87" i="39" s="1"/>
  <c r="CD77" i="42"/>
  <c r="CH77" i="42" s="1"/>
  <c r="CC88" i="46"/>
  <c r="CG88" i="46" s="1"/>
  <c r="CC52" i="46"/>
  <c r="CG52" i="46" s="1"/>
  <c r="CD104" i="46"/>
  <c r="CH104" i="46" s="1"/>
  <c r="CC32" i="46"/>
  <c r="CG32" i="46" s="1"/>
  <c r="CD27" i="46"/>
  <c r="CH27" i="46" s="1"/>
  <c r="CD73" i="46"/>
  <c r="CH73" i="46" s="1"/>
  <c r="CC16" i="46"/>
  <c r="CG16" i="46" s="1"/>
  <c r="CC101" i="46"/>
  <c r="CG101" i="46" s="1"/>
  <c r="CD71" i="46"/>
  <c r="CH71" i="46" s="1"/>
  <c r="CD31" i="46"/>
  <c r="CH31" i="46" s="1"/>
  <c r="CD47" i="46"/>
  <c r="CH47" i="46" s="1"/>
  <c r="CD48" i="46"/>
  <c r="CH48" i="46" s="1"/>
  <c r="CD75" i="46"/>
  <c r="CH75" i="46" s="1"/>
  <c r="CC62" i="46"/>
  <c r="CG62" i="46" s="1"/>
  <c r="CC33" i="46"/>
  <c r="CG33" i="46" s="1"/>
  <c r="CD85" i="46"/>
  <c r="CH85" i="46" s="1"/>
  <c r="CD28" i="46"/>
  <c r="CH28" i="46" s="1"/>
  <c r="CD86" i="46"/>
  <c r="CH86" i="46" s="1"/>
  <c r="CC80" i="46"/>
  <c r="CG80" i="46" s="1"/>
  <c r="CC67" i="46"/>
  <c r="CG67" i="46" s="1"/>
  <c r="CD17" i="46"/>
  <c r="CH17" i="46" s="1"/>
  <c r="CC94" i="46"/>
  <c r="CG94" i="46" s="1"/>
  <c r="CC31" i="46"/>
  <c r="CG31" i="46" s="1"/>
  <c r="CD77" i="46"/>
  <c r="CH77" i="46" s="1"/>
  <c r="CC30" i="46"/>
  <c r="CG30" i="46" s="1"/>
  <c r="CC28" i="46"/>
  <c r="CG28" i="46" s="1"/>
  <c r="CC37" i="46"/>
  <c r="CG37" i="46" s="1"/>
  <c r="CD44" i="46"/>
  <c r="CH44" i="46" s="1"/>
  <c r="CC73" i="46"/>
  <c r="CG73" i="46" s="1"/>
  <c r="CC71" i="46"/>
  <c r="CG71" i="46" s="1"/>
  <c r="CD59" i="46"/>
  <c r="CH59" i="46" s="1"/>
  <c r="CD29" i="46"/>
  <c r="CH29" i="46" s="1"/>
  <c r="CD94" i="46"/>
  <c r="CH94" i="46" s="1"/>
  <c r="CC27" i="46"/>
  <c r="CG27" i="46" s="1"/>
  <c r="CC38" i="45"/>
  <c r="CG38" i="45" s="1"/>
  <c r="CD101" i="45"/>
  <c r="CH101" i="45" s="1"/>
  <c r="CC46" i="45"/>
  <c r="CG46" i="45" s="1"/>
  <c r="CD42" i="45"/>
  <c r="CH42" i="45" s="1"/>
  <c r="CC89" i="45"/>
  <c r="CG89" i="45" s="1"/>
  <c r="CC25" i="45"/>
  <c r="CG25" i="45" s="1"/>
  <c r="CD96" i="44"/>
  <c r="CH96" i="44" s="1"/>
  <c r="CD76" i="44"/>
  <c r="CH76" i="44" s="1"/>
  <c r="CD48" i="44"/>
  <c r="CH48" i="44" s="1"/>
  <c r="CC101" i="44"/>
  <c r="CG101" i="44" s="1"/>
  <c r="CC76" i="44"/>
  <c r="CG76" i="44" s="1"/>
  <c r="CD47" i="44"/>
  <c r="CH47" i="44" s="1"/>
  <c r="CC24" i="44"/>
  <c r="CG24" i="44" s="1"/>
  <c r="CD22" i="44"/>
  <c r="CH22" i="44" s="1"/>
  <c r="CC47" i="44"/>
  <c r="CG47" i="44" s="1"/>
  <c r="CC78" i="43"/>
  <c r="CG78" i="43" s="1"/>
  <c r="CC35" i="43"/>
  <c r="CG35" i="43" s="1"/>
  <c r="CC30" i="43"/>
  <c r="CG30" i="43" s="1"/>
  <c r="CD103" i="43"/>
  <c r="CH103" i="43" s="1"/>
  <c r="CD47" i="43"/>
  <c r="CH47" i="43" s="1"/>
  <c r="CC100" i="43"/>
  <c r="CG100" i="43" s="1"/>
  <c r="CD104" i="42"/>
  <c r="CH104" i="42" s="1"/>
  <c r="CC26" i="42"/>
  <c r="CG26" i="42" s="1"/>
  <c r="CD93" i="42"/>
  <c r="CH93" i="42" s="1"/>
  <c r="CD26" i="42"/>
  <c r="CH26" i="42" s="1"/>
  <c r="CC90" i="42"/>
  <c r="CG90" i="42" s="1"/>
  <c r="CD27" i="42"/>
  <c r="CH27" i="42" s="1"/>
  <c r="CC31" i="42"/>
  <c r="CG31" i="42" s="1"/>
  <c r="CD91" i="42"/>
  <c r="CH91" i="42" s="1"/>
  <c r="CD59" i="42"/>
  <c r="CH59" i="42" s="1"/>
  <c r="CD20" i="42"/>
  <c r="CH20" i="42" s="1"/>
  <c r="CD95" i="41"/>
  <c r="CH95" i="41" s="1"/>
  <c r="CC97" i="41"/>
  <c r="CG97" i="41" s="1"/>
  <c r="CC71" i="41"/>
  <c r="CG71" i="41" s="1"/>
  <c r="CD39" i="41"/>
  <c r="CH39" i="41" s="1"/>
  <c r="CC98" i="41"/>
  <c r="CG98" i="41" s="1"/>
  <c r="CC38" i="41"/>
  <c r="CG38" i="41" s="1"/>
  <c r="CC70" i="41"/>
  <c r="CG70" i="41" s="1"/>
  <c r="CC67" i="41"/>
  <c r="CG67" i="41" s="1"/>
  <c r="CC37" i="41"/>
  <c r="CG37" i="41" s="1"/>
  <c r="CD37" i="41"/>
  <c r="CH37" i="41" s="1"/>
  <c r="CC34" i="41"/>
  <c r="CG34" i="41" s="1"/>
  <c r="CC60" i="41"/>
  <c r="CG60" i="41" s="1"/>
  <c r="CC86" i="41"/>
  <c r="CG86" i="41" s="1"/>
  <c r="CD24" i="41"/>
  <c r="CH24" i="41" s="1"/>
  <c r="CC55" i="41"/>
  <c r="CG55" i="41" s="1"/>
  <c r="CC49" i="41"/>
  <c r="CG49" i="41" s="1"/>
  <c r="CD94" i="41"/>
  <c r="CH94" i="41" s="1"/>
  <c r="CD103" i="41"/>
  <c r="CH103" i="41" s="1"/>
  <c r="CC33" i="41"/>
  <c r="CG33" i="41" s="1"/>
  <c r="CC77" i="41"/>
  <c r="CG77" i="41" s="1"/>
  <c r="CD105" i="41"/>
  <c r="CH105" i="41" s="1"/>
  <c r="CD39" i="40"/>
  <c r="CH39" i="40" s="1"/>
  <c r="CC28" i="40"/>
  <c r="CG28" i="40" s="1"/>
  <c r="CD22" i="40"/>
  <c r="CH22" i="40" s="1"/>
  <c r="CD33" i="40"/>
  <c r="CH33" i="40" s="1"/>
  <c r="CD29" i="40"/>
  <c r="CH29" i="40" s="1"/>
  <c r="CC87" i="40"/>
  <c r="CG87" i="40" s="1"/>
  <c r="CD101" i="39"/>
  <c r="CH101" i="39" s="1"/>
  <c r="CC68" i="39"/>
  <c r="CG68" i="39" s="1"/>
  <c r="CC104" i="39"/>
  <c r="CG104" i="39" s="1"/>
  <c r="CD43" i="39"/>
  <c r="CH43" i="39" s="1"/>
  <c r="CC51" i="39"/>
  <c r="CG51" i="39" s="1"/>
  <c r="CC42" i="39"/>
  <c r="CG42" i="39" s="1"/>
  <c r="CC43" i="39"/>
  <c r="CG43" i="39" s="1"/>
  <c r="CD86" i="39"/>
  <c r="CH86" i="39" s="1"/>
  <c r="CD52" i="39"/>
  <c r="CH52" i="39" s="1"/>
  <c r="CD66" i="39"/>
  <c r="CH66" i="39" s="1"/>
  <c r="CC76" i="39"/>
  <c r="CG76" i="39" s="1"/>
  <c r="CD105" i="39"/>
  <c r="CH105" i="39" s="1"/>
  <c r="CD28" i="39"/>
  <c r="CH28" i="39" s="1"/>
  <c r="CD55" i="39"/>
  <c r="CH55" i="39" s="1"/>
  <c r="CD56" i="39"/>
  <c r="CH56" i="39" s="1"/>
  <c r="CC31" i="39"/>
  <c r="CG31" i="39" s="1"/>
  <c r="CD95" i="39"/>
  <c r="CH95" i="39" s="1"/>
  <c r="CC66" i="39"/>
  <c r="CG66" i="39" s="1"/>
  <c r="CC60" i="39"/>
  <c r="CG60" i="39" s="1"/>
  <c r="CD64" i="39"/>
  <c r="CH64" i="39" s="1"/>
  <c r="CD42" i="39"/>
  <c r="CH42" i="39" s="1"/>
  <c r="CC52" i="39"/>
  <c r="CG52" i="39" s="1"/>
  <c r="CC105" i="39"/>
  <c r="CG105" i="39" s="1"/>
  <c r="CC78" i="39"/>
  <c r="CG78" i="39" s="1"/>
  <c r="CD27" i="39"/>
  <c r="CH27" i="39" s="1"/>
  <c r="CD45" i="39"/>
  <c r="CH45" i="39" s="1"/>
  <c r="CD71" i="39"/>
  <c r="CH71" i="39" s="1"/>
  <c r="CC30" i="39"/>
  <c r="CG30" i="39" s="1"/>
  <c r="CD41" i="39"/>
  <c r="CH41" i="39" s="1"/>
  <c r="CD72" i="39"/>
  <c r="CH72" i="39" s="1"/>
  <c r="CC40" i="38"/>
  <c r="CG40" i="38" s="1"/>
  <c r="CC19" i="38"/>
  <c r="CG19" i="38" s="1"/>
  <c r="CC60" i="38"/>
  <c r="CG60" i="38" s="1"/>
  <c r="CD22" i="38"/>
  <c r="CH22" i="38" s="1"/>
  <c r="CA99" i="36"/>
  <c r="CB113" i="36"/>
  <c r="CB97" i="36"/>
  <c r="CB109" i="36"/>
  <c r="CC33" i="40"/>
  <c r="CG33" i="40" s="1"/>
  <c r="CC18" i="40"/>
  <c r="CG18" i="40" s="1"/>
  <c r="CD104" i="40"/>
  <c r="CH104" i="40" s="1"/>
  <c r="CD30" i="40"/>
  <c r="CH30" i="40" s="1"/>
  <c r="CD37" i="40"/>
  <c r="CH37" i="40" s="1"/>
  <c r="CD66" i="40"/>
  <c r="CH66" i="40" s="1"/>
  <c r="CD74" i="40"/>
  <c r="CH74" i="40" s="1"/>
  <c r="CD67" i="46"/>
  <c r="CH67" i="46" s="1"/>
  <c r="CD25" i="46"/>
  <c r="CH25" i="46" s="1"/>
  <c r="CC95" i="46"/>
  <c r="CG95" i="46" s="1"/>
  <c r="CC19" i="46"/>
  <c r="CG19" i="46" s="1"/>
  <c r="CC20" i="46"/>
  <c r="CG20" i="46" s="1"/>
  <c r="CC79" i="46"/>
  <c r="CG79" i="46" s="1"/>
  <c r="CC91" i="46"/>
  <c r="CG91" i="46" s="1"/>
  <c r="CD51" i="46"/>
  <c r="CH51" i="46" s="1"/>
  <c r="CD50" i="46"/>
  <c r="CH50" i="46" s="1"/>
  <c r="CD24" i="46"/>
  <c r="CH24" i="46" s="1"/>
  <c r="CC18" i="46"/>
  <c r="CG18" i="46" s="1"/>
  <c r="CD79" i="46"/>
  <c r="CH79" i="46" s="1"/>
  <c r="CC65" i="46"/>
  <c r="CG65" i="46" s="1"/>
  <c r="CD32" i="46"/>
  <c r="CH32" i="46" s="1"/>
  <c r="CD91" i="46"/>
  <c r="CH91" i="46" s="1"/>
  <c r="CC72" i="46"/>
  <c r="CG72" i="46" s="1"/>
  <c r="CC64" i="46"/>
  <c r="CG64" i="46" s="1"/>
  <c r="CD105" i="46"/>
  <c r="CH105" i="46" s="1"/>
  <c r="CD58" i="46"/>
  <c r="CH58" i="46" s="1"/>
  <c r="CD68" i="46"/>
  <c r="CH68" i="46" s="1"/>
  <c r="CD56" i="46"/>
  <c r="CH56" i="46" s="1"/>
  <c r="CC49" i="46"/>
  <c r="CG49" i="46" s="1"/>
  <c r="CD89" i="46"/>
  <c r="CH89" i="46" s="1"/>
  <c r="CC66" i="46"/>
  <c r="CG66" i="46" s="1"/>
  <c r="CC70" i="46"/>
  <c r="CG70" i="46" s="1"/>
  <c r="CD84" i="46"/>
  <c r="CH84" i="46" s="1"/>
  <c r="CD69" i="46"/>
  <c r="CH69" i="46" s="1"/>
  <c r="CD60" i="46"/>
  <c r="CH60" i="46" s="1"/>
  <c r="CC43" i="46"/>
  <c r="CG43" i="46" s="1"/>
  <c r="CC65" i="45"/>
  <c r="CG65" i="45" s="1"/>
  <c r="CC54" i="45"/>
  <c r="CG54" i="45" s="1"/>
  <c r="CC42" i="45"/>
  <c r="CG42" i="45" s="1"/>
  <c r="CD85" i="45"/>
  <c r="CH85" i="45" s="1"/>
  <c r="CC95" i="45"/>
  <c r="CG95" i="45" s="1"/>
  <c r="CD98" i="45"/>
  <c r="CH98" i="45" s="1"/>
  <c r="CD66" i="45"/>
  <c r="CH66" i="45" s="1"/>
  <c r="CD27" i="45"/>
  <c r="CH27" i="45" s="1"/>
  <c r="CD58" i="45"/>
  <c r="CH58" i="45" s="1"/>
  <c r="CD59" i="45"/>
  <c r="CH59" i="45" s="1"/>
  <c r="CC82" i="45"/>
  <c r="CG82" i="45" s="1"/>
  <c r="CD55" i="45"/>
  <c r="CH55" i="45" s="1"/>
  <c r="CD19" i="44"/>
  <c r="CH19" i="44" s="1"/>
  <c r="CC100" i="44"/>
  <c r="CG100" i="44" s="1"/>
  <c r="CD94" i="43"/>
  <c r="CH94" i="43" s="1"/>
  <c r="CC99" i="43"/>
  <c r="CG99" i="43" s="1"/>
  <c r="CD82" i="43"/>
  <c r="CH82" i="43" s="1"/>
  <c r="CD40" i="43"/>
  <c r="CH40" i="43" s="1"/>
  <c r="CC88" i="43"/>
  <c r="CG88" i="43" s="1"/>
  <c r="CD95" i="42"/>
  <c r="CH95" i="42" s="1"/>
  <c r="CC81" i="42"/>
  <c r="CG81" i="42" s="1"/>
  <c r="CD16" i="42"/>
  <c r="CH16" i="42" s="1"/>
  <c r="CC80" i="42"/>
  <c r="CG80" i="42" s="1"/>
  <c r="CC82" i="42"/>
  <c r="CG82" i="42" s="1"/>
  <c r="CD72" i="42"/>
  <c r="CH72" i="42" s="1"/>
  <c r="CC17" i="42"/>
  <c r="CG17" i="42" s="1"/>
  <c r="CC22" i="42"/>
  <c r="CG22" i="42" s="1"/>
  <c r="CC57" i="42"/>
  <c r="CG57" i="42" s="1"/>
  <c r="CC98" i="42"/>
  <c r="CG98" i="42" s="1"/>
  <c r="CC32" i="42"/>
  <c r="CG32" i="42" s="1"/>
  <c r="CC26" i="41"/>
  <c r="CG26" i="41" s="1"/>
  <c r="CD64" i="41"/>
  <c r="CH64" i="41" s="1"/>
  <c r="CC27" i="41"/>
  <c r="CG27" i="41" s="1"/>
  <c r="CD29" i="41"/>
  <c r="CH29" i="41" s="1"/>
  <c r="CC48" i="41"/>
  <c r="CG48" i="41" s="1"/>
  <c r="CD30" i="41"/>
  <c r="CH30" i="41" s="1"/>
  <c r="CD65" i="41"/>
  <c r="CH65" i="41" s="1"/>
  <c r="CC66" i="41"/>
  <c r="CG66" i="41" s="1"/>
  <c r="CC45" i="41"/>
  <c r="CG45" i="41" s="1"/>
  <c r="CC47" i="41"/>
  <c r="CG47" i="41" s="1"/>
  <c r="CC101" i="41"/>
  <c r="CG101" i="41" s="1"/>
  <c r="CD101" i="41"/>
  <c r="CH101" i="41" s="1"/>
  <c r="CD23" i="41"/>
  <c r="CH23" i="41" s="1"/>
  <c r="CC31" i="41"/>
  <c r="CG31" i="41" s="1"/>
  <c r="CD31" i="41"/>
  <c r="CH31" i="41" s="1"/>
  <c r="CD47" i="41"/>
  <c r="CH47" i="41" s="1"/>
  <c r="CD79" i="41"/>
  <c r="CH79" i="41" s="1"/>
  <c r="CD66" i="41"/>
  <c r="CH66" i="41" s="1"/>
  <c r="CD85" i="41"/>
  <c r="CH85" i="41" s="1"/>
  <c r="CC90" i="41"/>
  <c r="CG90" i="41" s="1"/>
  <c r="CC88" i="41"/>
  <c r="CG88" i="41" s="1"/>
  <c r="CD32" i="41"/>
  <c r="CH32" i="41" s="1"/>
  <c r="CD58" i="41"/>
  <c r="CH58" i="41" s="1"/>
  <c r="CD43" i="41"/>
  <c r="CH43" i="41" s="1"/>
  <c r="CD86" i="41"/>
  <c r="CH86" i="41" s="1"/>
  <c r="CD57" i="41"/>
  <c r="CH57" i="41" s="1"/>
  <c r="CD67" i="41"/>
  <c r="CH67" i="41" s="1"/>
  <c r="CC102" i="41"/>
  <c r="CG102" i="41" s="1"/>
  <c r="CC82" i="41"/>
  <c r="CG82" i="41" s="1"/>
  <c r="CC30" i="41"/>
  <c r="CG30" i="41" s="1"/>
  <c r="CD81" i="41"/>
  <c r="CH81" i="41" s="1"/>
  <c r="CB60" i="36"/>
  <c r="CB23" i="36"/>
  <c r="CA116" i="36"/>
  <c r="CB34" i="36"/>
  <c r="CA102" i="36"/>
  <c r="CB103" i="36"/>
  <c r="CB44" i="36"/>
  <c r="CA59" i="36"/>
  <c r="CA22" i="36"/>
  <c r="CA87" i="36"/>
  <c r="CB55" i="36"/>
  <c r="CD25" i="39"/>
  <c r="CH25" i="39" s="1"/>
  <c r="CD82" i="39"/>
  <c r="CH82" i="39" s="1"/>
  <c r="CD83" i="39"/>
  <c r="CH83" i="39" s="1"/>
  <c r="CD34" i="39"/>
  <c r="CH34" i="39" s="1"/>
  <c r="CD32" i="39"/>
  <c r="CH32" i="39" s="1"/>
  <c r="CC69" i="39"/>
  <c r="CG69" i="39" s="1"/>
  <c r="CD78" i="39"/>
  <c r="CH78" i="39" s="1"/>
  <c r="CC74" i="39"/>
  <c r="CG74" i="39" s="1"/>
  <c r="CD35" i="39"/>
  <c r="CH35" i="39" s="1"/>
  <c r="CC64" i="39"/>
  <c r="CG64" i="39" s="1"/>
  <c r="CD26" i="39"/>
  <c r="CH26" i="39" s="1"/>
  <c r="CC99" i="39"/>
  <c r="CG99" i="39" s="1"/>
  <c r="CC98" i="39"/>
  <c r="CG98" i="39" s="1"/>
  <c r="CC55" i="39"/>
  <c r="CG55" i="39" s="1"/>
  <c r="CD63" i="39"/>
  <c r="CH63" i="39" s="1"/>
  <c r="CC77" i="39"/>
  <c r="CG77" i="39" s="1"/>
  <c r="CC56" i="39"/>
  <c r="CG56" i="39" s="1"/>
  <c r="CC79" i="39"/>
  <c r="CG79" i="39" s="1"/>
  <c r="CD62" i="39"/>
  <c r="CH62" i="39" s="1"/>
  <c r="CC101" i="39"/>
  <c r="CG101" i="39" s="1"/>
  <c r="CD46" i="39"/>
  <c r="CH46" i="39" s="1"/>
  <c r="CC103" i="39"/>
  <c r="CG103" i="39" s="1"/>
  <c r="CD44" i="39"/>
  <c r="CH44" i="39" s="1"/>
  <c r="CD47" i="39"/>
  <c r="CH47" i="39" s="1"/>
  <c r="CD70" i="39"/>
  <c r="CH70" i="39" s="1"/>
  <c r="CD51" i="39"/>
  <c r="CH51" i="39" s="1"/>
  <c r="CC71" i="39"/>
  <c r="CG71" i="39" s="1"/>
  <c r="CC87" i="39"/>
  <c r="CG87" i="39" s="1"/>
  <c r="CD77" i="39"/>
  <c r="CH77" i="39" s="1"/>
  <c r="CC39" i="39"/>
  <c r="CG39" i="39" s="1"/>
  <c r="CD85" i="39"/>
  <c r="CH85" i="39" s="1"/>
  <c r="CD84" i="39"/>
  <c r="CH84" i="39" s="1"/>
  <c r="CD40" i="39"/>
  <c r="CH40" i="39" s="1"/>
  <c r="CD103" i="39"/>
  <c r="CH103" i="39" s="1"/>
  <c r="CC72" i="39"/>
  <c r="CG72" i="39" s="1"/>
  <c r="CC73" i="39"/>
  <c r="CG73" i="39" s="1"/>
  <c r="CD23" i="39"/>
  <c r="CH23" i="39" s="1"/>
  <c r="CC70" i="39"/>
  <c r="CG70" i="39" s="1"/>
  <c r="CD50" i="39"/>
  <c r="CH50" i="39" s="1"/>
  <c r="CC46" i="39"/>
  <c r="CG46" i="39" s="1"/>
  <c r="CC85" i="38"/>
  <c r="CG85" i="38" s="1"/>
  <c r="CD96" i="38"/>
  <c r="CH96" i="38" s="1"/>
  <c r="CC30" i="38"/>
  <c r="CG30" i="38" s="1"/>
  <c r="CC61" i="38"/>
  <c r="CG61" i="38" s="1"/>
  <c r="CD60" i="38"/>
  <c r="CH60" i="38" s="1"/>
  <c r="CC53" i="38"/>
  <c r="CG53" i="38" s="1"/>
  <c r="CC51" i="38"/>
  <c r="CG51" i="38" s="1"/>
  <c r="CC47" i="38"/>
  <c r="CG47" i="38" s="1"/>
  <c r="CC42" i="38"/>
  <c r="CG42" i="38" s="1"/>
  <c r="CD29" i="38"/>
  <c r="CH29" i="38" s="1"/>
  <c r="CC35" i="38"/>
  <c r="CG35" i="38" s="1"/>
  <c r="CC103" i="38"/>
  <c r="CG103" i="38" s="1"/>
  <c r="CD66" i="38"/>
  <c r="CH66" i="38" s="1"/>
  <c r="CA110" i="36"/>
  <c r="CD104" i="38"/>
  <c r="CH104" i="38" s="1"/>
  <c r="CD93" i="38"/>
  <c r="CH93" i="38" s="1"/>
  <c r="CD42" i="38"/>
  <c r="CH42" i="38" s="1"/>
  <c r="CD84" i="40"/>
  <c r="CH84" i="40" s="1"/>
  <c r="CD75" i="45"/>
  <c r="CH75" i="45" s="1"/>
  <c r="CD79" i="45"/>
  <c r="CH79" i="45" s="1"/>
  <c r="CC66" i="42"/>
  <c r="CG66" i="42" s="1"/>
  <c r="CD88" i="46"/>
  <c r="CH88" i="46" s="1"/>
  <c r="CD85" i="44"/>
  <c r="CH85" i="44" s="1"/>
  <c r="CC40" i="44"/>
  <c r="CG40" i="44" s="1"/>
  <c r="CC67" i="38"/>
  <c r="CG67" i="38" s="1"/>
  <c r="CC105" i="43"/>
  <c r="CG105" i="43" s="1"/>
  <c r="CC71" i="44"/>
  <c r="CG71" i="44" s="1"/>
  <c r="CD94" i="45"/>
  <c r="CH94" i="45" s="1"/>
  <c r="CD91" i="40"/>
  <c r="CH91" i="40" s="1"/>
  <c r="CD100" i="39"/>
  <c r="CH100" i="39" s="1"/>
  <c r="CD77" i="41"/>
  <c r="CH77" i="41" s="1"/>
  <c r="CC93" i="38"/>
  <c r="CG93" i="38" s="1"/>
  <c r="CD105" i="44"/>
  <c r="CH105" i="44" s="1"/>
  <c r="CC85" i="42"/>
  <c r="CG85" i="42" s="1"/>
  <c r="CD49" i="45"/>
  <c r="CH49" i="45" s="1"/>
  <c r="CC76" i="41"/>
  <c r="CG76" i="41" s="1"/>
  <c r="CC92" i="39"/>
  <c r="CG92" i="39" s="1"/>
  <c r="CD100" i="46"/>
  <c r="CH100" i="46" s="1"/>
  <c r="CC54" i="41"/>
  <c r="CG54" i="41" s="1"/>
  <c r="CA56" i="36"/>
  <c r="CD97" i="39"/>
  <c r="CH97" i="39" s="1"/>
  <c r="CA93" i="36"/>
  <c r="CA73" i="36"/>
  <c r="CA49" i="36"/>
  <c r="CB72" i="36"/>
  <c r="CA20" i="36"/>
  <c r="CA109" i="36"/>
  <c r="CC100" i="38"/>
  <c r="CG100" i="38" s="1"/>
  <c r="CD37" i="38"/>
  <c r="CH37" i="38" s="1"/>
  <c r="CD90" i="38"/>
  <c r="CH90" i="38" s="1"/>
  <c r="CD59" i="40"/>
  <c r="CH59" i="40" s="1"/>
  <c r="CC105" i="40"/>
  <c r="CG105" i="40" s="1"/>
  <c r="CC66" i="40"/>
  <c r="CG66" i="40" s="1"/>
  <c r="CC69" i="45"/>
  <c r="CG69" i="45" s="1"/>
  <c r="CC30" i="42"/>
  <c r="CG30" i="42" s="1"/>
  <c r="CD49" i="39"/>
  <c r="CH49" i="39" s="1"/>
  <c r="CC75" i="38"/>
  <c r="CG75" i="38" s="1"/>
  <c r="CC20" i="38"/>
  <c r="CG20" i="38" s="1"/>
  <c r="CD65" i="43"/>
  <c r="CH65" i="43" s="1"/>
  <c r="CD54" i="44"/>
  <c r="CH54" i="44" s="1"/>
  <c r="CC92" i="42"/>
  <c r="CG92" i="42" s="1"/>
  <c r="CC82" i="39"/>
  <c r="CG82" i="39" s="1"/>
  <c r="CC35" i="39"/>
  <c r="CG35" i="39" s="1"/>
  <c r="CD87" i="46"/>
  <c r="CH87" i="46" s="1"/>
  <c r="CC59" i="41"/>
  <c r="CG59" i="41" s="1"/>
  <c r="CD22" i="39"/>
  <c r="CH22" i="39" s="1"/>
  <c r="CD83" i="46"/>
  <c r="CH83" i="46" s="1"/>
  <c r="CD73" i="41"/>
  <c r="CH73" i="41" s="1"/>
  <c r="CC59" i="42"/>
  <c r="CG59" i="42" s="1"/>
  <c r="CC21" i="42"/>
  <c r="CG21" i="42" s="1"/>
  <c r="CC97" i="39"/>
  <c r="CG97" i="39" s="1"/>
  <c r="CB33" i="36"/>
  <c r="CB46" i="36"/>
  <c r="CC74" i="40"/>
  <c r="CG74" i="40" s="1"/>
  <c r="CC51" i="44"/>
  <c r="CG51" i="44" s="1"/>
  <c r="CD98" i="44"/>
  <c r="CH98" i="44" s="1"/>
  <c r="CC63" i="39"/>
  <c r="CG63" i="39" s="1"/>
  <c r="CC97" i="44"/>
  <c r="CG97" i="44" s="1"/>
  <c r="CC28" i="42"/>
  <c r="CG28" i="42" s="1"/>
  <c r="CC60" i="46"/>
  <c r="CG60" i="46" s="1"/>
  <c r="CD62" i="44"/>
  <c r="CH62" i="44" s="1"/>
  <c r="CD95" i="45"/>
  <c r="CH95" i="45" s="1"/>
  <c r="CD74" i="42"/>
  <c r="CH74" i="42" s="1"/>
  <c r="CC78" i="41"/>
  <c r="CG78" i="41" s="1"/>
  <c r="CC24" i="43"/>
  <c r="CG24" i="43" s="1"/>
  <c r="CC61" i="46"/>
  <c r="CG61" i="46" s="1"/>
  <c r="CC25" i="46"/>
  <c r="CG25" i="46" s="1"/>
  <c r="CD82" i="46"/>
  <c r="CH82" i="46" s="1"/>
  <c r="CC36" i="46"/>
  <c r="CG36" i="46" s="1"/>
  <c r="CD49" i="41"/>
  <c r="CH49" i="41" s="1"/>
  <c r="CD50" i="45"/>
  <c r="CH50" i="45" s="1"/>
  <c r="CC88" i="39"/>
  <c r="CG88" i="39" s="1"/>
  <c r="CD19" i="41"/>
  <c r="CH19" i="41" s="1"/>
  <c r="CD16" i="41"/>
  <c r="CH16" i="41" s="1"/>
  <c r="CC85" i="43"/>
  <c r="CG85" i="43" s="1"/>
  <c r="CD86" i="38"/>
  <c r="CH86" i="38" s="1"/>
  <c r="CC30" i="44"/>
  <c r="CG30" i="44" s="1"/>
  <c r="CD77" i="38"/>
  <c r="CH77" i="38" s="1"/>
  <c r="CD75" i="43"/>
  <c r="CH75" i="43" s="1"/>
  <c r="CC99" i="42"/>
  <c r="CG99" i="42" s="1"/>
  <c r="CA45" i="36"/>
  <c r="CB32" i="36"/>
  <c r="CB29" i="36"/>
  <c r="CB51" i="36"/>
  <c r="CA26" i="36"/>
  <c r="CD75" i="38"/>
  <c r="CH75" i="38" s="1"/>
  <c r="CD98" i="43"/>
  <c r="CH98" i="43" s="1"/>
  <c r="CC23" i="43"/>
  <c r="CG23" i="43" s="1"/>
  <c r="CD43" i="44"/>
  <c r="CH43" i="44" s="1"/>
  <c r="CC23" i="46"/>
  <c r="CG23" i="46" s="1"/>
  <c r="CC98" i="43"/>
  <c r="CG98" i="43" s="1"/>
  <c r="CC93" i="43"/>
  <c r="CG93" i="43" s="1"/>
  <c r="CD53" i="44"/>
  <c r="CH53" i="44" s="1"/>
  <c r="CC32" i="43"/>
  <c r="CG32" i="43" s="1"/>
  <c r="CD26" i="46"/>
  <c r="CH26" i="46" s="1"/>
  <c r="CD75" i="42"/>
  <c r="CH75" i="42" s="1"/>
  <c r="CD70" i="46"/>
  <c r="CH70" i="46" s="1"/>
  <c r="CC74" i="46"/>
  <c r="CG74" i="46" s="1"/>
  <c r="CD33" i="43"/>
  <c r="CH33" i="43" s="1"/>
  <c r="CC59" i="44"/>
  <c r="CG59" i="44" s="1"/>
  <c r="CC96" i="39"/>
  <c r="CG96" i="39" s="1"/>
  <c r="CA122" i="36"/>
  <c r="CD30" i="43"/>
  <c r="CH30" i="43" s="1"/>
  <c r="CC19" i="44"/>
  <c r="CG19" i="44" s="1"/>
  <c r="CC65" i="42"/>
  <c r="CG65" i="42" s="1"/>
  <c r="CD65" i="42"/>
  <c r="CH65" i="42" s="1"/>
  <c r="CD18" i="41"/>
  <c r="CH18" i="41" s="1"/>
  <c r="CC27" i="38"/>
  <c r="CG27" i="38" s="1"/>
  <c r="CC83" i="38"/>
  <c r="CG83" i="38" s="1"/>
  <c r="CD52" i="43"/>
  <c r="CH52" i="43" s="1"/>
  <c r="CD33" i="45"/>
  <c r="CH33" i="45" s="1"/>
  <c r="CD36" i="41"/>
  <c r="CH36" i="41" s="1"/>
  <c r="CC92" i="38"/>
  <c r="CG92" i="38" s="1"/>
  <c r="CD86" i="44"/>
  <c r="CH86" i="44" s="1"/>
  <c r="CC89" i="46"/>
  <c r="CG89" i="46" s="1"/>
  <c r="CD53" i="40"/>
  <c r="CH53" i="40" s="1"/>
  <c r="CD22" i="45"/>
  <c r="CH22" i="45" s="1"/>
  <c r="CD82" i="42"/>
  <c r="CH82" i="42" s="1"/>
  <c r="CD57" i="43"/>
  <c r="CH57" i="43" s="1"/>
  <c r="CC83" i="43"/>
  <c r="CG83" i="43" s="1"/>
  <c r="CC96" i="40"/>
  <c r="CG96" i="40" s="1"/>
  <c r="CD71" i="44"/>
  <c r="CH71" i="44" s="1"/>
  <c r="CD92" i="44"/>
  <c r="CH92" i="44" s="1"/>
  <c r="CC86" i="45"/>
  <c r="CG86" i="45" s="1"/>
  <c r="CD34" i="41"/>
  <c r="CH34" i="41" s="1"/>
  <c r="CC79" i="42"/>
  <c r="CG79" i="42" s="1"/>
  <c r="CD104" i="41"/>
  <c r="CH104" i="41" s="1"/>
  <c r="CB98" i="36"/>
  <c r="CD86" i="40"/>
  <c r="CH86" i="40" s="1"/>
  <c r="CC18" i="39"/>
  <c r="CG18" i="39" s="1"/>
  <c r="CC17" i="39"/>
  <c r="CG17" i="39" s="1"/>
  <c r="CC16" i="39"/>
  <c r="CG16" i="39" s="1"/>
  <c r="CD93" i="39"/>
  <c r="CH93" i="39" s="1"/>
  <c r="CD92" i="39"/>
  <c r="CH92" i="39" s="1"/>
  <c r="CD91" i="39"/>
  <c r="CH91" i="39" s="1"/>
  <c r="CC77" i="42"/>
  <c r="CG77" i="42" s="1"/>
  <c r="CD89" i="43"/>
  <c r="CH89" i="43" s="1"/>
  <c r="CC61" i="40"/>
  <c r="CG61" i="40" s="1"/>
  <c r="CD58" i="40"/>
  <c r="CH58" i="40" s="1"/>
  <c r="CC104" i="40"/>
  <c r="CG104" i="40" s="1"/>
  <c r="CD46" i="44"/>
  <c r="CH46" i="44" s="1"/>
  <c r="CC105" i="45"/>
  <c r="CG105" i="45" s="1"/>
  <c r="CC82" i="46"/>
  <c r="CG82" i="46" s="1"/>
  <c r="CC83" i="46"/>
  <c r="CG83" i="46" s="1"/>
  <c r="CD27" i="41"/>
  <c r="CH27" i="41" s="1"/>
  <c r="CD26" i="41"/>
  <c r="CH26" i="41" s="1"/>
  <c r="CD25" i="41"/>
  <c r="CH25" i="41" s="1"/>
  <c r="CC57" i="43"/>
  <c r="CG57" i="43" s="1"/>
  <c r="CC86" i="39"/>
  <c r="CG86" i="39" s="1"/>
  <c r="CC85" i="39"/>
  <c r="CG85" i="39" s="1"/>
  <c r="CC26" i="39"/>
  <c r="CG26" i="39" s="1"/>
  <c r="CC24" i="39"/>
  <c r="CG24" i="39" s="1"/>
  <c r="CD31" i="39"/>
  <c r="CH31" i="39" s="1"/>
  <c r="CC90" i="39"/>
  <c r="CG90" i="39" s="1"/>
  <c r="CC91" i="39"/>
  <c r="CG91" i="39" s="1"/>
  <c r="CC92" i="46"/>
  <c r="CG92" i="46" s="1"/>
  <c r="CC93" i="46"/>
  <c r="CG93" i="46" s="1"/>
  <c r="CD42" i="46"/>
  <c r="CH42" i="46" s="1"/>
  <c r="CD41" i="46"/>
  <c r="CH41" i="46" s="1"/>
  <c r="CC80" i="41"/>
  <c r="CG80" i="41" s="1"/>
  <c r="CC81" i="41"/>
  <c r="CG81" i="41" s="1"/>
  <c r="CC79" i="41"/>
  <c r="CG79" i="41" s="1"/>
  <c r="CD40" i="46"/>
  <c r="CH40" i="46" s="1"/>
  <c r="CC102" i="39"/>
  <c r="CG102" i="39" s="1"/>
  <c r="CC100" i="39"/>
  <c r="CG100" i="39" s="1"/>
  <c r="CC81" i="46"/>
  <c r="CG81" i="46" s="1"/>
  <c r="CC84" i="41"/>
  <c r="CG84" i="41" s="1"/>
  <c r="CC85" i="41"/>
  <c r="CG85" i="41" s="1"/>
  <c r="CD100" i="41"/>
  <c r="CH100" i="41" s="1"/>
  <c r="CD98" i="41"/>
  <c r="CH98" i="41" s="1"/>
  <c r="CB50" i="36"/>
  <c r="CB121" i="36"/>
  <c r="CA111" i="36"/>
  <c r="CB21" i="36"/>
  <c r="CB26" i="36"/>
  <c r="CB82" i="36"/>
  <c r="CG124" i="39"/>
  <c r="CG119" i="39"/>
  <c r="CC22" i="46"/>
  <c r="CG22" i="46" s="1"/>
  <c r="CC21" i="46"/>
  <c r="CG21" i="46" s="1"/>
  <c r="CD78" i="46"/>
  <c r="CH78" i="46" s="1"/>
  <c r="CD76" i="46"/>
  <c r="CH76" i="46" s="1"/>
  <c r="CC93" i="39"/>
  <c r="CG93" i="39" s="1"/>
  <c r="CC95" i="39"/>
  <c r="CG95" i="39" s="1"/>
  <c r="CC94" i="39"/>
  <c r="CG94" i="39" s="1"/>
  <c r="CC50" i="39"/>
  <c r="CG50" i="39" s="1"/>
  <c r="CC48" i="39"/>
  <c r="CG48" i="39" s="1"/>
  <c r="CD99" i="46"/>
  <c r="CH99" i="46" s="1"/>
  <c r="CD98" i="46"/>
  <c r="CH98" i="46" s="1"/>
  <c r="CD99" i="41"/>
  <c r="CH99" i="41" s="1"/>
  <c r="CB77" i="36"/>
  <c r="CA113" i="36"/>
  <c r="CB66" i="36"/>
  <c r="CD54" i="42"/>
  <c r="CH54" i="42" s="1"/>
  <c r="CD53" i="42"/>
  <c r="CH53" i="42" s="1"/>
  <c r="CD52" i="42"/>
  <c r="CH52" i="42" s="1"/>
  <c r="CD75" i="39"/>
  <c r="CH75" i="39" s="1"/>
  <c r="CD74" i="39"/>
  <c r="CH74" i="39" s="1"/>
  <c r="CD73" i="39"/>
  <c r="CH73" i="39" s="1"/>
  <c r="CC22" i="39"/>
  <c r="CG22" i="39" s="1"/>
  <c r="CC21" i="39"/>
  <c r="CG21" i="39" s="1"/>
  <c r="CC20" i="39"/>
  <c r="CG20" i="39" s="1"/>
  <c r="CD68" i="39"/>
  <c r="CH68" i="39" s="1"/>
  <c r="CD67" i="39"/>
  <c r="CH67" i="39" s="1"/>
  <c r="CC103" i="46"/>
  <c r="CG103" i="46" s="1"/>
  <c r="CC102" i="46"/>
  <c r="CG102" i="46" s="1"/>
  <c r="CD97" i="46"/>
  <c r="CH97" i="46" s="1"/>
  <c r="CD95" i="46"/>
  <c r="CH95" i="46" s="1"/>
  <c r="CC44" i="46"/>
  <c r="CG44" i="46" s="1"/>
  <c r="CC45" i="46"/>
  <c r="CG45" i="46" s="1"/>
  <c r="CC63" i="41"/>
  <c r="CG63" i="41" s="1"/>
  <c r="CC64" i="41"/>
  <c r="CG64" i="41" s="1"/>
  <c r="CD40" i="41"/>
  <c r="CH40" i="41" s="1"/>
  <c r="CD41" i="41"/>
  <c r="CH41" i="41" s="1"/>
  <c r="CC85" i="46"/>
  <c r="CG85" i="46" s="1"/>
  <c r="CC84" i="46"/>
  <c r="CG84" i="46" s="1"/>
  <c r="CC95" i="41"/>
  <c r="CG95" i="41" s="1"/>
  <c r="CC94" i="41"/>
  <c r="CG94" i="41" s="1"/>
  <c r="CC93" i="41"/>
  <c r="CG93" i="41" s="1"/>
  <c r="CB112" i="36"/>
  <c r="CD45" i="40"/>
  <c r="CH45" i="40" s="1"/>
  <c r="CC28" i="39"/>
  <c r="CG28" i="39" s="1"/>
  <c r="CB111" i="36"/>
  <c r="CA63" i="36"/>
  <c r="CA67" i="36"/>
  <c r="CA41" i="36"/>
  <c r="CB95" i="36"/>
  <c r="CA88" i="36"/>
  <c r="CA107" i="36"/>
  <c r="CC27" i="39"/>
  <c r="CG27" i="39" s="1"/>
  <c r="CD82" i="38"/>
  <c r="CH82" i="38" s="1"/>
  <c r="CD67" i="40"/>
  <c r="CH67" i="40" s="1"/>
  <c r="CC70" i="44"/>
  <c r="CG70" i="44" s="1"/>
  <c r="CC105" i="44"/>
  <c r="CG105" i="44" s="1"/>
  <c r="CD99" i="42"/>
  <c r="CH99" i="42" s="1"/>
  <c r="CD97" i="42"/>
  <c r="CH97" i="42" s="1"/>
  <c r="CC48" i="46"/>
  <c r="CG48" i="46" s="1"/>
  <c r="CC47" i="46"/>
  <c r="CG47" i="46" s="1"/>
  <c r="CC46" i="46"/>
  <c r="CG46" i="46" s="1"/>
  <c r="CC64" i="43"/>
  <c r="CG64" i="43" s="1"/>
  <c r="CC84" i="44"/>
  <c r="CG84" i="44" s="1"/>
  <c r="CD33" i="39"/>
  <c r="CH33" i="39" s="1"/>
  <c r="CC42" i="46"/>
  <c r="CG42" i="46" s="1"/>
  <c r="CC40" i="46"/>
  <c r="CG40" i="46" s="1"/>
  <c r="CC55" i="46"/>
  <c r="CG55" i="46" s="1"/>
  <c r="CC54" i="46"/>
  <c r="CG54" i="46" s="1"/>
  <c r="CC53" i="46"/>
  <c r="CG53" i="46" s="1"/>
  <c r="CC51" i="42"/>
  <c r="CG51" i="42" s="1"/>
  <c r="CD26" i="40"/>
  <c r="CH26" i="40" s="1"/>
  <c r="CD27" i="40"/>
  <c r="CH27" i="40" s="1"/>
  <c r="CC34" i="42"/>
  <c r="CG34" i="42" s="1"/>
  <c r="CC36" i="38"/>
  <c r="CG36" i="38" s="1"/>
  <c r="CD99" i="44"/>
  <c r="CH99" i="44" s="1"/>
  <c r="CD96" i="42"/>
  <c r="CH96" i="42" s="1"/>
  <c r="CD96" i="39"/>
  <c r="CH96" i="39" s="1"/>
  <c r="CC37" i="40"/>
  <c r="CG37" i="40" s="1"/>
  <c r="CC93" i="45"/>
  <c r="CG93" i="45" s="1"/>
  <c r="CC63" i="38"/>
  <c r="CG63" i="38" s="1"/>
  <c r="CC76" i="42"/>
  <c r="CG76" i="42" s="1"/>
  <c r="CD83" i="41"/>
  <c r="CH83" i="41" s="1"/>
  <c r="CC25" i="38"/>
  <c r="CG25" i="38" s="1"/>
  <c r="CC73" i="38"/>
  <c r="CG73" i="38" s="1"/>
  <c r="CD26" i="43"/>
  <c r="CH26" i="43" s="1"/>
  <c r="CC77" i="43"/>
  <c r="CG77" i="43" s="1"/>
  <c r="CD51" i="40"/>
  <c r="CH51" i="40" s="1"/>
  <c r="CD78" i="40"/>
  <c r="CH78" i="40" s="1"/>
  <c r="CC87" i="45"/>
  <c r="CG87" i="45" s="1"/>
  <c r="CC35" i="45"/>
  <c r="CG35" i="45" s="1"/>
  <c r="CC88" i="42"/>
  <c r="CG88" i="42" s="1"/>
  <c r="CD99" i="40"/>
  <c r="CH99" i="40" s="1"/>
  <c r="CD51" i="44"/>
  <c r="CH51" i="44" s="1"/>
  <c r="CC29" i="44"/>
  <c r="CG29" i="44" s="1"/>
  <c r="CD90" i="45"/>
  <c r="CH90" i="45" s="1"/>
  <c r="CC102" i="42"/>
  <c r="CG102" i="42" s="1"/>
  <c r="CD58" i="38"/>
  <c r="CH58" i="38" s="1"/>
  <c r="CC40" i="42"/>
  <c r="CG40" i="42" s="1"/>
  <c r="CD19" i="40"/>
  <c r="CH19" i="40" s="1"/>
  <c r="CD38" i="39"/>
  <c r="CH38" i="39" s="1"/>
  <c r="CD88" i="40"/>
  <c r="CH88" i="40" s="1"/>
  <c r="CD87" i="44"/>
  <c r="CH87" i="44" s="1"/>
  <c r="CC60" i="44"/>
  <c r="CG60" i="44" s="1"/>
  <c r="CD18" i="45"/>
  <c r="CH18" i="45" s="1"/>
  <c r="CD44" i="41"/>
  <c r="CH44" i="41" s="1"/>
  <c r="CC73" i="41"/>
  <c r="CG73" i="41" s="1"/>
  <c r="CD98" i="42"/>
  <c r="CH98" i="42" s="1"/>
  <c r="CC72" i="41"/>
  <c r="CG72" i="41" s="1"/>
  <c r="CD76" i="39"/>
  <c r="CH76" i="39" s="1"/>
  <c r="CD72" i="41"/>
  <c r="CH72" i="41" s="1"/>
  <c r="CD53" i="39"/>
  <c r="CH53" i="39" s="1"/>
  <c r="CD34" i="46"/>
  <c r="CH34" i="46" s="1"/>
  <c r="CD62" i="46"/>
  <c r="CH62" i="46" s="1"/>
  <c r="CD48" i="38"/>
  <c r="CH48" i="38" s="1"/>
  <c r="CD81" i="38"/>
  <c r="CH81" i="38" s="1"/>
  <c r="CC28" i="43"/>
  <c r="CG28" i="43" s="1"/>
  <c r="CD72" i="40"/>
  <c r="CH72" i="40" s="1"/>
  <c r="CC33" i="45"/>
  <c r="CG33" i="45" s="1"/>
  <c r="CC52" i="42"/>
  <c r="CG52" i="42" s="1"/>
  <c r="CD38" i="42"/>
  <c r="CH38" i="42" s="1"/>
  <c r="CC56" i="38"/>
  <c r="CG56" i="38" s="1"/>
  <c r="CC46" i="38"/>
  <c r="CG46" i="38" s="1"/>
  <c r="CC89" i="38"/>
  <c r="CG89" i="38" s="1"/>
  <c r="CD79" i="43"/>
  <c r="CH79" i="43" s="1"/>
  <c r="CD45" i="43"/>
  <c r="CH45" i="43" s="1"/>
  <c r="CC25" i="40"/>
  <c r="CG25" i="40" s="1"/>
  <c r="CC91" i="40"/>
  <c r="CG91" i="40" s="1"/>
  <c r="CD96" i="40"/>
  <c r="CH96" i="40" s="1"/>
  <c r="CC32" i="45"/>
  <c r="CG32" i="45" s="1"/>
  <c r="CD83" i="45"/>
  <c r="CH83" i="45" s="1"/>
  <c r="CD26" i="45"/>
  <c r="CH26" i="45" s="1"/>
  <c r="CD23" i="42"/>
  <c r="CH23" i="42" s="1"/>
  <c r="CC50" i="43"/>
  <c r="CG50" i="43" s="1"/>
  <c r="CC79" i="40"/>
  <c r="CG79" i="40" s="1"/>
  <c r="CC77" i="44"/>
  <c r="CG77" i="44" s="1"/>
  <c r="CD19" i="42"/>
  <c r="CH19" i="42" s="1"/>
  <c r="CC62" i="42"/>
  <c r="CG62" i="42" s="1"/>
  <c r="CC67" i="43"/>
  <c r="CG67" i="43" s="1"/>
  <c r="CD72" i="44"/>
  <c r="CH72" i="44" s="1"/>
  <c r="CD30" i="39"/>
  <c r="CH30" i="39" s="1"/>
  <c r="CC80" i="40"/>
  <c r="CG80" i="40" s="1"/>
  <c r="CC53" i="44"/>
  <c r="CG53" i="44" s="1"/>
  <c r="CC84" i="42"/>
  <c r="CG84" i="42" s="1"/>
  <c r="CD68" i="42"/>
  <c r="CH68" i="42" s="1"/>
  <c r="CC101" i="45"/>
  <c r="CG101" i="45" s="1"/>
  <c r="CD60" i="42"/>
  <c r="CH60" i="42" s="1"/>
  <c r="CC69" i="38"/>
  <c r="CG69" i="38" s="1"/>
  <c r="CC62" i="39"/>
  <c r="CG62" i="39" s="1"/>
  <c r="CC105" i="38"/>
  <c r="CG105" i="38" s="1"/>
  <c r="CC53" i="40"/>
  <c r="CG53" i="40" s="1"/>
  <c r="CC41" i="44"/>
  <c r="CG41" i="44" s="1"/>
  <c r="CD30" i="44"/>
  <c r="CH30" i="44" s="1"/>
  <c r="CD69" i="45"/>
  <c r="CH69" i="45" s="1"/>
  <c r="CC48" i="42"/>
  <c r="CG48" i="42" s="1"/>
  <c r="CD32" i="42"/>
  <c r="CH32" i="42" s="1"/>
  <c r="CC37" i="39"/>
  <c r="CG37" i="39" s="1"/>
  <c r="CD17" i="41"/>
  <c r="CH17" i="41" s="1"/>
  <c r="CC90" i="46"/>
  <c r="CG90" i="46" s="1"/>
  <c r="CC83" i="41"/>
  <c r="CG83" i="41" s="1"/>
  <c r="CD33" i="46"/>
  <c r="CH33" i="46" s="1"/>
  <c r="CC41" i="46"/>
  <c r="CG41" i="46" s="1"/>
  <c r="CB48" i="36"/>
  <c r="CB64" i="36"/>
  <c r="CB54" i="36"/>
  <c r="CD41" i="38"/>
  <c r="CH41" i="38" s="1"/>
  <c r="CC67" i="44"/>
  <c r="CG67" i="44" s="1"/>
  <c r="CD26" i="44"/>
  <c r="CH26" i="44" s="1"/>
  <c r="CD70" i="44"/>
  <c r="CH70" i="44" s="1"/>
  <c r="CD47" i="42"/>
  <c r="CH47" i="42" s="1"/>
  <c r="CD85" i="40"/>
  <c r="CH85" i="40" s="1"/>
  <c r="CC42" i="40"/>
  <c r="CG42" i="40" s="1"/>
  <c r="CC46" i="44"/>
  <c r="CG46" i="44" s="1"/>
  <c r="CC62" i="45"/>
  <c r="CG62" i="45" s="1"/>
  <c r="CC94" i="43"/>
  <c r="CG94" i="43" s="1"/>
  <c r="CC34" i="40"/>
  <c r="CG34" i="40" s="1"/>
  <c r="CC100" i="40"/>
  <c r="CG100" i="40" s="1"/>
  <c r="CD93" i="44"/>
  <c r="CH93" i="44" s="1"/>
  <c r="CC20" i="42"/>
  <c r="CG20" i="42" s="1"/>
  <c r="CD36" i="42"/>
  <c r="CH36" i="42" s="1"/>
  <c r="CC73" i="42"/>
  <c r="CG73" i="42" s="1"/>
  <c r="CD103" i="38"/>
  <c r="CH103" i="38" s="1"/>
  <c r="CD70" i="38"/>
  <c r="CH70" i="38" s="1"/>
  <c r="CD20" i="43"/>
  <c r="CH20" i="43" s="1"/>
  <c r="CD63" i="43"/>
  <c r="CH63" i="43" s="1"/>
  <c r="CC46" i="40"/>
  <c r="CG46" i="40" s="1"/>
  <c r="CD48" i="40"/>
  <c r="CH48" i="40" s="1"/>
  <c r="CD45" i="44"/>
  <c r="CH45" i="44" s="1"/>
  <c r="CD34" i="44"/>
  <c r="CH34" i="44" s="1"/>
  <c r="CC68" i="45"/>
  <c r="CG68" i="45" s="1"/>
  <c r="CC52" i="45"/>
  <c r="CG52" i="45" s="1"/>
  <c r="CC24" i="45"/>
  <c r="CG24" i="45" s="1"/>
  <c r="CC38" i="42"/>
  <c r="CG38" i="42" s="1"/>
  <c r="CC79" i="38"/>
  <c r="CG79" i="38" s="1"/>
  <c r="CD37" i="43"/>
  <c r="CH37" i="43" s="1"/>
  <c r="CC73" i="43"/>
  <c r="CG73" i="43" s="1"/>
  <c r="CC81" i="43"/>
  <c r="CG81" i="43" s="1"/>
  <c r="CC94" i="40"/>
  <c r="CG94" i="40" s="1"/>
  <c r="CD65" i="44"/>
  <c r="CH65" i="44" s="1"/>
  <c r="CC87" i="44"/>
  <c r="CG87" i="44" s="1"/>
  <c r="CD65" i="45"/>
  <c r="CH65" i="45" s="1"/>
  <c r="CC75" i="45"/>
  <c r="CG75" i="45" s="1"/>
  <c r="CD41" i="42"/>
  <c r="CH41" i="42" s="1"/>
  <c r="CD38" i="38"/>
  <c r="CH38" i="38" s="1"/>
  <c r="CD30" i="42"/>
  <c r="CH30" i="42" s="1"/>
  <c r="CC104" i="43"/>
  <c r="CG104" i="43" s="1"/>
  <c r="CD90" i="43"/>
  <c r="CH90" i="43" s="1"/>
  <c r="CC97" i="40"/>
  <c r="CG97" i="40" s="1"/>
  <c r="CD103" i="40"/>
  <c r="CH103" i="40" s="1"/>
  <c r="CD39" i="44"/>
  <c r="CH39" i="44" s="1"/>
  <c r="CC22" i="44"/>
  <c r="CG22" i="44" s="1"/>
  <c r="CC95" i="44"/>
  <c r="CG95" i="44" s="1"/>
  <c r="CC45" i="44"/>
  <c r="CG45" i="44" s="1"/>
  <c r="CC78" i="45"/>
  <c r="CG78" i="45" s="1"/>
  <c r="CC99" i="45"/>
  <c r="CG99" i="45" s="1"/>
  <c r="CD84" i="42"/>
  <c r="CH84" i="42" s="1"/>
  <c r="CD89" i="39"/>
  <c r="CH89" i="39" s="1"/>
  <c r="CC52" i="41"/>
  <c r="CG52" i="41" s="1"/>
  <c r="CC89" i="39"/>
  <c r="CG89" i="39" s="1"/>
  <c r="CD102" i="41"/>
  <c r="CH102" i="41" s="1"/>
  <c r="CC57" i="38"/>
  <c r="CG57" i="38" s="1"/>
  <c r="CC86" i="43"/>
  <c r="CG86" i="43" s="1"/>
  <c r="CC86" i="40"/>
  <c r="CG86" i="40" s="1"/>
  <c r="CD79" i="44"/>
  <c r="CH79" i="44" s="1"/>
  <c r="CD105" i="45"/>
  <c r="CH105" i="45" s="1"/>
  <c r="CC97" i="42"/>
  <c r="CG97" i="42" s="1"/>
  <c r="CD69" i="43"/>
  <c r="CH69" i="43" s="1"/>
  <c r="CC41" i="40"/>
  <c r="CG41" i="40" s="1"/>
  <c r="CC91" i="44"/>
  <c r="CG91" i="44" s="1"/>
  <c r="CD38" i="45"/>
  <c r="CH38" i="45" s="1"/>
  <c r="CD25" i="38"/>
  <c r="CH25" i="38" s="1"/>
  <c r="CD105" i="43"/>
  <c r="CH105" i="43" s="1"/>
  <c r="CD105" i="40"/>
  <c r="CH105" i="40" s="1"/>
  <c r="CD103" i="44"/>
  <c r="CH103" i="44" s="1"/>
  <c r="CC56" i="45"/>
  <c r="CG56" i="45" s="1"/>
  <c r="CD100" i="45"/>
  <c r="CH100" i="45" s="1"/>
  <c r="CC62" i="38"/>
  <c r="CG62" i="38" s="1"/>
  <c r="CD66" i="43"/>
  <c r="CH66" i="43" s="1"/>
  <c r="CC49" i="39"/>
  <c r="CG49" i="39" s="1"/>
  <c r="CD61" i="38"/>
  <c r="CH61" i="38" s="1"/>
  <c r="CD57" i="44"/>
  <c r="CH57" i="44" s="1"/>
  <c r="CC26" i="45"/>
  <c r="CG26" i="45" s="1"/>
  <c r="CC55" i="42"/>
  <c r="CG55" i="42" s="1"/>
  <c r="CD66" i="46"/>
  <c r="CH66" i="46" s="1"/>
  <c r="CC50" i="41"/>
  <c r="CG50" i="41" s="1"/>
  <c r="CD45" i="38"/>
  <c r="CH45" i="38" s="1"/>
  <c r="CD85" i="38"/>
  <c r="CH85" i="38" s="1"/>
  <c r="CD90" i="44"/>
  <c r="CH90" i="44" s="1"/>
  <c r="CC72" i="45"/>
  <c r="CG72" i="45" s="1"/>
  <c r="CD87" i="42"/>
  <c r="CH87" i="42" s="1"/>
  <c r="CC104" i="42"/>
  <c r="CG104" i="42" s="1"/>
  <c r="CC41" i="43"/>
  <c r="CG41" i="43" s="1"/>
  <c r="CC75" i="40"/>
  <c r="CG75" i="40" s="1"/>
  <c r="CD97" i="40"/>
  <c r="CH97" i="40" s="1"/>
  <c r="CD48" i="45"/>
  <c r="CH48" i="45" s="1"/>
  <c r="CD89" i="42"/>
  <c r="CH89" i="42" s="1"/>
  <c r="CD44" i="42"/>
  <c r="CH44" i="42" s="1"/>
  <c r="CD35" i="38"/>
  <c r="CH35" i="38" s="1"/>
  <c r="CD55" i="38"/>
  <c r="CH55" i="38" s="1"/>
  <c r="CD25" i="43"/>
  <c r="CH25" i="43" s="1"/>
  <c r="CD42" i="40"/>
  <c r="CH42" i="40" s="1"/>
  <c r="CD65" i="40"/>
  <c r="CH65" i="40" s="1"/>
  <c r="CC58" i="40"/>
  <c r="CG58" i="40" s="1"/>
  <c r="CD61" i="44"/>
  <c r="CH61" i="44" s="1"/>
  <c r="CC104" i="44"/>
  <c r="CG104" i="44" s="1"/>
  <c r="CC21" i="45"/>
  <c r="CG21" i="45" s="1"/>
  <c r="CD72" i="45"/>
  <c r="CH72" i="45" s="1"/>
  <c r="CC59" i="43"/>
  <c r="CG59" i="43" s="1"/>
  <c r="CD79" i="40"/>
  <c r="CH79" i="40" s="1"/>
  <c r="CC64" i="44"/>
  <c r="CG64" i="44" s="1"/>
  <c r="CC58" i="42"/>
  <c r="CG58" i="42" s="1"/>
  <c r="CD80" i="39"/>
  <c r="CH80" i="39" s="1"/>
  <c r="CC38" i="39"/>
  <c r="CG38" i="39" s="1"/>
  <c r="CC91" i="45"/>
  <c r="CG91" i="45" s="1"/>
  <c r="CD91" i="45"/>
  <c r="CH91" i="45" s="1"/>
  <c r="CC37" i="38"/>
  <c r="CG37" i="38" s="1"/>
  <c r="CD34" i="45"/>
  <c r="CH34" i="45" s="1"/>
  <c r="CC32" i="41"/>
  <c r="CG32" i="41" s="1"/>
  <c r="CC75" i="46"/>
  <c r="CG75" i="46" s="1"/>
  <c r="CC67" i="39"/>
  <c r="CG67" i="39" s="1"/>
  <c r="CD65" i="46"/>
  <c r="CH65" i="46" s="1"/>
  <c r="CC17" i="38"/>
  <c r="CG17" i="38" s="1"/>
  <c r="CC16" i="38"/>
  <c r="CG16" i="38" s="1"/>
  <c r="CD33" i="38"/>
  <c r="CH33" i="38" s="1"/>
  <c r="CD54" i="38"/>
  <c r="CH54" i="38" s="1"/>
  <c r="CD36" i="38"/>
  <c r="CH36" i="38" s="1"/>
  <c r="CD73" i="43"/>
  <c r="CH73" i="43" s="1"/>
  <c r="CC22" i="43"/>
  <c r="CG22" i="43" s="1"/>
  <c r="CC64" i="40"/>
  <c r="CG64" i="40" s="1"/>
  <c r="CC85" i="45"/>
  <c r="CG85" i="45" s="1"/>
  <c r="CD57" i="42"/>
  <c r="CH57" i="42" s="1"/>
  <c r="CC18" i="42"/>
  <c r="CG18" i="42" s="1"/>
  <c r="CC81" i="38"/>
  <c r="CG81" i="38" s="1"/>
  <c r="CC71" i="43"/>
  <c r="CG71" i="43" s="1"/>
  <c r="CD71" i="43"/>
  <c r="CH71" i="43" s="1"/>
  <c r="CC55" i="40"/>
  <c r="CG55" i="40" s="1"/>
  <c r="CD88" i="45"/>
  <c r="CH88" i="45" s="1"/>
  <c r="CD71" i="42"/>
  <c r="CH71" i="42" s="1"/>
  <c r="CD69" i="44"/>
  <c r="CH69" i="44" s="1"/>
  <c r="CC57" i="40"/>
  <c r="CG57" i="40" s="1"/>
  <c r="CB16" i="36"/>
  <c r="CB28" i="36"/>
  <c r="CD16" i="38"/>
  <c r="CH16" i="38" s="1"/>
  <c r="CD17" i="38"/>
  <c r="CH17" i="38" s="1"/>
  <c r="CC19" i="43"/>
  <c r="CG19" i="43" s="1"/>
  <c r="CC24" i="40"/>
  <c r="CG24" i="40" s="1"/>
  <c r="CC22" i="40"/>
  <c r="CG22" i="40" s="1"/>
  <c r="CC73" i="45"/>
  <c r="CG73" i="45" s="1"/>
  <c r="CC19" i="45"/>
  <c r="CG19" i="45" s="1"/>
  <c r="CD66" i="42"/>
  <c r="CH66" i="42" s="1"/>
  <c r="CC91" i="43"/>
  <c r="CG91" i="43" s="1"/>
  <c r="CD53" i="43"/>
  <c r="CH53" i="43" s="1"/>
  <c r="CC39" i="44"/>
  <c r="CG39" i="44" s="1"/>
  <c r="CD40" i="44"/>
  <c r="CH40" i="44" s="1"/>
  <c r="CD80" i="42"/>
  <c r="CH80" i="42" s="1"/>
  <c r="CD56" i="42"/>
  <c r="CH56" i="42" s="1"/>
  <c r="CD46" i="38"/>
  <c r="CH46" i="38" s="1"/>
  <c r="CD49" i="38"/>
  <c r="CH49" i="38" s="1"/>
  <c r="CD47" i="38"/>
  <c r="CH47" i="38" s="1"/>
  <c r="CD85" i="43"/>
  <c r="CH85" i="43" s="1"/>
  <c r="CD69" i="40"/>
  <c r="CH69" i="40" s="1"/>
  <c r="CD83" i="40"/>
  <c r="CH83" i="40" s="1"/>
  <c r="CC88" i="44"/>
  <c r="CG88" i="44" s="1"/>
  <c r="CD60" i="44"/>
  <c r="CH60" i="44" s="1"/>
  <c r="CC77" i="45"/>
  <c r="CG77" i="45" s="1"/>
  <c r="CD89" i="45"/>
  <c r="CH89" i="45" s="1"/>
  <c r="CD39" i="42"/>
  <c r="CH39" i="42" s="1"/>
  <c r="CC82" i="38"/>
  <c r="CG82" i="38" s="1"/>
  <c r="CD95" i="38"/>
  <c r="CH95" i="38" s="1"/>
  <c r="CD26" i="38"/>
  <c r="CH26" i="38" s="1"/>
  <c r="CD54" i="43"/>
  <c r="CH54" i="43" s="1"/>
  <c r="CD64" i="43"/>
  <c r="CH64" i="43" s="1"/>
  <c r="CC52" i="40"/>
  <c r="CG52" i="40" s="1"/>
  <c r="CC26" i="40"/>
  <c r="CG26" i="40" s="1"/>
  <c r="CD41" i="44"/>
  <c r="CH41" i="44" s="1"/>
  <c r="CD102" i="44"/>
  <c r="CH102" i="44" s="1"/>
  <c r="CD87" i="45"/>
  <c r="CH87" i="45" s="1"/>
  <c r="CD17" i="45"/>
  <c r="CH17" i="45" s="1"/>
  <c r="CD16" i="45"/>
  <c r="CH16" i="45" s="1"/>
  <c r="CD68" i="45"/>
  <c r="CH68" i="45" s="1"/>
  <c r="CC56" i="42"/>
  <c r="CG56" i="42" s="1"/>
  <c r="CD91" i="38"/>
  <c r="CH91" i="38" s="1"/>
  <c r="CC26" i="38"/>
  <c r="CG26" i="38" s="1"/>
  <c r="CC37" i="43"/>
  <c r="CG37" i="43" s="1"/>
  <c r="CC90" i="43"/>
  <c r="CG90" i="43" s="1"/>
  <c r="CC34" i="43"/>
  <c r="CG34" i="43" s="1"/>
  <c r="CD21" i="43"/>
  <c r="CH21" i="43" s="1"/>
  <c r="CC82" i="40"/>
  <c r="CG82" i="40" s="1"/>
  <c r="CD50" i="40"/>
  <c r="CH50" i="40" s="1"/>
  <c r="CD34" i="40"/>
  <c r="CH34" i="40" s="1"/>
  <c r="CD104" i="44"/>
  <c r="CH104" i="44" s="1"/>
  <c r="CC55" i="44"/>
  <c r="CG55" i="44" s="1"/>
  <c r="CC98" i="44"/>
  <c r="CG98" i="44" s="1"/>
  <c r="CC82" i="44"/>
  <c r="CG82" i="44" s="1"/>
  <c r="CC40" i="45"/>
  <c r="CG40" i="45" s="1"/>
  <c r="CD77" i="45"/>
  <c r="CH77" i="45" s="1"/>
  <c r="CD55" i="42"/>
  <c r="CH55" i="42" s="1"/>
  <c r="CD44" i="38"/>
  <c r="CH44" i="38" s="1"/>
  <c r="CC66" i="38"/>
  <c r="CG66" i="38" s="1"/>
  <c r="CC38" i="38"/>
  <c r="CG38" i="38" s="1"/>
  <c r="CD87" i="38"/>
  <c r="CH87" i="38" s="1"/>
  <c r="CD91" i="43"/>
  <c r="CH91" i="43" s="1"/>
  <c r="CD68" i="43"/>
  <c r="CH68" i="43" s="1"/>
  <c r="CD80" i="40"/>
  <c r="CH80" i="40" s="1"/>
  <c r="CD100" i="40"/>
  <c r="CH100" i="40" s="1"/>
  <c r="CC38" i="40"/>
  <c r="CG38" i="40" s="1"/>
  <c r="CC66" i="44"/>
  <c r="CG66" i="44" s="1"/>
  <c r="CC33" i="44"/>
  <c r="CG33" i="44" s="1"/>
  <c r="CC79" i="44"/>
  <c r="CG79" i="44" s="1"/>
  <c r="CC36" i="45"/>
  <c r="CG36" i="45" s="1"/>
  <c r="CC70" i="45"/>
  <c r="CG70" i="45" s="1"/>
  <c r="CC71" i="42"/>
  <c r="CG71" i="42" s="1"/>
  <c r="CD80" i="38"/>
  <c r="CH80" i="38" s="1"/>
  <c r="CC21" i="38"/>
  <c r="CG21" i="38" s="1"/>
  <c r="CC97" i="38"/>
  <c r="CG97" i="38" s="1"/>
  <c r="CC46" i="43"/>
  <c r="CG46" i="43" s="1"/>
  <c r="CC89" i="43"/>
  <c r="CG89" i="43" s="1"/>
  <c r="CC76" i="43"/>
  <c r="CG76" i="43" s="1"/>
  <c r="CC40" i="43"/>
  <c r="CG40" i="43" s="1"/>
  <c r="CC31" i="40"/>
  <c r="CG31" i="40" s="1"/>
  <c r="CC68" i="40"/>
  <c r="CG68" i="40" s="1"/>
  <c r="CC103" i="40"/>
  <c r="CG103" i="40" s="1"/>
  <c r="CD73" i="44"/>
  <c r="CH73" i="44" s="1"/>
  <c r="CC83" i="45"/>
  <c r="CG83" i="45" s="1"/>
  <c r="CD51" i="45"/>
  <c r="CH51" i="45" s="1"/>
  <c r="CD56" i="45"/>
  <c r="CH56" i="45" s="1"/>
  <c r="CC53" i="42"/>
  <c r="CG53" i="42" s="1"/>
  <c r="CC83" i="42"/>
  <c r="CG83" i="42" s="1"/>
  <c r="CD17" i="42"/>
  <c r="CH17" i="42" s="1"/>
  <c r="CC50" i="42"/>
  <c r="CG50" i="42" s="1"/>
  <c r="CC104" i="38"/>
  <c r="CG104" i="38" s="1"/>
  <c r="CD30" i="38"/>
  <c r="CH30" i="38" s="1"/>
  <c r="CD68" i="38"/>
  <c r="CH68" i="38" s="1"/>
  <c r="CC18" i="43"/>
  <c r="CG18" i="43" s="1"/>
  <c r="CD62" i="43"/>
  <c r="CH62" i="43" s="1"/>
  <c r="CD76" i="43"/>
  <c r="CH76" i="43" s="1"/>
  <c r="CD72" i="43"/>
  <c r="CH72" i="43" s="1"/>
  <c r="CC48" i="40"/>
  <c r="CG48" i="40" s="1"/>
  <c r="CC39" i="40"/>
  <c r="CG39" i="40" s="1"/>
  <c r="CC61" i="44"/>
  <c r="CG61" i="44" s="1"/>
  <c r="CC74" i="44"/>
  <c r="CG74" i="44" s="1"/>
  <c r="CD47" i="45"/>
  <c r="CH47" i="45" s="1"/>
  <c r="CD102" i="45"/>
  <c r="CH102" i="45" s="1"/>
  <c r="CC39" i="45"/>
  <c r="CG39" i="45" s="1"/>
  <c r="CC44" i="42"/>
  <c r="CG44" i="42" s="1"/>
  <c r="CC47" i="42"/>
  <c r="CG47" i="42" s="1"/>
  <c r="CC45" i="39"/>
  <c r="CG45" i="39" s="1"/>
  <c r="CC47" i="39"/>
  <c r="CG47" i="39" s="1"/>
  <c r="CA65" i="36"/>
  <c r="CD24" i="43"/>
  <c r="CH24" i="43" s="1"/>
  <c r="CD22" i="43"/>
  <c r="CH22" i="43" s="1"/>
  <c r="CD55" i="43"/>
  <c r="CH55" i="43" s="1"/>
  <c r="CD17" i="40"/>
  <c r="CH17" i="40" s="1"/>
  <c r="CD16" i="40"/>
  <c r="CH16" i="40" s="1"/>
  <c r="CD28" i="44"/>
  <c r="CH28" i="44" s="1"/>
  <c r="CC16" i="45"/>
  <c r="CG16" i="45" s="1"/>
  <c r="CC17" i="45"/>
  <c r="CG17" i="45" s="1"/>
  <c r="CC78" i="38"/>
  <c r="CG78" i="38" s="1"/>
  <c r="CD63" i="40"/>
  <c r="CH63" i="40" s="1"/>
  <c r="CD37" i="44"/>
  <c r="CH37" i="44" s="1"/>
  <c r="CC44" i="44"/>
  <c r="CG44" i="44" s="1"/>
  <c r="CC79" i="45"/>
  <c r="CG79" i="45" s="1"/>
  <c r="CC84" i="45"/>
  <c r="CG84" i="45" s="1"/>
  <c r="CD64" i="42"/>
  <c r="CH64" i="42" s="1"/>
  <c r="CC58" i="38"/>
  <c r="CG58" i="38" s="1"/>
  <c r="CD39" i="43"/>
  <c r="CH39" i="43" s="1"/>
  <c r="CC77" i="40"/>
  <c r="CG77" i="40" s="1"/>
  <c r="CC31" i="45"/>
  <c r="CG31" i="45" s="1"/>
  <c r="CD22" i="42"/>
  <c r="CH22" i="42" s="1"/>
  <c r="CD58" i="42"/>
  <c r="CH58" i="42" s="1"/>
  <c r="CC96" i="38"/>
  <c r="CG96" i="38" s="1"/>
  <c r="CC55" i="38"/>
  <c r="CG55" i="38" s="1"/>
  <c r="CC39" i="43"/>
  <c r="CG39" i="43" s="1"/>
  <c r="CD97" i="43"/>
  <c r="CH97" i="43" s="1"/>
  <c r="CC98" i="40"/>
  <c r="CG98" i="40" s="1"/>
  <c r="CC57" i="44"/>
  <c r="CG57" i="44" s="1"/>
  <c r="CD32" i="45"/>
  <c r="CH32" i="45" s="1"/>
  <c r="CD43" i="42"/>
  <c r="CH43" i="42" s="1"/>
  <c r="CD50" i="38"/>
  <c r="CH50" i="38" s="1"/>
  <c r="CC34" i="38"/>
  <c r="CG34" i="38" s="1"/>
  <c r="CC82" i="43"/>
  <c r="CG82" i="43" s="1"/>
  <c r="CC31" i="43"/>
  <c r="CG31" i="43" s="1"/>
  <c r="CD38" i="43"/>
  <c r="CH38" i="43" s="1"/>
  <c r="CC90" i="40"/>
  <c r="CG90" i="40" s="1"/>
  <c r="CC20" i="40"/>
  <c r="CG20" i="40" s="1"/>
  <c r="CC63" i="44"/>
  <c r="CG63" i="44" s="1"/>
  <c r="CD23" i="44"/>
  <c r="CH23" i="44" s="1"/>
  <c r="CC50" i="44"/>
  <c r="CG50" i="44" s="1"/>
  <c r="CC61" i="45"/>
  <c r="CG61" i="45" s="1"/>
  <c r="CD30" i="45"/>
  <c r="CH30" i="45" s="1"/>
  <c r="CC61" i="42"/>
  <c r="CG61" i="42" s="1"/>
  <c r="CD63" i="42"/>
  <c r="CH63" i="42" s="1"/>
  <c r="CC41" i="39"/>
  <c r="CG41" i="39" s="1"/>
  <c r="CD79" i="38"/>
  <c r="CH79" i="38" s="1"/>
  <c r="CC32" i="38"/>
  <c r="CG32" i="38" s="1"/>
  <c r="CD92" i="38"/>
  <c r="CH92" i="38" s="1"/>
  <c r="CD24" i="38"/>
  <c r="CH24" i="38" s="1"/>
  <c r="CD49" i="43"/>
  <c r="CH49" i="43" s="1"/>
  <c r="CD89" i="40"/>
  <c r="CH89" i="40" s="1"/>
  <c r="CC69" i="40"/>
  <c r="CG69" i="40" s="1"/>
  <c r="CD89" i="44"/>
  <c r="CH89" i="44" s="1"/>
  <c r="CD20" i="44"/>
  <c r="CH20" i="44" s="1"/>
  <c r="CC71" i="45"/>
  <c r="CG71" i="45" s="1"/>
  <c r="CD21" i="45"/>
  <c r="CH21" i="45" s="1"/>
  <c r="CC67" i="45"/>
  <c r="CG67" i="45" s="1"/>
  <c r="CD85" i="42"/>
  <c r="CH85" i="42" s="1"/>
  <c r="CC18" i="38"/>
  <c r="CG18" i="38" s="1"/>
  <c r="CD39" i="38"/>
  <c r="CH39" i="38" s="1"/>
  <c r="CC102" i="38"/>
  <c r="CG102" i="38" s="1"/>
  <c r="CD100" i="43"/>
  <c r="CH100" i="43" s="1"/>
  <c r="CC84" i="43"/>
  <c r="CG84" i="43" s="1"/>
  <c r="CD34" i="43"/>
  <c r="CH34" i="43" s="1"/>
  <c r="CD92" i="40"/>
  <c r="CH92" i="40" s="1"/>
  <c r="CC95" i="40"/>
  <c r="CG95" i="40" s="1"/>
  <c r="CD64" i="40"/>
  <c r="CH64" i="40" s="1"/>
  <c r="CD56" i="44"/>
  <c r="CH56" i="44" s="1"/>
  <c r="CC29" i="45"/>
  <c r="CG29" i="45" s="1"/>
  <c r="CD96" i="45"/>
  <c r="CH96" i="45" s="1"/>
  <c r="CD73" i="42"/>
  <c r="CH73" i="42" s="1"/>
  <c r="CD24" i="39"/>
  <c r="CH24" i="39" s="1"/>
  <c r="CD98" i="39"/>
  <c r="CH98" i="39" s="1"/>
  <c r="CD97" i="38"/>
  <c r="CH97" i="38" s="1"/>
  <c r="CC71" i="38"/>
  <c r="CG71" i="38" s="1"/>
  <c r="CD59" i="38"/>
  <c r="CH59" i="38" s="1"/>
  <c r="CD81" i="43"/>
  <c r="CH81" i="43" s="1"/>
  <c r="CC44" i="43"/>
  <c r="CG44" i="43" s="1"/>
  <c r="CD48" i="43"/>
  <c r="CH48" i="43" s="1"/>
  <c r="CC56" i="40"/>
  <c r="CG56" i="40" s="1"/>
  <c r="CC19" i="40"/>
  <c r="CG19" i="40" s="1"/>
  <c r="CC83" i="40"/>
  <c r="CG83" i="40" s="1"/>
  <c r="CD94" i="40"/>
  <c r="CH94" i="40" s="1"/>
  <c r="CD68" i="44"/>
  <c r="CH68" i="44" s="1"/>
  <c r="CD94" i="44"/>
  <c r="CH94" i="44" s="1"/>
  <c r="CC75" i="44"/>
  <c r="CG75" i="44" s="1"/>
  <c r="CC59" i="45"/>
  <c r="CG59" i="45" s="1"/>
  <c r="CD44" i="45"/>
  <c r="CH44" i="45" s="1"/>
  <c r="CD103" i="45"/>
  <c r="CH103" i="45" s="1"/>
  <c r="CC94" i="45"/>
  <c r="CG94" i="45" s="1"/>
  <c r="CD69" i="42"/>
  <c r="CH69" i="42" s="1"/>
  <c r="CC105" i="42"/>
  <c r="CG105" i="42" s="1"/>
  <c r="CC37" i="42"/>
  <c r="CG37" i="42" s="1"/>
  <c r="CC21" i="43"/>
  <c r="CG21" i="43" s="1"/>
  <c r="CA115" i="36"/>
  <c r="CA42" i="36"/>
  <c r="CA19" i="36"/>
  <c r="CC16" i="43"/>
  <c r="CG16" i="43" s="1"/>
  <c r="CC17" i="43"/>
  <c r="CG17" i="43" s="1"/>
  <c r="CD56" i="43"/>
  <c r="CH56" i="43" s="1"/>
  <c r="CD57" i="40"/>
  <c r="CH57" i="40" s="1"/>
  <c r="CC17" i="44"/>
  <c r="CG17" i="44" s="1"/>
  <c r="CC16" i="44"/>
  <c r="CG16" i="44" s="1"/>
  <c r="CC81" i="45"/>
  <c r="CG81" i="45" s="1"/>
  <c r="CC20" i="45"/>
  <c r="CG20" i="45" s="1"/>
  <c r="CD99" i="38"/>
  <c r="CH99" i="38" s="1"/>
  <c r="CD20" i="38"/>
  <c r="CH20" i="38" s="1"/>
  <c r="CD61" i="43"/>
  <c r="CH61" i="43" s="1"/>
  <c r="CC62" i="43"/>
  <c r="CG62" i="43" s="1"/>
  <c r="CC40" i="40"/>
  <c r="CG40" i="40" s="1"/>
  <c r="CC38" i="44"/>
  <c r="CG38" i="44" s="1"/>
  <c r="CC37" i="44"/>
  <c r="CG37" i="44" s="1"/>
  <c r="CC74" i="42"/>
  <c r="CG74" i="42" s="1"/>
  <c r="CC99" i="38"/>
  <c r="CG99" i="38" s="1"/>
  <c r="CD88" i="38"/>
  <c r="CH88" i="38" s="1"/>
  <c r="CD32" i="38"/>
  <c r="CH32" i="38" s="1"/>
  <c r="CC42" i="43"/>
  <c r="CG42" i="43" s="1"/>
  <c r="CC87" i="43"/>
  <c r="CG87" i="43" s="1"/>
  <c r="CC85" i="40"/>
  <c r="CG85" i="40" s="1"/>
  <c r="CC90" i="44"/>
  <c r="CG90" i="44" s="1"/>
  <c r="CC83" i="44"/>
  <c r="CG83" i="44" s="1"/>
  <c r="CC50" i="45"/>
  <c r="CG50" i="45" s="1"/>
  <c r="CC63" i="45"/>
  <c r="CG63" i="45" s="1"/>
  <c r="CD40" i="42"/>
  <c r="CH40" i="42" s="1"/>
  <c r="CC36" i="42"/>
  <c r="CG36" i="42" s="1"/>
  <c r="CC91" i="38"/>
  <c r="CG91" i="38" s="1"/>
  <c r="CD80" i="43"/>
  <c r="CH80" i="43" s="1"/>
  <c r="CC49" i="43"/>
  <c r="CG49" i="43" s="1"/>
  <c r="CC103" i="43"/>
  <c r="CG103" i="43" s="1"/>
  <c r="CC65" i="40"/>
  <c r="CG65" i="40" s="1"/>
  <c r="CC68" i="44"/>
  <c r="CG68" i="44" s="1"/>
  <c r="CD84" i="44"/>
  <c r="CH84" i="44" s="1"/>
  <c r="CC81" i="44"/>
  <c r="CG81" i="44" s="1"/>
  <c r="CD40" i="45"/>
  <c r="CH40" i="45" s="1"/>
  <c r="CD80" i="45"/>
  <c r="CH80" i="45" s="1"/>
  <c r="CD34" i="42"/>
  <c r="CH34" i="42" s="1"/>
  <c r="CC41" i="42"/>
  <c r="CG41" i="42" s="1"/>
  <c r="CD71" i="38"/>
  <c r="CH71" i="38" s="1"/>
  <c r="CD98" i="38"/>
  <c r="CH98" i="38" s="1"/>
  <c r="CD102" i="38"/>
  <c r="CH102" i="38" s="1"/>
  <c r="CC29" i="43"/>
  <c r="CG29" i="43" s="1"/>
  <c r="CD28" i="43"/>
  <c r="CH28" i="43" s="1"/>
  <c r="CG125" i="43"/>
  <c r="CG112" i="43"/>
  <c r="CD21" i="40"/>
  <c r="CH21" i="40" s="1"/>
  <c r="CC99" i="40"/>
  <c r="CG99" i="40" s="1"/>
  <c r="CD24" i="44"/>
  <c r="CH24" i="44" s="1"/>
  <c r="CD35" i="44"/>
  <c r="CH35" i="44" s="1"/>
  <c r="CD74" i="44"/>
  <c r="CH74" i="44" s="1"/>
  <c r="CD43" i="45"/>
  <c r="CH43" i="45" s="1"/>
  <c r="CC34" i="45"/>
  <c r="CG34" i="45" s="1"/>
  <c r="CD64" i="45"/>
  <c r="CH64" i="45" s="1"/>
  <c r="CC89" i="42"/>
  <c r="CG89" i="42" s="1"/>
  <c r="CC90" i="38"/>
  <c r="CG90" i="38" s="1"/>
  <c r="CC77" i="38"/>
  <c r="CG77" i="38" s="1"/>
  <c r="CC31" i="38"/>
  <c r="CG31" i="38" s="1"/>
  <c r="CD78" i="38"/>
  <c r="CH78" i="38" s="1"/>
  <c r="CD58" i="43"/>
  <c r="CH58" i="43" s="1"/>
  <c r="CC36" i="40"/>
  <c r="CG36" i="40" s="1"/>
  <c r="CC76" i="40"/>
  <c r="CG76" i="40" s="1"/>
  <c r="CD93" i="40"/>
  <c r="CH93" i="40" s="1"/>
  <c r="CC32" i="44"/>
  <c r="CG32" i="44" s="1"/>
  <c r="CC52" i="44"/>
  <c r="CG52" i="44" s="1"/>
  <c r="CC64" i="45"/>
  <c r="CG64" i="45" s="1"/>
  <c r="CC87" i="42"/>
  <c r="CG87" i="42" s="1"/>
  <c r="CC95" i="42"/>
  <c r="CG95" i="42" s="1"/>
  <c r="CD25" i="42"/>
  <c r="CH25" i="42" s="1"/>
  <c r="CC69" i="42"/>
  <c r="CG69" i="42" s="1"/>
  <c r="CD40" i="38"/>
  <c r="CH40" i="38" s="1"/>
  <c r="CD63" i="38"/>
  <c r="CH63" i="38" s="1"/>
  <c r="CC58" i="43"/>
  <c r="CG58" i="43" s="1"/>
  <c r="CD73" i="40"/>
  <c r="CH73" i="40" s="1"/>
  <c r="CD87" i="40"/>
  <c r="CH87" i="40" s="1"/>
  <c r="CC43" i="40"/>
  <c r="CG43" i="40" s="1"/>
  <c r="CC43" i="44"/>
  <c r="CG43" i="44" s="1"/>
  <c r="CC85" i="44"/>
  <c r="CG85" i="44" s="1"/>
  <c r="CD92" i="45"/>
  <c r="CH92" i="45" s="1"/>
  <c r="CD25" i="45"/>
  <c r="CH25" i="45" s="1"/>
  <c r="CC102" i="45"/>
  <c r="CG102" i="45" s="1"/>
  <c r="CC19" i="42"/>
  <c r="CG19" i="42" s="1"/>
  <c r="CC59" i="39"/>
  <c r="CG59" i="39" s="1"/>
  <c r="CC58" i="39"/>
  <c r="CG58" i="39" s="1"/>
  <c r="CD67" i="38"/>
  <c r="CH67" i="38" s="1"/>
  <c r="CC88" i="38"/>
  <c r="CG88" i="38" s="1"/>
  <c r="CD76" i="38"/>
  <c r="CH76" i="38" s="1"/>
  <c r="CC95" i="43"/>
  <c r="CG95" i="43" s="1"/>
  <c r="CC55" i="43"/>
  <c r="CG55" i="43" s="1"/>
  <c r="CD101" i="43"/>
  <c r="CH101" i="43" s="1"/>
  <c r="CD75" i="40"/>
  <c r="CH75" i="40" s="1"/>
  <c r="CD82" i="40"/>
  <c r="CH82" i="40" s="1"/>
  <c r="CD25" i="40"/>
  <c r="CH25" i="40" s="1"/>
  <c r="CC56" i="44"/>
  <c r="CG56" i="44" s="1"/>
  <c r="CD80" i="44"/>
  <c r="CH80" i="44" s="1"/>
  <c r="CD44" i="44"/>
  <c r="CH44" i="44" s="1"/>
  <c r="CC100" i="45"/>
  <c r="CG100" i="45" s="1"/>
  <c r="CD52" i="45"/>
  <c r="CH52" i="45" s="1"/>
  <c r="CC18" i="45"/>
  <c r="CG18" i="45" s="1"/>
  <c r="CD73" i="45"/>
  <c r="CH73" i="45" s="1"/>
  <c r="CD105" i="42"/>
  <c r="CH105" i="42" s="1"/>
  <c r="CC45" i="42"/>
  <c r="CG45" i="42" s="1"/>
  <c r="CD17" i="39"/>
  <c r="CH17" i="39" s="1"/>
  <c r="CD16" i="39"/>
  <c r="CH16" i="39" s="1"/>
  <c r="CD102" i="39"/>
  <c r="CH102" i="39" s="1"/>
  <c r="CA23" i="36"/>
  <c r="CB69" i="36"/>
  <c r="CA120" i="36"/>
  <c r="CB96" i="36"/>
  <c r="CB78" i="36"/>
  <c r="CD101" i="38"/>
  <c r="CH101" i="38" s="1"/>
  <c r="CC72" i="43"/>
  <c r="CG72" i="43" s="1"/>
  <c r="CD49" i="40"/>
  <c r="CH49" i="40" s="1"/>
  <c r="CD18" i="38"/>
  <c r="CH18" i="38" s="1"/>
  <c r="CD18" i="43"/>
  <c r="CH18" i="43" s="1"/>
  <c r="CD71" i="40"/>
  <c r="CH71" i="40" s="1"/>
  <c r="CD77" i="40"/>
  <c r="CH77" i="40" s="1"/>
  <c r="CC89" i="44"/>
  <c r="CG89" i="44" s="1"/>
  <c r="CD78" i="45"/>
  <c r="CH78" i="45" s="1"/>
  <c r="CC29" i="42"/>
  <c r="CG29" i="42" s="1"/>
  <c r="CC101" i="38"/>
  <c r="CG101" i="38" s="1"/>
  <c r="CC56" i="43"/>
  <c r="CG56" i="43" s="1"/>
  <c r="CD102" i="40"/>
  <c r="CH102" i="40" s="1"/>
  <c r="CD36" i="40"/>
  <c r="CH36" i="40" s="1"/>
  <c r="CD82" i="44"/>
  <c r="CH82" i="44" s="1"/>
  <c r="CD77" i="44"/>
  <c r="CH77" i="44" s="1"/>
  <c r="CD63" i="45"/>
  <c r="CH63" i="45" s="1"/>
  <c r="CD81" i="45"/>
  <c r="CH81" i="45" s="1"/>
  <c r="CC35" i="42"/>
  <c r="CG35" i="42" s="1"/>
  <c r="CC72" i="42"/>
  <c r="CG72" i="42" s="1"/>
  <c r="CD74" i="38"/>
  <c r="CH74" i="38" s="1"/>
  <c r="CD84" i="38"/>
  <c r="CH84" i="38" s="1"/>
  <c r="CC66" i="43"/>
  <c r="CG66" i="43" s="1"/>
  <c r="CC92" i="43"/>
  <c r="CG92" i="43" s="1"/>
  <c r="CD23" i="43"/>
  <c r="CH23" i="43" s="1"/>
  <c r="CD17" i="43"/>
  <c r="CH17" i="43" s="1"/>
  <c r="CD16" i="43"/>
  <c r="CH16" i="43" s="1"/>
  <c r="CD41" i="40"/>
  <c r="CH41" i="40" s="1"/>
  <c r="CC27" i="44"/>
  <c r="CG27" i="44" s="1"/>
  <c r="CD95" i="44"/>
  <c r="CH95" i="44" s="1"/>
  <c r="CC18" i="44"/>
  <c r="CG18" i="44" s="1"/>
  <c r="CC93" i="44"/>
  <c r="CG93" i="44" s="1"/>
  <c r="CC57" i="45"/>
  <c r="CG57" i="45" s="1"/>
  <c r="CD82" i="45"/>
  <c r="CH82" i="45" s="1"/>
  <c r="CD101" i="42"/>
  <c r="CH101" i="42" s="1"/>
  <c r="CC49" i="42"/>
  <c r="CG49" i="42" s="1"/>
  <c r="CD56" i="38"/>
  <c r="CH56" i="38" s="1"/>
  <c r="CD89" i="38"/>
  <c r="CH89" i="38" s="1"/>
  <c r="CC28" i="38"/>
  <c r="CG28" i="38" s="1"/>
  <c r="CC52" i="43"/>
  <c r="CG52" i="43" s="1"/>
  <c r="CC60" i="43"/>
  <c r="CG60" i="43" s="1"/>
  <c r="CD81" i="40"/>
  <c r="CH81" i="40" s="1"/>
  <c r="CD44" i="40"/>
  <c r="CH44" i="40" s="1"/>
  <c r="CD28" i="40"/>
  <c r="CH28" i="40" s="1"/>
  <c r="CC23" i="44"/>
  <c r="CG23" i="44" s="1"/>
  <c r="CD31" i="45"/>
  <c r="CH31" i="45" s="1"/>
  <c r="CD84" i="45"/>
  <c r="CH84" i="45" s="1"/>
  <c r="CH123" i="45"/>
  <c r="CH109" i="45"/>
  <c r="CC64" i="42"/>
  <c r="CG64" i="42" s="1"/>
  <c r="CD83" i="38"/>
  <c r="CH83" i="38" s="1"/>
  <c r="CD57" i="38"/>
  <c r="CH57" i="38" s="1"/>
  <c r="CC50" i="38"/>
  <c r="CG50" i="38" s="1"/>
  <c r="CD43" i="43"/>
  <c r="CH43" i="43" s="1"/>
  <c r="CD67" i="43"/>
  <c r="CH67" i="43" s="1"/>
  <c r="CC48" i="43"/>
  <c r="CG48" i="43" s="1"/>
  <c r="CC44" i="40"/>
  <c r="CG44" i="40" s="1"/>
  <c r="CC62" i="40"/>
  <c r="CG62" i="40" s="1"/>
  <c r="CD61" i="40"/>
  <c r="CH61" i="40" s="1"/>
  <c r="CC99" i="44"/>
  <c r="CG99" i="44" s="1"/>
  <c r="CD49" i="44"/>
  <c r="CH49" i="44" s="1"/>
  <c r="CD97" i="44"/>
  <c r="CH97" i="44" s="1"/>
  <c r="CC103" i="44"/>
  <c r="CG103" i="44" s="1"/>
  <c r="CD61" i="45"/>
  <c r="CH61" i="45" s="1"/>
  <c r="CD93" i="45"/>
  <c r="CH93" i="45" s="1"/>
  <c r="CD49" i="42"/>
  <c r="CH49" i="42" s="1"/>
  <c r="CC81" i="39"/>
  <c r="CG81" i="39" s="1"/>
  <c r="CC44" i="39"/>
  <c r="CG44" i="39" s="1"/>
  <c r="CC33" i="38"/>
  <c r="CG33" i="38" s="1"/>
  <c r="CD94" i="38"/>
  <c r="CH94" i="38" s="1"/>
  <c r="CD70" i="43"/>
  <c r="CH70" i="43" s="1"/>
  <c r="CC101" i="40"/>
  <c r="CG101" i="40" s="1"/>
  <c r="CD54" i="40"/>
  <c r="CH54" i="40" s="1"/>
  <c r="CC81" i="40"/>
  <c r="CG81" i="40" s="1"/>
  <c r="CD23" i="40"/>
  <c r="CH23" i="40" s="1"/>
  <c r="CD101" i="44"/>
  <c r="CH101" i="44" s="1"/>
  <c r="CD75" i="44"/>
  <c r="CH75" i="44" s="1"/>
  <c r="CD24" i="45"/>
  <c r="CH24" i="45" s="1"/>
  <c r="CD19" i="45"/>
  <c r="CH19" i="45" s="1"/>
  <c r="CC92" i="45"/>
  <c r="CG92" i="45" s="1"/>
  <c r="CD50" i="42"/>
  <c r="CH50" i="42" s="1"/>
  <c r="CC74" i="38"/>
  <c r="CG74" i="38" s="1"/>
  <c r="CD62" i="38"/>
  <c r="CH62" i="38" s="1"/>
  <c r="CC64" i="38"/>
  <c r="CG64" i="38" s="1"/>
  <c r="CD59" i="43"/>
  <c r="CH59" i="43" s="1"/>
  <c r="CD19" i="43"/>
  <c r="CH19" i="43" s="1"/>
  <c r="CD52" i="40"/>
  <c r="CH52" i="40" s="1"/>
  <c r="CD90" i="40"/>
  <c r="CH90" i="40" s="1"/>
  <c r="CD35" i="40"/>
  <c r="CH35" i="40" s="1"/>
  <c r="CD56" i="40"/>
  <c r="CH56" i="40" s="1"/>
  <c r="CC54" i="44"/>
  <c r="CG54" i="44" s="1"/>
  <c r="CC31" i="44"/>
  <c r="CG31" i="44" s="1"/>
  <c r="CC43" i="45"/>
  <c r="CG43" i="45" s="1"/>
  <c r="CC88" i="45"/>
  <c r="CG88" i="45" s="1"/>
  <c r="CC41" i="45"/>
  <c r="CG41" i="45" s="1"/>
  <c r="CH110" i="42"/>
  <c r="CC75" i="42"/>
  <c r="CG75" i="42" s="1"/>
  <c r="CD69" i="39"/>
  <c r="CH69" i="39" s="1"/>
  <c r="CA83" i="36"/>
  <c r="CC86" i="44"/>
  <c r="CG86" i="44" s="1"/>
  <c r="CC30" i="45"/>
  <c r="CG30" i="45" s="1"/>
  <c r="CC74" i="45"/>
  <c r="CG74" i="45" s="1"/>
  <c r="CG120" i="42"/>
  <c r="CD42" i="42"/>
  <c r="CH42" i="42" s="1"/>
  <c r="CD28" i="38"/>
  <c r="CH28" i="38" s="1"/>
  <c r="CD34" i="38"/>
  <c r="CH34" i="38" s="1"/>
  <c r="CD87" i="43"/>
  <c r="CH87" i="43" s="1"/>
  <c r="CC80" i="45"/>
  <c r="CG80" i="45" s="1"/>
  <c r="CC24" i="42"/>
  <c r="CG24" i="42" s="1"/>
  <c r="CD21" i="38"/>
  <c r="CH21" i="38" s="1"/>
  <c r="CC76" i="38"/>
  <c r="CG76" i="38" s="1"/>
  <c r="CC98" i="38"/>
  <c r="CG98" i="38" s="1"/>
  <c r="CD60" i="43"/>
  <c r="CH60" i="43" s="1"/>
  <c r="CD50" i="43"/>
  <c r="CH50" i="43" s="1"/>
  <c r="CC16" i="40"/>
  <c r="CG16" i="40" s="1"/>
  <c r="CC17" i="40"/>
  <c r="CG17" i="40" s="1"/>
  <c r="CD21" i="44"/>
  <c r="CH21" i="44" s="1"/>
  <c r="CC66" i="45"/>
  <c r="CG66" i="45" s="1"/>
  <c r="CC37" i="45"/>
  <c r="CG37" i="45" s="1"/>
  <c r="CC93" i="42"/>
  <c r="CG93" i="42" s="1"/>
  <c r="CD18" i="42"/>
  <c r="CH18" i="42" s="1"/>
  <c r="CC80" i="38"/>
  <c r="CG80" i="38" s="1"/>
  <c r="CD102" i="43"/>
  <c r="CH102" i="43" s="1"/>
  <c r="CD31" i="43"/>
  <c r="CH31" i="43" s="1"/>
  <c r="CC47" i="43"/>
  <c r="CG47" i="43" s="1"/>
  <c r="CC102" i="40"/>
  <c r="CG102" i="40" s="1"/>
  <c r="CC32" i="40"/>
  <c r="CG32" i="40" s="1"/>
  <c r="CC47" i="40"/>
  <c r="CG47" i="40" s="1"/>
  <c r="CC58" i="44"/>
  <c r="CG58" i="44" s="1"/>
  <c r="CC104" i="45"/>
  <c r="CG104" i="45" s="1"/>
  <c r="CD74" i="45"/>
  <c r="CH74" i="45" s="1"/>
  <c r="CD62" i="45"/>
  <c r="CH62" i="45" s="1"/>
  <c r="CD33" i="42"/>
  <c r="CH33" i="42" s="1"/>
  <c r="CC60" i="42"/>
  <c r="CG60" i="42" s="1"/>
  <c r="CC87" i="38"/>
  <c r="CG87" i="38" s="1"/>
  <c r="CC45" i="38"/>
  <c r="CG45" i="38" s="1"/>
  <c r="CC29" i="38"/>
  <c r="CG29" i="38" s="1"/>
  <c r="CC68" i="43"/>
  <c r="CG68" i="43" s="1"/>
  <c r="CD55" i="40"/>
  <c r="CH55" i="40" s="1"/>
  <c r="CC80" i="44"/>
  <c r="CG80" i="44" s="1"/>
  <c r="CD31" i="44"/>
  <c r="CH31" i="44" s="1"/>
  <c r="CC23" i="45"/>
  <c r="CG23" i="45" s="1"/>
  <c r="CC51" i="45"/>
  <c r="CG51" i="45" s="1"/>
  <c r="CG119" i="45"/>
  <c r="CG106" i="45"/>
  <c r="CG120" i="45"/>
  <c r="CD35" i="42"/>
  <c r="CH35" i="42" s="1"/>
  <c r="CC24" i="38"/>
  <c r="CG24" i="38" s="1"/>
  <c r="CD41" i="43"/>
  <c r="CH41" i="43" s="1"/>
  <c r="CC61" i="43"/>
  <c r="CG61" i="43" s="1"/>
  <c r="CD46" i="43"/>
  <c r="CH46" i="43" s="1"/>
  <c r="CC102" i="43"/>
  <c r="CG102" i="43" s="1"/>
  <c r="CD38" i="40"/>
  <c r="CH38" i="40" s="1"/>
  <c r="CD18" i="40"/>
  <c r="CH18" i="40" s="1"/>
  <c r="CC88" i="40"/>
  <c r="CG88" i="40" s="1"/>
  <c r="CD18" i="44"/>
  <c r="CH18" i="44" s="1"/>
  <c r="CC78" i="44"/>
  <c r="CG78" i="44" s="1"/>
  <c r="CC96" i="44"/>
  <c r="CG96" i="44" s="1"/>
  <c r="CC49" i="44"/>
  <c r="CG49" i="44" s="1"/>
  <c r="CD29" i="45"/>
  <c r="CH29" i="45" s="1"/>
  <c r="CD20" i="45"/>
  <c r="CH20" i="45" s="1"/>
  <c r="CD92" i="42"/>
  <c r="CH92" i="42" s="1"/>
  <c r="CD29" i="39"/>
  <c r="CH29" i="39" s="1"/>
  <c r="CC43" i="38"/>
  <c r="CG43" i="38" s="1"/>
  <c r="CD72" i="38"/>
  <c r="CH72" i="38" s="1"/>
  <c r="CD44" i="43"/>
  <c r="CH44" i="43" s="1"/>
  <c r="CC20" i="43"/>
  <c r="CG20" i="43" s="1"/>
  <c r="CD24" i="40"/>
  <c r="CH24" i="40" s="1"/>
  <c r="CC89" i="40"/>
  <c r="CG89" i="40" s="1"/>
  <c r="CD31" i="40"/>
  <c r="CH31" i="40" s="1"/>
  <c r="CD78" i="44"/>
  <c r="CH78" i="44" s="1"/>
  <c r="CD50" i="44"/>
  <c r="CH50" i="44" s="1"/>
  <c r="CC102" i="44"/>
  <c r="CG102" i="44" s="1"/>
  <c r="CC60" i="45"/>
  <c r="CG60" i="45" s="1"/>
  <c r="CD71" i="45"/>
  <c r="CH71" i="45" s="1"/>
  <c r="CC103" i="45"/>
  <c r="CG103" i="45" s="1"/>
  <c r="CC90" i="45"/>
  <c r="CG90" i="45" s="1"/>
  <c r="CC78" i="42"/>
  <c r="CG78" i="42" s="1"/>
  <c r="CC70" i="38"/>
  <c r="CG70" i="38" s="1"/>
  <c r="CC59" i="38"/>
  <c r="CG59" i="38" s="1"/>
  <c r="CC68" i="38"/>
  <c r="CG68" i="38" s="1"/>
  <c r="CC48" i="38"/>
  <c r="CG48" i="38" s="1"/>
  <c r="CC96" i="43"/>
  <c r="CG96" i="43" s="1"/>
  <c r="CD27" i="43"/>
  <c r="CH27" i="43" s="1"/>
  <c r="CC65" i="43"/>
  <c r="CG65" i="43" s="1"/>
  <c r="CD98" i="40"/>
  <c r="CH98" i="40" s="1"/>
  <c r="CD43" i="40"/>
  <c r="CH43" i="40" s="1"/>
  <c r="CC35" i="40"/>
  <c r="CG35" i="40" s="1"/>
  <c r="CC62" i="44"/>
  <c r="CG62" i="44" s="1"/>
  <c r="CD59" i="44"/>
  <c r="CH59" i="44" s="1"/>
  <c r="CD81" i="44"/>
  <c r="CH81" i="44" s="1"/>
  <c r="CG108" i="44"/>
  <c r="CG106" i="44"/>
  <c r="CC76" i="45"/>
  <c r="CG76" i="45" s="1"/>
  <c r="CD36" i="45"/>
  <c r="CH36" i="45" s="1"/>
  <c r="CD45" i="42"/>
  <c r="CH45" i="42" s="1"/>
  <c r="CD79" i="42"/>
  <c r="CH79" i="42" s="1"/>
  <c r="CC29" i="39"/>
  <c r="CG29" i="39" s="1"/>
  <c r="CD104" i="39"/>
  <c r="CH104" i="39" s="1"/>
  <c r="CB57" i="36"/>
  <c r="CA54" i="36"/>
  <c r="CA35" i="36"/>
  <c r="CA29" i="36"/>
  <c r="CB93" i="36"/>
  <c r="CD78" i="43"/>
  <c r="CH78" i="43" s="1"/>
  <c r="CC27" i="40"/>
  <c r="CG27" i="40" s="1"/>
  <c r="CD53" i="38"/>
  <c r="CH53" i="38" s="1"/>
  <c r="CC79" i="43"/>
  <c r="CG79" i="43" s="1"/>
  <c r="CC63" i="40"/>
  <c r="CG63" i="40" s="1"/>
  <c r="CD46" i="40"/>
  <c r="CH46" i="40" s="1"/>
  <c r="CC69" i="44"/>
  <c r="CG69" i="44" s="1"/>
  <c r="CD25" i="44"/>
  <c r="CH25" i="44" s="1"/>
  <c r="CD54" i="45"/>
  <c r="CH54" i="45" s="1"/>
  <c r="CC103" i="42"/>
  <c r="CG103" i="42" s="1"/>
  <c r="CD29" i="42"/>
  <c r="CH29" i="42" s="1"/>
  <c r="CC23" i="38"/>
  <c r="CG23" i="38" s="1"/>
  <c r="CD27" i="38"/>
  <c r="CH27" i="38" s="1"/>
  <c r="CD105" i="38"/>
  <c r="CH105" i="38" s="1"/>
  <c r="CD101" i="40"/>
  <c r="CH101" i="40" s="1"/>
  <c r="CC60" i="40"/>
  <c r="CG60" i="40" s="1"/>
  <c r="CC35" i="44"/>
  <c r="CG35" i="44" s="1"/>
  <c r="CC48" i="45"/>
  <c r="CG48" i="45" s="1"/>
  <c r="CD41" i="45"/>
  <c r="CH41" i="45" s="1"/>
  <c r="CC49" i="45"/>
  <c r="CG49" i="45" s="1"/>
  <c r="CC22" i="45"/>
  <c r="CG22" i="45" s="1"/>
  <c r="CD64" i="38"/>
  <c r="CH64" i="38" s="1"/>
  <c r="CC52" i="38"/>
  <c r="CG52" i="38" s="1"/>
  <c r="CD73" i="38"/>
  <c r="CH73" i="38" s="1"/>
  <c r="CC54" i="43"/>
  <c r="CG54" i="43" s="1"/>
  <c r="CC97" i="43"/>
  <c r="CG97" i="43" s="1"/>
  <c r="CD84" i="43"/>
  <c r="CH84" i="43" s="1"/>
  <c r="CC30" i="40"/>
  <c r="CG30" i="40" s="1"/>
  <c r="CC72" i="40"/>
  <c r="CG72" i="40" s="1"/>
  <c r="CD67" i="44"/>
  <c r="CH67" i="44" s="1"/>
  <c r="CD64" i="44"/>
  <c r="CH64" i="44" s="1"/>
  <c r="CC47" i="45"/>
  <c r="CG47" i="45" s="1"/>
  <c r="CD70" i="45"/>
  <c r="CH70" i="45" s="1"/>
  <c r="CD97" i="45"/>
  <c r="CH97" i="45" s="1"/>
  <c r="CD53" i="45"/>
  <c r="CH53" i="45" s="1"/>
  <c r="CD83" i="42"/>
  <c r="CH83" i="42" s="1"/>
  <c r="CC36" i="39"/>
  <c r="CG36" i="39" s="1"/>
  <c r="CD39" i="39"/>
  <c r="CH39" i="39" s="1"/>
  <c r="CC94" i="38"/>
  <c r="CG94" i="38" s="1"/>
  <c r="CC22" i="38"/>
  <c r="CG22" i="38" s="1"/>
  <c r="CD77" i="43"/>
  <c r="CH77" i="43" s="1"/>
  <c r="CD62" i="40"/>
  <c r="CH62" i="40" s="1"/>
  <c r="CC70" i="40"/>
  <c r="CG70" i="40" s="1"/>
  <c r="CC21" i="44"/>
  <c r="CG21" i="44" s="1"/>
  <c r="CC92" i="44"/>
  <c r="CG92" i="44" s="1"/>
  <c r="CD67" i="45"/>
  <c r="CH67" i="45" s="1"/>
  <c r="CC98" i="45"/>
  <c r="CG98" i="45" s="1"/>
  <c r="CC63" i="42"/>
  <c r="CG63" i="42" s="1"/>
  <c r="CC33" i="42"/>
  <c r="CG33" i="42" s="1"/>
  <c r="CC86" i="38"/>
  <c r="CG86" i="38" s="1"/>
  <c r="CC33" i="43"/>
  <c r="CG33" i="43" s="1"/>
  <c r="CD35" i="43"/>
  <c r="CH35" i="43" s="1"/>
  <c r="CD92" i="43"/>
  <c r="CH92" i="43" s="1"/>
  <c r="CD86" i="43"/>
  <c r="CH86" i="43" s="1"/>
  <c r="CD47" i="40"/>
  <c r="CH47" i="40" s="1"/>
  <c r="CD70" i="40"/>
  <c r="CH70" i="40" s="1"/>
  <c r="CC67" i="40"/>
  <c r="CG67" i="40" s="1"/>
  <c r="CC72" i="44"/>
  <c r="CG72" i="44" s="1"/>
  <c r="CC96" i="45"/>
  <c r="CG96" i="45" s="1"/>
  <c r="CD21" i="42"/>
  <c r="CH21" i="42" s="1"/>
  <c r="CC101" i="42"/>
  <c r="CG101" i="42" s="1"/>
  <c r="CD28" i="42"/>
  <c r="CH28" i="42" s="1"/>
  <c r="CC34" i="39"/>
  <c r="CG34" i="39" s="1"/>
  <c r="CC49" i="38"/>
  <c r="CG49" i="38" s="1"/>
  <c r="CD31" i="38"/>
  <c r="CH31" i="38" s="1"/>
  <c r="CC44" i="38"/>
  <c r="CG44" i="38" s="1"/>
  <c r="CC39" i="38"/>
  <c r="CG39" i="38" s="1"/>
  <c r="CC26" i="43"/>
  <c r="CG26" i="43" s="1"/>
  <c r="CD36" i="43"/>
  <c r="CH36" i="43" s="1"/>
  <c r="CC69" i="43"/>
  <c r="CG69" i="43" s="1"/>
  <c r="CD40" i="40"/>
  <c r="CH40" i="40" s="1"/>
  <c r="CC73" i="40"/>
  <c r="CG73" i="40" s="1"/>
  <c r="CD58" i="44"/>
  <c r="CH58" i="44" s="1"/>
  <c r="CD16" i="44"/>
  <c r="CH16" i="44" s="1"/>
  <c r="CD17" i="44"/>
  <c r="CH17" i="44" s="1"/>
  <c r="CD91" i="44"/>
  <c r="CH91" i="44" s="1"/>
  <c r="CD86" i="45"/>
  <c r="CH86" i="45" s="1"/>
  <c r="CD39" i="45"/>
  <c r="CH39" i="45" s="1"/>
  <c r="CD23" i="45"/>
  <c r="CH23" i="45" s="1"/>
  <c r="CD70" i="42"/>
  <c r="CH70" i="42" s="1"/>
  <c r="CD61" i="42"/>
  <c r="CH61" i="42" s="1"/>
  <c r="CD48" i="39"/>
  <c r="CH48" i="39" s="1"/>
  <c r="CC65" i="38"/>
  <c r="CG65" i="38" s="1"/>
  <c r="CC95" i="38"/>
  <c r="CG95" i="38" s="1"/>
  <c r="CD52" i="38"/>
  <c r="CH52" i="38" s="1"/>
  <c r="CC38" i="43"/>
  <c r="CG38" i="43" s="1"/>
  <c r="CD32" i="43"/>
  <c r="CH32" i="43" s="1"/>
  <c r="CD99" i="43"/>
  <c r="CH99" i="43" s="1"/>
  <c r="CD32" i="40"/>
  <c r="CH32" i="40" s="1"/>
  <c r="CD20" i="40"/>
  <c r="CH20" i="40" s="1"/>
  <c r="CG125" i="40"/>
  <c r="CG112" i="40"/>
  <c r="CG123" i="40"/>
  <c r="CD63" i="44"/>
  <c r="CH63" i="44" s="1"/>
  <c r="CD55" i="44"/>
  <c r="CH55" i="44" s="1"/>
  <c r="CD33" i="44"/>
  <c r="CH33" i="44" s="1"/>
  <c r="CD76" i="45"/>
  <c r="CH76" i="45" s="1"/>
  <c r="CC27" i="45"/>
  <c r="CG27" i="45" s="1"/>
  <c r="CD35" i="45"/>
  <c r="CH35" i="45" s="1"/>
  <c r="CC23" i="42"/>
  <c r="CG23" i="42" s="1"/>
  <c r="CC86" i="42"/>
  <c r="CG86" i="42" s="1"/>
  <c r="CC91" i="42"/>
  <c r="CG91" i="42" s="1"/>
  <c r="CD48" i="42"/>
  <c r="CH48" i="42" s="1"/>
  <c r="CD99" i="39"/>
  <c r="CH99" i="39" s="1"/>
  <c r="CD95" i="40"/>
  <c r="CH95" i="40" s="1"/>
  <c r="CA30" i="36"/>
  <c r="CA51" i="36"/>
  <c r="CA25" i="36"/>
  <c r="CB35" i="36"/>
  <c r="CC92" i="40"/>
  <c r="CG92" i="40" s="1"/>
  <c r="CD83" i="44"/>
  <c r="CH83" i="44" s="1"/>
  <c r="CC54" i="42"/>
  <c r="CG54" i="42" s="1"/>
  <c r="CC72" i="38"/>
  <c r="CG72" i="38" s="1"/>
  <c r="CD93" i="43"/>
  <c r="CH93" i="43" s="1"/>
  <c r="CC70" i="43"/>
  <c r="CG70" i="43" s="1"/>
  <c r="CC75" i="43"/>
  <c r="CG75" i="43" s="1"/>
  <c r="CC84" i="40"/>
  <c r="CG84" i="40" s="1"/>
  <c r="CD42" i="44"/>
  <c r="CH42" i="44" s="1"/>
  <c r="CD37" i="42"/>
  <c r="CH37" i="42" s="1"/>
  <c r="CD86" i="42"/>
  <c r="CH86" i="42" s="1"/>
  <c r="CD67" i="42"/>
  <c r="CH67" i="42" s="1"/>
  <c r="CD51" i="38"/>
  <c r="CH51" i="38" s="1"/>
  <c r="CG110" i="38"/>
  <c r="CG108" i="38"/>
  <c r="CD69" i="38"/>
  <c r="CH69" i="38" s="1"/>
  <c r="CC80" i="43"/>
  <c r="CG80" i="43" s="1"/>
  <c r="CC51" i="40"/>
  <c r="CG51" i="40" s="1"/>
  <c r="CC59" i="40"/>
  <c r="CG59" i="40" s="1"/>
  <c r="CD32" i="44"/>
  <c r="CH32" i="44" s="1"/>
  <c r="CD52" i="44"/>
  <c r="CH52" i="44" s="1"/>
  <c r="CC55" i="45"/>
  <c r="CG55" i="45" s="1"/>
  <c r="CD88" i="42"/>
  <c r="CH88" i="42" s="1"/>
  <c r="CD65" i="38"/>
  <c r="CH65" i="38" s="1"/>
  <c r="CD100" i="38"/>
  <c r="CH100" i="38" s="1"/>
  <c r="CD19" i="38"/>
  <c r="CH19" i="38" s="1"/>
  <c r="CD29" i="43"/>
  <c r="CH29" i="43" s="1"/>
  <c r="CC49" i="40"/>
  <c r="CG49" i="40" s="1"/>
  <c r="CC54" i="40"/>
  <c r="CG54" i="40" s="1"/>
  <c r="CC36" i="44"/>
  <c r="CG36" i="44" s="1"/>
  <c r="CD46" i="45"/>
  <c r="CH46" i="45" s="1"/>
  <c r="CD102" i="42"/>
  <c r="CH102" i="42" s="1"/>
  <c r="CD46" i="42"/>
  <c r="CH46" i="42" s="1"/>
  <c r="CD43" i="38"/>
  <c r="CH43" i="38" s="1"/>
  <c r="CD51" i="43"/>
  <c r="CH51" i="43" s="1"/>
  <c r="CD95" i="43"/>
  <c r="CH95" i="43" s="1"/>
  <c r="CD83" i="43"/>
  <c r="CH83" i="43" s="1"/>
  <c r="CD88" i="43"/>
  <c r="CH88" i="43" s="1"/>
  <c r="CD68" i="40"/>
  <c r="CH68" i="40" s="1"/>
  <c r="CD27" i="44"/>
  <c r="CH27" i="44" s="1"/>
  <c r="CC65" i="44"/>
  <c r="CG65" i="44" s="1"/>
  <c r="CD60" i="45"/>
  <c r="CH60" i="45" s="1"/>
  <c r="CC45" i="45"/>
  <c r="CG45" i="45" s="1"/>
  <c r="CD81" i="42"/>
  <c r="CH81" i="42" s="1"/>
  <c r="CD94" i="39"/>
  <c r="CH94" i="39" s="1"/>
  <c r="CC25" i="39"/>
  <c r="CG25" i="39" s="1"/>
  <c r="CD23" i="38"/>
  <c r="CH23" i="38" s="1"/>
  <c r="CD74" i="43"/>
  <c r="CH74" i="43" s="1"/>
  <c r="CC74" i="43"/>
  <c r="CG74" i="43" s="1"/>
  <c r="CC51" i="43"/>
  <c r="CG51" i="43" s="1"/>
  <c r="CC101" i="43"/>
  <c r="CG101" i="43" s="1"/>
  <c r="CD76" i="40"/>
  <c r="CH76" i="40" s="1"/>
  <c r="CC71" i="40"/>
  <c r="CG71" i="40" s="1"/>
  <c r="CH117" i="44"/>
  <c r="CC94" i="44"/>
  <c r="CG94" i="44" s="1"/>
  <c r="CC20" i="44"/>
  <c r="CG20" i="44" s="1"/>
  <c r="CD38" i="44"/>
  <c r="CH38" i="44" s="1"/>
  <c r="CC53" i="45"/>
  <c r="CG53" i="45" s="1"/>
  <c r="CD57" i="45"/>
  <c r="CH57" i="45" s="1"/>
  <c r="CD100" i="42"/>
  <c r="CH100" i="42" s="1"/>
  <c r="CD37" i="39"/>
  <c r="CH37" i="39" s="1"/>
  <c r="CC54" i="38"/>
  <c r="CG54" i="38" s="1"/>
  <c r="CC36" i="43"/>
  <c r="CG36" i="43" s="1"/>
  <c r="CD104" i="43"/>
  <c r="CH104" i="43" s="1"/>
  <c r="CC29" i="40"/>
  <c r="CG29" i="40" s="1"/>
  <c r="CC93" i="40"/>
  <c r="CG93" i="40" s="1"/>
  <c r="CC23" i="40"/>
  <c r="CG23" i="40" s="1"/>
  <c r="CD66" i="44"/>
  <c r="CH66" i="44" s="1"/>
  <c r="CC28" i="44"/>
  <c r="CG28" i="44" s="1"/>
  <c r="CC25" i="44"/>
  <c r="CG25" i="44" s="1"/>
  <c r="CD88" i="44"/>
  <c r="CH88" i="44" s="1"/>
  <c r="CC44" i="45"/>
  <c r="CG44" i="45" s="1"/>
  <c r="CC97" i="45"/>
  <c r="CG97" i="45" s="1"/>
  <c r="CC39" i="42"/>
  <c r="CG39" i="42" s="1"/>
  <c r="CC100" i="42"/>
  <c r="CG100" i="42" s="1"/>
  <c r="CC68" i="42"/>
  <c r="CG68" i="42" s="1"/>
  <c r="CD79" i="39"/>
  <c r="CH79" i="39" s="1"/>
  <c r="CC84" i="38"/>
  <c r="CG84" i="38" s="1"/>
  <c r="CC27" i="43"/>
  <c r="CG27" i="43" s="1"/>
  <c r="CD96" i="43"/>
  <c r="CH96" i="43" s="1"/>
  <c r="CC45" i="43"/>
  <c r="CG45" i="43" s="1"/>
  <c r="CC63" i="43"/>
  <c r="CG63" i="43" s="1"/>
  <c r="CC45" i="40"/>
  <c r="CG45" i="40" s="1"/>
  <c r="CC42" i="44"/>
  <c r="CG42" i="44" s="1"/>
  <c r="CD100" i="44"/>
  <c r="CH100" i="44" s="1"/>
  <c r="CC26" i="44"/>
  <c r="CG26" i="44" s="1"/>
  <c r="CC48" i="44"/>
  <c r="CG48" i="44" s="1"/>
  <c r="CC28" i="45"/>
  <c r="CG28" i="45" s="1"/>
  <c r="CD104" i="45"/>
  <c r="CH104" i="45" s="1"/>
  <c r="CD99" i="45"/>
  <c r="CH99" i="45" s="1"/>
  <c r="CD94" i="42"/>
  <c r="CH94" i="42" s="1"/>
  <c r="CD78" i="42"/>
  <c r="CH78" i="42" s="1"/>
  <c r="CC27" i="42"/>
  <c r="CG27" i="42" s="1"/>
  <c r="CD24" i="42"/>
  <c r="CH24" i="42" s="1"/>
  <c r="CC40" i="39"/>
  <c r="CG40" i="39" s="1"/>
  <c r="CD18" i="39"/>
  <c r="CH18" i="39" s="1"/>
  <c r="CA68" i="36"/>
  <c r="CB87" i="36"/>
  <c r="CB83" i="36"/>
  <c r="CB61" i="36"/>
  <c r="CB117" i="36"/>
  <c r="CA112" i="36"/>
  <c r="CB58" i="36"/>
  <c r="CB118" i="36"/>
  <c r="CA84" i="36"/>
  <c r="CA121" i="36"/>
  <c r="CA124" i="36"/>
  <c r="CA33" i="36"/>
  <c r="CA17" i="36"/>
  <c r="CB89" i="36"/>
  <c r="CB59" i="36"/>
  <c r="CA119" i="36"/>
  <c r="CB108" i="36"/>
  <c r="CA52" i="36"/>
  <c r="CB39" i="36"/>
  <c r="CA71" i="36"/>
  <c r="CB104" i="36"/>
  <c r="CA100" i="36"/>
  <c r="CA69" i="36"/>
  <c r="CB85" i="36"/>
  <c r="CB71" i="36"/>
  <c r="CA28" i="36"/>
  <c r="CA74" i="36"/>
  <c r="CB24" i="36"/>
  <c r="CA96" i="36"/>
  <c r="CA37" i="36"/>
  <c r="CB116" i="36"/>
  <c r="CA62" i="36"/>
  <c r="CB106" i="36"/>
  <c r="CB47" i="36"/>
  <c r="CA95" i="36"/>
  <c r="CA97" i="36"/>
  <c r="CA64" i="36"/>
  <c r="CB68" i="36"/>
  <c r="CA48" i="36"/>
  <c r="CA78" i="36"/>
  <c r="CA108" i="36"/>
  <c r="CA86" i="36"/>
  <c r="CA36" i="36"/>
  <c r="CB49" i="36"/>
  <c r="CA123" i="36"/>
  <c r="CB120" i="36"/>
  <c r="CA77" i="36"/>
  <c r="CA34" i="36"/>
  <c r="CA18" i="36"/>
  <c r="CA79" i="36"/>
  <c r="CA75" i="36"/>
  <c r="CA15" i="36"/>
  <c r="CC15" i="36" s="1"/>
  <c r="CG15" i="36" s="1"/>
  <c r="CB122" i="36"/>
  <c r="CA60" i="36"/>
  <c r="CA82" i="36"/>
  <c r="CB15" i="36"/>
  <c r="CD15" i="36" s="1"/>
  <c r="CH15" i="36" s="1"/>
  <c r="CB73" i="36"/>
  <c r="CB123" i="36"/>
  <c r="CB22" i="36"/>
  <c r="CB119" i="36"/>
  <c r="CA50" i="36"/>
  <c r="CA103" i="36"/>
  <c r="CB125" i="36"/>
  <c r="CA92" i="36"/>
  <c r="CB88" i="36"/>
  <c r="CA47" i="36"/>
  <c r="CB19" i="36"/>
  <c r="CA61" i="36"/>
  <c r="CA106" i="36"/>
  <c r="CB17" i="36"/>
  <c r="CA89" i="36"/>
  <c r="CA80" i="36"/>
  <c r="CA72" i="36"/>
  <c r="CA118" i="36"/>
  <c r="CA104" i="36"/>
  <c r="CB91" i="36"/>
  <c r="CA98" i="36"/>
  <c r="CB110" i="36"/>
  <c r="CA85" i="36"/>
  <c r="CB36" i="36"/>
  <c r="CA58" i="36"/>
  <c r="CB75" i="36"/>
  <c r="CB40" i="36"/>
  <c r="CB67" i="36"/>
  <c r="CB105" i="36"/>
  <c r="CA40" i="36"/>
  <c r="CB27" i="36"/>
  <c r="CB52" i="36"/>
  <c r="CB65" i="36"/>
  <c r="CB31" i="36"/>
  <c r="CA46" i="36"/>
  <c r="CA70" i="36"/>
  <c r="CB114" i="36"/>
  <c r="CB41" i="36"/>
  <c r="CB42" i="36"/>
  <c r="CB84" i="36"/>
  <c r="CA91" i="36"/>
  <c r="CA38" i="36"/>
  <c r="CA66" i="36"/>
  <c r="CB86" i="36"/>
  <c r="CA24" i="36"/>
  <c r="CB18" i="36"/>
  <c r="CA27" i="36"/>
  <c r="CA125" i="36"/>
  <c r="CB81" i="36"/>
  <c r="CB80" i="36"/>
  <c r="CB101" i="36"/>
  <c r="CB115" i="36"/>
  <c r="CB99" i="36"/>
  <c r="CB43" i="36"/>
  <c r="CB56" i="36"/>
  <c r="CA76" i="36"/>
  <c r="CB20" i="36"/>
  <c r="CA94" i="36"/>
  <c r="CB62" i="36"/>
  <c r="CA53" i="36"/>
  <c r="CA31" i="36"/>
  <c r="CB94" i="36"/>
  <c r="CA114" i="36"/>
  <c r="CA16" i="36"/>
  <c r="CA57" i="36"/>
  <c r="CA21" i="36"/>
  <c r="CB25" i="36"/>
  <c r="CB92" i="37"/>
  <c r="CA39" i="37"/>
  <c r="CB21" i="37"/>
  <c r="CA19" i="37"/>
  <c r="CA72" i="37"/>
  <c r="CA52" i="37"/>
  <c r="CB52" i="37"/>
  <c r="CB70" i="37"/>
  <c r="CA80" i="37"/>
  <c r="CA115" i="37"/>
  <c r="CA27" i="37"/>
  <c r="CB66" i="37"/>
  <c r="CA87" i="37"/>
  <c r="CB47" i="37"/>
  <c r="CB64" i="37"/>
  <c r="CA23" i="37"/>
  <c r="CA94" i="37"/>
  <c r="CB31" i="37"/>
  <c r="CA88" i="37"/>
  <c r="CB80" i="37"/>
  <c r="CB74" i="37"/>
  <c r="CB38" i="37"/>
  <c r="CB16" i="37"/>
  <c r="CB123" i="37"/>
  <c r="CB93" i="37"/>
  <c r="CB71" i="37"/>
  <c r="CB98" i="37"/>
  <c r="CA101" i="37"/>
  <c r="CB17" i="37"/>
  <c r="CB96" i="37"/>
  <c r="CB55" i="37"/>
  <c r="CA51" i="37"/>
  <c r="CB67" i="37"/>
  <c r="CA68" i="37"/>
  <c r="CB107" i="37"/>
  <c r="CA99" i="37"/>
  <c r="CA26" i="37"/>
  <c r="CB73" i="37"/>
  <c r="CB111" i="37"/>
  <c r="CB83" i="37"/>
  <c r="CB88" i="37"/>
  <c r="CA82" i="37"/>
  <c r="CB59" i="37"/>
  <c r="CA36" i="37"/>
  <c r="CB23" i="37"/>
  <c r="CB40" i="37"/>
  <c r="CA107" i="37"/>
  <c r="CA24" i="37"/>
  <c r="CB103" i="37"/>
  <c r="CA45" i="37"/>
  <c r="CB121" i="37"/>
  <c r="CB118" i="37"/>
  <c r="CB116" i="37"/>
  <c r="CA58" i="37"/>
  <c r="CB109" i="37"/>
  <c r="CA113" i="37"/>
  <c r="CA16" i="37"/>
  <c r="CB22" i="37"/>
  <c r="CA110" i="37"/>
  <c r="CB25" i="37"/>
  <c r="CA32" i="37"/>
  <c r="CA34" i="37"/>
  <c r="CB99" i="37"/>
  <c r="CB87" i="37"/>
  <c r="CA69" i="37"/>
  <c r="CA65" i="37"/>
  <c r="CA105" i="37"/>
  <c r="CA93" i="37"/>
  <c r="CA71" i="37"/>
  <c r="CB69" i="37"/>
  <c r="CB37" i="37"/>
  <c r="CA21" i="37"/>
  <c r="CB41" i="37"/>
  <c r="CA92" i="37"/>
  <c r="CB50" i="37"/>
  <c r="CB68" i="37"/>
  <c r="CB97" i="37"/>
  <c r="CB76" i="37"/>
  <c r="CA41" i="37"/>
  <c r="CA122" i="37"/>
  <c r="CA118" i="37"/>
  <c r="CB117" i="37"/>
  <c r="CA42" i="37"/>
  <c r="CA55" i="37"/>
  <c r="CA95" i="37"/>
  <c r="CB101" i="37"/>
  <c r="CA63" i="37"/>
  <c r="CA77" i="37"/>
  <c r="CA28" i="37"/>
  <c r="CA103" i="37"/>
  <c r="CA96" i="37"/>
  <c r="CA30" i="37"/>
  <c r="CB58" i="37"/>
  <c r="CA108" i="37"/>
  <c r="CA89" i="37"/>
  <c r="CB89" i="37"/>
  <c r="CA114" i="37"/>
  <c r="CA37" i="37"/>
  <c r="CB48" i="37"/>
  <c r="CB33" i="37"/>
  <c r="CB95" i="37"/>
  <c r="CB32" i="37"/>
  <c r="CA111" i="37"/>
  <c r="CA22" i="37"/>
  <c r="CB78" i="37"/>
  <c r="CA56" i="37"/>
  <c r="CA44" i="37"/>
  <c r="CA125" i="37"/>
  <c r="CA119" i="37"/>
  <c r="CA81" i="37"/>
  <c r="CA106" i="37"/>
  <c r="CB82" i="37"/>
  <c r="CB102" i="37"/>
  <c r="CA64" i="37"/>
  <c r="CA109" i="37"/>
  <c r="CA62" i="37"/>
  <c r="CA73" i="37"/>
  <c r="CA84" i="37"/>
  <c r="CA78" i="37"/>
  <c r="CA66" i="37"/>
  <c r="CA54" i="37"/>
  <c r="CA17" i="37"/>
  <c r="CB34" i="37"/>
  <c r="CA75" i="37"/>
  <c r="CB113" i="37"/>
  <c r="CA57" i="37"/>
  <c r="CB86" i="37"/>
  <c r="CB94" i="37"/>
  <c r="CA29" i="37"/>
  <c r="CA70" i="37"/>
  <c r="CB114" i="37"/>
  <c r="CA53" i="37"/>
  <c r="CA112" i="37"/>
  <c r="CA47" i="37"/>
  <c r="CB125" i="37"/>
  <c r="CA124" i="37"/>
  <c r="CB119" i="37"/>
  <c r="CB72" i="37"/>
  <c r="CB29" i="37"/>
  <c r="CB18" i="37"/>
  <c r="CA83" i="37"/>
  <c r="CA46" i="37"/>
  <c r="CB110" i="37"/>
  <c r="CA79" i="37"/>
  <c r="CB27" i="37"/>
  <c r="CB106" i="37"/>
  <c r="CB57" i="37"/>
  <c r="CA76" i="37"/>
  <c r="CA97" i="37"/>
  <c r="CB53" i="37"/>
  <c r="CB26" i="37"/>
  <c r="CA48" i="37"/>
  <c r="CB84" i="37"/>
  <c r="CA85" i="37"/>
  <c r="CA49" i="37"/>
  <c r="CB28" i="37"/>
  <c r="CA61" i="37"/>
  <c r="CA33" i="37"/>
  <c r="CB39" i="37"/>
  <c r="CA25" i="37"/>
  <c r="CA59" i="37"/>
  <c r="CA121" i="37"/>
  <c r="CA120" i="37"/>
  <c r="CB120" i="37"/>
  <c r="CB15" i="37"/>
  <c r="CD15" i="37" s="1"/>
  <c r="CH15" i="37" s="1"/>
  <c r="CB75" i="37"/>
  <c r="CA91" i="37"/>
  <c r="CB65" i="37"/>
  <c r="CB115" i="37"/>
  <c r="CB85" i="37"/>
  <c r="CB60" i="37"/>
  <c r="CB51" i="37"/>
  <c r="CB43" i="37"/>
  <c r="CA50" i="37"/>
  <c r="CB35" i="37"/>
  <c r="CB42" i="37"/>
  <c r="CB108" i="37"/>
  <c r="CB91" i="37"/>
  <c r="CA35" i="37"/>
  <c r="CA98" i="37"/>
  <c r="CA104" i="37"/>
  <c r="CA67" i="37"/>
  <c r="CA90" i="37"/>
  <c r="CA60" i="37"/>
  <c r="CB61" i="37"/>
  <c r="CB81" i="37"/>
  <c r="CB54" i="37"/>
  <c r="CB49" i="37"/>
  <c r="CB24" i="37"/>
  <c r="CB56" i="37"/>
  <c r="CA116" i="37"/>
  <c r="CA123" i="37"/>
  <c r="CB124" i="37"/>
  <c r="CB105" i="37"/>
  <c r="CB104" i="37"/>
  <c r="CB90" i="37"/>
  <c r="CB79" i="37"/>
  <c r="CA74" i="37"/>
  <c r="CB30" i="37"/>
  <c r="CA38" i="37"/>
  <c r="CB63" i="37"/>
  <c r="CB19" i="37"/>
  <c r="CA100" i="37"/>
  <c r="CA86" i="37"/>
  <c r="CB46" i="37"/>
  <c r="CA43" i="37"/>
  <c r="CA20" i="37"/>
  <c r="CB62" i="37"/>
  <c r="CB20" i="37"/>
  <c r="CB45" i="37"/>
  <c r="CB77" i="37"/>
  <c r="CA31" i="37"/>
  <c r="CB112" i="37"/>
  <c r="CB44" i="37"/>
  <c r="CB100" i="37"/>
  <c r="CA40" i="37"/>
  <c r="CA102" i="37"/>
  <c r="CB36" i="37"/>
  <c r="CA18" i="37"/>
  <c r="CA117" i="37"/>
  <c r="CB122" i="37"/>
  <c r="CA15" i="37"/>
  <c r="CC15" i="37" s="1"/>
  <c r="CG15" i="37" s="1"/>
  <c r="C36" i="3"/>
  <c r="B2" i="17" a="1"/>
  <c r="B2" i="17" s="1"/>
  <c r="B2" i="28" a="1"/>
  <c r="B2" i="28" s="1"/>
  <c r="B2" i="21" a="1"/>
  <c r="B2" i="21" s="1"/>
  <c r="B2" i="26" a="1"/>
  <c r="B2" i="26" s="1"/>
  <c r="B2" i="20" a="1"/>
  <c r="B2" i="20" s="1"/>
  <c r="B2" i="31" a="1"/>
  <c r="B2" i="31" s="1"/>
  <c r="B2" i="18" a="1"/>
  <c r="B2" i="18" s="1"/>
  <c r="B2" i="22" a="1"/>
  <c r="B2" i="22" s="1"/>
  <c r="C37" i="20"/>
  <c r="D35" i="3" l="1"/>
  <c r="E35" i="3"/>
  <c r="V12" i="24"/>
  <c r="F35" i="3"/>
  <c r="X12" i="24"/>
  <c r="B18" i="32"/>
  <c r="T12" i="24"/>
  <c r="CC112" i="36"/>
  <c r="CG112" i="36" s="1"/>
  <c r="CC120" i="36"/>
  <c r="CG120" i="36" s="1"/>
  <c r="CC113" i="36"/>
  <c r="CG113" i="36" s="1"/>
  <c r="CC121" i="36"/>
  <c r="CG121" i="36" s="1"/>
  <c r="CC114" i="36"/>
  <c r="CG114" i="36" s="1"/>
  <c r="CC122" i="36"/>
  <c r="CG122" i="36" s="1"/>
  <c r="CC107" i="36"/>
  <c r="CG107" i="36" s="1"/>
  <c r="CC115" i="36"/>
  <c r="CG115" i="36" s="1"/>
  <c r="CC123" i="36"/>
  <c r="CG123" i="36" s="1"/>
  <c r="CC108" i="36"/>
  <c r="CC116" i="36"/>
  <c r="CC124" i="36"/>
  <c r="CG124" i="36" s="1"/>
  <c r="CC109" i="36"/>
  <c r="CC117" i="36"/>
  <c r="CG117" i="36" s="1"/>
  <c r="CC125" i="36"/>
  <c r="CG125" i="36" s="1"/>
  <c r="CC110" i="36"/>
  <c r="CG110" i="36" s="1"/>
  <c r="CC118" i="36"/>
  <c r="CG118" i="36" s="1"/>
  <c r="CC106" i="36"/>
  <c r="CG106" i="36" s="1"/>
  <c r="CC111" i="36"/>
  <c r="CC119" i="36"/>
  <c r="CG119" i="36" s="1"/>
  <c r="CC112" i="37"/>
  <c r="CC120" i="37"/>
  <c r="CC113" i="37"/>
  <c r="CG113" i="37" s="1"/>
  <c r="CC121" i="37"/>
  <c r="CG121" i="37" s="1"/>
  <c r="CC114" i="37"/>
  <c r="CG114" i="37" s="1"/>
  <c r="CC122" i="37"/>
  <c r="CC107" i="37"/>
  <c r="CC115" i="37"/>
  <c r="CC123" i="37"/>
  <c r="CC108" i="37"/>
  <c r="CG108" i="37" s="1"/>
  <c r="CC116" i="37"/>
  <c r="CG116" i="37" s="1"/>
  <c r="CC124" i="37"/>
  <c r="CG124" i="37" s="1"/>
  <c r="CC109" i="37"/>
  <c r="CG109" i="37" s="1"/>
  <c r="CC117" i="37"/>
  <c r="CC125" i="37"/>
  <c r="CC110" i="37"/>
  <c r="CC118" i="37"/>
  <c r="CC106" i="37"/>
  <c r="CG106" i="37" s="1"/>
  <c r="CC111" i="37"/>
  <c r="CG111" i="37" s="1"/>
  <c r="CC119" i="37"/>
  <c r="CG119" i="37" s="1"/>
  <c r="CD108" i="36"/>
  <c r="CH108" i="36" s="1"/>
  <c r="CD116" i="36"/>
  <c r="CH116" i="36" s="1"/>
  <c r="CD124" i="36"/>
  <c r="CH124" i="36" s="1"/>
  <c r="CD109" i="36"/>
  <c r="CH109" i="36" s="1"/>
  <c r="CD117" i="36"/>
  <c r="CH117" i="36" s="1"/>
  <c r="CD125" i="36"/>
  <c r="CH125" i="36" s="1"/>
  <c r="CD110" i="36"/>
  <c r="CH110" i="36" s="1"/>
  <c r="CD118" i="36"/>
  <c r="CH118" i="36" s="1"/>
  <c r="CD106" i="36"/>
  <c r="CH106" i="36" s="1"/>
  <c r="CD111" i="36"/>
  <c r="CH111" i="36" s="1"/>
  <c r="CD119" i="36"/>
  <c r="CH119" i="36" s="1"/>
  <c r="CD112" i="36"/>
  <c r="CH112" i="36" s="1"/>
  <c r="CD120" i="36"/>
  <c r="CH120" i="36" s="1"/>
  <c r="CD113" i="36"/>
  <c r="CD121" i="36"/>
  <c r="CH121" i="36" s="1"/>
  <c r="CD114" i="36"/>
  <c r="CH114" i="36" s="1"/>
  <c r="CD122" i="36"/>
  <c r="CH122" i="36" s="1"/>
  <c r="CD107" i="36"/>
  <c r="CH107" i="36" s="1"/>
  <c r="CD115" i="36"/>
  <c r="CH115" i="36" s="1"/>
  <c r="CD123" i="36"/>
  <c r="CH123" i="36" s="1"/>
  <c r="CD108" i="37"/>
  <c r="CD116" i="37"/>
  <c r="CH116" i="37" s="1"/>
  <c r="CD124" i="37"/>
  <c r="CH124" i="37" s="1"/>
  <c r="CD109" i="37"/>
  <c r="CH109" i="37" s="1"/>
  <c r="CD117" i="37"/>
  <c r="CH117" i="37" s="1"/>
  <c r="CD125" i="37"/>
  <c r="CD110" i="37"/>
  <c r="CD118" i="37"/>
  <c r="CD106" i="37"/>
  <c r="CD111" i="37"/>
  <c r="CH111" i="37" s="1"/>
  <c r="CD119" i="37"/>
  <c r="CH119" i="37" s="1"/>
  <c r="CD112" i="37"/>
  <c r="CH112" i="37" s="1"/>
  <c r="CD120" i="37"/>
  <c r="CH120" i="37" s="1"/>
  <c r="CD113" i="37"/>
  <c r="CD121" i="37"/>
  <c r="CD114" i="37"/>
  <c r="CD122" i="37"/>
  <c r="CD107" i="37"/>
  <c r="CH107" i="37" s="1"/>
  <c r="CD115" i="37"/>
  <c r="CH115" i="37" s="1"/>
  <c r="CD123" i="37"/>
  <c r="CH123" i="37" s="1"/>
  <c r="CD103" i="36"/>
  <c r="CH103" i="36" s="1"/>
  <c r="CC43" i="36"/>
  <c r="CG43" i="36" s="1"/>
  <c r="CC44" i="36"/>
  <c r="CG44" i="36" s="1"/>
  <c r="CC100" i="36"/>
  <c r="CG100" i="36" s="1"/>
  <c r="CD91" i="36"/>
  <c r="CH91" i="36" s="1"/>
  <c r="CD33" i="36"/>
  <c r="CH33" i="36" s="1"/>
  <c r="CD30" i="36"/>
  <c r="CH30" i="36" s="1"/>
  <c r="CD29" i="36"/>
  <c r="CH29" i="36" s="1"/>
  <c r="CC42" i="36"/>
  <c r="CG42" i="36" s="1"/>
  <c r="CD78" i="36"/>
  <c r="CH78" i="36" s="1"/>
  <c r="CC55" i="36"/>
  <c r="CG55" i="36" s="1"/>
  <c r="CD77" i="36"/>
  <c r="CH77" i="36" s="1"/>
  <c r="CD61" i="36"/>
  <c r="CH61" i="36" s="1"/>
  <c r="CC74" i="36"/>
  <c r="CG74" i="36" s="1"/>
  <c r="CD62" i="36"/>
  <c r="CH62" i="36" s="1"/>
  <c r="CC45" i="36"/>
  <c r="CG45" i="36" s="1"/>
  <c r="CD23" i="36"/>
  <c r="CH23" i="36" s="1"/>
  <c r="CD52" i="36"/>
  <c r="CH52" i="36" s="1"/>
  <c r="CC72" i="36"/>
  <c r="CG72" i="36" s="1"/>
  <c r="CD48" i="36"/>
  <c r="CH48" i="36" s="1"/>
  <c r="CC99" i="36"/>
  <c r="CG99" i="36" s="1"/>
  <c r="CD97" i="36"/>
  <c r="CH97" i="36" s="1"/>
  <c r="CD66" i="36"/>
  <c r="CH66" i="36" s="1"/>
  <c r="CC62" i="36"/>
  <c r="CG62" i="36" s="1"/>
  <c r="CC86" i="36"/>
  <c r="CG86" i="36" s="1"/>
  <c r="CD49" i="36"/>
  <c r="CH49" i="36" s="1"/>
  <c r="CD34" i="36"/>
  <c r="CH34" i="36" s="1"/>
  <c r="CD54" i="36"/>
  <c r="CH54" i="36" s="1"/>
  <c r="CC52" i="36"/>
  <c r="CG52" i="36" s="1"/>
  <c r="CD86" i="36"/>
  <c r="CH86" i="36" s="1"/>
  <c r="CC71" i="36"/>
  <c r="CG71" i="36" s="1"/>
  <c r="CD47" i="36"/>
  <c r="CH47" i="36" s="1"/>
  <c r="CC26" i="36"/>
  <c r="CG26" i="36" s="1"/>
  <c r="CD73" i="36"/>
  <c r="CH73" i="36" s="1"/>
  <c r="CD96" i="36"/>
  <c r="CH96" i="36" s="1"/>
  <c r="CC83" i="36"/>
  <c r="CG83" i="36" s="1"/>
  <c r="CD28" i="36"/>
  <c r="CH28" i="36" s="1"/>
  <c r="CC27" i="36"/>
  <c r="CG27" i="36" s="1"/>
  <c r="CD17" i="36"/>
  <c r="CH17" i="36" s="1"/>
  <c r="CC40" i="36"/>
  <c r="CG40" i="36" s="1"/>
  <c r="CD16" i="36"/>
  <c r="CH16" i="36" s="1"/>
  <c r="CC102" i="36"/>
  <c r="CG102" i="36" s="1"/>
  <c r="CD60" i="36"/>
  <c r="CH60" i="36" s="1"/>
  <c r="CD92" i="36"/>
  <c r="CH92" i="36" s="1"/>
  <c r="CC32" i="36"/>
  <c r="CG32" i="36" s="1"/>
  <c r="CD99" i="36"/>
  <c r="CH99" i="36" s="1"/>
  <c r="CC24" i="36"/>
  <c r="CG24" i="36" s="1"/>
  <c r="CD104" i="36"/>
  <c r="CH104" i="36" s="1"/>
  <c r="CC50" i="36"/>
  <c r="CG50" i="36" s="1"/>
  <c r="CD67" i="36"/>
  <c r="CH67" i="36" s="1"/>
  <c r="CC38" i="36"/>
  <c r="CG38" i="36" s="1"/>
  <c r="CD88" i="36"/>
  <c r="CH88" i="36" s="1"/>
  <c r="CC88" i="36"/>
  <c r="CG88" i="36" s="1"/>
  <c r="CD27" i="36"/>
  <c r="CH27" i="36" s="1"/>
  <c r="CD45" i="36"/>
  <c r="CH45" i="36" s="1"/>
  <c r="CD46" i="36"/>
  <c r="CH46" i="36" s="1"/>
  <c r="CD102" i="36"/>
  <c r="CH102" i="36" s="1"/>
  <c r="CD50" i="36"/>
  <c r="CH50" i="36" s="1"/>
  <c r="CD36" i="36"/>
  <c r="CH36" i="36" s="1"/>
  <c r="CD71" i="36"/>
  <c r="CH71" i="36" s="1"/>
  <c r="CC28" i="36"/>
  <c r="CG28" i="36" s="1"/>
  <c r="CD85" i="36"/>
  <c r="CH85" i="36" s="1"/>
  <c r="CD87" i="36"/>
  <c r="CH87" i="36" s="1"/>
  <c r="CD94" i="36"/>
  <c r="CH94" i="36" s="1"/>
  <c r="CC29" i="36"/>
  <c r="CG29" i="36" s="1"/>
  <c r="CC97" i="36"/>
  <c r="CG97" i="36" s="1"/>
  <c r="CC87" i="36"/>
  <c r="CG87" i="36" s="1"/>
  <c r="CD74" i="36"/>
  <c r="CH74" i="36" s="1"/>
  <c r="CC58" i="36"/>
  <c r="CG58" i="36" s="1"/>
  <c r="CC101" i="36"/>
  <c r="CG101" i="36" s="1"/>
  <c r="CD90" i="36"/>
  <c r="CH90" i="36" s="1"/>
  <c r="CC60" i="36"/>
  <c r="CG60" i="36" s="1"/>
  <c r="CD68" i="36"/>
  <c r="CH68" i="36" s="1"/>
  <c r="CC21" i="36"/>
  <c r="CG21" i="36" s="1"/>
  <c r="CC25" i="36"/>
  <c r="CG25" i="36" s="1"/>
  <c r="CC51" i="36"/>
  <c r="CG51" i="36" s="1"/>
  <c r="CD89" i="36"/>
  <c r="CH89" i="36" s="1"/>
  <c r="CC19" i="36"/>
  <c r="CG19" i="36" s="1"/>
  <c r="CD56" i="36"/>
  <c r="CH56" i="36" s="1"/>
  <c r="CC89" i="36"/>
  <c r="CG89" i="36" s="1"/>
  <c r="CC39" i="36"/>
  <c r="CG39" i="36" s="1"/>
  <c r="CC96" i="36"/>
  <c r="CG96" i="36" s="1"/>
  <c r="CC70" i="36"/>
  <c r="CG70" i="36" s="1"/>
  <c r="CD58" i="36"/>
  <c r="CH58" i="36" s="1"/>
  <c r="CD84" i="36"/>
  <c r="CH84" i="36" s="1"/>
  <c r="CH113" i="36"/>
  <c r="CC69" i="36"/>
  <c r="CG69" i="36" s="1"/>
  <c r="CD59" i="36"/>
  <c r="CH59" i="36" s="1"/>
  <c r="CC78" i="36"/>
  <c r="CG78" i="36" s="1"/>
  <c r="CC63" i="36"/>
  <c r="CG63" i="36" s="1"/>
  <c r="CC59" i="36"/>
  <c r="CG59" i="36" s="1"/>
  <c r="CC41" i="36"/>
  <c r="CG41" i="36" s="1"/>
  <c r="CC61" i="36"/>
  <c r="CG61" i="36" s="1"/>
  <c r="CC64" i="36"/>
  <c r="CG64" i="36" s="1"/>
  <c r="CC65" i="36"/>
  <c r="CG65" i="36" s="1"/>
  <c r="CC48" i="36"/>
  <c r="CG48" i="36" s="1"/>
  <c r="CC37" i="36"/>
  <c r="CG37" i="36" s="1"/>
  <c r="CD40" i="36"/>
  <c r="CH40" i="36" s="1"/>
  <c r="CD63" i="36"/>
  <c r="CH63" i="36" s="1"/>
  <c r="CC68" i="36"/>
  <c r="CG68" i="36" s="1"/>
  <c r="CC20" i="36"/>
  <c r="CG20" i="36" s="1"/>
  <c r="CD82" i="36"/>
  <c r="CH82" i="36" s="1"/>
  <c r="CC36" i="36"/>
  <c r="CG36" i="36" s="1"/>
  <c r="CD83" i="36"/>
  <c r="CH83" i="36" s="1"/>
  <c r="CD75" i="36"/>
  <c r="CH75" i="36" s="1"/>
  <c r="CD38" i="36"/>
  <c r="CH38" i="36" s="1"/>
  <c r="CC16" i="36"/>
  <c r="CG16" i="36" s="1"/>
  <c r="CC77" i="36"/>
  <c r="CG77" i="36" s="1"/>
  <c r="CC81" i="36"/>
  <c r="CG81" i="36" s="1"/>
  <c r="CC85" i="36"/>
  <c r="CG85" i="36" s="1"/>
  <c r="CC56" i="36"/>
  <c r="CG56" i="36" s="1"/>
  <c r="CD37" i="36"/>
  <c r="CH37" i="36" s="1"/>
  <c r="CD64" i="36"/>
  <c r="CH64" i="36" s="1"/>
  <c r="CC82" i="36"/>
  <c r="CG82" i="36" s="1"/>
  <c r="CD65" i="36"/>
  <c r="CH65" i="36" s="1"/>
  <c r="CC84" i="36"/>
  <c r="CG84" i="36" s="1"/>
  <c r="CC35" i="36"/>
  <c r="CG35" i="36" s="1"/>
  <c r="CD76" i="36"/>
  <c r="CH76" i="36" s="1"/>
  <c r="CD26" i="36"/>
  <c r="CH26" i="36" s="1"/>
  <c r="CC98" i="36"/>
  <c r="CG98" i="36" s="1"/>
  <c r="CD69" i="36"/>
  <c r="CH69" i="36" s="1"/>
  <c r="CC57" i="36"/>
  <c r="CG57" i="36" s="1"/>
  <c r="CD35" i="36"/>
  <c r="CH35" i="36" s="1"/>
  <c r="CC95" i="36"/>
  <c r="CG95" i="36" s="1"/>
  <c r="CD39" i="36"/>
  <c r="CH39" i="36" s="1"/>
  <c r="CC34" i="36"/>
  <c r="CG34" i="36" s="1"/>
  <c r="CC94" i="36"/>
  <c r="CG94" i="36" s="1"/>
  <c r="CC105" i="36"/>
  <c r="CG105" i="36" s="1"/>
  <c r="CC22" i="36"/>
  <c r="CG22" i="36" s="1"/>
  <c r="CC33" i="36"/>
  <c r="CG33" i="36" s="1"/>
  <c r="CC23" i="36"/>
  <c r="CG23" i="36" s="1"/>
  <c r="CC73" i="36"/>
  <c r="CG73" i="36" s="1"/>
  <c r="CC93" i="36"/>
  <c r="CG93" i="36" s="1"/>
  <c r="CD98" i="36"/>
  <c r="CH98" i="36" s="1"/>
  <c r="CD70" i="36"/>
  <c r="CH70" i="36" s="1"/>
  <c r="CC80" i="36"/>
  <c r="CG80" i="36" s="1"/>
  <c r="CC17" i="36"/>
  <c r="CG17" i="36" s="1"/>
  <c r="CD100" i="36"/>
  <c r="CH100" i="36" s="1"/>
  <c r="CD105" i="36"/>
  <c r="CH105" i="36" s="1"/>
  <c r="CD53" i="36"/>
  <c r="CH53" i="36" s="1"/>
  <c r="CC18" i="36"/>
  <c r="CG18" i="36" s="1"/>
  <c r="CC54" i="36"/>
  <c r="CG54" i="36" s="1"/>
  <c r="CD101" i="36"/>
  <c r="CH101" i="36" s="1"/>
  <c r="CD72" i="36"/>
  <c r="CH72" i="36" s="1"/>
  <c r="CD51" i="36"/>
  <c r="CH51" i="36" s="1"/>
  <c r="CC79" i="36"/>
  <c r="CG79" i="36" s="1"/>
  <c r="CC92" i="36"/>
  <c r="CG92" i="36" s="1"/>
  <c r="CD43" i="36"/>
  <c r="CH43" i="36" s="1"/>
  <c r="CD20" i="36"/>
  <c r="CH20" i="36" s="1"/>
  <c r="CD21" i="36"/>
  <c r="CH21" i="36" s="1"/>
  <c r="CC47" i="36"/>
  <c r="CG47" i="36" s="1"/>
  <c r="CD55" i="36"/>
  <c r="CH55" i="36" s="1"/>
  <c r="CD22" i="36"/>
  <c r="CH22" i="36" s="1"/>
  <c r="CD93" i="36"/>
  <c r="CH93" i="36" s="1"/>
  <c r="CD81" i="36"/>
  <c r="CH81" i="36" s="1"/>
  <c r="CD18" i="36"/>
  <c r="CH18" i="36" s="1"/>
  <c r="CG109" i="36"/>
  <c r="CC46" i="36"/>
  <c r="CG46" i="36" s="1"/>
  <c r="CD41" i="36"/>
  <c r="CH41" i="36" s="1"/>
  <c r="CC67" i="36"/>
  <c r="CG67" i="36" s="1"/>
  <c r="CD79" i="36"/>
  <c r="CH79" i="36" s="1"/>
  <c r="CC49" i="36"/>
  <c r="CG49" i="36" s="1"/>
  <c r="CD80" i="36"/>
  <c r="CH80" i="36" s="1"/>
  <c r="CD57" i="36"/>
  <c r="CH57" i="36" s="1"/>
  <c r="CC103" i="36"/>
  <c r="CG103" i="36" s="1"/>
  <c r="CC75" i="36"/>
  <c r="CG75" i="36" s="1"/>
  <c r="CC76" i="36"/>
  <c r="CG76" i="36" s="1"/>
  <c r="CD95" i="36"/>
  <c r="CH95" i="36" s="1"/>
  <c r="CC104" i="36"/>
  <c r="CG104" i="36" s="1"/>
  <c r="CG108" i="36"/>
  <c r="CC91" i="36"/>
  <c r="CG91" i="36" s="1"/>
  <c r="CD31" i="36"/>
  <c r="CH31" i="36" s="1"/>
  <c r="CG111" i="36"/>
  <c r="CC30" i="36"/>
  <c r="CG30" i="36" s="1"/>
  <c r="CC31" i="36"/>
  <c r="CG31" i="36" s="1"/>
  <c r="CD42" i="36"/>
  <c r="CH42" i="36" s="1"/>
  <c r="CD25" i="36"/>
  <c r="CH25" i="36" s="1"/>
  <c r="CD32" i="36"/>
  <c r="CH32" i="36" s="1"/>
  <c r="CD44" i="36"/>
  <c r="CH44" i="36" s="1"/>
  <c r="CD24" i="36"/>
  <c r="CH24" i="36" s="1"/>
  <c r="CG116" i="36"/>
  <c r="CC90" i="36"/>
  <c r="CG90" i="36" s="1"/>
  <c r="CD19" i="36"/>
  <c r="CH19" i="36" s="1"/>
  <c r="CC66" i="36"/>
  <c r="CG66" i="36" s="1"/>
  <c r="CC53" i="36"/>
  <c r="CG53" i="36" s="1"/>
  <c r="CB12" i="49"/>
  <c r="CA12" i="49"/>
  <c r="CH12" i="49"/>
  <c r="Q10" i="49"/>
  <c r="C11" i="49"/>
  <c r="O11" i="49"/>
  <c r="AG11" i="49"/>
  <c r="AA11" i="49"/>
  <c r="I11" i="49"/>
  <c r="BT11" i="49"/>
  <c r="B8" i="49"/>
  <c r="B13" i="49"/>
  <c r="Q11" i="49"/>
  <c r="Z11" i="49"/>
  <c r="AE12" i="49"/>
  <c r="AC12" i="49"/>
  <c r="BX12" i="49"/>
  <c r="CG12" i="49"/>
  <c r="D10" i="49"/>
  <c r="B11" i="49"/>
  <c r="M11" i="49"/>
  <c r="K11" i="49"/>
  <c r="AV10" i="49"/>
  <c r="BG11" i="49"/>
  <c r="BI12" i="49"/>
  <c r="CD12" i="49"/>
  <c r="D11" i="49"/>
  <c r="AH11" i="49"/>
  <c r="BZ11" i="49"/>
  <c r="BV11" i="49"/>
  <c r="AA12" i="49"/>
  <c r="BV12" i="49"/>
  <c r="CF12" i="49"/>
  <c r="B10" i="49"/>
  <c r="BZ10" i="49"/>
  <c r="BK10" i="49"/>
  <c r="CC12" i="49"/>
  <c r="BE11" i="49"/>
  <c r="X12" i="49"/>
  <c r="CE12" i="49"/>
  <c r="AR12" i="49"/>
  <c r="AG10" i="49"/>
  <c r="AV11" i="49"/>
  <c r="AP11" i="49"/>
  <c r="AN11" i="49"/>
  <c r="BC11" i="49"/>
  <c r="BR11" i="49"/>
  <c r="V12" i="49"/>
  <c r="BG12" i="49"/>
  <c r="AT12" i="49"/>
  <c r="CA11" i="49"/>
  <c r="T11" i="49"/>
  <c r="AL11" i="49"/>
  <c r="BA11" i="49"/>
  <c r="BP11" i="49"/>
  <c r="T12" i="49"/>
  <c r="B12" i="49"/>
  <c r="BK11" i="49"/>
  <c r="G11" i="49"/>
  <c r="E11" i="49"/>
  <c r="R11" i="49"/>
  <c r="AJ11" i="49"/>
  <c r="AY11" i="49"/>
  <c r="BN11" i="49"/>
  <c r="BL11" i="49"/>
  <c r="AR11" i="49"/>
  <c r="Z10" i="49"/>
  <c r="AW11" i="49"/>
  <c r="B1" i="49"/>
  <c r="B13" i="48"/>
  <c r="AG10" i="48"/>
  <c r="BE11" i="48"/>
  <c r="CH12" i="48"/>
  <c r="Q10" i="48"/>
  <c r="Q11" i="48"/>
  <c r="AH11" i="48"/>
  <c r="AW11" i="48"/>
  <c r="BK11" i="48"/>
  <c r="G11" i="48"/>
  <c r="CB12" i="48"/>
  <c r="AT12" i="48"/>
  <c r="AN11" i="48"/>
  <c r="BX12" i="48"/>
  <c r="B8" i="48"/>
  <c r="C11" i="48"/>
  <c r="O11" i="48"/>
  <c r="AG11" i="48"/>
  <c r="AR11" i="48"/>
  <c r="AA11" i="48"/>
  <c r="AE12" i="48"/>
  <c r="B12" i="48"/>
  <c r="AA12" i="48"/>
  <c r="CG12" i="48"/>
  <c r="D10" i="48"/>
  <c r="B11" i="48"/>
  <c r="M11" i="48"/>
  <c r="Z11" i="48"/>
  <c r="BN11" i="48"/>
  <c r="BZ11" i="48"/>
  <c r="AV11" i="48"/>
  <c r="E11" i="48"/>
  <c r="BT11" i="48"/>
  <c r="BV12" i="48"/>
  <c r="CF12" i="48"/>
  <c r="B10" i="48"/>
  <c r="BZ10" i="48"/>
  <c r="I11" i="48"/>
  <c r="AY11" i="48"/>
  <c r="BG11" i="48"/>
  <c r="K11" i="48"/>
  <c r="Z10" i="48"/>
  <c r="BC11" i="48"/>
  <c r="X12" i="48"/>
  <c r="BI12" i="48"/>
  <c r="CE12" i="48"/>
  <c r="BK10" i="48"/>
  <c r="AV10" i="48"/>
  <c r="D11" i="48"/>
  <c r="CA11" i="48"/>
  <c r="AP11" i="48"/>
  <c r="CA12" i="48"/>
  <c r="CD12" i="48"/>
  <c r="AL11" i="48"/>
  <c r="BR11" i="48"/>
  <c r="V12" i="48"/>
  <c r="BG12" i="48"/>
  <c r="CC12" i="48"/>
  <c r="B1" i="48"/>
  <c r="BV11" i="48"/>
  <c r="T11" i="48"/>
  <c r="AC12" i="48"/>
  <c r="BL11" i="48"/>
  <c r="R11" i="48"/>
  <c r="BA11" i="48"/>
  <c r="BP11" i="48"/>
  <c r="T12" i="48"/>
  <c r="AR12" i="48"/>
  <c r="AJ11" i="48"/>
  <c r="B13" i="47"/>
  <c r="AG10" i="47"/>
  <c r="E11" i="47"/>
  <c r="AL11" i="47"/>
  <c r="BR11" i="47"/>
  <c r="CF12" i="47"/>
  <c r="B10" i="47"/>
  <c r="M11" i="47"/>
  <c r="AA11" i="47"/>
  <c r="T11" i="47"/>
  <c r="BL11" i="47"/>
  <c r="CB12" i="47"/>
  <c r="Z11" i="47"/>
  <c r="Z10" i="47"/>
  <c r="R11" i="47"/>
  <c r="BA11" i="47"/>
  <c r="BI12" i="47"/>
  <c r="BK11" i="47"/>
  <c r="BZ10" i="47"/>
  <c r="K11" i="47"/>
  <c r="AN11" i="47"/>
  <c r="AE12" i="47"/>
  <c r="CA12" i="47"/>
  <c r="CA11" i="47"/>
  <c r="D11" i="47"/>
  <c r="AJ11" i="47"/>
  <c r="V12" i="47"/>
  <c r="CE12" i="47"/>
  <c r="AR11" i="47"/>
  <c r="BK10" i="47"/>
  <c r="BT11" i="47"/>
  <c r="BZ11" i="47"/>
  <c r="AC12" i="47"/>
  <c r="CH12" i="47"/>
  <c r="Q10" i="47"/>
  <c r="Q11" i="47"/>
  <c r="BP11" i="47"/>
  <c r="BG12" i="47"/>
  <c r="CD12" i="47"/>
  <c r="B8" i="47"/>
  <c r="O11" i="47"/>
  <c r="BG11" i="47"/>
  <c r="BV11" i="47"/>
  <c r="BX12" i="47"/>
  <c r="I11" i="47"/>
  <c r="C11" i="47"/>
  <c r="AY11" i="47"/>
  <c r="T12" i="47"/>
  <c r="AT12" i="47"/>
  <c r="AR12" i="47"/>
  <c r="CC12" i="47"/>
  <c r="AP11" i="47"/>
  <c r="BE11" i="47"/>
  <c r="AA12" i="47"/>
  <c r="CG12" i="47"/>
  <c r="D10" i="47"/>
  <c r="AH11" i="47"/>
  <c r="BN11" i="47"/>
  <c r="B12" i="47"/>
  <c r="B1" i="47"/>
  <c r="BV12" i="47"/>
  <c r="G11" i="47"/>
  <c r="BC11" i="47"/>
  <c r="X12" i="47"/>
  <c r="AV10" i="47"/>
  <c r="B11" i="47"/>
  <c r="AG11" i="47"/>
  <c r="AV11" i="47"/>
  <c r="AW11" i="47"/>
  <c r="CC51" i="37"/>
  <c r="CG51" i="37" s="1"/>
  <c r="CF12" i="46"/>
  <c r="B10" i="46"/>
  <c r="BZ10" i="46"/>
  <c r="Z10" i="46"/>
  <c r="BZ11" i="46"/>
  <c r="AR11" i="46"/>
  <c r="K11" i="46"/>
  <c r="X12" i="46"/>
  <c r="CB12" i="46"/>
  <c r="BI12" i="46"/>
  <c r="CE12" i="46"/>
  <c r="CA12" i="46"/>
  <c r="BX12" i="46"/>
  <c r="AV11" i="46"/>
  <c r="Q11" i="46"/>
  <c r="Q10" i="46"/>
  <c r="CD12" i="46"/>
  <c r="B12" i="46"/>
  <c r="BR11" i="46"/>
  <c r="V12" i="46"/>
  <c r="BG12" i="46"/>
  <c r="AC12" i="46"/>
  <c r="CA11" i="46"/>
  <c r="R11" i="46"/>
  <c r="AG10" i="46"/>
  <c r="CG12" i="46"/>
  <c r="AA12" i="46"/>
  <c r="BC11" i="46"/>
  <c r="BG11" i="46"/>
  <c r="BP11" i="46"/>
  <c r="T12" i="46"/>
  <c r="BV11" i="46"/>
  <c r="BA11" i="46"/>
  <c r="AV10" i="46"/>
  <c r="AA11" i="46"/>
  <c r="AE12" i="46"/>
  <c r="BK11" i="46"/>
  <c r="Z11" i="46"/>
  <c r="AT12" i="46"/>
  <c r="AY11" i="46"/>
  <c r="BN11" i="46"/>
  <c r="BE11" i="46"/>
  <c r="T11" i="46"/>
  <c r="CC12" i="46"/>
  <c r="CH12" i="46"/>
  <c r="BL11" i="46"/>
  <c r="AJ11" i="46"/>
  <c r="C11" i="46"/>
  <c r="AG11" i="46"/>
  <c r="AH11" i="46"/>
  <c r="AW11" i="46"/>
  <c r="AN11" i="46"/>
  <c r="BK10" i="46"/>
  <c r="B13" i="46"/>
  <c r="AR12" i="46"/>
  <c r="AL11" i="46"/>
  <c r="G11" i="46"/>
  <c r="B1" i="46"/>
  <c r="O11" i="46"/>
  <c r="I11" i="46"/>
  <c r="B11" i="46"/>
  <c r="M11" i="46"/>
  <c r="E11" i="46"/>
  <c r="BV12" i="46"/>
  <c r="BT11" i="46"/>
  <c r="AP11" i="46"/>
  <c r="D10" i="46"/>
  <c r="D11" i="46"/>
  <c r="B8" i="46"/>
  <c r="CC71" i="37"/>
  <c r="CG71" i="37" s="1"/>
  <c r="CC103" i="37"/>
  <c r="CG103" i="37" s="1"/>
  <c r="CF12" i="45"/>
  <c r="B10" i="45"/>
  <c r="M11" i="45"/>
  <c r="AA11" i="45"/>
  <c r="CA11" i="45"/>
  <c r="CB12" i="45"/>
  <c r="AA12" i="45"/>
  <c r="Z10" i="45"/>
  <c r="AJ11" i="45"/>
  <c r="AG10" i="45"/>
  <c r="BI12" i="45"/>
  <c r="R11" i="45"/>
  <c r="BZ10" i="45"/>
  <c r="K11" i="45"/>
  <c r="BK11" i="45"/>
  <c r="AE12" i="45"/>
  <c r="CA12" i="45"/>
  <c r="CH12" i="45"/>
  <c r="Q11" i="45"/>
  <c r="AG11" i="45"/>
  <c r="V12" i="45"/>
  <c r="CE12" i="45"/>
  <c r="BT11" i="45"/>
  <c r="BK10" i="45"/>
  <c r="AR11" i="45"/>
  <c r="BZ11" i="45"/>
  <c r="AC12" i="45"/>
  <c r="BC11" i="45"/>
  <c r="C11" i="45"/>
  <c r="AV11" i="45"/>
  <c r="BP11" i="45"/>
  <c r="BG12" i="45"/>
  <c r="CD12" i="45"/>
  <c r="B8" i="45"/>
  <c r="Z11" i="45"/>
  <c r="BG11" i="45"/>
  <c r="BV11" i="45"/>
  <c r="CG12" i="45"/>
  <c r="D10" i="45"/>
  <c r="E11" i="45"/>
  <c r="AY11" i="45"/>
  <c r="T12" i="45"/>
  <c r="AT12" i="45"/>
  <c r="BX12" i="45"/>
  <c r="I11" i="45"/>
  <c r="AP11" i="45"/>
  <c r="BE11" i="45"/>
  <c r="BV12" i="45"/>
  <c r="D11" i="45"/>
  <c r="B11" i="45"/>
  <c r="BA11" i="45"/>
  <c r="AH11" i="45"/>
  <c r="BN11" i="45"/>
  <c r="B12" i="45"/>
  <c r="AL11" i="45"/>
  <c r="AV10" i="45"/>
  <c r="T11" i="45"/>
  <c r="AN11" i="45"/>
  <c r="X12" i="45"/>
  <c r="B1" i="45"/>
  <c r="AR12" i="45"/>
  <c r="O11" i="45"/>
  <c r="AW11" i="45"/>
  <c r="BL11" i="45"/>
  <c r="CC12" i="45"/>
  <c r="Q10" i="45"/>
  <c r="G11" i="45"/>
  <c r="BR11" i="45"/>
  <c r="B13" i="45"/>
  <c r="CH12" i="44"/>
  <c r="Q10" i="44"/>
  <c r="AJ11" i="44"/>
  <c r="BP11" i="44"/>
  <c r="BG12" i="44"/>
  <c r="CD12" i="44"/>
  <c r="B8" i="44"/>
  <c r="I11" i="44"/>
  <c r="BG11" i="44"/>
  <c r="BV11" i="44"/>
  <c r="BX12" i="44"/>
  <c r="CA12" i="44"/>
  <c r="Q11" i="44"/>
  <c r="AY11" i="44"/>
  <c r="T12" i="44"/>
  <c r="AT12" i="44"/>
  <c r="BE11" i="44"/>
  <c r="AV10" i="44"/>
  <c r="AP11" i="44"/>
  <c r="Z11" i="44"/>
  <c r="AA12" i="44"/>
  <c r="E11" i="44"/>
  <c r="C11" i="44"/>
  <c r="AH11" i="44"/>
  <c r="BN11" i="44"/>
  <c r="B12" i="44"/>
  <c r="CC12" i="44"/>
  <c r="AC12" i="44"/>
  <c r="T11" i="44"/>
  <c r="BK10" i="44"/>
  <c r="BT11" i="44"/>
  <c r="CG12" i="44"/>
  <c r="D10" i="44"/>
  <c r="O11" i="44"/>
  <c r="AW11" i="44"/>
  <c r="BL11" i="44"/>
  <c r="AR12" i="44"/>
  <c r="Z10" i="44"/>
  <c r="G11" i="44"/>
  <c r="D11" i="44"/>
  <c r="BZ11" i="44"/>
  <c r="BC11" i="44"/>
  <c r="BV12" i="44"/>
  <c r="AN11" i="44"/>
  <c r="B11" i="44"/>
  <c r="AG11" i="44"/>
  <c r="AV11" i="44"/>
  <c r="CA11" i="44"/>
  <c r="B13" i="44"/>
  <c r="AG10" i="44"/>
  <c r="BA11" i="44"/>
  <c r="AL11" i="44"/>
  <c r="X12" i="44"/>
  <c r="CF12" i="44"/>
  <c r="B10" i="44"/>
  <c r="M11" i="44"/>
  <c r="AA11" i="44"/>
  <c r="BK11" i="44"/>
  <c r="CB12" i="44"/>
  <c r="B1" i="44"/>
  <c r="V12" i="44"/>
  <c r="R11" i="44"/>
  <c r="BR11" i="44"/>
  <c r="BI12" i="44"/>
  <c r="BZ10" i="44"/>
  <c r="K11" i="44"/>
  <c r="AR11" i="44"/>
  <c r="AE12" i="44"/>
  <c r="CE12" i="44"/>
  <c r="CC36" i="37"/>
  <c r="CG36" i="37" s="1"/>
  <c r="CD93" i="37"/>
  <c r="CH93" i="37" s="1"/>
  <c r="CD92" i="37"/>
  <c r="CH92" i="37" s="1"/>
  <c r="CD86" i="37"/>
  <c r="CH86" i="37" s="1"/>
  <c r="CD87" i="37"/>
  <c r="CH87" i="37" s="1"/>
  <c r="CC12" i="43"/>
  <c r="BE11" i="43"/>
  <c r="AR12" i="43"/>
  <c r="AE12" i="43"/>
  <c r="BV11" i="43"/>
  <c r="CF12" i="43"/>
  <c r="BA11" i="43"/>
  <c r="T12" i="43"/>
  <c r="Z10" i="43"/>
  <c r="CD12" i="43"/>
  <c r="BZ11" i="43"/>
  <c r="CH12" i="43"/>
  <c r="BI12" i="43"/>
  <c r="Q11" i="43"/>
  <c r="B11" i="43"/>
  <c r="BN11" i="43"/>
  <c r="CA11" i="43"/>
  <c r="AV11" i="43"/>
  <c r="BZ10" i="43"/>
  <c r="BK11" i="43"/>
  <c r="BG11" i="43"/>
  <c r="BX12" i="43"/>
  <c r="V12" i="43"/>
  <c r="BK10" i="43"/>
  <c r="K11" i="43"/>
  <c r="CE12" i="43"/>
  <c r="AG11" i="43"/>
  <c r="BV12" i="43"/>
  <c r="I11" i="43"/>
  <c r="BC11" i="43"/>
  <c r="AW11" i="43"/>
  <c r="D11" i="43"/>
  <c r="AR11" i="43"/>
  <c r="AP11" i="43"/>
  <c r="AA12" i="43"/>
  <c r="BP11" i="43"/>
  <c r="B8" i="43"/>
  <c r="AG10" i="43"/>
  <c r="BR11" i="43"/>
  <c r="C11" i="43"/>
  <c r="B10" i="43"/>
  <c r="G11" i="43"/>
  <c r="AH11" i="43"/>
  <c r="B12" i="43"/>
  <c r="AA11" i="43"/>
  <c r="Z11" i="43"/>
  <c r="T11" i="43"/>
  <c r="BT11" i="43"/>
  <c r="AY11" i="43"/>
  <c r="X12" i="43"/>
  <c r="CG12" i="43"/>
  <c r="AJ11" i="43"/>
  <c r="D10" i="43"/>
  <c r="B13" i="43"/>
  <c r="CA12" i="43"/>
  <c r="AL11" i="43"/>
  <c r="O11" i="43"/>
  <c r="M11" i="43"/>
  <c r="AN11" i="43"/>
  <c r="Q10" i="43"/>
  <c r="BG12" i="43"/>
  <c r="CB12" i="43"/>
  <c r="AC12" i="43"/>
  <c r="R11" i="43"/>
  <c r="AT12" i="43"/>
  <c r="AV10" i="43"/>
  <c r="E11" i="43"/>
  <c r="BL11" i="43"/>
  <c r="B1" i="43"/>
  <c r="CD12" i="42"/>
  <c r="B8" i="42"/>
  <c r="Z11" i="42"/>
  <c r="BG11" i="42"/>
  <c r="BV11" i="42"/>
  <c r="BX12" i="42"/>
  <c r="CF12" i="42"/>
  <c r="Q11" i="42"/>
  <c r="AW11" i="42"/>
  <c r="CA12" i="42"/>
  <c r="AT12" i="42"/>
  <c r="V12" i="42"/>
  <c r="I11" i="42"/>
  <c r="AP11" i="42"/>
  <c r="BE11" i="42"/>
  <c r="AA12" i="42"/>
  <c r="B10" i="42"/>
  <c r="C11" i="42"/>
  <c r="AG11" i="42"/>
  <c r="AE12" i="42"/>
  <c r="B12" i="42"/>
  <c r="B11" i="42"/>
  <c r="AV10" i="42"/>
  <c r="T11" i="42"/>
  <c r="AN11" i="42"/>
  <c r="BT11" i="42"/>
  <c r="CG12" i="42"/>
  <c r="D10" i="42"/>
  <c r="M11" i="42"/>
  <c r="BK11" i="42"/>
  <c r="BL11" i="42"/>
  <c r="CC12" i="42"/>
  <c r="AY11" i="42"/>
  <c r="G11" i="42"/>
  <c r="BC11" i="42"/>
  <c r="BV12" i="42"/>
  <c r="BI12" i="42"/>
  <c r="BZ10" i="42"/>
  <c r="BA11" i="42"/>
  <c r="AV11" i="42"/>
  <c r="AR12" i="42"/>
  <c r="B13" i="42"/>
  <c r="AG10" i="42"/>
  <c r="E11" i="42"/>
  <c r="AL11" i="42"/>
  <c r="X12" i="42"/>
  <c r="CE12" i="42"/>
  <c r="BP11" i="42"/>
  <c r="D11" i="42"/>
  <c r="AA11" i="42"/>
  <c r="CA11" i="42"/>
  <c r="CB12" i="42"/>
  <c r="AH11" i="42"/>
  <c r="Z10" i="42"/>
  <c r="R11" i="42"/>
  <c r="BR11" i="42"/>
  <c r="BG12" i="42"/>
  <c r="B1" i="42"/>
  <c r="O11" i="42"/>
  <c r="BK10" i="42"/>
  <c r="AR11" i="42"/>
  <c r="BZ11" i="42"/>
  <c r="AC12" i="42"/>
  <c r="CH12" i="42"/>
  <c r="Q10" i="42"/>
  <c r="AJ11" i="42"/>
  <c r="BN11" i="42"/>
  <c r="K11" i="42"/>
  <c r="T12" i="42"/>
  <c r="CD40" i="37"/>
  <c r="CH40" i="37" s="1"/>
  <c r="CD50" i="37"/>
  <c r="CH50" i="37" s="1"/>
  <c r="CE12" i="41"/>
  <c r="CD12" i="41"/>
  <c r="B8" i="41"/>
  <c r="AV10" i="41"/>
  <c r="G11" i="41"/>
  <c r="E11" i="41"/>
  <c r="O11" i="41"/>
  <c r="BR11" i="41"/>
  <c r="BX12" i="41"/>
  <c r="Z11" i="41"/>
  <c r="BG12" i="41"/>
  <c r="AT12" i="41"/>
  <c r="CC12" i="41"/>
  <c r="B13" i="41"/>
  <c r="AG10" i="41"/>
  <c r="Z10" i="41"/>
  <c r="B11" i="41"/>
  <c r="C11" i="41"/>
  <c r="AL11" i="41"/>
  <c r="AP11" i="41"/>
  <c r="T12" i="41"/>
  <c r="B12" i="41"/>
  <c r="AR12" i="41"/>
  <c r="CB12" i="41"/>
  <c r="CA12" i="41"/>
  <c r="CF12" i="41"/>
  <c r="B10" i="41"/>
  <c r="CH12" i="41"/>
  <c r="AJ11" i="41"/>
  <c r="AY11" i="41"/>
  <c r="BN11" i="41"/>
  <c r="BL11" i="41"/>
  <c r="CA11" i="41"/>
  <c r="AE12" i="41"/>
  <c r="AC12" i="41"/>
  <c r="BI12" i="41"/>
  <c r="X12" i="41"/>
  <c r="BC11" i="41"/>
  <c r="AA12" i="41"/>
  <c r="K11" i="41"/>
  <c r="AW11" i="41"/>
  <c r="AV11" i="41"/>
  <c r="BK11" i="41"/>
  <c r="BZ11" i="41"/>
  <c r="BV11" i="41"/>
  <c r="V12" i="41"/>
  <c r="Q11" i="41"/>
  <c r="Q10" i="41"/>
  <c r="R11" i="41"/>
  <c r="AN11" i="41"/>
  <c r="AG11" i="41"/>
  <c r="AA11" i="41"/>
  <c r="AR11" i="41"/>
  <c r="BG11" i="41"/>
  <c r="BE11" i="41"/>
  <c r="BP11" i="41"/>
  <c r="BT11" i="41"/>
  <c r="CG12" i="41"/>
  <c r="B1" i="41"/>
  <c r="M11" i="41"/>
  <c r="BA11" i="41"/>
  <c r="BZ10" i="41"/>
  <c r="BK10" i="41"/>
  <c r="I11" i="41"/>
  <c r="T11" i="41"/>
  <c r="AH11" i="41"/>
  <c r="BV12" i="41"/>
  <c r="D10" i="41"/>
  <c r="D11" i="41"/>
  <c r="CD66" i="37"/>
  <c r="CH66" i="37" s="1"/>
  <c r="CH12" i="40"/>
  <c r="Q10" i="40"/>
  <c r="C11" i="40"/>
  <c r="O11" i="40"/>
  <c r="AG11" i="40"/>
  <c r="AA11" i="40"/>
  <c r="AR11" i="40"/>
  <c r="AE12" i="40"/>
  <c r="AN11" i="40"/>
  <c r="AW11" i="40"/>
  <c r="BX12" i="40"/>
  <c r="CG12" i="40"/>
  <c r="D10" i="40"/>
  <c r="B11" i="40"/>
  <c r="M11" i="40"/>
  <c r="K11" i="40"/>
  <c r="Z11" i="40"/>
  <c r="E11" i="40"/>
  <c r="T11" i="40"/>
  <c r="D11" i="40"/>
  <c r="AA12" i="40"/>
  <c r="BV12" i="40"/>
  <c r="CF12" i="40"/>
  <c r="B10" i="40"/>
  <c r="BZ10" i="40"/>
  <c r="BK10" i="40"/>
  <c r="I11" i="40"/>
  <c r="BZ11" i="40"/>
  <c r="G11" i="40"/>
  <c r="AH11" i="40"/>
  <c r="BT11" i="40"/>
  <c r="X12" i="40"/>
  <c r="BI12" i="40"/>
  <c r="CE12" i="40"/>
  <c r="CD12" i="40"/>
  <c r="B8" i="40"/>
  <c r="AV10" i="40"/>
  <c r="AG10" i="40"/>
  <c r="B13" i="40"/>
  <c r="BK11" i="40"/>
  <c r="BC11" i="40"/>
  <c r="BR11" i="40"/>
  <c r="V12" i="40"/>
  <c r="BG12" i="40"/>
  <c r="AT12" i="40"/>
  <c r="CC12" i="40"/>
  <c r="CA12" i="40"/>
  <c r="BG11" i="40"/>
  <c r="AV11" i="40"/>
  <c r="AL11" i="40"/>
  <c r="BA11" i="40"/>
  <c r="BP11" i="40"/>
  <c r="T12" i="40"/>
  <c r="B12" i="40"/>
  <c r="AR12" i="40"/>
  <c r="AC12" i="40"/>
  <c r="Z10" i="40"/>
  <c r="B1" i="40"/>
  <c r="Q11" i="40"/>
  <c r="CB12" i="40"/>
  <c r="R11" i="40"/>
  <c r="AJ11" i="40"/>
  <c r="AY11" i="40"/>
  <c r="BN11" i="40"/>
  <c r="BL11" i="40"/>
  <c r="CA11" i="40"/>
  <c r="BV11" i="40"/>
  <c r="AP11" i="40"/>
  <c r="BE11" i="40"/>
  <c r="CC80" i="37"/>
  <c r="CG80" i="37" s="1"/>
  <c r="CF12" i="39"/>
  <c r="B10" i="39"/>
  <c r="BZ10" i="39"/>
  <c r="BK10" i="39"/>
  <c r="I11" i="39"/>
  <c r="T11" i="39"/>
  <c r="AJ11" i="39"/>
  <c r="AL11" i="39"/>
  <c r="BI12" i="39"/>
  <c r="CE12" i="39"/>
  <c r="CD12" i="39"/>
  <c r="B8" i="39"/>
  <c r="AV10" i="39"/>
  <c r="G11" i="39"/>
  <c r="E11" i="39"/>
  <c r="Q11" i="39"/>
  <c r="R11" i="39"/>
  <c r="AN11" i="39"/>
  <c r="V12" i="39"/>
  <c r="BG12" i="39"/>
  <c r="AT12" i="39"/>
  <c r="CC12" i="39"/>
  <c r="B13" i="39"/>
  <c r="AG10" i="39"/>
  <c r="Z10" i="39"/>
  <c r="C11" i="39"/>
  <c r="D11" i="39"/>
  <c r="Z11" i="39"/>
  <c r="CH12" i="39"/>
  <c r="BP11" i="39"/>
  <c r="T12" i="39"/>
  <c r="B12" i="39"/>
  <c r="AR12" i="39"/>
  <c r="CB12" i="39"/>
  <c r="CA12" i="39"/>
  <c r="CG12" i="39"/>
  <c r="D10" i="39"/>
  <c r="Q10" i="39"/>
  <c r="K11" i="39"/>
  <c r="BA11" i="39"/>
  <c r="AY11" i="39"/>
  <c r="BN11" i="39"/>
  <c r="BL11" i="39"/>
  <c r="CA11" i="39"/>
  <c r="AE12" i="39"/>
  <c r="AC12" i="39"/>
  <c r="BV12" i="39"/>
  <c r="AA12" i="39"/>
  <c r="BX12" i="39"/>
  <c r="AP11" i="39"/>
  <c r="AH11" i="39"/>
  <c r="AW11" i="39"/>
  <c r="AV11" i="39"/>
  <c r="BK11" i="39"/>
  <c r="BZ11" i="39"/>
  <c r="BV11" i="39"/>
  <c r="X12" i="39"/>
  <c r="BT11" i="39"/>
  <c r="B1" i="39"/>
  <c r="M11" i="39"/>
  <c r="O11" i="39"/>
  <c r="AG11" i="39"/>
  <c r="AA11" i="39"/>
  <c r="AR11" i="39"/>
  <c r="BG11" i="39"/>
  <c r="BE11" i="39"/>
  <c r="BR11" i="39"/>
  <c r="BC11" i="39"/>
  <c r="B11" i="39"/>
  <c r="CC95" i="37"/>
  <c r="CG95" i="37" s="1"/>
  <c r="CA12" i="38"/>
  <c r="D11" i="38"/>
  <c r="Q11" i="38"/>
  <c r="AH11" i="38"/>
  <c r="AW11" i="38"/>
  <c r="AV11" i="38"/>
  <c r="BK11" i="38"/>
  <c r="BE11" i="38"/>
  <c r="G11" i="38"/>
  <c r="CA11" i="38"/>
  <c r="CE12" i="38"/>
  <c r="Q10" i="38"/>
  <c r="C11" i="38"/>
  <c r="O11" i="38"/>
  <c r="AG11" i="38"/>
  <c r="AA11" i="38"/>
  <c r="AR11" i="38"/>
  <c r="AN11" i="38"/>
  <c r="AG10" i="38"/>
  <c r="BL11" i="38"/>
  <c r="BX12" i="38"/>
  <c r="B13" i="38"/>
  <c r="D10" i="38"/>
  <c r="B11" i="38"/>
  <c r="M11" i="38"/>
  <c r="K11" i="38"/>
  <c r="Z11" i="38"/>
  <c r="CC12" i="38"/>
  <c r="AY11" i="38"/>
  <c r="AA12" i="38"/>
  <c r="BV12" i="38"/>
  <c r="CH12" i="38"/>
  <c r="B10" i="38"/>
  <c r="BZ10" i="38"/>
  <c r="BK10" i="38"/>
  <c r="I11" i="38"/>
  <c r="E11" i="38"/>
  <c r="AE12" i="38"/>
  <c r="BN11" i="38"/>
  <c r="BT11" i="38"/>
  <c r="X12" i="38"/>
  <c r="BI12" i="38"/>
  <c r="CG12" i="38"/>
  <c r="CF12" i="38"/>
  <c r="B8" i="38"/>
  <c r="AV10" i="38"/>
  <c r="Z10" i="38"/>
  <c r="BZ11" i="38"/>
  <c r="BV11" i="38"/>
  <c r="BC11" i="38"/>
  <c r="BR11" i="38"/>
  <c r="V12" i="38"/>
  <c r="BG12" i="38"/>
  <c r="AT12" i="38"/>
  <c r="CD12" i="38"/>
  <c r="CB12" i="38"/>
  <c r="AP11" i="38"/>
  <c r="B1" i="38"/>
  <c r="R11" i="38"/>
  <c r="BG11" i="38"/>
  <c r="AL11" i="38"/>
  <c r="BA11" i="38"/>
  <c r="BP11" i="38"/>
  <c r="T12" i="38"/>
  <c r="B12" i="38"/>
  <c r="AR12" i="38"/>
  <c r="AC12" i="38"/>
  <c r="T11" i="38"/>
  <c r="AJ11" i="38"/>
  <c r="CD21" i="37"/>
  <c r="CH21" i="37" s="1"/>
  <c r="CD82" i="37"/>
  <c r="CH82" i="37" s="1"/>
  <c r="CD101" i="37"/>
  <c r="CH101" i="37" s="1"/>
  <c r="CD31" i="37"/>
  <c r="CH31" i="37" s="1"/>
  <c r="CC91" i="37"/>
  <c r="CG91" i="37" s="1"/>
  <c r="CC87" i="37"/>
  <c r="CG87" i="37" s="1"/>
  <c r="CC105" i="37"/>
  <c r="CG105" i="37" s="1"/>
  <c r="CC65" i="37"/>
  <c r="CG65" i="37" s="1"/>
  <c r="CC92" i="37"/>
  <c r="CG92" i="37" s="1"/>
  <c r="CC28" i="37"/>
  <c r="CG28" i="37" s="1"/>
  <c r="CC68" i="37"/>
  <c r="CG68" i="37" s="1"/>
  <c r="CC81" i="37"/>
  <c r="CG81" i="37" s="1"/>
  <c r="CD45" i="37"/>
  <c r="CH45" i="37" s="1"/>
  <c r="CD71" i="37"/>
  <c r="CH71" i="37" s="1"/>
  <c r="CD27" i="37"/>
  <c r="CH27" i="37" s="1"/>
  <c r="CC61" i="37"/>
  <c r="CG61" i="37" s="1"/>
  <c r="CD17" i="37"/>
  <c r="CH17" i="37" s="1"/>
  <c r="CD57" i="37"/>
  <c r="CH57" i="37" s="1"/>
  <c r="CC54" i="37"/>
  <c r="CG54" i="37" s="1"/>
  <c r="CD48" i="37"/>
  <c r="CH48" i="37" s="1"/>
  <c r="CD77" i="37"/>
  <c r="CH77" i="37" s="1"/>
  <c r="CD70" i="37"/>
  <c r="CH70" i="37" s="1"/>
  <c r="CC35" i="37"/>
  <c r="CG35" i="37" s="1"/>
  <c r="CD78" i="37"/>
  <c r="CH78" i="37" s="1"/>
  <c r="CC55" i="37"/>
  <c r="CG55" i="37" s="1"/>
  <c r="CC84" i="37"/>
  <c r="CG84" i="37" s="1"/>
  <c r="CC41" i="37"/>
  <c r="CG41" i="37" s="1"/>
  <c r="CD63" i="37"/>
  <c r="CH63" i="37" s="1"/>
  <c r="CC34" i="37"/>
  <c r="CG34" i="37" s="1"/>
  <c r="CD54" i="37"/>
  <c r="CH54" i="37" s="1"/>
  <c r="CC47" i="37"/>
  <c r="CG47" i="37" s="1"/>
  <c r="CD43" i="37"/>
  <c r="CH43" i="37" s="1"/>
  <c r="CC44" i="37"/>
  <c r="CG44" i="37" s="1"/>
  <c r="CC23" i="37"/>
  <c r="CG23" i="37" s="1"/>
  <c r="CD90" i="37"/>
  <c r="CH90" i="37" s="1"/>
  <c r="CC78" i="37"/>
  <c r="CG78" i="37" s="1"/>
  <c r="CD47" i="37"/>
  <c r="CH47" i="37" s="1"/>
  <c r="CD80" i="37"/>
  <c r="CH80" i="37" s="1"/>
  <c r="CD58" i="37"/>
  <c r="CH58" i="37" s="1"/>
  <c r="CC90" i="37"/>
  <c r="CG90" i="37" s="1"/>
  <c r="CC64" i="37"/>
  <c r="CG64" i="37" s="1"/>
  <c r="CD91" i="37"/>
  <c r="CH91" i="37" s="1"/>
  <c r="CC74" i="37"/>
  <c r="CG74" i="37" s="1"/>
  <c r="CD41" i="37"/>
  <c r="CH41" i="37" s="1"/>
  <c r="CD74" i="37"/>
  <c r="CH74" i="37" s="1"/>
  <c r="CD97" i="37"/>
  <c r="CH97" i="37" s="1"/>
  <c r="CC101" i="37"/>
  <c r="CG101" i="37" s="1"/>
  <c r="CD105" i="37"/>
  <c r="CH105" i="37" s="1"/>
  <c r="CC63" i="37"/>
  <c r="CG63" i="37" s="1"/>
  <c r="CD24" i="37"/>
  <c r="CH24" i="37" s="1"/>
  <c r="CC27" i="37"/>
  <c r="CG27" i="37" s="1"/>
  <c r="CD18" i="37"/>
  <c r="CH18" i="37" s="1"/>
  <c r="CC24" i="37"/>
  <c r="CG24" i="37" s="1"/>
  <c r="CC42" i="37"/>
  <c r="CG42" i="37" s="1"/>
  <c r="CD100" i="37"/>
  <c r="CH100" i="37" s="1"/>
  <c r="CC39" i="37"/>
  <c r="CG39" i="37" s="1"/>
  <c r="CD38" i="37"/>
  <c r="CH38" i="37" s="1"/>
  <c r="CC21" i="37"/>
  <c r="CG21" i="37" s="1"/>
  <c r="CD75" i="37"/>
  <c r="CH75" i="37" s="1"/>
  <c r="CC75" i="37"/>
  <c r="CG75" i="37" s="1"/>
  <c r="CD36" i="37"/>
  <c r="CH36" i="37" s="1"/>
  <c r="CC73" i="37"/>
  <c r="CG73" i="37" s="1"/>
  <c r="CC62" i="37"/>
  <c r="CG62" i="37" s="1"/>
  <c r="CC98" i="37"/>
  <c r="CG98" i="37" s="1"/>
  <c r="CD35" i="37"/>
  <c r="CH35" i="37" s="1"/>
  <c r="CD22" i="37"/>
  <c r="CH22" i="37" s="1"/>
  <c r="CD33" i="37"/>
  <c r="CH33" i="37" s="1"/>
  <c r="CD102" i="37"/>
  <c r="CH102" i="37" s="1"/>
  <c r="CD98" i="37"/>
  <c r="CH98" i="37" s="1"/>
  <c r="CC72" i="37"/>
  <c r="CG72" i="37" s="1"/>
  <c r="CC33" i="37"/>
  <c r="CG33" i="37" s="1"/>
  <c r="CC37" i="37"/>
  <c r="CG37" i="37" s="1"/>
  <c r="CC100" i="37"/>
  <c r="CG100" i="37" s="1"/>
  <c r="CC102" i="37"/>
  <c r="CG102" i="37" s="1"/>
  <c r="CD81" i="37"/>
  <c r="CH81" i="37" s="1"/>
  <c r="CD62" i="37"/>
  <c r="CH62" i="37" s="1"/>
  <c r="CD65" i="37"/>
  <c r="CH65" i="37" s="1"/>
  <c r="CD76" i="37"/>
  <c r="CH76" i="37" s="1"/>
  <c r="CD29" i="37"/>
  <c r="CH29" i="37" s="1"/>
  <c r="CC77" i="37"/>
  <c r="CG77" i="37" s="1"/>
  <c r="CD19" i="37"/>
  <c r="CH19" i="37" s="1"/>
  <c r="CC40" i="37"/>
  <c r="CG40" i="37" s="1"/>
  <c r="CC18" i="37"/>
  <c r="CG18" i="37" s="1"/>
  <c r="CD96" i="37"/>
  <c r="CH96" i="37" s="1"/>
  <c r="CD59" i="37"/>
  <c r="CH59" i="37" s="1"/>
  <c r="CC96" i="37"/>
  <c r="CG96" i="37" s="1"/>
  <c r="CD69" i="37"/>
  <c r="CH69" i="37" s="1"/>
  <c r="CC94" i="37"/>
  <c r="CG94" i="37" s="1"/>
  <c r="CD26" i="37"/>
  <c r="CH26" i="37" s="1"/>
  <c r="CD60" i="37"/>
  <c r="CH60" i="37" s="1"/>
  <c r="CD99" i="37"/>
  <c r="CH99" i="37" s="1"/>
  <c r="CD94" i="37"/>
  <c r="CH94" i="37" s="1"/>
  <c r="CC32" i="37"/>
  <c r="CG32" i="37" s="1"/>
  <c r="CD25" i="37"/>
  <c r="CH25" i="37" s="1"/>
  <c r="CD44" i="37"/>
  <c r="CH44" i="37" s="1"/>
  <c r="CC50" i="37"/>
  <c r="CG50" i="37" s="1"/>
  <c r="CD30" i="37"/>
  <c r="CH30" i="37" s="1"/>
  <c r="CC30" i="37"/>
  <c r="CG30" i="37" s="1"/>
  <c r="CD103" i="37"/>
  <c r="CH103" i="37" s="1"/>
  <c r="CD34" i="37"/>
  <c r="CH34" i="37" s="1"/>
  <c r="CC31" i="37"/>
  <c r="CG31" i="37" s="1"/>
  <c r="CC56" i="37"/>
  <c r="CG56" i="37" s="1"/>
  <c r="CC53" i="37"/>
  <c r="CG53" i="37" s="1"/>
  <c r="CD51" i="37"/>
  <c r="CH51" i="37" s="1"/>
  <c r="CC46" i="37"/>
  <c r="CG46" i="37" s="1"/>
  <c r="CC83" i="37"/>
  <c r="CG83" i="37" s="1"/>
  <c r="CC69" i="37"/>
  <c r="CG69" i="37" s="1"/>
  <c r="CD72" i="37"/>
  <c r="CH72" i="37" s="1"/>
  <c r="CC89" i="37"/>
  <c r="CG89" i="37" s="1"/>
  <c r="CA12" i="37"/>
  <c r="BG12" i="37"/>
  <c r="BC11" i="37"/>
  <c r="BV12" i="37"/>
  <c r="T12" i="37"/>
  <c r="BP11" i="37"/>
  <c r="Z11" i="37"/>
  <c r="BK10" i="37"/>
  <c r="T11" i="37"/>
  <c r="AP11" i="37"/>
  <c r="V12" i="37"/>
  <c r="AC12" i="37"/>
  <c r="M11" i="37"/>
  <c r="AL11" i="37"/>
  <c r="X12" i="37"/>
  <c r="AW11" i="37"/>
  <c r="AY11" i="37"/>
  <c r="CD12" i="37"/>
  <c r="B8" i="37"/>
  <c r="G11" i="37"/>
  <c r="Z10" i="37"/>
  <c r="BV11" i="37"/>
  <c r="CC12" i="37"/>
  <c r="R11" i="37"/>
  <c r="BR11" i="37"/>
  <c r="BZ10" i="37"/>
  <c r="AH11" i="37"/>
  <c r="AT12" i="37"/>
  <c r="AR12" i="37"/>
  <c r="AE12" i="37"/>
  <c r="CH12" i="37"/>
  <c r="AJ11" i="37"/>
  <c r="B11" i="37"/>
  <c r="B13" i="37"/>
  <c r="BT11" i="37"/>
  <c r="K11" i="37"/>
  <c r="BE11" i="37"/>
  <c r="I11" i="37"/>
  <c r="D11" i="37"/>
  <c r="BA11" i="37"/>
  <c r="CA11" i="37"/>
  <c r="O11" i="37"/>
  <c r="B12" i="37"/>
  <c r="BK11" i="37"/>
  <c r="BZ11" i="37"/>
  <c r="AN11" i="37"/>
  <c r="Q10" i="37"/>
  <c r="AV10" i="37"/>
  <c r="BL11" i="37"/>
  <c r="BG11" i="37"/>
  <c r="D10" i="37"/>
  <c r="BX12" i="37"/>
  <c r="BN11" i="37"/>
  <c r="Q11" i="37"/>
  <c r="CF12" i="37"/>
  <c r="B10" i="37"/>
  <c r="AV11" i="37"/>
  <c r="AG10" i="37"/>
  <c r="B1" i="37"/>
  <c r="E11" i="37"/>
  <c r="AA12" i="37"/>
  <c r="AR11" i="37"/>
  <c r="C11" i="37"/>
  <c r="BI12" i="37"/>
  <c r="CE12" i="37"/>
  <c r="AA11" i="37"/>
  <c r="CG12" i="37"/>
  <c r="AG11" i="37"/>
  <c r="CB12" i="37"/>
  <c r="CC19" i="37"/>
  <c r="CG19" i="37" s="1"/>
  <c r="CC99" i="37"/>
  <c r="CG99" i="37" s="1"/>
  <c r="CD52" i="37"/>
  <c r="CH52" i="37" s="1"/>
  <c r="CC86" i="37"/>
  <c r="CG86" i="37" s="1"/>
  <c r="CH114" i="37"/>
  <c r="CH118" i="37"/>
  <c r="CH113" i="37"/>
  <c r="CH125" i="37"/>
  <c r="CH106" i="37"/>
  <c r="CH108" i="37"/>
  <c r="CH110" i="37"/>
  <c r="CH122" i="37"/>
  <c r="CH121" i="37"/>
  <c r="CD73" i="37"/>
  <c r="CH73" i="37" s="1"/>
  <c r="CD95" i="37"/>
  <c r="CH95" i="37" s="1"/>
  <c r="CC67" i="37"/>
  <c r="CG67" i="37" s="1"/>
  <c r="CD83" i="37"/>
  <c r="CH83" i="37" s="1"/>
  <c r="CC45" i="37"/>
  <c r="CG45" i="37" s="1"/>
  <c r="CD49" i="37"/>
  <c r="CH49" i="37" s="1"/>
  <c r="CC97" i="37"/>
  <c r="CG97" i="37" s="1"/>
  <c r="CC43" i="37"/>
  <c r="CG43" i="37" s="1"/>
  <c r="CC93" i="37"/>
  <c r="CG93" i="37" s="1"/>
  <c r="CC66" i="37"/>
  <c r="CG66" i="37" s="1"/>
  <c r="CD23" i="37"/>
  <c r="CH23" i="37" s="1"/>
  <c r="CD32" i="37"/>
  <c r="CH32" i="37" s="1"/>
  <c r="CD104" i="37"/>
  <c r="CH104" i="37" s="1"/>
  <c r="CD89" i="37"/>
  <c r="CH89" i="37" s="1"/>
  <c r="CD68" i="37"/>
  <c r="CH68" i="37" s="1"/>
  <c r="CC88" i="37"/>
  <c r="CG88" i="37" s="1"/>
  <c r="CC76" i="37"/>
  <c r="CG76" i="37" s="1"/>
  <c r="CD37" i="37"/>
  <c r="CH37" i="37" s="1"/>
  <c r="CD46" i="37"/>
  <c r="CH46" i="37" s="1"/>
  <c r="CD20" i="37"/>
  <c r="CH20" i="37" s="1"/>
  <c r="CD55" i="37"/>
  <c r="CH55" i="37" s="1"/>
  <c r="CD61" i="37"/>
  <c r="CH61" i="37" s="1"/>
  <c r="CC60" i="37"/>
  <c r="CG60" i="37" s="1"/>
  <c r="CD85" i="37"/>
  <c r="CH85" i="37" s="1"/>
  <c r="CD28" i="37"/>
  <c r="CH28" i="37" s="1"/>
  <c r="CC79" i="37"/>
  <c r="CG79" i="37" s="1"/>
  <c r="CG110" i="37"/>
  <c r="CG118" i="37"/>
  <c r="CG120" i="37"/>
  <c r="CG107" i="37"/>
  <c r="CG122" i="37"/>
  <c r="CG115" i="37"/>
  <c r="CG112" i="37"/>
  <c r="CG123" i="37"/>
  <c r="CG125" i="37"/>
  <c r="CG117" i="37"/>
  <c r="CC57" i="37"/>
  <c r="CG57" i="37" s="1"/>
  <c r="CC38" i="37"/>
  <c r="CG38" i="37" s="1"/>
  <c r="CC104" i="37"/>
  <c r="CG104" i="37" s="1"/>
  <c r="CD42" i="37"/>
  <c r="CH42" i="37" s="1"/>
  <c r="CC70" i="37"/>
  <c r="CG70" i="37" s="1"/>
  <c r="CC17" i="37"/>
  <c r="CG17" i="37" s="1"/>
  <c r="CC16" i="37"/>
  <c r="CG16" i="37" s="1"/>
  <c r="CD67" i="37"/>
  <c r="CH67" i="37" s="1"/>
  <c r="CC25" i="37"/>
  <c r="CG25" i="37" s="1"/>
  <c r="CD84" i="37"/>
  <c r="CH84" i="37" s="1"/>
  <c r="CC52" i="37"/>
  <c r="CG52" i="37" s="1"/>
  <c r="CD53" i="37"/>
  <c r="CH53" i="37" s="1"/>
  <c r="CD64" i="37"/>
  <c r="CH64" i="37" s="1"/>
  <c r="CC26" i="37"/>
  <c r="CG26" i="37" s="1"/>
  <c r="CC49" i="37"/>
  <c r="CG49" i="37" s="1"/>
  <c r="CD16" i="37"/>
  <c r="CH16" i="37" s="1"/>
  <c r="CC48" i="37"/>
  <c r="CG48" i="37" s="1"/>
  <c r="CC58" i="37"/>
  <c r="CG58" i="37" s="1"/>
  <c r="CC85" i="37"/>
  <c r="CG85" i="37" s="1"/>
  <c r="CC82" i="37"/>
  <c r="CG82" i="37" s="1"/>
  <c r="CD39" i="37"/>
  <c r="CH39" i="37" s="1"/>
  <c r="CD79" i="37"/>
  <c r="CH79" i="37" s="1"/>
  <c r="CC29" i="37"/>
  <c r="CG29" i="37" s="1"/>
  <c r="CC22" i="37"/>
  <c r="CG22" i="37" s="1"/>
  <c r="CD88" i="37"/>
  <c r="CH88" i="37" s="1"/>
  <c r="CC59" i="37"/>
  <c r="CG59" i="37" s="1"/>
  <c r="CD56" i="37"/>
  <c r="CH56" i="37" s="1"/>
  <c r="CC20" i="37"/>
  <c r="CG20" i="37" s="1"/>
  <c r="CD12" i="36"/>
  <c r="B8" i="36"/>
  <c r="CC12" i="36"/>
  <c r="G11" i="36"/>
  <c r="E11" i="36"/>
  <c r="Q11" i="36"/>
  <c r="CH12" i="36"/>
  <c r="BZ10" i="36"/>
  <c r="B10" i="36"/>
  <c r="AT12" i="36"/>
  <c r="AR12" i="36"/>
  <c r="B13" i="36"/>
  <c r="AG10" i="36"/>
  <c r="Z10" i="36"/>
  <c r="C11" i="36"/>
  <c r="O11" i="36"/>
  <c r="Q10" i="36"/>
  <c r="CE12" i="36"/>
  <c r="I11" i="36"/>
  <c r="B11" i="36"/>
  <c r="BK10" i="36"/>
  <c r="AJ11" i="36"/>
  <c r="B12" i="36"/>
  <c r="CA11" i="36"/>
  <c r="CB12" i="36"/>
  <c r="CA12" i="36"/>
  <c r="CG12" i="36"/>
  <c r="D10" i="36"/>
  <c r="AY11" i="36"/>
  <c r="AL11" i="36"/>
  <c r="BP11" i="36"/>
  <c r="BL11" i="36"/>
  <c r="BK11" i="36"/>
  <c r="AE12" i="36"/>
  <c r="AC12" i="36"/>
  <c r="BV12" i="36"/>
  <c r="BI12" i="36"/>
  <c r="T12" i="36"/>
  <c r="AH11" i="36"/>
  <c r="R11" i="36"/>
  <c r="AN11" i="36"/>
  <c r="BT11" i="36"/>
  <c r="AV10" i="36"/>
  <c r="V12" i="36"/>
  <c r="AV11" i="36"/>
  <c r="AR11" i="36"/>
  <c r="BZ11" i="36"/>
  <c r="BV11" i="36"/>
  <c r="X12" i="36"/>
  <c r="BC11" i="36"/>
  <c r="AA12" i="36"/>
  <c r="BX12" i="36"/>
  <c r="BN11" i="36"/>
  <c r="BA11" i="36"/>
  <c r="T11" i="36"/>
  <c r="D11" i="36"/>
  <c r="AA11" i="36"/>
  <c r="Z11" i="36"/>
  <c r="BG11" i="36"/>
  <c r="BE11" i="36"/>
  <c r="BR11" i="36"/>
  <c r="M11" i="36"/>
  <c r="AW11" i="36"/>
  <c r="CF12" i="36"/>
  <c r="B1" i="36"/>
  <c r="K11" i="36"/>
  <c r="AP11" i="36"/>
  <c r="BG12" i="36"/>
  <c r="AG11" i="36"/>
  <c r="C21" i="20"/>
  <c r="B21" i="20"/>
  <c r="CG12" i="24"/>
  <c r="D73" i="20"/>
  <c r="C73" i="20"/>
  <c r="D8" i="3"/>
  <c r="AA11" i="24"/>
  <c r="B49" i="5"/>
  <c r="B45" i="3"/>
  <c r="E62" i="22"/>
  <c r="B9" i="35"/>
  <c r="F22" i="35" s="1"/>
  <c r="F5" i="5"/>
  <c r="G5" i="20"/>
  <c r="K6" i="21"/>
  <c r="B1" i="24"/>
  <c r="B10" i="24"/>
  <c r="C5" i="20"/>
  <c r="B5" i="20"/>
  <c r="B5" i="26"/>
  <c r="B4" i="26"/>
  <c r="B1" i="26"/>
  <c r="CH12" i="24"/>
  <c r="CA11" i="24"/>
  <c r="CF12" i="24"/>
  <c r="CC12" i="24"/>
  <c r="CD12" i="24"/>
  <c r="BZ10" i="24"/>
  <c r="CE12" i="24"/>
  <c r="BZ11" i="24"/>
  <c r="CB12" i="24"/>
  <c r="CA12" i="24"/>
  <c r="BN11" i="24"/>
  <c r="AT12" i="24"/>
  <c r="AW11" i="24"/>
  <c r="BG12" i="24"/>
  <c r="AP11" i="24"/>
  <c r="AR11" i="24"/>
  <c r="AV11" i="24"/>
  <c r="BP11" i="24"/>
  <c r="BV11" i="24"/>
  <c r="AV10" i="24"/>
  <c r="BX12" i="24"/>
  <c r="BT11" i="24"/>
  <c r="BR11" i="24"/>
  <c r="BA11" i="24"/>
  <c r="BL11" i="24"/>
  <c r="AY11" i="24"/>
  <c r="BK10" i="24"/>
  <c r="BG11" i="24"/>
  <c r="BC11" i="24"/>
  <c r="AR12" i="24"/>
  <c r="BI12" i="24"/>
  <c r="BV12" i="24"/>
  <c r="AG10" i="24"/>
  <c r="BE11" i="24"/>
  <c r="AN11" i="24"/>
  <c r="BK11" i="24"/>
  <c r="AL11" i="24"/>
  <c r="AJ11" i="24"/>
  <c r="AH11" i="24"/>
  <c r="AG11" i="24"/>
  <c r="AE12" i="24"/>
  <c r="Z10" i="24"/>
  <c r="R11" i="24"/>
  <c r="AC12" i="24"/>
  <c r="Q11" i="24"/>
  <c r="Z11" i="24"/>
  <c r="AA12" i="24"/>
  <c r="T11" i="24"/>
  <c r="B67" i="22"/>
  <c r="C70" i="22"/>
  <c r="C67" i="22"/>
  <c r="B66" i="22"/>
  <c r="B64" i="22"/>
  <c r="C66" i="22"/>
  <c r="B65" i="22"/>
  <c r="C65" i="22"/>
  <c r="C64" i="22"/>
  <c r="C63" i="22"/>
  <c r="B70" i="22"/>
  <c r="B69" i="22"/>
  <c r="Q10" i="24"/>
  <c r="O11" i="24"/>
  <c r="M11" i="24"/>
  <c r="K11" i="24"/>
  <c r="G11" i="24"/>
  <c r="I11" i="24"/>
  <c r="E11" i="24"/>
  <c r="D10" i="24"/>
  <c r="D11" i="24"/>
  <c r="B8" i="24"/>
  <c r="C11" i="24"/>
  <c r="B12" i="24"/>
  <c r="B11" i="24"/>
  <c r="B13" i="24"/>
  <c r="B47" i="9"/>
  <c r="B30" i="9"/>
  <c r="B50" i="9"/>
  <c r="B33" i="9"/>
  <c r="B37" i="9" s="1"/>
  <c r="B12" i="9"/>
  <c r="B41" i="9"/>
  <c r="B45" i="9"/>
  <c r="B17" i="9"/>
  <c r="B20" i="9"/>
  <c r="B26" i="9"/>
  <c r="B48" i="9"/>
  <c r="B44" i="9"/>
  <c r="B49" i="9"/>
  <c r="B46" i="9"/>
  <c r="B29" i="9"/>
  <c r="B36" i="9"/>
  <c r="B32" i="9"/>
  <c r="B51" i="9"/>
  <c r="B23" i="9"/>
  <c r="B28" i="9"/>
  <c r="B15" i="9"/>
  <c r="B43" i="9"/>
  <c r="B34" i="9"/>
  <c r="B38" i="9" s="1"/>
  <c r="D51" i="3"/>
  <c r="B11" i="9"/>
  <c r="B7" i="9"/>
  <c r="B9" i="9"/>
  <c r="B4" i="9"/>
  <c r="B5" i="9"/>
  <c r="B10" i="9"/>
  <c r="B75" i="20"/>
  <c r="B74" i="20"/>
  <c r="B1" i="9"/>
  <c r="B64" i="3"/>
  <c r="B49" i="3"/>
  <c r="B9" i="3" s="1"/>
  <c r="B54" i="3"/>
  <c r="B62" i="3"/>
  <c r="B59" i="3"/>
  <c r="B53" i="3"/>
  <c r="B58" i="3"/>
  <c r="B61" i="3"/>
  <c r="B56" i="3"/>
  <c r="B52" i="3"/>
  <c r="B60" i="3"/>
  <c r="B57" i="3"/>
  <c r="C45" i="3"/>
  <c r="B10" i="3"/>
  <c r="D16" i="3"/>
  <c r="C16" i="3"/>
  <c r="C7" i="3"/>
  <c r="B15" i="3"/>
  <c r="B16" i="3"/>
  <c r="B44" i="3"/>
  <c r="B5" i="3"/>
  <c r="C34" i="3"/>
  <c r="B1" i="3"/>
  <c r="B13" i="3"/>
  <c r="B8" i="3" s="1"/>
  <c r="B33" i="3"/>
  <c r="B39" i="6"/>
  <c r="B32" i="6"/>
  <c r="D8" i="6"/>
  <c r="D25" i="6" s="1"/>
  <c r="C16" i="6"/>
  <c r="B12" i="6"/>
  <c r="B5" i="6"/>
  <c r="B25" i="6"/>
  <c r="B36" i="6"/>
  <c r="B11" i="6"/>
  <c r="B16" i="6"/>
  <c r="B1" i="6"/>
  <c r="B34" i="6"/>
  <c r="B22" i="6"/>
  <c r="B13" i="6"/>
  <c r="B26" i="6"/>
  <c r="D16" i="6"/>
  <c r="B10" i="6"/>
  <c r="C13" i="17"/>
  <c r="C26" i="17"/>
  <c r="B26" i="17"/>
  <c r="B25" i="17"/>
  <c r="B21" i="17"/>
  <c r="C16" i="17"/>
  <c r="B24" i="17"/>
  <c r="B20" i="17"/>
  <c r="B13" i="17"/>
  <c r="B7" i="17"/>
  <c r="B11" i="17"/>
  <c r="B15" i="17"/>
  <c r="B18" i="17"/>
  <c r="B6" i="17"/>
  <c r="B10" i="17"/>
  <c r="B12" i="17"/>
  <c r="B1" i="17"/>
  <c r="B17" i="17"/>
  <c r="B14" i="17"/>
  <c r="B5" i="17"/>
  <c r="B16" i="17"/>
  <c r="B62" i="5"/>
  <c r="D59" i="5"/>
  <c r="E89" i="5"/>
  <c r="B55" i="5"/>
  <c r="B53" i="5"/>
  <c r="B76" i="5"/>
  <c r="C59" i="5"/>
  <c r="B86" i="5"/>
  <c r="E59" i="5"/>
  <c r="B61" i="5"/>
  <c r="B89" i="5"/>
  <c r="B85" i="5"/>
  <c r="B67" i="5"/>
  <c r="B84" i="5"/>
  <c r="B60" i="5"/>
  <c r="B56" i="5"/>
  <c r="B68" i="5"/>
  <c r="B65" i="5"/>
  <c r="B46" i="5"/>
  <c r="C26" i="5"/>
  <c r="B50" i="5"/>
  <c r="B31" i="5"/>
  <c r="D38" i="5"/>
  <c r="B34" i="5"/>
  <c r="B24" i="5"/>
  <c r="E26" i="5"/>
  <c r="F26" i="5"/>
  <c r="B38" i="5"/>
  <c r="B59" i="5" s="1"/>
  <c r="B90" i="35"/>
  <c r="B32" i="5"/>
  <c r="F18" i="35"/>
  <c r="B29" i="5"/>
  <c r="B26" i="5"/>
  <c r="B27" i="5"/>
  <c r="B35" i="5"/>
  <c r="F19" i="35"/>
  <c r="C38" i="5"/>
  <c r="B33" i="5"/>
  <c r="B39" i="5"/>
  <c r="B92" i="5" s="1"/>
  <c r="D26" i="5"/>
  <c r="F21" i="35"/>
  <c r="F20" i="35"/>
  <c r="D15" i="5"/>
  <c r="H7" i="5"/>
  <c r="G6" i="5"/>
  <c r="B15" i="5"/>
  <c r="F6" i="5"/>
  <c r="B5" i="5"/>
  <c r="H6" i="5"/>
  <c r="B1" i="5"/>
  <c r="J6" i="5"/>
  <c r="D7" i="5"/>
  <c r="G7" i="5"/>
  <c r="F7" i="5"/>
  <c r="J7" i="5"/>
  <c r="I6" i="5"/>
  <c r="I7" i="5"/>
  <c r="B7" i="5"/>
  <c r="B93" i="35"/>
  <c r="B16" i="35"/>
  <c r="D16" i="35"/>
  <c r="B10" i="35"/>
  <c r="E16" i="35"/>
  <c r="B11" i="35"/>
  <c r="B48" i="5" s="1"/>
  <c r="B12" i="35"/>
  <c r="B1" i="35"/>
  <c r="C16" i="35"/>
  <c r="F17" i="35"/>
  <c r="B135" i="32"/>
  <c r="D105" i="32"/>
  <c r="D104" i="32"/>
  <c r="F104" i="32"/>
  <c r="D103" i="32"/>
  <c r="E104" i="32"/>
  <c r="F105" i="32"/>
  <c r="F103" i="32"/>
  <c r="C106" i="32"/>
  <c r="E105" i="32"/>
  <c r="E103" i="32"/>
  <c r="E78" i="32"/>
  <c r="E12" i="32"/>
  <c r="E137" i="32" s="1"/>
  <c r="E79" i="32"/>
  <c r="B1" i="32"/>
  <c r="D77" i="32"/>
  <c r="B102" i="32"/>
  <c r="B24" i="32"/>
  <c r="C79" i="32"/>
  <c r="B10" i="32"/>
  <c r="B21" i="32"/>
  <c r="F78" i="32"/>
  <c r="B22" i="32"/>
  <c r="B25" i="32"/>
  <c r="F79" i="32"/>
  <c r="F13" i="32"/>
  <c r="G77" i="32"/>
  <c r="G12" i="32"/>
  <c r="E13" i="32"/>
  <c r="F12" i="32"/>
  <c r="F137" i="32" s="1"/>
  <c r="B76" i="32"/>
  <c r="B5" i="32"/>
  <c r="B28" i="32"/>
  <c r="G11" i="32"/>
  <c r="B8" i="32"/>
  <c r="B23" i="32"/>
  <c r="G13" i="32"/>
  <c r="B19" i="32"/>
  <c r="D11" i="32"/>
  <c r="D136" i="32" s="1"/>
  <c r="B52" i="32"/>
  <c r="D78" i="32"/>
  <c r="D12" i="32"/>
  <c r="D137" i="32" s="1"/>
  <c r="D79" i="32"/>
  <c r="D13" i="32"/>
  <c r="B15" i="20"/>
  <c r="B100" i="32"/>
  <c r="C78" i="32"/>
  <c r="B6" i="32"/>
  <c r="B20" i="32"/>
  <c r="B14" i="20"/>
  <c r="C77" i="32"/>
  <c r="C66" i="28"/>
  <c r="C8" i="28"/>
  <c r="B63" i="28"/>
  <c r="B56" i="28"/>
  <c r="B49" i="28"/>
  <c r="B72" i="28"/>
  <c r="C20" i="28"/>
  <c r="B6" i="28"/>
  <c r="B10" i="28"/>
  <c r="B42" i="28"/>
  <c r="B1" i="28"/>
  <c r="B79" i="28"/>
  <c r="B40" i="28"/>
  <c r="C14" i="28"/>
  <c r="C28" i="28"/>
  <c r="C79" i="28"/>
  <c r="B26" i="28"/>
  <c r="B65" i="28"/>
  <c r="B9" i="28"/>
  <c r="C43" i="28"/>
  <c r="B8" i="28"/>
  <c r="B12" i="28"/>
  <c r="O32" i="21"/>
  <c r="M31" i="21"/>
  <c r="M29" i="21"/>
  <c r="P32" i="21"/>
  <c r="P31" i="21"/>
  <c r="M30" i="21"/>
  <c r="O31" i="21"/>
  <c r="N32" i="21"/>
  <c r="M27" i="21"/>
  <c r="M32" i="21"/>
  <c r="N31" i="21"/>
  <c r="F31" i="21"/>
  <c r="E31" i="21"/>
  <c r="D31" i="21"/>
  <c r="C31" i="21"/>
  <c r="C29" i="21"/>
  <c r="D32" i="21"/>
  <c r="C27" i="21"/>
  <c r="C32" i="21"/>
  <c r="M9" i="21"/>
  <c r="N8" i="21"/>
  <c r="M6" i="21"/>
  <c r="S8" i="21"/>
  <c r="N9" i="21"/>
  <c r="Q8" i="21"/>
  <c r="P9" i="21"/>
  <c r="P8" i="21"/>
  <c r="M8" i="21"/>
  <c r="R8" i="21"/>
  <c r="R6" i="21"/>
  <c r="O9" i="21"/>
  <c r="Q9" i="21"/>
  <c r="O8" i="21"/>
  <c r="M7" i="21"/>
  <c r="B50" i="20"/>
  <c r="L9" i="21"/>
  <c r="E9" i="21"/>
  <c r="E8" i="21"/>
  <c r="B6" i="21"/>
  <c r="I8" i="21"/>
  <c r="G8" i="21"/>
  <c r="K7" i="21"/>
  <c r="C8" i="21"/>
  <c r="B8" i="21"/>
  <c r="B7" i="21"/>
  <c r="K9" i="21"/>
  <c r="D9" i="21"/>
  <c r="D8" i="21"/>
  <c r="B4" i="21"/>
  <c r="H8" i="21"/>
  <c r="F8" i="21"/>
  <c r="L6" i="21"/>
  <c r="C9" i="21"/>
  <c r="L7" i="21"/>
  <c r="J8" i="21"/>
  <c r="B1" i="21"/>
  <c r="L8" i="21"/>
  <c r="K8" i="21"/>
  <c r="B248" i="20"/>
  <c r="B250" i="20"/>
  <c r="B251" i="20"/>
  <c r="AI132" i="20"/>
  <c r="G131" i="20"/>
  <c r="D131" i="20"/>
  <c r="B130" i="20"/>
  <c r="AJ132" i="20"/>
  <c r="E132" i="20"/>
  <c r="C132" i="20"/>
  <c r="D132" i="20"/>
  <c r="B131" i="20"/>
  <c r="F132" i="20"/>
  <c r="AI131" i="20"/>
  <c r="B132" i="20"/>
  <c r="U131" i="20"/>
  <c r="B128" i="20"/>
  <c r="B111" i="20"/>
  <c r="B95" i="20"/>
  <c r="B114" i="20"/>
  <c r="B120" i="20"/>
  <c r="B103" i="20"/>
  <c r="B108" i="20"/>
  <c r="B105" i="20"/>
  <c r="B127" i="20"/>
  <c r="B97" i="20"/>
  <c r="B94" i="20"/>
  <c r="B91" i="20"/>
  <c r="B126" i="20"/>
  <c r="B110" i="20"/>
  <c r="B107" i="20"/>
  <c r="B113" i="20"/>
  <c r="B124" i="20"/>
  <c r="B101" i="20"/>
  <c r="B93" i="20"/>
  <c r="B104" i="20"/>
  <c r="B122" i="20"/>
  <c r="B96" i="20"/>
  <c r="B115" i="20"/>
  <c r="B99" i="20"/>
  <c r="B123" i="20"/>
  <c r="B109" i="20"/>
  <c r="B106" i="20"/>
  <c r="B90" i="20"/>
  <c r="B118" i="20"/>
  <c r="B100" i="20"/>
  <c r="B92" i="20"/>
  <c r="G81" i="20"/>
  <c r="E81" i="20"/>
  <c r="B82" i="20"/>
  <c r="F81" i="20"/>
  <c r="B87" i="20"/>
  <c r="D81" i="20"/>
  <c r="B86" i="20"/>
  <c r="B84" i="20"/>
  <c r="C80" i="20"/>
  <c r="B85" i="20"/>
  <c r="K80" i="20"/>
  <c r="H81" i="20"/>
  <c r="B78" i="20"/>
  <c r="C81" i="20"/>
  <c r="B88" i="20"/>
  <c r="B83" i="20"/>
  <c r="I81" i="20"/>
  <c r="B73" i="20"/>
  <c r="B47" i="20"/>
  <c r="B46" i="20"/>
  <c r="B60" i="20"/>
  <c r="B42" i="20"/>
  <c r="B52" i="20"/>
  <c r="B66" i="20"/>
  <c r="D44" i="20"/>
  <c r="B30" i="5" s="1"/>
  <c r="B69" i="20"/>
  <c r="B40" i="20"/>
  <c r="B44" i="20"/>
  <c r="B48" i="20"/>
  <c r="C43" i="20"/>
  <c r="B45" i="20"/>
  <c r="B68" i="20"/>
  <c r="C44" i="20"/>
  <c r="B28" i="5" s="1"/>
  <c r="B58" i="20"/>
  <c r="E43" i="20"/>
  <c r="B70" i="20"/>
  <c r="B71" i="20"/>
  <c r="B19" i="20"/>
  <c r="B25" i="20"/>
  <c r="B7" i="20"/>
  <c r="C7" i="20"/>
  <c r="C11" i="20"/>
  <c r="B30" i="20"/>
  <c r="B36" i="20"/>
  <c r="B37" i="20" s="1"/>
  <c r="B33" i="20"/>
  <c r="B18" i="20"/>
  <c r="B26" i="20"/>
  <c r="B23" i="20"/>
  <c r="B12" i="20"/>
  <c r="B11" i="20"/>
  <c r="B8" i="20"/>
  <c r="B1" i="20"/>
  <c r="B32" i="20"/>
  <c r="B35" i="20"/>
  <c r="B28" i="20"/>
  <c r="B20" i="20"/>
  <c r="B17" i="20"/>
  <c r="BY14" i="24"/>
  <c r="BX14" i="24"/>
  <c r="AT118" i="24"/>
  <c r="AT120" i="24"/>
  <c r="AT121" i="24"/>
  <c r="AU118" i="24"/>
  <c r="AT125" i="24"/>
  <c r="AU122" i="24"/>
  <c r="AU119" i="24"/>
  <c r="AT122" i="24"/>
  <c r="AT119" i="24"/>
  <c r="AT123" i="24"/>
  <c r="AT15" i="24"/>
  <c r="AT117" i="24"/>
  <c r="AU116" i="24"/>
  <c r="AU124" i="24"/>
  <c r="AU15" i="24"/>
  <c r="AU125" i="24"/>
  <c r="AU123" i="24"/>
  <c r="AU120" i="24"/>
  <c r="AU117" i="24"/>
  <c r="AU121" i="24"/>
  <c r="AT116" i="24"/>
  <c r="AT124" i="24"/>
  <c r="BJ118" i="24"/>
  <c r="BJ121" i="24"/>
  <c r="BI116" i="24"/>
  <c r="BI121" i="24"/>
  <c r="BJ122" i="24"/>
  <c r="BJ123" i="24"/>
  <c r="BJ15" i="24"/>
  <c r="BI117" i="24"/>
  <c r="BI119" i="24"/>
  <c r="BI125" i="24"/>
  <c r="BJ125" i="24"/>
  <c r="BJ117" i="24"/>
  <c r="BJ120" i="24"/>
  <c r="BI118" i="24"/>
  <c r="BI124" i="24"/>
  <c r="BJ119" i="24"/>
  <c r="BI122" i="24"/>
  <c r="BI120" i="24"/>
  <c r="BI15" i="24"/>
  <c r="BJ116" i="24"/>
  <c r="BJ124" i="24"/>
  <c r="BI123" i="24"/>
  <c r="BJ17" i="24"/>
  <c r="BI30" i="24"/>
  <c r="BJ24" i="24"/>
  <c r="BI50" i="24"/>
  <c r="BI56" i="24"/>
  <c r="BI98" i="24"/>
  <c r="BJ27" i="24"/>
  <c r="BJ41" i="24"/>
  <c r="BJ38" i="24"/>
  <c r="BI58" i="24"/>
  <c r="BI64" i="24"/>
  <c r="BI110" i="24"/>
  <c r="BJ22" i="24"/>
  <c r="BJ25" i="24"/>
  <c r="BI96" i="24"/>
  <c r="BI83" i="24"/>
  <c r="BJ16" i="24"/>
  <c r="BI42" i="24"/>
  <c r="BI71" i="24"/>
  <c r="BJ71" i="24"/>
  <c r="BJ115" i="24"/>
  <c r="BI73" i="24"/>
  <c r="BJ51" i="24"/>
  <c r="BJ62" i="24"/>
  <c r="BJ44" i="24"/>
  <c r="BI51" i="24"/>
  <c r="BI85" i="24"/>
  <c r="BJ43" i="24"/>
  <c r="BI94" i="24"/>
  <c r="BJ76" i="24"/>
  <c r="BI102" i="24"/>
  <c r="BJ102" i="24"/>
  <c r="BI87" i="24"/>
  <c r="BI115" i="24"/>
  <c r="BJ60" i="24"/>
  <c r="BI52" i="24"/>
  <c r="BI104" i="24"/>
  <c r="BI27" i="24"/>
  <c r="BJ88" i="24"/>
  <c r="BJ111" i="24"/>
  <c r="BI46" i="24"/>
  <c r="BI114" i="24"/>
  <c r="BJ79" i="24"/>
  <c r="BJ52" i="24"/>
  <c r="BJ18" i="24"/>
  <c r="BI54" i="24"/>
  <c r="BI70" i="24"/>
  <c r="BJ87" i="24"/>
  <c r="BI39" i="24"/>
  <c r="BI89" i="24"/>
  <c r="BI47" i="24"/>
  <c r="BI21" i="24"/>
  <c r="BI95" i="24"/>
  <c r="BI108" i="24"/>
  <c r="BI82" i="24"/>
  <c r="BI38" i="24"/>
  <c r="BJ63" i="24"/>
  <c r="BJ75" i="24"/>
  <c r="BJ92" i="24"/>
  <c r="BI60" i="24"/>
  <c r="BI34" i="24"/>
  <c r="BJ40" i="24"/>
  <c r="BI66" i="24"/>
  <c r="BI99" i="24"/>
  <c r="BI74" i="24"/>
  <c r="BI79" i="24"/>
  <c r="BI103" i="24"/>
  <c r="BJ64" i="24"/>
  <c r="BI49" i="24"/>
  <c r="BJ80" i="24"/>
  <c r="BJ48" i="24"/>
  <c r="BJ72" i="24"/>
  <c r="BJ37" i="24"/>
  <c r="BJ101" i="24"/>
  <c r="BJ67" i="24"/>
  <c r="BI81" i="24"/>
  <c r="BJ83" i="24"/>
  <c r="BJ104" i="24"/>
  <c r="BI16" i="24"/>
  <c r="BJ61" i="24"/>
  <c r="BJ99" i="24"/>
  <c r="BJ26" i="24"/>
  <c r="BJ91" i="24"/>
  <c r="BJ32" i="24"/>
  <c r="BI68" i="24"/>
  <c r="BJ89" i="24"/>
  <c r="BJ59" i="24"/>
  <c r="BJ42" i="24"/>
  <c r="BJ103" i="24"/>
  <c r="BI57" i="24"/>
  <c r="BI40" i="24"/>
  <c r="BI62" i="24"/>
  <c r="BI25" i="24"/>
  <c r="BI78" i="24"/>
  <c r="BI97" i="24"/>
  <c r="BI101" i="24"/>
  <c r="BI17" i="24"/>
  <c r="BJ58" i="24"/>
  <c r="BJ108" i="24"/>
  <c r="BJ69" i="24"/>
  <c r="BJ19" i="24"/>
  <c r="BJ57" i="24"/>
  <c r="BJ112" i="24"/>
  <c r="BI92" i="24"/>
  <c r="BI37" i="24"/>
  <c r="BJ78" i="24"/>
  <c r="BI107" i="24"/>
  <c r="BI90" i="24"/>
  <c r="BJ46" i="24"/>
  <c r="BJ94" i="24"/>
  <c r="BI26" i="24"/>
  <c r="BJ81" i="24"/>
  <c r="BJ66" i="24"/>
  <c r="BI113" i="24"/>
  <c r="BI72" i="24"/>
  <c r="BJ114" i="24"/>
  <c r="BI23" i="24"/>
  <c r="BJ86" i="24"/>
  <c r="BI80" i="24"/>
  <c r="BI59" i="24"/>
  <c r="BI19" i="24"/>
  <c r="BI111" i="24"/>
  <c r="BI18" i="24"/>
  <c r="BI24" i="24"/>
  <c r="BJ98" i="24"/>
  <c r="BJ106" i="24"/>
  <c r="BJ85" i="24"/>
  <c r="BI86" i="24"/>
  <c r="BI84" i="24"/>
  <c r="BJ50" i="24"/>
  <c r="BI106" i="24"/>
  <c r="BJ70" i="24"/>
  <c r="BI20" i="24"/>
  <c r="BJ33" i="24"/>
  <c r="BI91" i="24"/>
  <c r="BJ55" i="24"/>
  <c r="BI45" i="24"/>
  <c r="BJ77" i="24"/>
  <c r="BJ100" i="24"/>
  <c r="BJ35" i="24"/>
  <c r="BI33" i="24"/>
  <c r="BJ21" i="24"/>
  <c r="BI75" i="24"/>
  <c r="BJ113" i="24"/>
  <c r="BI32" i="24"/>
  <c r="BJ74" i="24"/>
  <c r="BJ109" i="24"/>
  <c r="BI36" i="24"/>
  <c r="BI41" i="24"/>
  <c r="BI93" i="24"/>
  <c r="BJ107" i="24"/>
  <c r="BJ82" i="24"/>
  <c r="BI44" i="24"/>
  <c r="BJ90" i="24"/>
  <c r="BJ105" i="24"/>
  <c r="BI109" i="24"/>
  <c r="BI65" i="24"/>
  <c r="BJ39" i="24"/>
  <c r="BJ45" i="24"/>
  <c r="BI69" i="24"/>
  <c r="BI28" i="24"/>
  <c r="BI29" i="24"/>
  <c r="BJ97" i="24"/>
  <c r="BJ110" i="24"/>
  <c r="BI31" i="24"/>
  <c r="BI88" i="24"/>
  <c r="BI55" i="24"/>
  <c r="BI53" i="24"/>
  <c r="BI112" i="24"/>
  <c r="BJ65" i="24"/>
  <c r="BI67" i="24"/>
  <c r="BI105" i="24"/>
  <c r="BJ73" i="24"/>
  <c r="BJ56" i="24"/>
  <c r="BJ31" i="24"/>
  <c r="BJ54" i="24"/>
  <c r="BJ28" i="24"/>
  <c r="BI35" i="24"/>
  <c r="BJ36" i="24"/>
  <c r="BI43" i="24"/>
  <c r="BJ34" i="24"/>
  <c r="BJ93" i="24"/>
  <c r="BI61" i="24"/>
  <c r="BI76" i="24"/>
  <c r="BJ20" i="24"/>
  <c r="BI48" i="24"/>
  <c r="BI77" i="24"/>
  <c r="BJ23" i="24"/>
  <c r="BJ29" i="24"/>
  <c r="BI22" i="24"/>
  <c r="BJ47" i="24"/>
  <c r="BJ53" i="24"/>
  <c r="BJ95" i="24"/>
  <c r="BJ96" i="24"/>
  <c r="BJ84" i="24"/>
  <c r="BJ68" i="24"/>
  <c r="BJ49" i="24"/>
  <c r="BI100" i="24"/>
  <c r="BJ30" i="24"/>
  <c r="BI63" i="24"/>
  <c r="BY118" i="24"/>
  <c r="BY122" i="24"/>
  <c r="BX116" i="24"/>
  <c r="BY124" i="24"/>
  <c r="BX120" i="24"/>
  <c r="BX119" i="24"/>
  <c r="BX121" i="24"/>
  <c r="BX124" i="24"/>
  <c r="BX15" i="24"/>
  <c r="BX123" i="24"/>
  <c r="BY15" i="24"/>
  <c r="BY121" i="24"/>
  <c r="BX122" i="24"/>
  <c r="BX117" i="24"/>
  <c r="BY119" i="24"/>
  <c r="BX118" i="24"/>
  <c r="BY116" i="24"/>
  <c r="BY117" i="24"/>
  <c r="BY123" i="24"/>
  <c r="BX125" i="24"/>
  <c r="BY125" i="24"/>
  <c r="BY120" i="24"/>
  <c r="BX63" i="24"/>
  <c r="BY68" i="24"/>
  <c r="BY108" i="24"/>
  <c r="BY77" i="24"/>
  <c r="BY84" i="24"/>
  <c r="BX89" i="24"/>
  <c r="BX27" i="24"/>
  <c r="BY60" i="24"/>
  <c r="BY89" i="24"/>
  <c r="BY18" i="24"/>
  <c r="BY105" i="24"/>
  <c r="BX83" i="24"/>
  <c r="BX57" i="24"/>
  <c r="BX113" i="24"/>
  <c r="BX102" i="24"/>
  <c r="BX97" i="24"/>
  <c r="BX49" i="24"/>
  <c r="BX16" i="24"/>
  <c r="BY20" i="24"/>
  <c r="BY97" i="24"/>
  <c r="BY80" i="24"/>
  <c r="BY58" i="24"/>
  <c r="BY32" i="24"/>
  <c r="BY61" i="24"/>
  <c r="BY67" i="24"/>
  <c r="BX26" i="24"/>
  <c r="BX84" i="24"/>
  <c r="BY45" i="24"/>
  <c r="BY81" i="24"/>
  <c r="BY16" i="24"/>
  <c r="BY91" i="24"/>
  <c r="BX114" i="24"/>
  <c r="BY35" i="24"/>
  <c r="BX29" i="24"/>
  <c r="BX88" i="24"/>
  <c r="BY24" i="24"/>
  <c r="BY39" i="24"/>
  <c r="BY23" i="24"/>
  <c r="BY100" i="24"/>
  <c r="BY59" i="24"/>
  <c r="BX32" i="24"/>
  <c r="BX111" i="24"/>
  <c r="BY115" i="24"/>
  <c r="BX59" i="24"/>
  <c r="BY78" i="24"/>
  <c r="BX76" i="24"/>
  <c r="BX38" i="24"/>
  <c r="BX66" i="24"/>
  <c r="BY17" i="24"/>
  <c r="BX86" i="24"/>
  <c r="BY86" i="24"/>
  <c r="BY52" i="24"/>
  <c r="BY33" i="24"/>
  <c r="BY43" i="24"/>
  <c r="BX58" i="24"/>
  <c r="BX50" i="24"/>
  <c r="BX28" i="24"/>
  <c r="BY55" i="24"/>
  <c r="BY83" i="24"/>
  <c r="BY25" i="24"/>
  <c r="BY64" i="24"/>
  <c r="BX92" i="24"/>
  <c r="BY56" i="24"/>
  <c r="BX36" i="24"/>
  <c r="BY27" i="24"/>
  <c r="BX23" i="24"/>
  <c r="BX44" i="24"/>
  <c r="BX112" i="24"/>
  <c r="BX78" i="24"/>
  <c r="BX17" i="24"/>
  <c r="BY31" i="24"/>
  <c r="BX79" i="24"/>
  <c r="BX98" i="24"/>
  <c r="BY49" i="24"/>
  <c r="BX69" i="24"/>
  <c r="BX75" i="24"/>
  <c r="BX106" i="24"/>
  <c r="BY37" i="24"/>
  <c r="BY103" i="24"/>
  <c r="BX73" i="24"/>
  <c r="BX41" i="24"/>
  <c r="BX70" i="24"/>
  <c r="BX33" i="24"/>
  <c r="BY90" i="24"/>
  <c r="BX96" i="24"/>
  <c r="BY21" i="24"/>
  <c r="BX74" i="24"/>
  <c r="BX40" i="24"/>
  <c r="BY106" i="24"/>
  <c r="BY50" i="24"/>
  <c r="BX24" i="24"/>
  <c r="BY57" i="24"/>
  <c r="BY114" i="24"/>
  <c r="BY19" i="24"/>
  <c r="BX55" i="24"/>
  <c r="BY79" i="24"/>
  <c r="BY93" i="24"/>
  <c r="BY29" i="24"/>
  <c r="BX42" i="24"/>
  <c r="BX30" i="24"/>
  <c r="BY63" i="24"/>
  <c r="BY92" i="24"/>
  <c r="BY66" i="24"/>
  <c r="BY34" i="24"/>
  <c r="BY94" i="24"/>
  <c r="BX101" i="24"/>
  <c r="BY111" i="24"/>
  <c r="BX48" i="24"/>
  <c r="BY44" i="24"/>
  <c r="BX77" i="24"/>
  <c r="BY98" i="24"/>
  <c r="BX87" i="24"/>
  <c r="BX20" i="24"/>
  <c r="BX80" i="24"/>
  <c r="BX39" i="24"/>
  <c r="BX115" i="24"/>
  <c r="BX65" i="24"/>
  <c r="BX34" i="24"/>
  <c r="BX19" i="24"/>
  <c r="BX72" i="24"/>
  <c r="BX35" i="24"/>
  <c r="BY102" i="24"/>
  <c r="BX67" i="24"/>
  <c r="BY104" i="24"/>
  <c r="BY47" i="24"/>
  <c r="BY88" i="24"/>
  <c r="BY101" i="24"/>
  <c r="BX45" i="24"/>
  <c r="BX56" i="24"/>
  <c r="BY75" i="24"/>
  <c r="BY53" i="24"/>
  <c r="BY51" i="24"/>
  <c r="BX108" i="24"/>
  <c r="BY96" i="24"/>
  <c r="BX109" i="24"/>
  <c r="BY73" i="24"/>
  <c r="BX62" i="24"/>
  <c r="BX81" i="24"/>
  <c r="BX68" i="24"/>
  <c r="BX46" i="24"/>
  <c r="BY36" i="24"/>
  <c r="BY41" i="24"/>
  <c r="BY69" i="24"/>
  <c r="BY95" i="24"/>
  <c r="BX51" i="24"/>
  <c r="BX21" i="24"/>
  <c r="BX90" i="24"/>
  <c r="BX107" i="24"/>
  <c r="BY87" i="24"/>
  <c r="BX47" i="24"/>
  <c r="BX18" i="24"/>
  <c r="BY40" i="24"/>
  <c r="BY74" i="24"/>
  <c r="BX52" i="24"/>
  <c r="BY22" i="24"/>
  <c r="BX22" i="24"/>
  <c r="BX43" i="24"/>
  <c r="BX64" i="24"/>
  <c r="BY109" i="24"/>
  <c r="BX31" i="24"/>
  <c r="BY70" i="24"/>
  <c r="BX91" i="24"/>
  <c r="BY107" i="24"/>
  <c r="BY112" i="24"/>
  <c r="BX104" i="24"/>
  <c r="BY48" i="24"/>
  <c r="BY113" i="24"/>
  <c r="BX105" i="24"/>
  <c r="BX85" i="24"/>
  <c r="BX103" i="24"/>
  <c r="BY38" i="24"/>
  <c r="BY30" i="24"/>
  <c r="BY28" i="24"/>
  <c r="BX71" i="24"/>
  <c r="BX95" i="24"/>
  <c r="BY42" i="24"/>
  <c r="BY54" i="24"/>
  <c r="BY110" i="24"/>
  <c r="BY99" i="24"/>
  <c r="BX93" i="24"/>
  <c r="BY72" i="24"/>
  <c r="BX25" i="24"/>
  <c r="BX61" i="24"/>
  <c r="BY85" i="24"/>
  <c r="BX99" i="24"/>
  <c r="BY26" i="24"/>
  <c r="BX37" i="24"/>
  <c r="BX60" i="24"/>
  <c r="BY65" i="24"/>
  <c r="BX110" i="24"/>
  <c r="BX100" i="24"/>
  <c r="BY46" i="24"/>
  <c r="BX53" i="24"/>
  <c r="BY71" i="24"/>
  <c r="BX94" i="24"/>
  <c r="BY76" i="24"/>
  <c r="BX82" i="24"/>
  <c r="BY82" i="24"/>
  <c r="BY62" i="24"/>
  <c r="BX54" i="24"/>
  <c r="CB13" i="49" l="1"/>
  <c r="BS13" i="49"/>
  <c r="BJ13" i="49"/>
  <c r="BB13" i="49"/>
  <c r="AS13" i="49"/>
  <c r="AK13" i="49"/>
  <c r="AB13" i="49"/>
  <c r="L13" i="49"/>
  <c r="CH13" i="49"/>
  <c r="BY13" i="49"/>
  <c r="BQ13" i="49"/>
  <c r="BH13" i="49"/>
  <c r="AZ13" i="49"/>
  <c r="AQ13" i="49"/>
  <c r="AI13" i="49"/>
  <c r="Y13" i="49"/>
  <c r="S13" i="49"/>
  <c r="J13" i="49"/>
  <c r="CF13" i="49"/>
  <c r="BW13" i="49"/>
  <c r="BO13" i="49"/>
  <c r="BF13" i="49"/>
  <c r="AX13" i="49"/>
  <c r="AO13" i="49"/>
  <c r="AF13" i="49"/>
  <c r="W13" i="49"/>
  <c r="P13" i="49"/>
  <c r="H13" i="49"/>
  <c r="CD13" i="49"/>
  <c r="BU13" i="49"/>
  <c r="BM13" i="49"/>
  <c r="BD13" i="49"/>
  <c r="AU13" i="49"/>
  <c r="AM13" i="49"/>
  <c r="AD13" i="49"/>
  <c r="U13" i="49"/>
  <c r="N13" i="49"/>
  <c r="F13" i="49"/>
  <c r="CA13" i="49"/>
  <c r="BR13" i="49"/>
  <c r="BI13" i="49"/>
  <c r="BA13" i="49"/>
  <c r="AR13" i="49"/>
  <c r="AJ13" i="49"/>
  <c r="AA13" i="49"/>
  <c r="K13" i="49"/>
  <c r="CG13" i="49"/>
  <c r="BX13" i="49"/>
  <c r="BP13" i="49"/>
  <c r="BG13" i="49"/>
  <c r="AY13" i="49"/>
  <c r="AP13" i="49"/>
  <c r="AH13" i="49"/>
  <c r="X13" i="49"/>
  <c r="R13" i="49"/>
  <c r="I13" i="49"/>
  <c r="CE13" i="49"/>
  <c r="BV13" i="49"/>
  <c r="BN13" i="49"/>
  <c r="BE13" i="49"/>
  <c r="AW13" i="49"/>
  <c r="AN13" i="49"/>
  <c r="AE13" i="49"/>
  <c r="V13" i="49"/>
  <c r="O13" i="49"/>
  <c r="G13" i="49"/>
  <c r="AT13" i="49"/>
  <c r="AL13" i="49"/>
  <c r="AC13" i="49"/>
  <c r="T13" i="49"/>
  <c r="CC13" i="49"/>
  <c r="M13" i="49"/>
  <c r="BT13" i="49"/>
  <c r="E13" i="49"/>
  <c r="BL13" i="49"/>
  <c r="BC13" i="49"/>
  <c r="CA13" i="48"/>
  <c r="BR13" i="48"/>
  <c r="BI13" i="48"/>
  <c r="BA13" i="48"/>
  <c r="AR13" i="48"/>
  <c r="AJ13" i="48"/>
  <c r="AA13" i="48"/>
  <c r="K13" i="48"/>
  <c r="CG13" i="48"/>
  <c r="BX13" i="48"/>
  <c r="BP13" i="48"/>
  <c r="BG13" i="48"/>
  <c r="AY13" i="48"/>
  <c r="AP13" i="48"/>
  <c r="AH13" i="48"/>
  <c r="X13" i="48"/>
  <c r="R13" i="48"/>
  <c r="I13" i="48"/>
  <c r="CE13" i="48"/>
  <c r="BV13" i="48"/>
  <c r="BN13" i="48"/>
  <c r="BE13" i="48"/>
  <c r="AW13" i="48"/>
  <c r="AN13" i="48"/>
  <c r="AE13" i="48"/>
  <c r="V13" i="48"/>
  <c r="O13" i="48"/>
  <c r="G13" i="48"/>
  <c r="CC13" i="48"/>
  <c r="BT13" i="48"/>
  <c r="BL13" i="48"/>
  <c r="BC13" i="48"/>
  <c r="AT13" i="48"/>
  <c r="AL13" i="48"/>
  <c r="AC13" i="48"/>
  <c r="T13" i="48"/>
  <c r="M13" i="48"/>
  <c r="E13" i="48"/>
  <c r="CB13" i="48"/>
  <c r="BS13" i="48"/>
  <c r="BJ13" i="48"/>
  <c r="BB13" i="48"/>
  <c r="AS13" i="48"/>
  <c r="AK13" i="48"/>
  <c r="AB13" i="48"/>
  <c r="L13" i="48"/>
  <c r="BM13" i="48"/>
  <c r="AU13" i="48"/>
  <c r="AM13" i="48"/>
  <c r="U13" i="48"/>
  <c r="F13" i="48"/>
  <c r="CD13" i="48"/>
  <c r="BU13" i="48"/>
  <c r="BD13" i="48"/>
  <c r="AD13" i="48"/>
  <c r="N13" i="48"/>
  <c r="CH13" i="48"/>
  <c r="BY13" i="48"/>
  <c r="BQ13" i="48"/>
  <c r="BH13" i="48"/>
  <c r="AZ13" i="48"/>
  <c r="AQ13" i="48"/>
  <c r="AI13" i="48"/>
  <c r="Y13" i="48"/>
  <c r="S13" i="48"/>
  <c r="J13" i="48"/>
  <c r="CF13" i="48"/>
  <c r="BW13" i="48"/>
  <c r="BO13" i="48"/>
  <c r="BF13" i="48"/>
  <c r="AX13" i="48"/>
  <c r="AO13" i="48"/>
  <c r="AF13" i="48"/>
  <c r="W13" i="48"/>
  <c r="P13" i="48"/>
  <c r="H13" i="48"/>
  <c r="CA13" i="47"/>
  <c r="BR13" i="47"/>
  <c r="BI13" i="47"/>
  <c r="BA13" i="47"/>
  <c r="AR13" i="47"/>
  <c r="AJ13" i="47"/>
  <c r="AA13" i="47"/>
  <c r="K13" i="47"/>
  <c r="BL13" i="47"/>
  <c r="M13" i="47"/>
  <c r="CG13" i="47"/>
  <c r="BX13" i="47"/>
  <c r="BP13" i="47"/>
  <c r="BG13" i="47"/>
  <c r="AY13" i="47"/>
  <c r="AP13" i="47"/>
  <c r="AH13" i="47"/>
  <c r="X13" i="47"/>
  <c r="R13" i="47"/>
  <c r="I13" i="47"/>
  <c r="CC13" i="47"/>
  <c r="BC13" i="47"/>
  <c r="T13" i="47"/>
  <c r="AL13" i="47"/>
  <c r="CE13" i="47"/>
  <c r="BV13" i="47"/>
  <c r="BN13" i="47"/>
  <c r="BE13" i="47"/>
  <c r="AW13" i="47"/>
  <c r="AN13" i="47"/>
  <c r="AE13" i="47"/>
  <c r="V13" i="47"/>
  <c r="O13" i="47"/>
  <c r="G13" i="47"/>
  <c r="BT13" i="47"/>
  <c r="AC13" i="47"/>
  <c r="E13" i="47"/>
  <c r="AT13" i="47"/>
  <c r="CB13" i="47"/>
  <c r="BS13" i="47"/>
  <c r="BJ13" i="47"/>
  <c r="BB13" i="47"/>
  <c r="AS13" i="47"/>
  <c r="AK13" i="47"/>
  <c r="AB13" i="47"/>
  <c r="L13" i="47"/>
  <c r="CH13" i="47"/>
  <c r="BY13" i="47"/>
  <c r="BQ13" i="47"/>
  <c r="BH13" i="47"/>
  <c r="AZ13" i="47"/>
  <c r="AQ13" i="47"/>
  <c r="AI13" i="47"/>
  <c r="Y13" i="47"/>
  <c r="S13" i="47"/>
  <c r="J13" i="47"/>
  <c r="CF13" i="47"/>
  <c r="BW13" i="47"/>
  <c r="BO13" i="47"/>
  <c r="BF13" i="47"/>
  <c r="AX13" i="47"/>
  <c r="AO13" i="47"/>
  <c r="AF13" i="47"/>
  <c r="W13" i="47"/>
  <c r="P13" i="47"/>
  <c r="H13" i="47"/>
  <c r="CD13" i="47"/>
  <c r="BU13" i="47"/>
  <c r="BM13" i="47"/>
  <c r="BD13" i="47"/>
  <c r="AU13" i="47"/>
  <c r="AM13" i="47"/>
  <c r="AD13" i="47"/>
  <c r="U13" i="47"/>
  <c r="N13" i="47"/>
  <c r="F13" i="47"/>
  <c r="CE13" i="46"/>
  <c r="BV13" i="46"/>
  <c r="BN13" i="46"/>
  <c r="BE13" i="46"/>
  <c r="AW13" i="46"/>
  <c r="AN13" i="46"/>
  <c r="AE13" i="46"/>
  <c r="V13" i="46"/>
  <c r="O13" i="46"/>
  <c r="G13" i="46"/>
  <c r="CA13" i="46"/>
  <c r="BR13" i="46"/>
  <c r="BI13" i="46"/>
  <c r="BA13" i="46"/>
  <c r="AR13" i="46"/>
  <c r="AJ13" i="46"/>
  <c r="AA13" i="46"/>
  <c r="K13" i="46"/>
  <c r="AT13" i="46"/>
  <c r="AH13" i="46"/>
  <c r="BL13" i="46"/>
  <c r="BT13" i="46"/>
  <c r="BG13" i="46"/>
  <c r="E13" i="46"/>
  <c r="CG13" i="46"/>
  <c r="AC13" i="46"/>
  <c r="R13" i="46"/>
  <c r="BC13" i="46"/>
  <c r="AP13" i="46"/>
  <c r="AY13" i="46"/>
  <c r="CC13" i="46"/>
  <c r="BP13" i="46"/>
  <c r="M13" i="46"/>
  <c r="AL13" i="46"/>
  <c r="X13" i="46"/>
  <c r="BX13" i="46"/>
  <c r="T13" i="46"/>
  <c r="I13" i="46"/>
  <c r="CF13" i="46"/>
  <c r="BW13" i="46"/>
  <c r="BO13" i="46"/>
  <c r="BF13" i="46"/>
  <c r="AX13" i="46"/>
  <c r="AO13" i="46"/>
  <c r="AF13" i="46"/>
  <c r="W13" i="46"/>
  <c r="P13" i="46"/>
  <c r="H13" i="46"/>
  <c r="BU13" i="46"/>
  <c r="BH13" i="46"/>
  <c r="F13" i="46"/>
  <c r="J13" i="46"/>
  <c r="CH13" i="46"/>
  <c r="AS13" i="46"/>
  <c r="AD13" i="46"/>
  <c r="S13" i="46"/>
  <c r="BS13" i="46"/>
  <c r="BD13" i="46"/>
  <c r="AQ13" i="46"/>
  <c r="CD13" i="46"/>
  <c r="BQ13" i="46"/>
  <c r="AB13" i="46"/>
  <c r="N13" i="46"/>
  <c r="BB13" i="46"/>
  <c r="AM13" i="46"/>
  <c r="Y13" i="46"/>
  <c r="BY13" i="46"/>
  <c r="U13" i="46"/>
  <c r="CB13" i="46"/>
  <c r="BM13" i="46"/>
  <c r="AZ13" i="46"/>
  <c r="L13" i="46"/>
  <c r="BJ13" i="46"/>
  <c r="AU13" i="46"/>
  <c r="AI13" i="46"/>
  <c r="AK13" i="46"/>
  <c r="CF13" i="45"/>
  <c r="BW13" i="45"/>
  <c r="BO13" i="45"/>
  <c r="BF13" i="45"/>
  <c r="AX13" i="45"/>
  <c r="AO13" i="45"/>
  <c r="AF13" i="45"/>
  <c r="W13" i="45"/>
  <c r="P13" i="45"/>
  <c r="H13" i="45"/>
  <c r="BY13" i="45"/>
  <c r="CD13" i="45"/>
  <c r="BU13" i="45"/>
  <c r="BM13" i="45"/>
  <c r="BD13" i="45"/>
  <c r="AU13" i="45"/>
  <c r="AM13" i="45"/>
  <c r="AD13" i="45"/>
  <c r="U13" i="45"/>
  <c r="N13" i="45"/>
  <c r="F13" i="45"/>
  <c r="CH13" i="45"/>
  <c r="BH13" i="45"/>
  <c r="AZ13" i="45"/>
  <c r="AI13" i="45"/>
  <c r="J13" i="45"/>
  <c r="CB13" i="45"/>
  <c r="BS13" i="45"/>
  <c r="BJ13" i="45"/>
  <c r="BB13" i="45"/>
  <c r="AS13" i="45"/>
  <c r="AK13" i="45"/>
  <c r="AB13" i="45"/>
  <c r="L13" i="45"/>
  <c r="S13" i="45"/>
  <c r="BQ13" i="45"/>
  <c r="AQ13" i="45"/>
  <c r="Y13" i="45"/>
  <c r="CE13" i="45"/>
  <c r="BV13" i="45"/>
  <c r="BN13" i="45"/>
  <c r="BE13" i="45"/>
  <c r="AW13" i="45"/>
  <c r="AN13" i="45"/>
  <c r="AE13" i="45"/>
  <c r="V13" i="45"/>
  <c r="O13" i="45"/>
  <c r="G13" i="45"/>
  <c r="CC13" i="45"/>
  <c r="BT13" i="45"/>
  <c r="BL13" i="45"/>
  <c r="BC13" i="45"/>
  <c r="AT13" i="45"/>
  <c r="AL13" i="45"/>
  <c r="AC13" i="45"/>
  <c r="T13" i="45"/>
  <c r="M13" i="45"/>
  <c r="E13" i="45"/>
  <c r="CA13" i="45"/>
  <c r="BR13" i="45"/>
  <c r="BI13" i="45"/>
  <c r="BA13" i="45"/>
  <c r="AR13" i="45"/>
  <c r="AJ13" i="45"/>
  <c r="AA13" i="45"/>
  <c r="K13" i="45"/>
  <c r="CG13" i="45"/>
  <c r="BX13" i="45"/>
  <c r="BP13" i="45"/>
  <c r="BG13" i="45"/>
  <c r="AY13" i="45"/>
  <c r="AP13" i="45"/>
  <c r="AH13" i="45"/>
  <c r="X13" i="45"/>
  <c r="R13" i="45"/>
  <c r="I13" i="45"/>
  <c r="CA13" i="44"/>
  <c r="BI13" i="44"/>
  <c r="AR13" i="44"/>
  <c r="AJ13" i="44"/>
  <c r="K13" i="44"/>
  <c r="CG13" i="44"/>
  <c r="BX13" i="44"/>
  <c r="BP13" i="44"/>
  <c r="BG13" i="44"/>
  <c r="AY13" i="44"/>
  <c r="AP13" i="44"/>
  <c r="AH13" i="44"/>
  <c r="X13" i="44"/>
  <c r="R13" i="44"/>
  <c r="I13" i="44"/>
  <c r="CE13" i="44"/>
  <c r="BV13" i="44"/>
  <c r="BN13" i="44"/>
  <c r="BE13" i="44"/>
  <c r="AW13" i="44"/>
  <c r="AN13" i="44"/>
  <c r="AE13" i="44"/>
  <c r="V13" i="44"/>
  <c r="O13" i="44"/>
  <c r="G13" i="44"/>
  <c r="BR13" i="44"/>
  <c r="CC13" i="44"/>
  <c r="BT13" i="44"/>
  <c r="BL13" i="44"/>
  <c r="BC13" i="44"/>
  <c r="AT13" i="44"/>
  <c r="AL13" i="44"/>
  <c r="AC13" i="44"/>
  <c r="T13" i="44"/>
  <c r="M13" i="44"/>
  <c r="E13" i="44"/>
  <c r="BA13" i="44"/>
  <c r="AA13" i="44"/>
  <c r="CH13" i="44"/>
  <c r="BY13" i="44"/>
  <c r="BQ13" i="44"/>
  <c r="BH13" i="44"/>
  <c r="AZ13" i="44"/>
  <c r="AQ13" i="44"/>
  <c r="AI13" i="44"/>
  <c r="Y13" i="44"/>
  <c r="S13" i="44"/>
  <c r="J13" i="44"/>
  <c r="CF13" i="44"/>
  <c r="BW13" i="44"/>
  <c r="BO13" i="44"/>
  <c r="BF13" i="44"/>
  <c r="AX13" i="44"/>
  <c r="AO13" i="44"/>
  <c r="AF13" i="44"/>
  <c r="W13" i="44"/>
  <c r="P13" i="44"/>
  <c r="H13" i="44"/>
  <c r="CD13" i="44"/>
  <c r="BU13" i="44"/>
  <c r="BM13" i="44"/>
  <c r="BD13" i="44"/>
  <c r="AU13" i="44"/>
  <c r="AM13" i="44"/>
  <c r="AD13" i="44"/>
  <c r="U13" i="44"/>
  <c r="N13" i="44"/>
  <c r="F13" i="44"/>
  <c r="CB13" i="44"/>
  <c r="BS13" i="44"/>
  <c r="BJ13" i="44"/>
  <c r="BB13" i="44"/>
  <c r="AS13" i="44"/>
  <c r="AK13" i="44"/>
  <c r="AB13" i="44"/>
  <c r="L13" i="44"/>
  <c r="CC13" i="43"/>
  <c r="BT13" i="43"/>
  <c r="BL13" i="43"/>
  <c r="BC13" i="43"/>
  <c r="AT13" i="43"/>
  <c r="AL13" i="43"/>
  <c r="AC13" i="43"/>
  <c r="T13" i="43"/>
  <c r="M13" i="43"/>
  <c r="E13" i="43"/>
  <c r="CA13" i="43"/>
  <c r="BR13" i="43"/>
  <c r="BI13" i="43"/>
  <c r="BA13" i="43"/>
  <c r="AR13" i="43"/>
  <c r="AJ13" i="43"/>
  <c r="AA13" i="43"/>
  <c r="K13" i="43"/>
  <c r="CG13" i="43"/>
  <c r="BX13" i="43"/>
  <c r="BP13" i="43"/>
  <c r="BG13" i="43"/>
  <c r="AY13" i="43"/>
  <c r="BE13" i="43"/>
  <c r="AE13" i="43"/>
  <c r="I13" i="43"/>
  <c r="G13" i="43"/>
  <c r="O13" i="43"/>
  <c r="CE13" i="43"/>
  <c r="AW13" i="43"/>
  <c r="X13" i="43"/>
  <c r="BN13" i="43"/>
  <c r="V13" i="43"/>
  <c r="BV13" i="43"/>
  <c r="AP13" i="43"/>
  <c r="AN13" i="43"/>
  <c r="R13" i="43"/>
  <c r="AH13" i="43"/>
  <c r="CB13" i="43"/>
  <c r="BS13" i="43"/>
  <c r="BJ13" i="43"/>
  <c r="BB13" i="43"/>
  <c r="AS13" i="43"/>
  <c r="AK13" i="43"/>
  <c r="AB13" i="43"/>
  <c r="L13" i="43"/>
  <c r="CH13" i="43"/>
  <c r="BY13" i="43"/>
  <c r="BQ13" i="43"/>
  <c r="BH13" i="43"/>
  <c r="AZ13" i="43"/>
  <c r="AQ13" i="43"/>
  <c r="AI13" i="43"/>
  <c r="Y13" i="43"/>
  <c r="S13" i="43"/>
  <c r="J13" i="43"/>
  <c r="CF13" i="43"/>
  <c r="BW13" i="43"/>
  <c r="BO13" i="43"/>
  <c r="BF13" i="43"/>
  <c r="AX13" i="43"/>
  <c r="AO13" i="43"/>
  <c r="AF13" i="43"/>
  <c r="W13" i="43"/>
  <c r="P13" i="43"/>
  <c r="H13" i="43"/>
  <c r="AM13" i="43"/>
  <c r="BD13" i="43"/>
  <c r="AD13" i="43"/>
  <c r="F13" i="43"/>
  <c r="CD13" i="43"/>
  <c r="AU13" i="43"/>
  <c r="U13" i="43"/>
  <c r="BU13" i="43"/>
  <c r="BM13" i="43"/>
  <c r="N13" i="43"/>
  <c r="CC13" i="42"/>
  <c r="BT13" i="42"/>
  <c r="BL13" i="42"/>
  <c r="BC13" i="42"/>
  <c r="AT13" i="42"/>
  <c r="AL13" i="42"/>
  <c r="AC13" i="42"/>
  <c r="T13" i="42"/>
  <c r="M13" i="42"/>
  <c r="E13" i="42"/>
  <c r="CA13" i="42"/>
  <c r="BR13" i="42"/>
  <c r="BI13" i="42"/>
  <c r="BA13" i="42"/>
  <c r="AR13" i="42"/>
  <c r="AJ13" i="42"/>
  <c r="AA13" i="42"/>
  <c r="K13" i="42"/>
  <c r="CG13" i="42"/>
  <c r="BX13" i="42"/>
  <c r="BP13" i="42"/>
  <c r="BG13" i="42"/>
  <c r="AY13" i="42"/>
  <c r="AP13" i="42"/>
  <c r="AH13" i="42"/>
  <c r="X13" i="42"/>
  <c r="R13" i="42"/>
  <c r="I13" i="42"/>
  <c r="CE13" i="42"/>
  <c r="BV13" i="42"/>
  <c r="BN13" i="42"/>
  <c r="BE13" i="42"/>
  <c r="AW13" i="42"/>
  <c r="AN13" i="42"/>
  <c r="AE13" i="42"/>
  <c r="V13" i="42"/>
  <c r="O13" i="42"/>
  <c r="G13" i="42"/>
  <c r="CD13" i="42"/>
  <c r="BU13" i="42"/>
  <c r="BM13" i="42"/>
  <c r="BD13" i="42"/>
  <c r="AU13" i="42"/>
  <c r="AM13" i="42"/>
  <c r="AD13" i="42"/>
  <c r="U13" i="42"/>
  <c r="N13" i="42"/>
  <c r="F13" i="42"/>
  <c r="BO13" i="42"/>
  <c r="AF13" i="42"/>
  <c r="CB13" i="42"/>
  <c r="BS13" i="42"/>
  <c r="BJ13" i="42"/>
  <c r="BB13" i="42"/>
  <c r="AS13" i="42"/>
  <c r="AK13" i="42"/>
  <c r="AB13" i="42"/>
  <c r="L13" i="42"/>
  <c r="CH13" i="42"/>
  <c r="BY13" i="42"/>
  <c r="BQ13" i="42"/>
  <c r="BH13" i="42"/>
  <c r="AZ13" i="42"/>
  <c r="AQ13" i="42"/>
  <c r="AI13" i="42"/>
  <c r="Y13" i="42"/>
  <c r="S13" i="42"/>
  <c r="J13" i="42"/>
  <c r="BF13" i="42"/>
  <c r="P13" i="42"/>
  <c r="BW13" i="42"/>
  <c r="AX13" i="42"/>
  <c r="AO13" i="42"/>
  <c r="H13" i="42"/>
  <c r="CF13" i="42"/>
  <c r="W13" i="42"/>
  <c r="CE13" i="41"/>
  <c r="BV13" i="41"/>
  <c r="BN13" i="41"/>
  <c r="BE13" i="41"/>
  <c r="AW13" i="41"/>
  <c r="AN13" i="41"/>
  <c r="AE13" i="41"/>
  <c r="V13" i="41"/>
  <c r="O13" i="41"/>
  <c r="G13" i="41"/>
  <c r="CC13" i="41"/>
  <c r="BT13" i="41"/>
  <c r="BL13" i="41"/>
  <c r="BC13" i="41"/>
  <c r="AT13" i="41"/>
  <c r="AL13" i="41"/>
  <c r="AC13" i="41"/>
  <c r="T13" i="41"/>
  <c r="M13" i="41"/>
  <c r="E13" i="41"/>
  <c r="CA13" i="41"/>
  <c r="BR13" i="41"/>
  <c r="BI13" i="41"/>
  <c r="BA13" i="41"/>
  <c r="AR13" i="41"/>
  <c r="AJ13" i="41"/>
  <c r="AA13" i="41"/>
  <c r="K13" i="41"/>
  <c r="AY13" i="41"/>
  <c r="R13" i="41"/>
  <c r="CG13" i="41"/>
  <c r="AP13" i="41"/>
  <c r="I13" i="41"/>
  <c r="BX13" i="41"/>
  <c r="BP13" i="41"/>
  <c r="AH13" i="41"/>
  <c r="BG13" i="41"/>
  <c r="X13" i="41"/>
  <c r="CD13" i="41"/>
  <c r="BU13" i="41"/>
  <c r="BM13" i="41"/>
  <c r="BD13" i="41"/>
  <c r="AU13" i="41"/>
  <c r="AM13" i="41"/>
  <c r="AD13" i="41"/>
  <c r="U13" i="41"/>
  <c r="N13" i="41"/>
  <c r="F13" i="41"/>
  <c r="CB13" i="41"/>
  <c r="BS13" i="41"/>
  <c r="BJ13" i="41"/>
  <c r="BB13" i="41"/>
  <c r="AS13" i="41"/>
  <c r="AK13" i="41"/>
  <c r="AB13" i="41"/>
  <c r="L13" i="41"/>
  <c r="CH13" i="41"/>
  <c r="BY13" i="41"/>
  <c r="BQ13" i="41"/>
  <c r="CF13" i="41"/>
  <c r="BW13" i="41"/>
  <c r="BO13" i="41"/>
  <c r="BF13" i="41"/>
  <c r="AX13" i="41"/>
  <c r="AO13" i="41"/>
  <c r="AF13" i="41"/>
  <c r="W13" i="41"/>
  <c r="P13" i="41"/>
  <c r="H13" i="41"/>
  <c r="AQ13" i="41"/>
  <c r="J13" i="41"/>
  <c r="AI13" i="41"/>
  <c r="BH13" i="41"/>
  <c r="Y13" i="41"/>
  <c r="AZ13" i="41"/>
  <c r="S13" i="41"/>
  <c r="CG13" i="40"/>
  <c r="BX13" i="40"/>
  <c r="BP13" i="40"/>
  <c r="BG13" i="40"/>
  <c r="AY13" i="40"/>
  <c r="AP13" i="40"/>
  <c r="AH13" i="40"/>
  <c r="X13" i="40"/>
  <c r="R13" i="40"/>
  <c r="I13" i="40"/>
  <c r="CE13" i="40"/>
  <c r="BV13" i="40"/>
  <c r="BN13" i="40"/>
  <c r="BE13" i="40"/>
  <c r="AW13" i="40"/>
  <c r="AN13" i="40"/>
  <c r="AE13" i="40"/>
  <c r="V13" i="40"/>
  <c r="O13" i="40"/>
  <c r="G13" i="40"/>
  <c r="CC13" i="40"/>
  <c r="BT13" i="40"/>
  <c r="BL13" i="40"/>
  <c r="BC13" i="40"/>
  <c r="AT13" i="40"/>
  <c r="AL13" i="40"/>
  <c r="AC13" i="40"/>
  <c r="T13" i="40"/>
  <c r="M13" i="40"/>
  <c r="E13" i="40"/>
  <c r="CA13" i="40"/>
  <c r="BR13" i="40"/>
  <c r="BI13" i="40"/>
  <c r="BA13" i="40"/>
  <c r="AR13" i="40"/>
  <c r="AJ13" i="40"/>
  <c r="AA13" i="40"/>
  <c r="K13" i="40"/>
  <c r="CH13" i="40"/>
  <c r="BY13" i="40"/>
  <c r="BQ13" i="40"/>
  <c r="BH13" i="40"/>
  <c r="AZ13" i="40"/>
  <c r="AQ13" i="40"/>
  <c r="AI13" i="40"/>
  <c r="Y13" i="40"/>
  <c r="S13" i="40"/>
  <c r="J13" i="40"/>
  <c r="CF13" i="40"/>
  <c r="BW13" i="40"/>
  <c r="BO13" i="40"/>
  <c r="BF13" i="40"/>
  <c r="AX13" i="40"/>
  <c r="AO13" i="40"/>
  <c r="AF13" i="40"/>
  <c r="W13" i="40"/>
  <c r="P13" i="40"/>
  <c r="H13" i="40"/>
  <c r="CD13" i="40"/>
  <c r="BU13" i="40"/>
  <c r="BM13" i="40"/>
  <c r="BD13" i="40"/>
  <c r="AU13" i="40"/>
  <c r="AM13" i="40"/>
  <c r="AD13" i="40"/>
  <c r="U13" i="40"/>
  <c r="N13" i="40"/>
  <c r="F13" i="40"/>
  <c r="BB13" i="40"/>
  <c r="AS13" i="40"/>
  <c r="AK13" i="40"/>
  <c r="BJ13" i="40"/>
  <c r="AB13" i="40"/>
  <c r="CB13" i="40"/>
  <c r="L13" i="40"/>
  <c r="BS13" i="40"/>
  <c r="CG13" i="39"/>
  <c r="BX13" i="39"/>
  <c r="BP13" i="39"/>
  <c r="BG13" i="39"/>
  <c r="AY13" i="39"/>
  <c r="AP13" i="39"/>
  <c r="BN13" i="39"/>
  <c r="BC13" i="39"/>
  <c r="BA13" i="39"/>
  <c r="AE13" i="39"/>
  <c r="V13" i="39"/>
  <c r="O13" i="39"/>
  <c r="G13" i="39"/>
  <c r="BV13" i="39"/>
  <c r="BL13" i="39"/>
  <c r="AN13" i="39"/>
  <c r="BI13" i="39"/>
  <c r="AC13" i="39"/>
  <c r="T13" i="39"/>
  <c r="M13" i="39"/>
  <c r="E13" i="39"/>
  <c r="CE13" i="39"/>
  <c r="BT13" i="39"/>
  <c r="AW13" i="39"/>
  <c r="AL13" i="39"/>
  <c r="BR13" i="39"/>
  <c r="AJ13" i="39"/>
  <c r="AA13" i="39"/>
  <c r="K13" i="39"/>
  <c r="CA13" i="39"/>
  <c r="AR13" i="39"/>
  <c r="AH13" i="39"/>
  <c r="X13" i="39"/>
  <c r="R13" i="39"/>
  <c r="I13" i="39"/>
  <c r="BE13" i="39"/>
  <c r="AT13" i="39"/>
  <c r="CC13" i="39"/>
  <c r="CB13" i="39"/>
  <c r="BS13" i="39"/>
  <c r="BJ13" i="39"/>
  <c r="BB13" i="39"/>
  <c r="AS13" i="39"/>
  <c r="AK13" i="39"/>
  <c r="CH13" i="39"/>
  <c r="BY13" i="39"/>
  <c r="AQ13" i="39"/>
  <c r="AF13" i="39"/>
  <c r="W13" i="39"/>
  <c r="P13" i="39"/>
  <c r="H13" i="39"/>
  <c r="BW13" i="39"/>
  <c r="BM13" i="39"/>
  <c r="AO13" i="39"/>
  <c r="AZ13" i="39"/>
  <c r="AD13" i="39"/>
  <c r="U13" i="39"/>
  <c r="N13" i="39"/>
  <c r="F13" i="39"/>
  <c r="CF13" i="39"/>
  <c r="BU13" i="39"/>
  <c r="AX13" i="39"/>
  <c r="AM13" i="39"/>
  <c r="BH13" i="39"/>
  <c r="AB13" i="39"/>
  <c r="L13" i="39"/>
  <c r="CD13" i="39"/>
  <c r="BF13" i="39"/>
  <c r="AU13" i="39"/>
  <c r="BO13" i="39"/>
  <c r="BD13" i="39"/>
  <c r="AI13" i="39"/>
  <c r="Y13" i="39"/>
  <c r="S13" i="39"/>
  <c r="J13" i="39"/>
  <c r="BQ13" i="39"/>
  <c r="CA13" i="38"/>
  <c r="BR13" i="38"/>
  <c r="BI13" i="38"/>
  <c r="BA13" i="38"/>
  <c r="AR13" i="38"/>
  <c r="AJ13" i="38"/>
  <c r="AA13" i="38"/>
  <c r="K13" i="38"/>
  <c r="CE13" i="38"/>
  <c r="BV13" i="38"/>
  <c r="BN13" i="38"/>
  <c r="BE13" i="38"/>
  <c r="AW13" i="38"/>
  <c r="AN13" i="38"/>
  <c r="AE13" i="38"/>
  <c r="V13" i="38"/>
  <c r="O13" i="38"/>
  <c r="G13" i="38"/>
  <c r="BT13" i="38"/>
  <c r="AL13" i="38"/>
  <c r="E13" i="38"/>
  <c r="BG13" i="38"/>
  <c r="X13" i="38"/>
  <c r="CC13" i="38"/>
  <c r="AT13" i="38"/>
  <c r="M13" i="38"/>
  <c r="BP13" i="38"/>
  <c r="AH13" i="38"/>
  <c r="BC13" i="38"/>
  <c r="T13" i="38"/>
  <c r="BX13" i="38"/>
  <c r="AP13" i="38"/>
  <c r="I13" i="38"/>
  <c r="CG13" i="38"/>
  <c r="AY13" i="38"/>
  <c r="R13" i="38"/>
  <c r="AC13" i="38"/>
  <c r="BL13" i="38"/>
  <c r="CF13" i="38"/>
  <c r="BH13" i="38"/>
  <c r="AX13" i="38"/>
  <c r="Y13" i="38"/>
  <c r="P13" i="38"/>
  <c r="CD13" i="38"/>
  <c r="BS13" i="38"/>
  <c r="AU13" i="38"/>
  <c r="AK13" i="38"/>
  <c r="N13" i="38"/>
  <c r="BQ13" i="38"/>
  <c r="BF13" i="38"/>
  <c r="AI13" i="38"/>
  <c r="W13" i="38"/>
  <c r="CB13" i="38"/>
  <c r="BD13" i="38"/>
  <c r="AS13" i="38"/>
  <c r="U13" i="38"/>
  <c r="L13" i="38"/>
  <c r="BY13" i="38"/>
  <c r="BO13" i="38"/>
  <c r="AQ13" i="38"/>
  <c r="AF13" i="38"/>
  <c r="J13" i="38"/>
  <c r="BM13" i="38"/>
  <c r="BB13" i="38"/>
  <c r="AD13" i="38"/>
  <c r="BU13" i="38"/>
  <c r="BJ13" i="38"/>
  <c r="AM13" i="38"/>
  <c r="AB13" i="38"/>
  <c r="F13" i="38"/>
  <c r="AO13" i="38"/>
  <c r="AZ13" i="38"/>
  <c r="S13" i="38"/>
  <c r="H13" i="38"/>
  <c r="CH13" i="38"/>
  <c r="BW13" i="38"/>
  <c r="CA13" i="37"/>
  <c r="BR13" i="37"/>
  <c r="BI13" i="37"/>
  <c r="BA13" i="37"/>
  <c r="AR13" i="37"/>
  <c r="AJ13" i="37"/>
  <c r="AA13" i="37"/>
  <c r="K13" i="37"/>
  <c r="CE13" i="37"/>
  <c r="AW13" i="37"/>
  <c r="AN13" i="37"/>
  <c r="O13" i="37"/>
  <c r="CC13" i="37"/>
  <c r="AL13" i="37"/>
  <c r="BT13" i="37"/>
  <c r="E13" i="37"/>
  <c r="CG13" i="37"/>
  <c r="BX13" i="37"/>
  <c r="BP13" i="37"/>
  <c r="BG13" i="37"/>
  <c r="AY13" i="37"/>
  <c r="AP13" i="37"/>
  <c r="AH13" i="37"/>
  <c r="X13" i="37"/>
  <c r="R13" i="37"/>
  <c r="I13" i="37"/>
  <c r="BV13" i="37"/>
  <c r="BE13" i="37"/>
  <c r="AE13" i="37"/>
  <c r="G13" i="37"/>
  <c r="BC13" i="37"/>
  <c r="T13" i="37"/>
  <c r="BN13" i="37"/>
  <c r="V13" i="37"/>
  <c r="AC13" i="37"/>
  <c r="BL13" i="37"/>
  <c r="AT13" i="37"/>
  <c r="M13" i="37"/>
  <c r="CH13" i="37"/>
  <c r="BY13" i="37"/>
  <c r="BQ13" i="37"/>
  <c r="BH13" i="37"/>
  <c r="AZ13" i="37"/>
  <c r="AQ13" i="37"/>
  <c r="AI13" i="37"/>
  <c r="Y13" i="37"/>
  <c r="S13" i="37"/>
  <c r="J13" i="37"/>
  <c r="CF13" i="37"/>
  <c r="BW13" i="37"/>
  <c r="BO13" i="37"/>
  <c r="BF13" i="37"/>
  <c r="AX13" i="37"/>
  <c r="AO13" i="37"/>
  <c r="AF13" i="37"/>
  <c r="W13" i="37"/>
  <c r="P13" i="37"/>
  <c r="H13" i="37"/>
  <c r="CD13" i="37"/>
  <c r="BU13" i="37"/>
  <c r="BM13" i="37"/>
  <c r="BD13" i="37"/>
  <c r="AU13" i="37"/>
  <c r="AM13" i="37"/>
  <c r="AD13" i="37"/>
  <c r="U13" i="37"/>
  <c r="N13" i="37"/>
  <c r="F13" i="37"/>
  <c r="BS13" i="37"/>
  <c r="BJ13" i="37"/>
  <c r="AB13" i="37"/>
  <c r="BB13" i="37"/>
  <c r="AK13" i="37"/>
  <c r="AS13" i="37"/>
  <c r="L13" i="37"/>
  <c r="CB13" i="37"/>
  <c r="CD13" i="36"/>
  <c r="BU13" i="36"/>
  <c r="BM13" i="36"/>
  <c r="BD13" i="36"/>
  <c r="AU13" i="36"/>
  <c r="AM13" i="36"/>
  <c r="AD13" i="36"/>
  <c r="U13" i="36"/>
  <c r="N13" i="36"/>
  <c r="F13" i="36"/>
  <c r="CB13" i="36"/>
  <c r="BS13" i="36"/>
  <c r="BJ13" i="36"/>
  <c r="BB13" i="36"/>
  <c r="AS13" i="36"/>
  <c r="AK13" i="36"/>
  <c r="AB13" i="36"/>
  <c r="L13" i="36"/>
  <c r="BF13" i="36"/>
  <c r="AI13" i="36"/>
  <c r="BY13" i="36"/>
  <c r="AF13" i="36"/>
  <c r="J13" i="36"/>
  <c r="BQ13" i="36"/>
  <c r="W13" i="36"/>
  <c r="BW13" i="36"/>
  <c r="AZ13" i="36"/>
  <c r="H13" i="36"/>
  <c r="Y13" i="36"/>
  <c r="AX13" i="36"/>
  <c r="CF13" i="36"/>
  <c r="P13" i="36"/>
  <c r="BO13" i="36"/>
  <c r="AQ13" i="36"/>
  <c r="CH13" i="36"/>
  <c r="AO13" i="36"/>
  <c r="S13" i="36"/>
  <c r="BH13" i="36"/>
  <c r="CC13" i="36"/>
  <c r="BT13" i="36"/>
  <c r="BL13" i="36"/>
  <c r="BC13" i="36"/>
  <c r="AT13" i="36"/>
  <c r="AL13" i="36"/>
  <c r="AC13" i="36"/>
  <c r="T13" i="36"/>
  <c r="M13" i="36"/>
  <c r="E13" i="36"/>
  <c r="CA13" i="36"/>
  <c r="BR13" i="36"/>
  <c r="BI13" i="36"/>
  <c r="BA13" i="36"/>
  <c r="AR13" i="36"/>
  <c r="AJ13" i="36"/>
  <c r="AA13" i="36"/>
  <c r="K13" i="36"/>
  <c r="CG13" i="36"/>
  <c r="BX13" i="36"/>
  <c r="BP13" i="36"/>
  <c r="BG13" i="36"/>
  <c r="AY13" i="36"/>
  <c r="AP13" i="36"/>
  <c r="AH13" i="36"/>
  <c r="X13" i="36"/>
  <c r="R13" i="36"/>
  <c r="I13" i="36"/>
  <c r="CE13" i="36"/>
  <c r="O13" i="36"/>
  <c r="BE13" i="36"/>
  <c r="AW13" i="36"/>
  <c r="AN13" i="36"/>
  <c r="AE13" i="36"/>
  <c r="BV13" i="36"/>
  <c r="G13" i="36"/>
  <c r="V13" i="36"/>
  <c r="BN13" i="36"/>
  <c r="CB121" i="24"/>
  <c r="CB118" i="24"/>
  <c r="CA15" i="24"/>
  <c r="CC15" i="24" s="1"/>
  <c r="CG15" i="24" s="1"/>
  <c r="CA120" i="24"/>
  <c r="CA117" i="24"/>
  <c r="CB117" i="24"/>
  <c r="CA121" i="24"/>
  <c r="CB120" i="24"/>
  <c r="CA123" i="24"/>
  <c r="CB123" i="24"/>
  <c r="CA119" i="24"/>
  <c r="CA118" i="24"/>
  <c r="CB125" i="24"/>
  <c r="CA122" i="24"/>
  <c r="CB15" i="24"/>
  <c r="CD15" i="24" s="1"/>
  <c r="CH15" i="24" s="1"/>
  <c r="CB119" i="24"/>
  <c r="CA124" i="24"/>
  <c r="CB124" i="24"/>
  <c r="CB122" i="24"/>
  <c r="CA116" i="24"/>
  <c r="CB116" i="24"/>
  <c r="CA125" i="24"/>
  <c r="D89" i="5"/>
  <c r="C89" i="5"/>
  <c r="B89" i="35"/>
  <c r="F75" i="35"/>
  <c r="F61" i="35"/>
  <c r="F47" i="35"/>
  <c r="F33" i="35"/>
  <c r="E30" i="35"/>
  <c r="E44" i="35"/>
  <c r="E58" i="35"/>
  <c r="E72" i="35"/>
  <c r="B87" i="35"/>
  <c r="F77" i="35"/>
  <c r="F63" i="35"/>
  <c r="F49" i="35"/>
  <c r="F35" i="35"/>
  <c r="F73" i="35"/>
  <c r="F59" i="35"/>
  <c r="F45" i="35"/>
  <c r="F31" i="35"/>
  <c r="F46" i="35"/>
  <c r="F32" i="35"/>
  <c r="F74" i="35"/>
  <c r="F60" i="35"/>
  <c r="C72" i="35"/>
  <c r="C58" i="35"/>
  <c r="C44" i="35"/>
  <c r="C30" i="35"/>
  <c r="D44" i="35"/>
  <c r="D30" i="35"/>
  <c r="D58" i="35"/>
  <c r="D72" i="35"/>
  <c r="F78" i="35"/>
  <c r="F36" i="35"/>
  <c r="F64" i="35"/>
  <c r="F50" i="35"/>
  <c r="B88" i="35"/>
  <c r="F76" i="35"/>
  <c r="F34" i="35"/>
  <c r="F48" i="35"/>
  <c r="F62" i="35"/>
  <c r="B72" i="35"/>
  <c r="B58" i="35"/>
  <c r="B44" i="35"/>
  <c r="B30" i="35"/>
  <c r="C107" i="32"/>
  <c r="C116" i="32" s="1"/>
  <c r="C125" i="32" s="1"/>
  <c r="G104" i="32"/>
  <c r="G137" i="32"/>
  <c r="G103" i="32"/>
  <c r="G136" i="32"/>
  <c r="C124" i="32"/>
  <c r="C115" i="32"/>
  <c r="B86" i="32"/>
  <c r="B145" i="32"/>
  <c r="B62" i="32"/>
  <c r="B115" i="32"/>
  <c r="B92" i="32"/>
  <c r="B124" i="32"/>
  <c r="B151" i="32"/>
  <c r="B68" i="32"/>
  <c r="B38" i="32"/>
  <c r="D30" i="32"/>
  <c r="D54" i="32"/>
  <c r="G29" i="32"/>
  <c r="G53" i="32"/>
  <c r="D29" i="32"/>
  <c r="D53" i="32"/>
  <c r="B44" i="32"/>
  <c r="F30" i="32"/>
  <c r="F54" i="32"/>
  <c r="E30" i="32"/>
  <c r="E54" i="32"/>
  <c r="G30" i="32"/>
  <c r="G54" i="32"/>
  <c r="C34" i="28"/>
  <c r="C22" i="28"/>
  <c r="C21" i="28"/>
  <c r="C24" i="28"/>
  <c r="C23" i="28"/>
  <c r="C33" i="28"/>
  <c r="C31" i="28"/>
  <c r="C29" i="28"/>
  <c r="C32" i="28"/>
  <c r="C30" i="28"/>
  <c r="C52" i="28"/>
  <c r="C61" i="28"/>
  <c r="C51" i="28"/>
  <c r="C60" i="28"/>
  <c r="C50" i="28"/>
  <c r="C59" i="28"/>
  <c r="C47" i="28"/>
  <c r="C45" i="28"/>
  <c r="C58" i="28"/>
  <c r="C46" i="28"/>
  <c r="C57" i="28"/>
  <c r="C44" i="28"/>
  <c r="C53" i="28"/>
  <c r="C54" i="28"/>
  <c r="C18" i="28"/>
  <c r="C17" i="28"/>
  <c r="C16" i="28"/>
  <c r="C15" i="28"/>
  <c r="C19" i="28"/>
  <c r="C10" i="28"/>
  <c r="C9" i="28"/>
  <c r="C67" i="28"/>
  <c r="C68" i="28"/>
  <c r="C70" i="28"/>
  <c r="C69" i="28"/>
  <c r="W132" i="20"/>
  <c r="I132" i="20"/>
  <c r="Q132" i="20"/>
  <c r="AE132" i="20"/>
  <c r="U132" i="20"/>
  <c r="G132" i="20"/>
  <c r="Y132" i="20"/>
  <c r="K132" i="20"/>
  <c r="M132" i="20"/>
  <c r="AA132" i="20"/>
  <c r="O132" i="20"/>
  <c r="AC132" i="20"/>
  <c r="AG132" i="20"/>
  <c r="S132" i="20"/>
  <c r="BT13" i="24"/>
  <c r="BL13" i="24"/>
  <c r="CC13" i="24"/>
  <c r="BC13" i="24"/>
  <c r="BR13" i="24"/>
  <c r="AT13" i="24"/>
  <c r="CG13" i="24"/>
  <c r="BG13" i="24"/>
  <c r="BI13" i="24"/>
  <c r="BA13" i="24"/>
  <c r="AY13" i="24"/>
  <c r="CA13" i="24"/>
  <c r="BX13" i="24"/>
  <c r="BP13" i="24"/>
  <c r="BV13" i="24"/>
  <c r="BN13" i="24"/>
  <c r="CE13" i="24"/>
  <c r="BE13" i="24"/>
  <c r="AW13" i="24"/>
  <c r="AE13" i="24"/>
  <c r="AC13" i="24"/>
  <c r="AA13" i="24"/>
  <c r="V13" i="24"/>
  <c r="T13" i="24"/>
  <c r="U133" i="20"/>
  <c r="AC133" i="20"/>
  <c r="S133" i="20"/>
  <c r="K133" i="20"/>
  <c r="G133" i="20"/>
  <c r="W133" i="20"/>
  <c r="AE133" i="20"/>
  <c r="Q133" i="20"/>
  <c r="I133" i="20"/>
  <c r="O133" i="20"/>
  <c r="Y133" i="20"/>
  <c r="AG133" i="20"/>
  <c r="AA133" i="20"/>
  <c r="AI133" i="20"/>
  <c r="M133" i="20"/>
  <c r="CD13" i="24"/>
  <c r="BD13" i="24"/>
  <c r="BW13" i="24"/>
  <c r="BS13" i="24"/>
  <c r="AU13" i="24"/>
  <c r="BJ13" i="24"/>
  <c r="BB13" i="24"/>
  <c r="CB13" i="24"/>
  <c r="BY13" i="24"/>
  <c r="BQ13" i="24"/>
  <c r="CH13" i="24"/>
  <c r="BH13" i="24"/>
  <c r="AZ13" i="24"/>
  <c r="CF13" i="24"/>
  <c r="BF13" i="24"/>
  <c r="AX13" i="24"/>
  <c r="BU13" i="24"/>
  <c r="BM13" i="24"/>
  <c r="BO13" i="24"/>
  <c r="AF13" i="24"/>
  <c r="AD13" i="24"/>
  <c r="AB13" i="24"/>
  <c r="W13" i="24"/>
  <c r="U13" i="24"/>
  <c r="AB133" i="20"/>
  <c r="AJ133" i="20"/>
  <c r="T133" i="20"/>
  <c r="L133" i="20"/>
  <c r="V133" i="20"/>
  <c r="AD133" i="20"/>
  <c r="R133" i="20"/>
  <c r="J133" i="20"/>
  <c r="N133" i="20"/>
  <c r="X133" i="20"/>
  <c r="AF133" i="20"/>
  <c r="P133" i="20"/>
  <c r="H133" i="20"/>
  <c r="Z133" i="20"/>
  <c r="AH133" i="20"/>
  <c r="B94" i="35"/>
  <c r="B15" i="35"/>
  <c r="F16" i="35" s="1"/>
  <c r="B37" i="3"/>
  <c r="B9" i="5"/>
  <c r="B17" i="5"/>
  <c r="C140" i="32"/>
  <c r="C81" i="32"/>
  <c r="C57" i="32"/>
  <c r="C33" i="32"/>
  <c r="B80" i="28"/>
  <c r="B50" i="28"/>
  <c r="B34" i="28"/>
  <c r="B15" i="28"/>
  <c r="B29" i="28"/>
  <c r="B73" i="28"/>
  <c r="B57" i="28"/>
  <c r="B43" i="28"/>
  <c r="B66" i="28"/>
  <c r="B20" i="28"/>
  <c r="B12" i="5"/>
  <c r="B20" i="5"/>
  <c r="B97" i="35"/>
  <c r="B40" i="3"/>
  <c r="B57" i="35"/>
  <c r="F58" i="35" s="1"/>
  <c r="C143" i="32"/>
  <c r="C36" i="32"/>
  <c r="C84" i="32"/>
  <c r="C60" i="32"/>
  <c r="B18" i="28"/>
  <c r="B76" i="28"/>
  <c r="B60" i="28"/>
  <c r="B46" i="28"/>
  <c r="B37" i="28"/>
  <c r="B69" i="28"/>
  <c r="B23" i="28"/>
  <c r="B32" i="28"/>
  <c r="B83" i="28"/>
  <c r="B53" i="28"/>
  <c r="B21" i="5"/>
  <c r="B98" i="35"/>
  <c r="B13" i="5"/>
  <c r="B41" i="3"/>
  <c r="B71" i="35"/>
  <c r="F72" i="35" s="1"/>
  <c r="C144" i="32"/>
  <c r="C61" i="32"/>
  <c r="C85" i="32"/>
  <c r="C37" i="32"/>
  <c r="B77" i="28"/>
  <c r="B61" i="28"/>
  <c r="B47" i="28"/>
  <c r="B70" i="28"/>
  <c r="B24" i="28"/>
  <c r="B19" i="28"/>
  <c r="B33" i="28"/>
  <c r="B84" i="28"/>
  <c r="B54" i="28"/>
  <c r="B38" i="28"/>
  <c r="B95" i="35"/>
  <c r="B29" i="35"/>
  <c r="F30" i="35" s="1"/>
  <c r="B10" i="5"/>
  <c r="B18" i="5"/>
  <c r="B38" i="3"/>
  <c r="C141" i="32"/>
  <c r="C58" i="32"/>
  <c r="C34" i="32"/>
  <c r="C82" i="32"/>
  <c r="B51" i="28"/>
  <c r="B35" i="28"/>
  <c r="B16" i="28"/>
  <c r="B81" i="28"/>
  <c r="B74" i="28"/>
  <c r="B58" i="28"/>
  <c r="B44" i="28"/>
  <c r="B67" i="28"/>
  <c r="B21" i="28"/>
  <c r="B30" i="28"/>
  <c r="B36" i="3"/>
  <c r="B8" i="5"/>
  <c r="B16" i="5"/>
  <c r="C139" i="32"/>
  <c r="C80" i="32"/>
  <c r="C32" i="32"/>
  <c r="C56" i="32"/>
  <c r="B14" i="28"/>
  <c r="B28" i="28"/>
  <c r="B11" i="5"/>
  <c r="B19" i="5"/>
  <c r="B96" i="35"/>
  <c r="B43" i="35"/>
  <c r="F44" i="35" s="1"/>
  <c r="B39" i="3"/>
  <c r="C142" i="32"/>
  <c r="C35" i="32"/>
  <c r="C83" i="32"/>
  <c r="C59" i="32"/>
  <c r="B17" i="28"/>
  <c r="B75" i="28"/>
  <c r="B59" i="28"/>
  <c r="B45" i="28"/>
  <c r="B52" i="28"/>
  <c r="B68" i="28"/>
  <c r="B22" i="28"/>
  <c r="B31" i="28"/>
  <c r="B82" i="28"/>
  <c r="B36" i="28"/>
  <c r="B53" i="20"/>
  <c r="B17" i="6"/>
  <c r="B27" i="6" s="1"/>
  <c r="B40" i="5"/>
  <c r="C55" i="5"/>
  <c r="C27" i="5"/>
  <c r="B77" i="5"/>
  <c r="C108" i="32"/>
  <c r="C117" i="32" s="1"/>
  <c r="C126" i="32" s="1"/>
  <c r="B62" i="20"/>
  <c r="B21" i="6"/>
  <c r="B31" i="6" s="1"/>
  <c r="G55" i="5"/>
  <c r="B91" i="5"/>
  <c r="B81" i="5"/>
  <c r="B54" i="20"/>
  <c r="B18" i="6"/>
  <c r="B28" i="6" s="1"/>
  <c r="B41" i="5"/>
  <c r="D55" i="5"/>
  <c r="D27" i="5"/>
  <c r="B90" i="5"/>
  <c r="B78" i="5"/>
  <c r="C110" i="32"/>
  <c r="C119" i="32" s="1"/>
  <c r="C128" i="32" s="1"/>
  <c r="C109" i="32"/>
  <c r="C118" i="32" s="1"/>
  <c r="C127" i="32" s="1"/>
  <c r="B63" i="20"/>
  <c r="B55" i="20"/>
  <c r="B19" i="6"/>
  <c r="B29" i="6" s="1"/>
  <c r="E55" i="5"/>
  <c r="B42" i="5"/>
  <c r="E27" i="5"/>
  <c r="B79" i="5"/>
  <c r="C111" i="32"/>
  <c r="C120" i="32" s="1"/>
  <c r="C129" i="32" s="1"/>
  <c r="C112" i="32"/>
  <c r="C121" i="32" s="1"/>
  <c r="C130" i="32" s="1"/>
  <c r="B64" i="20"/>
  <c r="B57" i="20"/>
  <c r="B56" i="20"/>
  <c r="B20" i="6"/>
  <c r="B30" i="6" s="1"/>
  <c r="F55" i="5"/>
  <c r="F27" i="5"/>
  <c r="B80" i="5"/>
  <c r="B43" i="5"/>
  <c r="C113" i="32"/>
  <c r="C122" i="32" s="1"/>
  <c r="C131" i="32" s="1"/>
  <c r="C114" i="32"/>
  <c r="C123" i="32" s="1"/>
  <c r="C132" i="32" s="1"/>
  <c r="B65" i="20"/>
  <c r="C37" i="28" l="1"/>
  <c r="C36" i="28"/>
  <c r="C35" i="28"/>
  <c r="C38" i="28"/>
  <c r="C70" i="32"/>
  <c r="C64" i="32"/>
  <c r="C153" i="32"/>
  <c r="C147" i="32"/>
  <c r="C43" i="32"/>
  <c r="C49" i="32"/>
  <c r="C93" i="32"/>
  <c r="C87" i="32"/>
  <c r="C65" i="32"/>
  <c r="C71" i="32"/>
  <c r="C97" i="32"/>
  <c r="C91" i="32"/>
  <c r="C152" i="32"/>
  <c r="C146" i="32"/>
  <c r="C151" i="32"/>
  <c r="C145" i="32"/>
  <c r="C69" i="32"/>
  <c r="C63" i="32"/>
  <c r="C73" i="32"/>
  <c r="C67" i="32"/>
  <c r="C41" i="32"/>
  <c r="C47" i="32"/>
  <c r="C156" i="32"/>
  <c r="C150" i="32"/>
  <c r="C66" i="32"/>
  <c r="C72" i="32"/>
  <c r="C148" i="32"/>
  <c r="C154" i="32"/>
  <c r="C68" i="32"/>
  <c r="C62" i="32"/>
  <c r="C90" i="32"/>
  <c r="C96" i="32"/>
  <c r="C38" i="32"/>
  <c r="C44" i="32"/>
  <c r="C94" i="32"/>
  <c r="C88" i="32"/>
  <c r="C48" i="32"/>
  <c r="C42" i="32"/>
  <c r="C89" i="32"/>
  <c r="C95" i="32"/>
  <c r="C92" i="32"/>
  <c r="C86" i="32"/>
  <c r="C46" i="32"/>
  <c r="C40" i="32"/>
  <c r="C149" i="32"/>
  <c r="C155" i="32"/>
  <c r="C39" i="32"/>
  <c r="C45" i="32"/>
  <c r="R9" i="21"/>
  <c r="P33" i="21"/>
  <c r="P34" i="21"/>
  <c r="P35" i="21"/>
  <c r="P36" i="21"/>
  <c r="P37" i="21"/>
  <c r="P38" i="21"/>
  <c r="P39" i="21"/>
  <c r="P40" i="21"/>
  <c r="P41" i="21"/>
  <c r="P42" i="21"/>
  <c r="P43" i="21"/>
  <c r="P44" i="21"/>
  <c r="P45" i="21"/>
  <c r="P46" i="21"/>
  <c r="P47" i="21"/>
  <c r="J13" i="24"/>
  <c r="I13" i="24"/>
  <c r="B34" i="21" l="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AS13" i="24" l="1"/>
  <c r="AR13" i="24"/>
  <c r="AM14" i="24" l="1"/>
  <c r="AL14" i="24"/>
  <c r="AM13" i="24"/>
  <c r="AL13" i="24"/>
  <c r="AK14" i="24"/>
  <c r="AJ14" i="24"/>
  <c r="AK13" i="24"/>
  <c r="AJ13" i="24"/>
  <c r="AI14" i="24"/>
  <c r="AH14" i="24"/>
  <c r="AQ13" i="24"/>
  <c r="AP13" i="24"/>
  <c r="AO13" i="24"/>
  <c r="AN13" i="24"/>
  <c r="AI13" i="24"/>
  <c r="AH13" i="24"/>
  <c r="AN14" i="24" l="1"/>
  <c r="AO14" i="24"/>
  <c r="S14" i="24"/>
  <c r="R14" i="24"/>
  <c r="F14" i="24"/>
  <c r="U14" i="24" s="1"/>
  <c r="E14" i="24"/>
  <c r="T14" i="24" s="1"/>
  <c r="Y13" i="24" l="1"/>
  <c r="X13" i="24"/>
  <c r="S13" i="24"/>
  <c r="R13" i="24"/>
  <c r="F28" i="28" l="1"/>
  <c r="F38" i="28" s="1"/>
  <c r="E28" i="28"/>
  <c r="E36" i="28" s="1"/>
  <c r="D28" i="28"/>
  <c r="D36" i="28" s="1"/>
  <c r="F14" i="28"/>
  <c r="F22" i="28" s="1"/>
  <c r="E14" i="28"/>
  <c r="E24" i="28" s="1"/>
  <c r="D14" i="28"/>
  <c r="D22" i="28" s="1"/>
  <c r="F10" i="28"/>
  <c r="E10" i="28"/>
  <c r="D10" i="28"/>
  <c r="E20" i="28" l="1"/>
  <c r="D20" i="28"/>
  <c r="D21" i="28"/>
  <c r="E34" i="28"/>
  <c r="E50" i="28" s="1"/>
  <c r="F36" i="28"/>
  <c r="F52" i="28" s="1"/>
  <c r="F35" i="28"/>
  <c r="F51" i="28" s="1"/>
  <c r="D37" i="28"/>
  <c r="D53" i="28" s="1"/>
  <c r="E38" i="28"/>
  <c r="E54" i="28" s="1"/>
  <c r="F20" i="28"/>
  <c r="F43" i="28" s="1"/>
  <c r="E22" i="28"/>
  <c r="E45" i="28" s="1"/>
  <c r="D23" i="28"/>
  <c r="D46" i="28" s="1"/>
  <c r="E23" i="28"/>
  <c r="E46" i="28" s="1"/>
  <c r="F23" i="28"/>
  <c r="F46" i="28" s="1"/>
  <c r="F45" i="28"/>
  <c r="D34" i="28"/>
  <c r="D50" i="28" s="1"/>
  <c r="E43" i="28"/>
  <c r="E21" i="28"/>
  <c r="E44" i="28" s="1"/>
  <c r="D24" i="28"/>
  <c r="D47" i="28" s="1"/>
  <c r="F34" i="28"/>
  <c r="F50" i="28" s="1"/>
  <c r="E37" i="28"/>
  <c r="E53" i="28" s="1"/>
  <c r="D44" i="28"/>
  <c r="F21" i="28"/>
  <c r="F44" i="28" s="1"/>
  <c r="D35" i="28"/>
  <c r="D51" i="28" s="1"/>
  <c r="F37" i="28"/>
  <c r="F53" i="28" s="1"/>
  <c r="F24" i="28"/>
  <c r="F47" i="28" s="1"/>
  <c r="E35" i="28"/>
  <c r="E51" i="28" s="1"/>
  <c r="D38" i="28"/>
  <c r="D54" i="28" s="1"/>
  <c r="E47" i="28"/>
  <c r="D52" i="28"/>
  <c r="F54" i="28"/>
  <c r="D45" i="28"/>
  <c r="E52" i="28"/>
  <c r="D43" i="28"/>
  <c r="F60" i="28" l="1"/>
  <c r="F76" i="28" s="1"/>
  <c r="E57" i="28"/>
  <c r="E73" i="28" s="1"/>
  <c r="D57" i="28"/>
  <c r="D73" i="28" s="1"/>
  <c r="D60" i="28"/>
  <c r="D76" i="28" s="1"/>
  <c r="E59" i="28"/>
  <c r="E75" i="28" s="1"/>
  <c r="F57" i="28"/>
  <c r="F73" i="28" s="1"/>
  <c r="D59" i="28"/>
  <c r="D75" i="28" s="1"/>
  <c r="E58" i="28"/>
  <c r="E74" i="28" s="1"/>
  <c r="D61" i="28"/>
  <c r="D77" i="28" s="1"/>
  <c r="E61" i="28"/>
  <c r="E77" i="28" s="1"/>
  <c r="F58" i="28"/>
  <c r="F74" i="28" s="1"/>
  <c r="D58" i="28"/>
  <c r="D74" i="28" s="1"/>
  <c r="F61" i="28"/>
  <c r="F77" i="28" s="1"/>
  <c r="E60" i="28"/>
  <c r="E76" i="28" s="1"/>
  <c r="F59" i="28"/>
  <c r="F75" i="28" s="1"/>
  <c r="D83" i="28" l="1"/>
  <c r="D84" i="28"/>
  <c r="D82" i="28"/>
  <c r="D81" i="28"/>
  <c r="D80" i="28"/>
  <c r="AB123" i="24" l="1"/>
  <c r="AF123" i="24" s="1"/>
  <c r="AB118" i="24"/>
  <c r="AF118" i="24" s="1"/>
  <c r="AA120" i="24"/>
  <c r="AE120" i="24" s="1"/>
  <c r="AB122" i="24"/>
  <c r="AF122" i="24" s="1"/>
  <c r="AA118" i="24"/>
  <c r="AE118" i="24" s="1"/>
  <c r="AB125" i="24"/>
  <c r="AF125" i="24" s="1"/>
  <c r="AA124" i="24"/>
  <c r="AE124" i="24" s="1"/>
  <c r="AA117" i="24"/>
  <c r="AE117" i="24" s="1"/>
  <c r="AB119" i="24"/>
  <c r="AF119" i="24" s="1"/>
  <c r="AA121" i="24"/>
  <c r="AE121" i="24" s="1"/>
  <c r="AA122" i="24"/>
  <c r="AE122" i="24" s="1"/>
  <c r="AA119" i="24"/>
  <c r="AE119" i="24" s="1"/>
  <c r="AR114" i="24"/>
  <c r="AT114" i="24" s="1"/>
  <c r="CA114" i="24" s="1"/>
  <c r="AR110" i="24"/>
  <c r="AT110" i="24" s="1"/>
  <c r="CA110" i="24" s="1"/>
  <c r="AR106" i="24"/>
  <c r="AT106" i="24" s="1"/>
  <c r="CA106" i="24" s="1"/>
  <c r="AR102" i="24"/>
  <c r="AT102" i="24" s="1"/>
  <c r="CA102" i="24" s="1"/>
  <c r="AR98" i="24"/>
  <c r="AT98" i="24" s="1"/>
  <c r="CA98" i="24" s="1"/>
  <c r="AR94" i="24"/>
  <c r="AT94" i="24" s="1"/>
  <c r="CA94" i="24" s="1"/>
  <c r="AR90" i="24"/>
  <c r="AT90" i="24" s="1"/>
  <c r="CA90" i="24" s="1"/>
  <c r="AR86" i="24"/>
  <c r="AT86" i="24" s="1"/>
  <c r="CA86" i="24" s="1"/>
  <c r="AR82" i="24"/>
  <c r="AT82" i="24" s="1"/>
  <c r="CA82" i="24" s="1"/>
  <c r="AR78" i="24"/>
  <c r="AT78" i="24" s="1"/>
  <c r="CA78" i="24" s="1"/>
  <c r="AR74" i="24"/>
  <c r="AT74" i="24" s="1"/>
  <c r="CA74" i="24" s="1"/>
  <c r="AR70" i="24"/>
  <c r="AT70" i="24" s="1"/>
  <c r="CA70" i="24" s="1"/>
  <c r="AR66" i="24"/>
  <c r="AT66" i="24" s="1"/>
  <c r="CA66" i="24" s="1"/>
  <c r="AR62" i="24"/>
  <c r="AT62" i="24" s="1"/>
  <c r="CA62" i="24" s="1"/>
  <c r="AR58" i="24"/>
  <c r="AT58" i="24" s="1"/>
  <c r="CA58" i="24" s="1"/>
  <c r="AR54" i="24"/>
  <c r="AT54" i="24" s="1"/>
  <c r="CA54" i="24" s="1"/>
  <c r="AR50" i="24"/>
  <c r="AT50" i="24" s="1"/>
  <c r="CA50" i="24" s="1"/>
  <c r="AR46" i="24"/>
  <c r="AT46" i="24" s="1"/>
  <c r="CA46" i="24" s="1"/>
  <c r="AR42" i="24"/>
  <c r="AT42" i="24" s="1"/>
  <c r="CA42" i="24" s="1"/>
  <c r="AR38" i="24"/>
  <c r="AT38" i="24" s="1"/>
  <c r="CA38" i="24" s="1"/>
  <c r="AR34" i="24"/>
  <c r="AT34" i="24" s="1"/>
  <c r="CA34" i="24" s="1"/>
  <c r="AR30" i="24"/>
  <c r="AT30" i="24" s="1"/>
  <c r="CA30" i="24" s="1"/>
  <c r="AR26" i="24"/>
  <c r="AT26" i="24" s="1"/>
  <c r="CA26" i="24" s="1"/>
  <c r="AR22" i="24"/>
  <c r="AT22" i="24" s="1"/>
  <c r="CA22" i="24" s="1"/>
  <c r="AR18" i="24"/>
  <c r="AT18" i="24" s="1"/>
  <c r="CA18" i="24" s="1"/>
  <c r="AS109" i="24"/>
  <c r="AU109" i="24" s="1"/>
  <c r="CB109" i="24" s="1"/>
  <c r="AS105" i="24"/>
  <c r="AU105" i="24" s="1"/>
  <c r="CB105" i="24" s="1"/>
  <c r="AS101" i="24"/>
  <c r="AU101" i="24" s="1"/>
  <c r="CB101" i="24" s="1"/>
  <c r="AS97" i="24"/>
  <c r="AU97" i="24" s="1"/>
  <c r="CB97" i="24" s="1"/>
  <c r="AS93" i="24"/>
  <c r="AU93" i="24" s="1"/>
  <c r="CB93" i="24" s="1"/>
  <c r="AS85" i="24"/>
  <c r="AU85" i="24" s="1"/>
  <c r="CB85" i="24" s="1"/>
  <c r="AS81" i="24"/>
  <c r="AU81" i="24" s="1"/>
  <c r="CB81" i="24" s="1"/>
  <c r="AS73" i="24"/>
  <c r="AU73" i="24" s="1"/>
  <c r="CB73" i="24" s="1"/>
  <c r="AS69" i="24"/>
  <c r="AU69" i="24" s="1"/>
  <c r="CB69" i="24" s="1"/>
  <c r="AS61" i="24"/>
  <c r="AU61" i="24" s="1"/>
  <c r="CB61" i="24" s="1"/>
  <c r="AS57" i="24"/>
  <c r="AU57" i="24" s="1"/>
  <c r="CB57" i="24" s="1"/>
  <c r="AS45" i="24"/>
  <c r="AU45" i="24" s="1"/>
  <c r="CB45" i="24" s="1"/>
  <c r="AS33" i="24"/>
  <c r="AU33" i="24" s="1"/>
  <c r="CB33" i="24" s="1"/>
  <c r="AS25" i="24"/>
  <c r="AU25" i="24" s="1"/>
  <c r="CB25" i="24" s="1"/>
  <c r="AS113" i="24"/>
  <c r="AU113" i="24" s="1"/>
  <c r="CB113" i="24" s="1"/>
  <c r="AS89" i="24"/>
  <c r="AU89" i="24" s="1"/>
  <c r="CB89" i="24" s="1"/>
  <c r="AS77" i="24"/>
  <c r="AU77" i="24" s="1"/>
  <c r="CB77" i="24" s="1"/>
  <c r="AS65" i="24"/>
  <c r="AU65" i="24" s="1"/>
  <c r="CB65" i="24" s="1"/>
  <c r="AS53" i="24"/>
  <c r="AU53" i="24" s="1"/>
  <c r="CB53" i="24" s="1"/>
  <c r="AS37" i="24"/>
  <c r="AU37" i="24" s="1"/>
  <c r="CB37" i="24" s="1"/>
  <c r="AS21" i="24"/>
  <c r="AU21" i="24" s="1"/>
  <c r="CB21" i="24" s="1"/>
  <c r="AR113" i="24"/>
  <c r="AT113" i="24" s="1"/>
  <c r="CA113" i="24" s="1"/>
  <c r="AR109" i="24"/>
  <c r="AT109" i="24" s="1"/>
  <c r="CA109" i="24" s="1"/>
  <c r="AR105" i="24"/>
  <c r="AT105" i="24" s="1"/>
  <c r="CA105" i="24" s="1"/>
  <c r="AR101" i="24"/>
  <c r="AT101" i="24" s="1"/>
  <c r="CA101" i="24" s="1"/>
  <c r="AR97" i="24"/>
  <c r="AT97" i="24" s="1"/>
  <c r="CA97" i="24" s="1"/>
  <c r="AR93" i="24"/>
  <c r="AT93" i="24" s="1"/>
  <c r="CA93" i="24" s="1"/>
  <c r="AR89" i="24"/>
  <c r="AT89" i="24" s="1"/>
  <c r="CA89" i="24" s="1"/>
  <c r="AR85" i="24"/>
  <c r="AT85" i="24" s="1"/>
  <c r="CA85" i="24" s="1"/>
  <c r="AR81" i="24"/>
  <c r="AT81" i="24" s="1"/>
  <c r="CA81" i="24" s="1"/>
  <c r="AR77" i="24"/>
  <c r="AT77" i="24" s="1"/>
  <c r="CA77" i="24" s="1"/>
  <c r="AR73" i="24"/>
  <c r="AT73" i="24" s="1"/>
  <c r="CA73" i="24" s="1"/>
  <c r="AR69" i="24"/>
  <c r="AT69" i="24" s="1"/>
  <c r="CA69" i="24" s="1"/>
  <c r="AR65" i="24"/>
  <c r="AT65" i="24" s="1"/>
  <c r="CA65" i="24" s="1"/>
  <c r="AR61" i="24"/>
  <c r="AT61" i="24" s="1"/>
  <c r="CA61" i="24" s="1"/>
  <c r="AR57" i="24"/>
  <c r="AT57" i="24" s="1"/>
  <c r="CA57" i="24" s="1"/>
  <c r="AR53" i="24"/>
  <c r="AT53" i="24" s="1"/>
  <c r="CA53" i="24" s="1"/>
  <c r="AR49" i="24"/>
  <c r="AT49" i="24" s="1"/>
  <c r="CA49" i="24" s="1"/>
  <c r="AR45" i="24"/>
  <c r="AT45" i="24" s="1"/>
  <c r="CA45" i="24" s="1"/>
  <c r="AR41" i="24"/>
  <c r="AT41" i="24" s="1"/>
  <c r="CA41" i="24" s="1"/>
  <c r="AR37" i="24"/>
  <c r="AT37" i="24" s="1"/>
  <c r="CA37" i="24" s="1"/>
  <c r="AR33" i="24"/>
  <c r="AT33" i="24" s="1"/>
  <c r="CA33" i="24" s="1"/>
  <c r="AR29" i="24"/>
  <c r="AT29" i="24" s="1"/>
  <c r="CA29" i="24" s="1"/>
  <c r="AR25" i="24"/>
  <c r="AT25" i="24" s="1"/>
  <c r="CA25" i="24" s="1"/>
  <c r="AR21" i="24"/>
  <c r="AT21" i="24" s="1"/>
  <c r="CA21" i="24" s="1"/>
  <c r="AR17" i="24"/>
  <c r="AT17" i="24" s="1"/>
  <c r="CA17" i="24" s="1"/>
  <c r="AS112" i="24"/>
  <c r="AU112" i="24" s="1"/>
  <c r="CB112" i="24" s="1"/>
  <c r="AS108" i="24"/>
  <c r="AU108" i="24" s="1"/>
  <c r="CB108" i="24" s="1"/>
  <c r="AS104" i="24"/>
  <c r="AU104" i="24" s="1"/>
  <c r="CB104" i="24" s="1"/>
  <c r="AS96" i="24"/>
  <c r="AU96" i="24" s="1"/>
  <c r="CB96" i="24" s="1"/>
  <c r="AS92" i="24"/>
  <c r="AU92" i="24" s="1"/>
  <c r="CB92" i="24" s="1"/>
  <c r="AS88" i="24"/>
  <c r="AU88" i="24" s="1"/>
  <c r="CB88" i="24" s="1"/>
  <c r="AS80" i="24"/>
  <c r="AU80" i="24" s="1"/>
  <c r="CB80" i="24" s="1"/>
  <c r="AS76" i="24"/>
  <c r="AU76" i="24" s="1"/>
  <c r="CB76" i="24" s="1"/>
  <c r="AS68" i="24"/>
  <c r="AU68" i="24" s="1"/>
  <c r="CB68" i="24" s="1"/>
  <c r="AS60" i="24"/>
  <c r="AU60" i="24" s="1"/>
  <c r="CB60" i="24" s="1"/>
  <c r="AS52" i="24"/>
  <c r="AU52" i="24" s="1"/>
  <c r="CB52" i="24" s="1"/>
  <c r="AS44" i="24"/>
  <c r="AU44" i="24" s="1"/>
  <c r="CB44" i="24" s="1"/>
  <c r="AS36" i="24"/>
  <c r="AU36" i="24" s="1"/>
  <c r="CB36" i="24" s="1"/>
  <c r="AS32" i="24"/>
  <c r="AU32" i="24" s="1"/>
  <c r="CB32" i="24" s="1"/>
  <c r="AS20" i="24"/>
  <c r="AU20" i="24" s="1"/>
  <c r="CB20" i="24" s="1"/>
  <c r="AS100" i="24"/>
  <c r="AU100" i="24" s="1"/>
  <c r="CB100" i="24" s="1"/>
  <c r="AS84" i="24"/>
  <c r="AU84" i="24" s="1"/>
  <c r="CB84" i="24" s="1"/>
  <c r="AS72" i="24"/>
  <c r="AU72" i="24" s="1"/>
  <c r="CB72" i="24" s="1"/>
  <c r="AS64" i="24"/>
  <c r="AU64" i="24" s="1"/>
  <c r="CB64" i="24" s="1"/>
  <c r="AS56" i="24"/>
  <c r="AU56" i="24" s="1"/>
  <c r="CB56" i="24" s="1"/>
  <c r="AS48" i="24"/>
  <c r="AU48" i="24" s="1"/>
  <c r="CB48" i="24" s="1"/>
  <c r="AS40" i="24"/>
  <c r="AU40" i="24" s="1"/>
  <c r="CB40" i="24" s="1"/>
  <c r="AS28" i="24"/>
  <c r="AU28" i="24" s="1"/>
  <c r="CB28" i="24" s="1"/>
  <c r="AS16" i="24"/>
  <c r="AU16" i="24" s="1"/>
  <c r="CB16" i="24" s="1"/>
  <c r="AR112" i="24"/>
  <c r="AT112" i="24" s="1"/>
  <c r="CA112" i="24" s="1"/>
  <c r="AR108" i="24"/>
  <c r="AT108" i="24" s="1"/>
  <c r="CA108" i="24" s="1"/>
  <c r="AR104" i="24"/>
  <c r="AT104" i="24" s="1"/>
  <c r="CA104" i="24" s="1"/>
  <c r="AR100" i="24"/>
  <c r="AT100" i="24" s="1"/>
  <c r="CA100" i="24" s="1"/>
  <c r="AR96" i="24"/>
  <c r="AT96" i="24" s="1"/>
  <c r="CA96" i="24" s="1"/>
  <c r="AR92" i="24"/>
  <c r="AT92" i="24" s="1"/>
  <c r="CA92" i="24" s="1"/>
  <c r="AR88" i="24"/>
  <c r="AT88" i="24" s="1"/>
  <c r="CA88" i="24" s="1"/>
  <c r="AR84" i="24"/>
  <c r="AT84" i="24" s="1"/>
  <c r="CA84" i="24" s="1"/>
  <c r="AR80" i="24"/>
  <c r="AT80" i="24" s="1"/>
  <c r="CA80" i="24" s="1"/>
  <c r="AR76" i="24"/>
  <c r="AT76" i="24" s="1"/>
  <c r="CA76" i="24" s="1"/>
  <c r="AR72" i="24"/>
  <c r="AT72" i="24" s="1"/>
  <c r="CA72" i="24" s="1"/>
  <c r="AR68" i="24"/>
  <c r="AT68" i="24" s="1"/>
  <c r="CA68" i="24" s="1"/>
  <c r="AR64" i="24"/>
  <c r="AT64" i="24" s="1"/>
  <c r="CA64" i="24" s="1"/>
  <c r="AR60" i="24"/>
  <c r="AT60" i="24" s="1"/>
  <c r="CA60" i="24" s="1"/>
  <c r="AR56" i="24"/>
  <c r="AT56" i="24" s="1"/>
  <c r="CA56" i="24" s="1"/>
  <c r="AR52" i="24"/>
  <c r="AT52" i="24" s="1"/>
  <c r="CA52" i="24" s="1"/>
  <c r="AR48" i="24"/>
  <c r="AT48" i="24" s="1"/>
  <c r="CA48" i="24" s="1"/>
  <c r="AR44" i="24"/>
  <c r="AT44" i="24" s="1"/>
  <c r="CA44" i="24" s="1"/>
  <c r="AR40" i="24"/>
  <c r="AT40" i="24" s="1"/>
  <c r="CA40" i="24" s="1"/>
  <c r="AR36" i="24"/>
  <c r="AT36" i="24" s="1"/>
  <c r="CA36" i="24" s="1"/>
  <c r="AR32" i="24"/>
  <c r="AT32" i="24" s="1"/>
  <c r="CA32" i="24" s="1"/>
  <c r="AR28" i="24"/>
  <c r="AT28" i="24" s="1"/>
  <c r="CA28" i="24" s="1"/>
  <c r="AR24" i="24"/>
  <c r="AT24" i="24" s="1"/>
  <c r="CA24" i="24" s="1"/>
  <c r="AR20" i="24"/>
  <c r="AT20" i="24" s="1"/>
  <c r="CA20" i="24" s="1"/>
  <c r="AR16" i="24"/>
  <c r="AT16" i="24" s="1"/>
  <c r="CA16" i="24" s="1"/>
  <c r="AS24" i="24"/>
  <c r="AU24" i="24" s="1"/>
  <c r="CB24" i="24" s="1"/>
  <c r="AS115" i="24"/>
  <c r="AU115" i="24" s="1"/>
  <c r="CB115" i="24" s="1"/>
  <c r="AS111" i="24"/>
  <c r="AU111" i="24" s="1"/>
  <c r="CB111" i="24" s="1"/>
  <c r="AS107" i="24"/>
  <c r="AU107" i="24" s="1"/>
  <c r="CB107" i="24" s="1"/>
  <c r="AS103" i="24"/>
  <c r="AU103" i="24" s="1"/>
  <c r="CB103" i="24" s="1"/>
  <c r="AS99" i="24"/>
  <c r="AU99" i="24" s="1"/>
  <c r="CB99" i="24" s="1"/>
  <c r="AS95" i="24"/>
  <c r="AU95" i="24" s="1"/>
  <c r="CB95" i="24" s="1"/>
  <c r="AS91" i="24"/>
  <c r="AU91" i="24" s="1"/>
  <c r="CB91" i="24" s="1"/>
  <c r="AS87" i="24"/>
  <c r="AU87" i="24" s="1"/>
  <c r="CB87" i="24" s="1"/>
  <c r="AS83" i="24"/>
  <c r="AU83" i="24" s="1"/>
  <c r="CB83" i="24" s="1"/>
  <c r="AS79" i="24"/>
  <c r="AU79" i="24" s="1"/>
  <c r="CB79" i="24" s="1"/>
  <c r="AS75" i="24"/>
  <c r="AU75" i="24" s="1"/>
  <c r="CB75" i="24" s="1"/>
  <c r="AS71" i="24"/>
  <c r="AU71" i="24" s="1"/>
  <c r="CB71" i="24" s="1"/>
  <c r="AS67" i="24"/>
  <c r="AU67" i="24" s="1"/>
  <c r="CB67" i="24" s="1"/>
  <c r="AS63" i="24"/>
  <c r="AU63" i="24" s="1"/>
  <c r="CB63" i="24" s="1"/>
  <c r="AS59" i="24"/>
  <c r="AU59" i="24" s="1"/>
  <c r="CB59" i="24" s="1"/>
  <c r="AS55" i="24"/>
  <c r="AU55" i="24" s="1"/>
  <c r="CB55" i="24" s="1"/>
  <c r="AS51" i="24"/>
  <c r="AU51" i="24" s="1"/>
  <c r="CB51" i="24" s="1"/>
  <c r="AS47" i="24"/>
  <c r="AU47" i="24" s="1"/>
  <c r="CB47" i="24" s="1"/>
  <c r="AS43" i="24"/>
  <c r="AU43" i="24" s="1"/>
  <c r="CB43" i="24" s="1"/>
  <c r="AS39" i="24"/>
  <c r="AU39" i="24" s="1"/>
  <c r="CB39" i="24" s="1"/>
  <c r="AS35" i="24"/>
  <c r="AU35" i="24" s="1"/>
  <c r="CB35" i="24" s="1"/>
  <c r="AS31" i="24"/>
  <c r="AU31" i="24" s="1"/>
  <c r="CB31" i="24" s="1"/>
  <c r="AS27" i="24"/>
  <c r="AU27" i="24" s="1"/>
  <c r="CB27" i="24" s="1"/>
  <c r="AS23" i="24"/>
  <c r="AU23" i="24" s="1"/>
  <c r="CB23" i="24" s="1"/>
  <c r="AS19" i="24"/>
  <c r="AU19" i="24" s="1"/>
  <c r="CB19" i="24" s="1"/>
  <c r="AS114" i="24"/>
  <c r="AU114" i="24" s="1"/>
  <c r="CB114" i="24" s="1"/>
  <c r="AS106" i="24"/>
  <c r="AU106" i="24" s="1"/>
  <c r="CB106" i="24" s="1"/>
  <c r="AS98" i="24"/>
  <c r="AU98" i="24" s="1"/>
  <c r="CB98" i="24" s="1"/>
  <c r="AS90" i="24"/>
  <c r="AU90" i="24" s="1"/>
  <c r="CB90" i="24" s="1"/>
  <c r="AS82" i="24"/>
  <c r="AU82" i="24" s="1"/>
  <c r="CB82" i="24" s="1"/>
  <c r="AS74" i="24"/>
  <c r="AU74" i="24" s="1"/>
  <c r="CB74" i="24" s="1"/>
  <c r="AS66" i="24"/>
  <c r="AU66" i="24" s="1"/>
  <c r="CB66" i="24" s="1"/>
  <c r="AS58" i="24"/>
  <c r="AU58" i="24" s="1"/>
  <c r="CB58" i="24" s="1"/>
  <c r="AS50" i="24"/>
  <c r="AU50" i="24" s="1"/>
  <c r="CB50" i="24" s="1"/>
  <c r="AS42" i="24"/>
  <c r="AU42" i="24" s="1"/>
  <c r="CB42" i="24" s="1"/>
  <c r="AS34" i="24"/>
  <c r="AU34" i="24" s="1"/>
  <c r="CB34" i="24" s="1"/>
  <c r="AS26" i="24"/>
  <c r="AU26" i="24" s="1"/>
  <c r="CB26" i="24" s="1"/>
  <c r="AR115" i="24"/>
  <c r="AT115" i="24" s="1"/>
  <c r="CA115" i="24" s="1"/>
  <c r="AR111" i="24"/>
  <c r="AT111" i="24" s="1"/>
  <c r="CA111" i="24" s="1"/>
  <c r="AR107" i="24"/>
  <c r="AT107" i="24" s="1"/>
  <c r="CA107" i="24" s="1"/>
  <c r="AR103" i="24"/>
  <c r="AT103" i="24" s="1"/>
  <c r="CA103" i="24" s="1"/>
  <c r="AR99" i="24"/>
  <c r="AT99" i="24" s="1"/>
  <c r="CA99" i="24" s="1"/>
  <c r="AR95" i="24"/>
  <c r="AT95" i="24" s="1"/>
  <c r="CA95" i="24" s="1"/>
  <c r="AR91" i="24"/>
  <c r="AT91" i="24" s="1"/>
  <c r="CA91" i="24" s="1"/>
  <c r="AR87" i="24"/>
  <c r="AT87" i="24" s="1"/>
  <c r="CA87" i="24" s="1"/>
  <c r="AR83" i="24"/>
  <c r="AT83" i="24" s="1"/>
  <c r="CA83" i="24" s="1"/>
  <c r="AR79" i="24"/>
  <c r="AT79" i="24" s="1"/>
  <c r="CA79" i="24" s="1"/>
  <c r="AR75" i="24"/>
  <c r="AT75" i="24" s="1"/>
  <c r="CA75" i="24" s="1"/>
  <c r="AR71" i="24"/>
  <c r="AT71" i="24" s="1"/>
  <c r="CA71" i="24" s="1"/>
  <c r="AR67" i="24"/>
  <c r="AT67" i="24" s="1"/>
  <c r="CA67" i="24" s="1"/>
  <c r="AR63" i="24"/>
  <c r="AT63" i="24" s="1"/>
  <c r="CA63" i="24" s="1"/>
  <c r="AR59" i="24"/>
  <c r="AT59" i="24" s="1"/>
  <c r="CA59" i="24" s="1"/>
  <c r="AR55" i="24"/>
  <c r="AT55" i="24" s="1"/>
  <c r="CA55" i="24" s="1"/>
  <c r="AR51" i="24"/>
  <c r="AT51" i="24" s="1"/>
  <c r="CA51" i="24" s="1"/>
  <c r="AR47" i="24"/>
  <c r="AT47" i="24" s="1"/>
  <c r="CA47" i="24" s="1"/>
  <c r="AR43" i="24"/>
  <c r="AT43" i="24" s="1"/>
  <c r="CA43" i="24" s="1"/>
  <c r="AR39" i="24"/>
  <c r="AT39" i="24" s="1"/>
  <c r="CA39" i="24" s="1"/>
  <c r="AR35" i="24"/>
  <c r="AT35" i="24" s="1"/>
  <c r="CA35" i="24" s="1"/>
  <c r="AR31" i="24"/>
  <c r="AT31" i="24" s="1"/>
  <c r="CA31" i="24" s="1"/>
  <c r="AR27" i="24"/>
  <c r="AT27" i="24" s="1"/>
  <c r="CA27" i="24" s="1"/>
  <c r="AR23" i="24"/>
  <c r="AT23" i="24" s="1"/>
  <c r="CA23" i="24" s="1"/>
  <c r="AR19" i="24"/>
  <c r="AT19" i="24" s="1"/>
  <c r="CA19" i="24" s="1"/>
  <c r="AS110" i="24"/>
  <c r="AU110" i="24" s="1"/>
  <c r="CB110" i="24" s="1"/>
  <c r="AS102" i="24"/>
  <c r="AU102" i="24" s="1"/>
  <c r="CB102" i="24" s="1"/>
  <c r="AS94" i="24"/>
  <c r="AU94" i="24" s="1"/>
  <c r="CB94" i="24" s="1"/>
  <c r="AS86" i="24"/>
  <c r="AU86" i="24" s="1"/>
  <c r="CB86" i="24" s="1"/>
  <c r="AS78" i="24"/>
  <c r="AU78" i="24" s="1"/>
  <c r="CB78" i="24" s="1"/>
  <c r="AS70" i="24"/>
  <c r="AU70" i="24" s="1"/>
  <c r="CB70" i="24" s="1"/>
  <c r="AS62" i="24"/>
  <c r="AU62" i="24" s="1"/>
  <c r="CB62" i="24" s="1"/>
  <c r="AS54" i="24"/>
  <c r="AU54" i="24" s="1"/>
  <c r="CB54" i="24" s="1"/>
  <c r="AS46" i="24"/>
  <c r="AU46" i="24" s="1"/>
  <c r="CB46" i="24" s="1"/>
  <c r="AS38" i="24"/>
  <c r="AU38" i="24" s="1"/>
  <c r="CB38" i="24" s="1"/>
  <c r="AS30" i="24"/>
  <c r="AU30" i="24" s="1"/>
  <c r="CB30" i="24" s="1"/>
  <c r="AS22" i="24"/>
  <c r="AU22" i="24" s="1"/>
  <c r="CB22" i="24" s="1"/>
  <c r="AS18" i="24"/>
  <c r="AU18" i="24" s="1"/>
  <c r="CB18" i="24" s="1"/>
  <c r="AS49" i="24"/>
  <c r="AU49" i="24" s="1"/>
  <c r="CB49" i="24" s="1"/>
  <c r="AS41" i="24"/>
  <c r="AU41" i="24" s="1"/>
  <c r="CB41" i="24" s="1"/>
  <c r="AS29" i="24"/>
  <c r="AU29" i="24" s="1"/>
  <c r="CB29" i="24" s="1"/>
  <c r="AS17" i="24"/>
  <c r="AU17" i="24" s="1"/>
  <c r="CB17" i="24" s="1"/>
  <c r="C128" i="20"/>
  <c r="P13" i="24"/>
  <c r="O13" i="24"/>
  <c r="J125" i="24"/>
  <c r="I125" i="24"/>
  <c r="J124" i="24"/>
  <c r="I124" i="24"/>
  <c r="J123" i="24"/>
  <c r="I123" i="24"/>
  <c r="J122" i="24"/>
  <c r="I122" i="24"/>
  <c r="J121" i="24"/>
  <c r="I121" i="24"/>
  <c r="J120" i="24"/>
  <c r="I120" i="24"/>
  <c r="J119" i="24"/>
  <c r="I119" i="24"/>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9" i="24"/>
  <c r="I99" i="24"/>
  <c r="J98" i="24"/>
  <c r="I98" i="24"/>
  <c r="J97" i="24"/>
  <c r="I97" i="24"/>
  <c r="J96" i="24"/>
  <c r="I96" i="24"/>
  <c r="J95" i="24"/>
  <c r="I95" i="24"/>
  <c r="J94" i="24"/>
  <c r="I94" i="24"/>
  <c r="J93" i="24"/>
  <c r="I93" i="24"/>
  <c r="J92" i="24"/>
  <c r="I92" i="24"/>
  <c r="J91" i="24"/>
  <c r="I91" i="24"/>
  <c r="J90" i="24"/>
  <c r="I90" i="24"/>
  <c r="J89" i="24"/>
  <c r="I89" i="24"/>
  <c r="J88" i="24"/>
  <c r="I88" i="24"/>
  <c r="J87" i="24"/>
  <c r="I87" i="24"/>
  <c r="J86" i="24"/>
  <c r="I86" i="24"/>
  <c r="J85" i="24"/>
  <c r="I85"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7" i="24"/>
  <c r="I17" i="24"/>
  <c r="J16" i="24"/>
  <c r="CD108" i="24" l="1"/>
  <c r="CD116" i="24"/>
  <c r="CD124" i="24"/>
  <c r="CD109" i="24"/>
  <c r="CD117" i="24"/>
  <c r="CD125" i="24"/>
  <c r="CD110" i="24"/>
  <c r="CD118" i="24"/>
  <c r="CD106" i="24"/>
  <c r="CD111" i="24"/>
  <c r="CD119" i="24"/>
  <c r="CD112" i="24"/>
  <c r="CD120" i="24"/>
  <c r="CD113" i="24"/>
  <c r="CD121" i="24"/>
  <c r="CD114" i="24"/>
  <c r="CD122" i="24"/>
  <c r="CD107" i="24"/>
  <c r="CD115" i="24"/>
  <c r="CD123" i="24"/>
  <c r="CC112" i="24"/>
  <c r="CC120" i="24"/>
  <c r="CC113" i="24"/>
  <c r="CC121" i="24"/>
  <c r="CC114" i="24"/>
  <c r="CC122" i="24"/>
  <c r="CC107" i="24"/>
  <c r="CC115" i="24"/>
  <c r="CC123" i="24"/>
  <c r="CC108" i="24"/>
  <c r="CC116" i="24"/>
  <c r="CC124" i="24"/>
  <c r="CC109" i="24"/>
  <c r="CC117" i="24"/>
  <c r="CC125" i="24"/>
  <c r="CC110" i="24"/>
  <c r="CC118" i="24"/>
  <c r="CC106" i="24"/>
  <c r="CC111" i="24"/>
  <c r="CC119" i="24"/>
  <c r="AB120" i="24"/>
  <c r="AF120" i="24" s="1"/>
  <c r="AB124" i="24"/>
  <c r="AF124" i="24" s="1"/>
  <c r="AB117" i="24"/>
  <c r="AF117" i="24" s="1"/>
  <c r="AA123" i="24"/>
  <c r="AE123" i="24" s="1"/>
  <c r="AA125" i="24"/>
  <c r="AE125" i="24" s="1"/>
  <c r="AB121" i="24"/>
  <c r="AF121" i="24" s="1"/>
  <c r="AB118" i="36"/>
  <c r="AF118" i="36" s="1"/>
  <c r="AB95" i="36"/>
  <c r="AF95" i="36" s="1"/>
  <c r="AB72" i="36"/>
  <c r="AF72" i="36" s="1"/>
  <c r="AA31" i="36"/>
  <c r="AE31" i="36" s="1"/>
  <c r="AB117" i="36"/>
  <c r="AF117" i="36" s="1"/>
  <c r="AA94" i="36"/>
  <c r="AE94" i="36" s="1"/>
  <c r="AA51" i="36"/>
  <c r="AE51" i="36" s="1"/>
  <c r="AA20" i="36"/>
  <c r="AE20" i="36" s="1"/>
  <c r="AB107" i="36"/>
  <c r="AF107" i="36" s="1"/>
  <c r="AA54" i="36"/>
  <c r="AE54" i="36" s="1"/>
  <c r="AA29" i="36"/>
  <c r="AE29" i="36" s="1"/>
  <c r="AA125" i="36"/>
  <c r="AE125" i="36" s="1"/>
  <c r="AA97" i="36"/>
  <c r="AE97" i="36" s="1"/>
  <c r="AB82" i="36"/>
  <c r="AF82" i="36" s="1"/>
  <c r="AA124" i="36"/>
  <c r="AE124" i="36" s="1"/>
  <c r="AA104" i="36"/>
  <c r="AE104" i="36" s="1"/>
  <c r="AA72" i="36"/>
  <c r="AE72" i="36" s="1"/>
  <c r="AA15" i="36"/>
  <c r="AE15" i="36" s="1"/>
  <c r="AA113" i="36"/>
  <c r="AE113" i="36" s="1"/>
  <c r="AB76" i="36"/>
  <c r="AF76" i="36" s="1"/>
  <c r="AB35" i="36"/>
  <c r="AF35" i="36" s="1"/>
  <c r="AA21" i="36"/>
  <c r="AE21" i="36" s="1"/>
  <c r="AB90" i="36"/>
  <c r="AF90" i="36" s="1"/>
  <c r="AB56" i="36"/>
  <c r="AF56" i="36" s="1"/>
  <c r="AA32" i="36"/>
  <c r="AE32" i="36" s="1"/>
  <c r="AA88" i="36"/>
  <c r="AE88" i="36" s="1"/>
  <c r="AA59" i="36"/>
  <c r="AE59" i="36" s="1"/>
  <c r="AA18" i="36"/>
  <c r="AE18" i="36" s="1"/>
  <c r="AA120" i="36"/>
  <c r="AE120" i="36" s="1"/>
  <c r="AB87" i="36"/>
  <c r="AF87" i="36" s="1"/>
  <c r="AA68" i="36"/>
  <c r="AE68" i="36" s="1"/>
  <c r="AA24" i="36"/>
  <c r="AE24" i="36" s="1"/>
  <c r="AA119" i="36"/>
  <c r="AE119" i="36" s="1"/>
  <c r="AA78" i="36"/>
  <c r="AE78" i="36" s="1"/>
  <c r="AA43" i="36"/>
  <c r="AE43" i="36" s="1"/>
  <c r="AA101" i="36"/>
  <c r="AE101" i="36" s="1"/>
  <c r="AA71" i="36"/>
  <c r="AE71" i="36" s="1"/>
  <c r="AB32" i="36"/>
  <c r="AF32" i="36" s="1"/>
  <c r="AA117" i="36"/>
  <c r="AE117" i="36" s="1"/>
  <c r="AB75" i="36"/>
  <c r="AF75" i="36" s="1"/>
  <c r="AB44" i="36"/>
  <c r="AF44" i="36" s="1"/>
  <c r="AA112" i="36"/>
  <c r="AE112" i="36" s="1"/>
  <c r="AA89" i="36"/>
  <c r="AE89" i="36" s="1"/>
  <c r="AB40" i="36"/>
  <c r="AF40" i="36" s="1"/>
  <c r="AB24" i="36"/>
  <c r="AF24" i="36" s="1"/>
  <c r="AB101" i="36"/>
  <c r="AF101" i="36" s="1"/>
  <c r="AB67" i="36"/>
  <c r="AF67" i="36" s="1"/>
  <c r="AB34" i="36"/>
  <c r="AF34" i="36" s="1"/>
  <c r="AB120" i="36"/>
  <c r="AF120" i="36" s="1"/>
  <c r="AB85" i="36"/>
  <c r="AF85" i="36" s="1"/>
  <c r="AB46" i="36"/>
  <c r="AF46" i="36" s="1"/>
  <c r="AB119" i="36"/>
  <c r="AF119" i="36" s="1"/>
  <c r="AB81" i="36"/>
  <c r="AF81" i="36" s="1"/>
  <c r="AA74" i="36"/>
  <c r="AE74" i="36" s="1"/>
  <c r="AA35" i="36"/>
  <c r="AE35" i="36" s="1"/>
  <c r="AA114" i="36"/>
  <c r="AE114" i="36" s="1"/>
  <c r="AA80" i="36"/>
  <c r="AE80" i="36" s="1"/>
  <c r="AA36" i="36"/>
  <c r="AE36" i="36" s="1"/>
  <c r="AB25" i="36"/>
  <c r="AF25" i="36" s="1"/>
  <c r="AB109" i="36"/>
  <c r="AF109" i="36" s="1"/>
  <c r="AA76" i="36"/>
  <c r="AE76" i="36" s="1"/>
  <c r="AB64" i="36"/>
  <c r="AF64" i="36" s="1"/>
  <c r="AB124" i="36"/>
  <c r="AF124" i="36" s="1"/>
  <c r="AB103" i="36"/>
  <c r="AF103" i="36" s="1"/>
  <c r="AB52" i="36"/>
  <c r="AF52" i="36" s="1"/>
  <c r="AB27" i="36"/>
  <c r="AF27" i="36" s="1"/>
  <c r="AA109" i="36"/>
  <c r="AE109" i="36" s="1"/>
  <c r="AA81" i="36"/>
  <c r="AE81" i="36" s="1"/>
  <c r="AB41" i="36"/>
  <c r="AF41" i="36" s="1"/>
  <c r="AA105" i="36"/>
  <c r="AE105" i="36" s="1"/>
  <c r="AB77" i="36"/>
  <c r="AF77" i="36" s="1"/>
  <c r="AB37" i="36"/>
  <c r="AF37" i="36" s="1"/>
  <c r="AB91" i="36"/>
  <c r="AF91" i="36" s="1"/>
  <c r="AA60" i="36"/>
  <c r="AE60" i="36" s="1"/>
  <c r="AA26" i="36"/>
  <c r="AE26" i="36" s="1"/>
  <c r="AA122" i="36"/>
  <c r="AE122" i="36" s="1"/>
  <c r="AB78" i="36"/>
  <c r="AF78" i="36" s="1"/>
  <c r="AB68" i="36"/>
  <c r="AF68" i="36" s="1"/>
  <c r="AA121" i="36"/>
  <c r="AE121" i="36" s="1"/>
  <c r="AB74" i="36"/>
  <c r="AF74" i="36" s="1"/>
  <c r="AB69" i="36"/>
  <c r="AF69" i="36" s="1"/>
  <c r="AA28" i="36"/>
  <c r="AE28" i="36" s="1"/>
  <c r="AA102" i="36"/>
  <c r="AE102" i="36" s="1"/>
  <c r="AA69" i="36"/>
  <c r="AE69" i="36" s="1"/>
  <c r="AA45" i="36"/>
  <c r="AE45" i="36" s="1"/>
  <c r="AA27" i="36"/>
  <c r="AE27" i="36" s="1"/>
  <c r="AA107" i="36"/>
  <c r="AE107" i="36" s="1"/>
  <c r="AA65" i="36"/>
  <c r="AE65" i="36" s="1"/>
  <c r="AA41" i="36"/>
  <c r="AE41" i="36" s="1"/>
  <c r="AB112" i="36"/>
  <c r="AF112" i="36" s="1"/>
  <c r="AB86" i="36"/>
  <c r="AF86" i="36" s="1"/>
  <c r="AA46" i="36"/>
  <c r="AE46" i="36" s="1"/>
  <c r="AA23" i="36"/>
  <c r="AE23" i="36" s="1"/>
  <c r="AA108" i="36"/>
  <c r="AE108" i="36" s="1"/>
  <c r="AA57" i="36"/>
  <c r="AE57" i="36" s="1"/>
  <c r="AA48" i="36"/>
  <c r="AE48" i="36" s="1"/>
  <c r="AA99" i="36"/>
  <c r="AE99" i="36" s="1"/>
  <c r="AA53" i="36"/>
  <c r="AE53" i="36" s="1"/>
  <c r="AB42" i="36"/>
  <c r="AF42" i="36" s="1"/>
  <c r="AB121" i="36"/>
  <c r="AF121" i="36" s="1"/>
  <c r="AB89" i="36"/>
  <c r="AF89" i="36" s="1"/>
  <c r="AA52" i="36"/>
  <c r="AE52" i="36" s="1"/>
  <c r="AB15" i="36"/>
  <c r="AF15" i="36" s="1"/>
  <c r="AB114" i="36"/>
  <c r="AF114" i="36" s="1"/>
  <c r="AA75" i="36"/>
  <c r="AE75" i="36" s="1"/>
  <c r="AA44" i="36"/>
  <c r="AE44" i="36" s="1"/>
  <c r="AB110" i="36"/>
  <c r="AF110" i="36" s="1"/>
  <c r="AB83" i="36"/>
  <c r="AF83" i="36" s="1"/>
  <c r="AA40" i="36"/>
  <c r="AE40" i="36" s="1"/>
  <c r="AB16" i="36"/>
  <c r="AF16" i="36" s="1"/>
  <c r="AB100" i="36"/>
  <c r="AF100" i="36" s="1"/>
  <c r="AB66" i="36"/>
  <c r="AF66" i="36" s="1"/>
  <c r="AB60" i="36"/>
  <c r="AF60" i="36" s="1"/>
  <c r="AB17" i="36"/>
  <c r="AF17" i="36" s="1"/>
  <c r="AB96" i="36"/>
  <c r="AF96" i="36" s="1"/>
  <c r="AB62" i="36"/>
  <c r="AF62" i="36" s="1"/>
  <c r="AB49" i="36"/>
  <c r="AF49" i="36" s="1"/>
  <c r="AA118" i="36"/>
  <c r="AE118" i="36" s="1"/>
  <c r="AB79" i="36"/>
  <c r="AF79" i="36" s="1"/>
  <c r="AA39" i="36"/>
  <c r="AE39" i="36" s="1"/>
  <c r="AA16" i="36"/>
  <c r="AE16" i="36" s="1"/>
  <c r="AA100" i="36"/>
  <c r="AE100" i="36" s="1"/>
  <c r="AB54" i="36"/>
  <c r="AF54" i="36" s="1"/>
  <c r="AB43" i="36"/>
  <c r="AF43" i="36" s="1"/>
  <c r="AA96" i="36"/>
  <c r="AE96" i="36" s="1"/>
  <c r="AB50" i="36"/>
  <c r="AF50" i="36" s="1"/>
  <c r="AB39" i="36"/>
  <c r="AF39" i="36" s="1"/>
  <c r="AA123" i="36"/>
  <c r="AE123" i="36" s="1"/>
  <c r="AB99" i="36"/>
  <c r="AF99" i="36" s="1"/>
  <c r="AA73" i="36"/>
  <c r="AE73" i="36" s="1"/>
  <c r="AB28" i="36"/>
  <c r="AF28" i="36" s="1"/>
  <c r="AB102" i="36"/>
  <c r="AF102" i="36" s="1"/>
  <c r="AB80" i="36"/>
  <c r="AF80" i="36" s="1"/>
  <c r="AA64" i="36"/>
  <c r="AE64" i="36" s="1"/>
  <c r="AA115" i="36"/>
  <c r="AE115" i="36" s="1"/>
  <c r="AA77" i="36"/>
  <c r="AE77" i="36" s="1"/>
  <c r="AB48" i="36"/>
  <c r="AF48" i="36" s="1"/>
  <c r="AB116" i="36"/>
  <c r="AF116" i="36" s="1"/>
  <c r="AA110" i="36"/>
  <c r="AE110" i="36" s="1"/>
  <c r="AA62" i="36"/>
  <c r="AE62" i="36" s="1"/>
  <c r="AA38" i="36"/>
  <c r="AE38" i="36" s="1"/>
  <c r="AA34" i="36"/>
  <c r="AE34" i="36" s="1"/>
  <c r="AB108" i="36"/>
  <c r="AF108" i="36" s="1"/>
  <c r="AA58" i="36"/>
  <c r="AE58" i="36" s="1"/>
  <c r="AA33" i="36"/>
  <c r="AE33" i="36" s="1"/>
  <c r="AB105" i="36"/>
  <c r="AF105" i="36" s="1"/>
  <c r="AA82" i="36"/>
  <c r="AE82" i="36" s="1"/>
  <c r="AB45" i="36"/>
  <c r="AF45" i="36" s="1"/>
  <c r="AB20" i="36"/>
  <c r="AF20" i="36" s="1"/>
  <c r="AA87" i="36"/>
  <c r="AE87" i="36" s="1"/>
  <c r="AA50" i="36"/>
  <c r="AE50" i="36" s="1"/>
  <c r="AA25" i="36"/>
  <c r="AE25" i="36" s="1"/>
  <c r="AA83" i="36"/>
  <c r="AE83" i="36" s="1"/>
  <c r="AB73" i="36"/>
  <c r="AF73" i="36" s="1"/>
  <c r="AA42" i="36"/>
  <c r="AE42" i="36" s="1"/>
  <c r="AB113" i="36"/>
  <c r="AF113" i="36" s="1"/>
  <c r="AA79" i="36"/>
  <c r="AE79" i="36" s="1"/>
  <c r="AB36" i="36"/>
  <c r="AF36" i="36" s="1"/>
  <c r="AB21" i="36"/>
  <c r="AF21" i="36" s="1"/>
  <c r="AA91" i="36"/>
  <c r="AE91" i="36" s="1"/>
  <c r="AA86" i="36"/>
  <c r="AE86" i="36" s="1"/>
  <c r="AB33" i="36"/>
  <c r="AF33" i="36" s="1"/>
  <c r="AB111" i="36"/>
  <c r="AF111" i="36" s="1"/>
  <c r="AB70" i="36"/>
  <c r="AF70" i="36" s="1"/>
  <c r="AA67" i="36"/>
  <c r="AE67" i="36" s="1"/>
  <c r="AA116" i="36"/>
  <c r="AE116" i="36" s="1"/>
  <c r="AB88" i="36"/>
  <c r="AF88" i="36" s="1"/>
  <c r="AB55" i="36"/>
  <c r="AF55" i="36" s="1"/>
  <c r="AB22" i="36"/>
  <c r="AF22" i="36" s="1"/>
  <c r="AA17" i="36"/>
  <c r="AE17" i="36" s="1"/>
  <c r="AB84" i="36"/>
  <c r="AF84" i="36" s="1"/>
  <c r="AB51" i="36"/>
  <c r="AF51" i="36" s="1"/>
  <c r="AB18" i="36"/>
  <c r="AF18" i="36" s="1"/>
  <c r="AA103" i="36"/>
  <c r="AE103" i="36" s="1"/>
  <c r="AA61" i="36"/>
  <c r="AE61" i="36" s="1"/>
  <c r="AA37" i="36"/>
  <c r="AE37" i="36" s="1"/>
  <c r="AA19" i="36"/>
  <c r="AE19" i="36" s="1"/>
  <c r="AA93" i="36"/>
  <c r="AE93" i="36" s="1"/>
  <c r="AA63" i="36"/>
  <c r="AE63" i="36" s="1"/>
  <c r="AB23" i="36"/>
  <c r="AF23" i="36" s="1"/>
  <c r="AA92" i="36"/>
  <c r="AE92" i="36" s="1"/>
  <c r="AB61" i="36"/>
  <c r="AF61" i="36" s="1"/>
  <c r="AA30" i="36"/>
  <c r="AE30" i="36" s="1"/>
  <c r="AB115" i="36"/>
  <c r="AF115" i="36" s="1"/>
  <c r="AA85" i="36"/>
  <c r="AE85" i="36" s="1"/>
  <c r="AB65" i="36"/>
  <c r="AF65" i="36" s="1"/>
  <c r="AB71" i="36"/>
  <c r="AF71" i="36" s="1"/>
  <c r="AB98" i="36"/>
  <c r="AF98" i="36" s="1"/>
  <c r="AA70" i="36"/>
  <c r="AE70" i="36" s="1"/>
  <c r="AB30" i="36"/>
  <c r="AF30" i="36" s="1"/>
  <c r="AB94" i="36"/>
  <c r="AF94" i="36" s="1"/>
  <c r="AA66" i="36"/>
  <c r="AE66" i="36" s="1"/>
  <c r="AB29" i="36"/>
  <c r="AF29" i="36" s="1"/>
  <c r="AA106" i="36"/>
  <c r="AE106" i="36" s="1"/>
  <c r="AA84" i="36"/>
  <c r="AE84" i="36" s="1"/>
  <c r="AB57" i="36"/>
  <c r="AF57" i="36" s="1"/>
  <c r="AB47" i="36"/>
  <c r="AF47" i="36" s="1"/>
  <c r="AB125" i="36"/>
  <c r="AF125" i="36" s="1"/>
  <c r="AB104" i="36"/>
  <c r="AF104" i="36" s="1"/>
  <c r="AA56" i="36"/>
  <c r="AE56" i="36" s="1"/>
  <c r="AB31" i="36"/>
  <c r="AF31" i="36" s="1"/>
  <c r="AA111" i="36"/>
  <c r="AE111" i="36" s="1"/>
  <c r="AB58" i="36"/>
  <c r="AF58" i="36" s="1"/>
  <c r="AA47" i="36"/>
  <c r="AE47" i="36" s="1"/>
  <c r="AB123" i="36"/>
  <c r="AF123" i="36" s="1"/>
  <c r="AB97" i="36"/>
  <c r="AF97" i="36" s="1"/>
  <c r="AA55" i="36"/>
  <c r="AE55" i="36" s="1"/>
  <c r="AB122" i="36"/>
  <c r="AF122" i="36" s="1"/>
  <c r="AA90" i="36"/>
  <c r="AE90" i="36" s="1"/>
  <c r="AB53" i="36"/>
  <c r="AF53" i="36" s="1"/>
  <c r="AB19" i="36"/>
  <c r="AF19" i="36" s="1"/>
  <c r="AA95" i="36"/>
  <c r="AE95" i="36" s="1"/>
  <c r="AA49" i="36"/>
  <c r="AE49" i="36" s="1"/>
  <c r="AB38" i="36"/>
  <c r="AF38" i="36" s="1"/>
  <c r="AA98" i="36"/>
  <c r="AE98" i="36" s="1"/>
  <c r="AB93" i="36"/>
  <c r="AF93" i="36" s="1"/>
  <c r="AB63" i="36"/>
  <c r="AF63" i="36" s="1"/>
  <c r="AA22" i="36"/>
  <c r="AE22" i="36" s="1"/>
  <c r="AB92" i="36"/>
  <c r="AF92" i="36" s="1"/>
  <c r="AB59" i="36"/>
  <c r="AF59" i="36" s="1"/>
  <c r="AB26" i="36"/>
  <c r="AF26" i="36" s="1"/>
  <c r="AB106" i="36"/>
  <c r="AF106" i="36" s="1"/>
  <c r="AA115" i="40"/>
  <c r="AE115" i="40" s="1"/>
  <c r="AA81" i="40"/>
  <c r="AE81" i="40" s="1"/>
  <c r="AB47" i="40"/>
  <c r="AF47" i="40" s="1"/>
  <c r="AA105" i="40"/>
  <c r="AE105" i="40" s="1"/>
  <c r="AB67" i="40"/>
  <c r="AF67" i="40" s="1"/>
  <c r="AB92" i="40"/>
  <c r="AF92" i="40" s="1"/>
  <c r="AA60" i="40"/>
  <c r="AE60" i="40" s="1"/>
  <c r="AA27" i="40"/>
  <c r="AE27" i="40" s="1"/>
  <c r="AA100" i="40"/>
  <c r="AE100" i="40" s="1"/>
  <c r="AB30" i="40"/>
  <c r="AF30" i="40" s="1"/>
  <c r="AA34" i="40"/>
  <c r="AE34" i="40" s="1"/>
  <c r="AB86" i="40"/>
  <c r="AF86" i="40" s="1"/>
  <c r="AA47" i="40"/>
  <c r="AE47" i="40" s="1"/>
  <c r="AB122" i="40"/>
  <c r="AF122" i="40" s="1"/>
  <c r="AB78" i="40"/>
  <c r="AF78" i="40" s="1"/>
  <c r="AA43" i="40"/>
  <c r="AE43" i="40" s="1"/>
  <c r="AB114" i="40"/>
  <c r="AF114" i="40" s="1"/>
  <c r="AA86" i="40"/>
  <c r="AE86" i="40" s="1"/>
  <c r="AA39" i="40"/>
  <c r="AE39" i="40" s="1"/>
  <c r="AB110" i="40"/>
  <c r="AF110" i="40" s="1"/>
  <c r="AA82" i="40"/>
  <c r="AE82" i="40" s="1"/>
  <c r="AA35" i="40"/>
  <c r="AE35" i="40" s="1"/>
  <c r="AB106" i="40"/>
  <c r="AF106" i="40" s="1"/>
  <c r="AA92" i="40"/>
  <c r="AE92" i="40" s="1"/>
  <c r="AA31" i="40"/>
  <c r="AE31" i="40" s="1"/>
  <c r="AA119" i="40"/>
  <c r="AE119" i="40" s="1"/>
  <c r="AA68" i="40"/>
  <c r="AE68" i="40" s="1"/>
  <c r="AB28" i="40"/>
  <c r="AF28" i="40" s="1"/>
  <c r="AB104" i="40"/>
  <c r="AF104" i="40" s="1"/>
  <c r="AA78" i="40"/>
  <c r="AE78" i="40" s="1"/>
  <c r="AA122" i="40"/>
  <c r="AE122" i="40" s="1"/>
  <c r="AA88" i="40"/>
  <c r="AE88" i="40" s="1"/>
  <c r="AB54" i="40"/>
  <c r="AF54" i="40" s="1"/>
  <c r="AA80" i="40"/>
  <c r="AE80" i="40" s="1"/>
  <c r="AB34" i="40"/>
  <c r="AF34" i="40" s="1"/>
  <c r="AA42" i="40"/>
  <c r="AE42" i="40" s="1"/>
  <c r="AA104" i="40"/>
  <c r="AE104" i="40" s="1"/>
  <c r="AB35" i="40"/>
  <c r="AF35" i="40" s="1"/>
  <c r="AB123" i="40"/>
  <c r="AF123" i="40" s="1"/>
  <c r="AB87" i="40"/>
  <c r="AF87" i="40" s="1"/>
  <c r="AB36" i="40"/>
  <c r="AF36" i="40" s="1"/>
  <c r="AB119" i="40"/>
  <c r="AF119" i="40" s="1"/>
  <c r="AB72" i="40"/>
  <c r="AF72" i="40" s="1"/>
  <c r="AB32" i="40"/>
  <c r="AF32" i="40" s="1"/>
  <c r="AB115" i="40"/>
  <c r="AF115" i="40" s="1"/>
  <c r="AB64" i="40"/>
  <c r="AF64" i="40" s="1"/>
  <c r="AB41" i="40"/>
  <c r="AF41" i="40" s="1"/>
  <c r="AB107" i="40"/>
  <c r="AF107" i="40" s="1"/>
  <c r="AB60" i="40"/>
  <c r="AF60" i="40" s="1"/>
  <c r="AB37" i="40"/>
  <c r="AF37" i="40" s="1"/>
  <c r="AA123" i="40"/>
  <c r="AE123" i="40" s="1"/>
  <c r="AB75" i="40"/>
  <c r="AF75" i="40" s="1"/>
  <c r="AB33" i="40"/>
  <c r="AF33" i="40" s="1"/>
  <c r="AA120" i="40"/>
  <c r="AE120" i="40" s="1"/>
  <c r="AA61" i="40"/>
  <c r="AE61" i="40" s="1"/>
  <c r="AA16" i="40"/>
  <c r="AE16" i="40" s="1"/>
  <c r="AB113" i="40"/>
  <c r="AF113" i="40" s="1"/>
  <c r="AB68" i="40"/>
  <c r="AF68" i="40" s="1"/>
  <c r="AB111" i="40"/>
  <c r="AF111" i="40" s="1"/>
  <c r="AB77" i="40"/>
  <c r="AF77" i="40" s="1"/>
  <c r="AA63" i="40"/>
  <c r="AE63" i="40" s="1"/>
  <c r="AA77" i="40"/>
  <c r="AE77" i="40" s="1"/>
  <c r="AB39" i="40"/>
  <c r="AF39" i="40" s="1"/>
  <c r="AA110" i="40"/>
  <c r="AE110" i="40" s="1"/>
  <c r="AA79" i="40"/>
  <c r="AE79" i="40" s="1"/>
  <c r="AB40" i="40"/>
  <c r="AF40" i="40" s="1"/>
  <c r="AB124" i="40"/>
  <c r="AF124" i="40" s="1"/>
  <c r="AB69" i="40"/>
  <c r="AF69" i="40" s="1"/>
  <c r="AB16" i="40"/>
  <c r="AF16" i="40" s="1"/>
  <c r="AB116" i="40"/>
  <c r="AF116" i="40" s="1"/>
  <c r="AB65" i="40"/>
  <c r="AF65" i="40" s="1"/>
  <c r="AA33" i="40"/>
  <c r="AE33" i="40" s="1"/>
  <c r="AB112" i="40"/>
  <c r="AF112" i="40" s="1"/>
  <c r="AB61" i="40"/>
  <c r="AF61" i="40" s="1"/>
  <c r="AA28" i="40"/>
  <c r="AE28" i="40" s="1"/>
  <c r="AB108" i="40"/>
  <c r="AF108" i="40" s="1"/>
  <c r="AA69" i="40"/>
  <c r="AE69" i="40" s="1"/>
  <c r="AA24" i="40"/>
  <c r="AE24" i="40" s="1"/>
  <c r="AA124" i="40"/>
  <c r="AE124" i="40" s="1"/>
  <c r="AA65" i="40"/>
  <c r="AE65" i="40" s="1"/>
  <c r="AA20" i="40"/>
  <c r="AE20" i="40" s="1"/>
  <c r="AA97" i="40"/>
  <c r="AE97" i="40" s="1"/>
  <c r="AA71" i="40"/>
  <c r="AE71" i="40" s="1"/>
  <c r="AB98" i="40"/>
  <c r="AF98" i="40" s="1"/>
  <c r="AB73" i="40"/>
  <c r="AF73" i="40" s="1"/>
  <c r="AB120" i="40"/>
  <c r="AF120" i="40" s="1"/>
  <c r="AB82" i="40"/>
  <c r="AF82" i="40" s="1"/>
  <c r="AA114" i="40"/>
  <c r="AE114" i="40" s="1"/>
  <c r="AA87" i="40"/>
  <c r="AE87" i="40" s="1"/>
  <c r="AA49" i="40"/>
  <c r="AE49" i="40" s="1"/>
  <c r="AA107" i="40"/>
  <c r="AE107" i="40" s="1"/>
  <c r="AA75" i="40"/>
  <c r="AE75" i="40" s="1"/>
  <c r="AB20" i="40"/>
  <c r="AF20" i="40" s="1"/>
  <c r="AB121" i="40"/>
  <c r="AF121" i="40" s="1"/>
  <c r="AB66" i="40"/>
  <c r="AF66" i="40" s="1"/>
  <c r="AA37" i="40"/>
  <c r="AE37" i="40" s="1"/>
  <c r="AB117" i="40"/>
  <c r="AF117" i="40" s="1"/>
  <c r="AA74" i="40"/>
  <c r="AE74" i="40" s="1"/>
  <c r="AB29" i="40"/>
  <c r="AF29" i="40" s="1"/>
  <c r="AB109" i="40"/>
  <c r="AF109" i="40" s="1"/>
  <c r="AA70" i="40"/>
  <c r="AE70" i="40" s="1"/>
  <c r="AB25" i="40"/>
  <c r="AF25" i="40" s="1"/>
  <c r="AB105" i="40"/>
  <c r="AF105" i="40" s="1"/>
  <c r="AA66" i="40"/>
  <c r="AE66" i="40" s="1"/>
  <c r="AB21" i="40"/>
  <c r="AF21" i="40" s="1"/>
  <c r="AA117" i="40"/>
  <c r="AE117" i="40" s="1"/>
  <c r="AA76" i="40"/>
  <c r="AE76" i="40" s="1"/>
  <c r="AB17" i="40"/>
  <c r="AF17" i="40" s="1"/>
  <c r="AA113" i="40"/>
  <c r="AE113" i="40" s="1"/>
  <c r="AB50" i="40"/>
  <c r="AF50" i="40" s="1"/>
  <c r="AA53" i="40"/>
  <c r="AE53" i="40" s="1"/>
  <c r="AB103" i="40"/>
  <c r="AF103" i="40" s="1"/>
  <c r="AB91" i="40"/>
  <c r="AF91" i="40" s="1"/>
  <c r="AA112" i="40"/>
  <c r="AE112" i="40" s="1"/>
  <c r="AA83" i="40"/>
  <c r="AE83" i="40" s="1"/>
  <c r="AA111" i="40"/>
  <c r="AE111" i="40" s="1"/>
  <c r="AA64" i="40"/>
  <c r="AE64" i="40" s="1"/>
  <c r="AB24" i="40"/>
  <c r="AF24" i="40" s="1"/>
  <c r="AB125" i="40"/>
  <c r="AF125" i="40" s="1"/>
  <c r="AB70" i="40"/>
  <c r="AF70" i="40" s="1"/>
  <c r="AA41" i="40"/>
  <c r="AE41" i="40" s="1"/>
  <c r="AB94" i="40"/>
  <c r="AF94" i="40" s="1"/>
  <c r="AB57" i="40"/>
  <c r="AF57" i="40" s="1"/>
  <c r="AA29" i="40"/>
  <c r="AE29" i="40" s="1"/>
  <c r="AB90" i="40"/>
  <c r="AF90" i="40" s="1"/>
  <c r="AB53" i="40"/>
  <c r="AF53" i="40" s="1"/>
  <c r="AA25" i="40"/>
  <c r="AE25" i="40" s="1"/>
  <c r="AA125" i="40"/>
  <c r="AE125" i="40" s="1"/>
  <c r="AB45" i="40"/>
  <c r="AF45" i="40" s="1"/>
  <c r="AA21" i="40"/>
  <c r="AE21" i="40" s="1"/>
  <c r="AA98" i="40"/>
  <c r="AE98" i="40" s="1"/>
  <c r="AB79" i="40"/>
  <c r="AF79" i="40" s="1"/>
  <c r="AA17" i="40"/>
  <c r="AE17" i="40" s="1"/>
  <c r="AA94" i="40"/>
  <c r="AE94" i="40" s="1"/>
  <c r="AB58" i="40"/>
  <c r="AF58" i="40" s="1"/>
  <c r="AA59" i="40"/>
  <c r="AE59" i="40" s="1"/>
  <c r="AB96" i="40"/>
  <c r="AF96" i="40" s="1"/>
  <c r="AB51" i="40"/>
  <c r="AF51" i="40" s="1"/>
  <c r="AA18" i="40"/>
  <c r="AE18" i="40" s="1"/>
  <c r="AA109" i="40"/>
  <c r="AE109" i="40" s="1"/>
  <c r="AB83" i="40"/>
  <c r="AF83" i="40" s="1"/>
  <c r="AA101" i="40"/>
  <c r="AE101" i="40" s="1"/>
  <c r="AA72" i="40"/>
  <c r="AE72" i="40" s="1"/>
  <c r="AA116" i="40"/>
  <c r="AE116" i="40" s="1"/>
  <c r="AB74" i="40"/>
  <c r="AF74" i="40" s="1"/>
  <c r="AB102" i="40"/>
  <c r="AF102" i="40" s="1"/>
  <c r="AA62" i="40"/>
  <c r="AE62" i="40" s="1"/>
  <c r="AA30" i="40"/>
  <c r="AE30" i="40" s="1"/>
  <c r="AA108" i="40"/>
  <c r="AE108" i="40" s="1"/>
  <c r="AA58" i="40"/>
  <c r="AE58" i="40" s="1"/>
  <c r="AB22" i="40"/>
  <c r="AF22" i="40" s="1"/>
  <c r="AA99" i="40"/>
  <c r="AE99" i="40" s="1"/>
  <c r="AA54" i="40"/>
  <c r="AE54" i="40" s="1"/>
  <c r="AB18" i="40"/>
  <c r="AF18" i="40" s="1"/>
  <c r="AA95" i="40"/>
  <c r="AE95" i="40" s="1"/>
  <c r="AA50" i="40"/>
  <c r="AE50" i="40" s="1"/>
  <c r="AA57" i="40"/>
  <c r="AE57" i="40" s="1"/>
  <c r="AA121" i="40"/>
  <c r="AE121" i="40" s="1"/>
  <c r="AB59" i="40"/>
  <c r="AF59" i="40" s="1"/>
  <c r="AA26" i="40"/>
  <c r="AE26" i="40" s="1"/>
  <c r="AB100" i="40"/>
  <c r="AF100" i="40" s="1"/>
  <c r="AB55" i="40"/>
  <c r="AF55" i="40" s="1"/>
  <c r="AA22" i="40"/>
  <c r="AE22" i="40" s="1"/>
  <c r="AA84" i="40"/>
  <c r="AE84" i="40" s="1"/>
  <c r="AB38" i="40"/>
  <c r="AF38" i="40" s="1"/>
  <c r="AB15" i="40"/>
  <c r="AF15" i="40" s="1"/>
  <c r="AB118" i="40"/>
  <c r="AF118" i="40" s="1"/>
  <c r="AB80" i="40"/>
  <c r="AF80" i="40" s="1"/>
  <c r="AB49" i="40"/>
  <c r="AF49" i="40" s="1"/>
  <c r="AA102" i="40"/>
  <c r="AE102" i="40" s="1"/>
  <c r="AA73" i="40"/>
  <c r="AE73" i="40" s="1"/>
  <c r="AA93" i="40"/>
  <c r="AE93" i="40" s="1"/>
  <c r="AA67" i="40"/>
  <c r="AE67" i="40" s="1"/>
  <c r="AA55" i="40"/>
  <c r="AE55" i="40" s="1"/>
  <c r="AB95" i="40"/>
  <c r="AF95" i="40" s="1"/>
  <c r="AB71" i="40"/>
  <c r="AF71" i="40" s="1"/>
  <c r="AB26" i="40"/>
  <c r="AF26" i="40" s="1"/>
  <c r="AB88" i="40"/>
  <c r="AF88" i="40" s="1"/>
  <c r="AB52" i="40"/>
  <c r="AF52" i="40" s="1"/>
  <c r="AA19" i="40"/>
  <c r="AE19" i="40" s="1"/>
  <c r="AB84" i="40"/>
  <c r="AF84" i="40" s="1"/>
  <c r="AB48" i="40"/>
  <c r="AF48" i="40" s="1"/>
  <c r="AA15" i="40"/>
  <c r="AE15" i="40" s="1"/>
  <c r="AB76" i="40"/>
  <c r="AF76" i="40" s="1"/>
  <c r="AB44" i="40"/>
  <c r="AF44" i="40" s="1"/>
  <c r="AB23" i="40"/>
  <c r="AF23" i="40" s="1"/>
  <c r="AB97" i="40"/>
  <c r="AF97" i="40" s="1"/>
  <c r="AA48" i="40"/>
  <c r="AE48" i="40" s="1"/>
  <c r="AA32" i="40"/>
  <c r="AE32" i="40" s="1"/>
  <c r="AA90" i="40"/>
  <c r="AE90" i="40" s="1"/>
  <c r="AB42" i="40"/>
  <c r="AF42" i="40" s="1"/>
  <c r="AB27" i="40"/>
  <c r="AF27" i="40" s="1"/>
  <c r="AA85" i="40"/>
  <c r="AE85" i="40" s="1"/>
  <c r="AB43" i="40"/>
  <c r="AF43" i="40" s="1"/>
  <c r="AA106" i="40"/>
  <c r="AE106" i="40" s="1"/>
  <c r="AB93" i="40"/>
  <c r="AF93" i="40" s="1"/>
  <c r="AB63" i="40"/>
  <c r="AF63" i="40" s="1"/>
  <c r="AA103" i="40"/>
  <c r="AE103" i="40" s="1"/>
  <c r="AB62" i="40"/>
  <c r="AF62" i="40" s="1"/>
  <c r="AB99" i="40"/>
  <c r="AF99" i="40" s="1"/>
  <c r="AB46" i="40"/>
  <c r="AF46" i="40" s="1"/>
  <c r="AB31" i="40"/>
  <c r="AF31" i="40" s="1"/>
  <c r="AB101" i="40"/>
  <c r="AF101" i="40" s="1"/>
  <c r="AB56" i="40"/>
  <c r="AF56" i="40" s="1"/>
  <c r="AA23" i="40"/>
  <c r="AE23" i="40" s="1"/>
  <c r="AB89" i="40"/>
  <c r="AF89" i="40" s="1"/>
  <c r="AA56" i="40"/>
  <c r="AE56" i="40" s="1"/>
  <c r="AA38" i="40"/>
  <c r="AE38" i="40" s="1"/>
  <c r="AB85" i="40"/>
  <c r="AF85" i="40" s="1"/>
  <c r="AA52" i="40"/>
  <c r="AE52" i="40" s="1"/>
  <c r="AA36" i="40"/>
  <c r="AE36" i="40" s="1"/>
  <c r="AB81" i="40"/>
  <c r="AF81" i="40" s="1"/>
  <c r="AA44" i="40"/>
  <c r="AE44" i="40" s="1"/>
  <c r="AB19" i="40"/>
  <c r="AF19" i="40" s="1"/>
  <c r="AA96" i="40"/>
  <c r="AE96" i="40" s="1"/>
  <c r="AA46" i="40"/>
  <c r="AE46" i="40" s="1"/>
  <c r="AA40" i="40"/>
  <c r="AE40" i="40" s="1"/>
  <c r="AA89" i="40"/>
  <c r="AE89" i="40" s="1"/>
  <c r="AA45" i="40"/>
  <c r="AE45" i="40" s="1"/>
  <c r="AA118" i="40"/>
  <c r="AE118" i="40" s="1"/>
  <c r="AA91" i="40"/>
  <c r="AE91" i="40" s="1"/>
  <c r="AA51" i="40"/>
  <c r="AE51" i="40" s="1"/>
  <c r="AA125" i="41"/>
  <c r="AE125" i="41" s="1"/>
  <c r="AB112" i="41"/>
  <c r="AF112" i="41" s="1"/>
  <c r="AA117" i="41"/>
  <c r="AE117" i="41" s="1"/>
  <c r="AB103" i="41"/>
  <c r="AF103" i="41" s="1"/>
  <c r="AA107" i="41"/>
  <c r="AE107" i="41" s="1"/>
  <c r="AB100" i="41"/>
  <c r="AF100" i="41" s="1"/>
  <c r="AA109" i="41"/>
  <c r="AE109" i="41" s="1"/>
  <c r="AB95" i="41"/>
  <c r="AF95" i="41" s="1"/>
  <c r="AB102" i="41"/>
  <c r="AF102" i="41" s="1"/>
  <c r="AB89" i="41"/>
  <c r="AF89" i="41" s="1"/>
  <c r="AA104" i="41"/>
  <c r="AE104" i="41" s="1"/>
  <c r="AA108" i="41"/>
  <c r="AE108" i="41" s="1"/>
  <c r="AB122" i="41"/>
  <c r="AF122" i="41" s="1"/>
  <c r="AB114" i="41"/>
  <c r="AF114" i="41" s="1"/>
  <c r="AA95" i="41"/>
  <c r="AE95" i="41" s="1"/>
  <c r="AA110" i="41"/>
  <c r="AE110" i="41" s="1"/>
  <c r="AB119" i="41"/>
  <c r="AF119" i="41" s="1"/>
  <c r="AB98" i="41"/>
  <c r="AF98" i="41" s="1"/>
  <c r="AA114" i="41"/>
  <c r="AE114" i="41" s="1"/>
  <c r="AB118" i="41"/>
  <c r="AF118" i="41" s="1"/>
  <c r="AB108" i="41"/>
  <c r="AF108" i="41" s="1"/>
  <c r="AB120" i="41"/>
  <c r="AF120" i="41" s="1"/>
  <c r="AB123" i="41"/>
  <c r="AF123" i="41" s="1"/>
  <c r="AA102" i="41"/>
  <c r="AE102" i="41" s="1"/>
  <c r="AB78" i="41"/>
  <c r="AF78" i="41" s="1"/>
  <c r="AB38" i="41"/>
  <c r="AF38" i="41" s="1"/>
  <c r="AB110" i="41"/>
  <c r="AF110" i="41" s="1"/>
  <c r="AA124" i="41"/>
  <c r="AE124" i="41" s="1"/>
  <c r="AA119" i="41"/>
  <c r="AE119" i="41" s="1"/>
  <c r="AB67" i="41"/>
  <c r="AF67" i="41" s="1"/>
  <c r="AB22" i="41"/>
  <c r="AF22" i="41" s="1"/>
  <c r="AB99" i="41"/>
  <c r="AF99" i="41" s="1"/>
  <c r="AA48" i="41"/>
  <c r="AE48" i="41" s="1"/>
  <c r="AA43" i="41"/>
  <c r="AE43" i="41" s="1"/>
  <c r="AA60" i="41"/>
  <c r="AE60" i="41" s="1"/>
  <c r="AB76" i="41"/>
  <c r="AF76" i="41" s="1"/>
  <c r="AA77" i="41"/>
  <c r="AE77" i="41" s="1"/>
  <c r="AB28" i="41"/>
  <c r="AF28" i="41" s="1"/>
  <c r="AB82" i="41"/>
  <c r="AF82" i="41" s="1"/>
  <c r="AB30" i="41"/>
  <c r="AF30" i="41" s="1"/>
  <c r="AA101" i="41"/>
  <c r="AE101" i="41" s="1"/>
  <c r="AB29" i="41"/>
  <c r="AF29" i="41" s="1"/>
  <c r="AB125" i="41"/>
  <c r="AF125" i="41" s="1"/>
  <c r="AB58" i="41"/>
  <c r="AF58" i="41" s="1"/>
  <c r="AB43" i="41"/>
  <c r="AF43" i="41" s="1"/>
  <c r="AA59" i="41"/>
  <c r="AE59" i="41" s="1"/>
  <c r="AA20" i="41"/>
  <c r="AE20" i="41" s="1"/>
  <c r="AA70" i="41"/>
  <c r="AE70" i="41" s="1"/>
  <c r="AA46" i="41"/>
  <c r="AE46" i="41" s="1"/>
  <c r="AB80" i="41"/>
  <c r="AF80" i="41" s="1"/>
  <c r="AA42" i="41"/>
  <c r="AE42" i="41" s="1"/>
  <c r="AB115" i="41"/>
  <c r="AF115" i="41" s="1"/>
  <c r="AB117" i="41"/>
  <c r="AF117" i="41" s="1"/>
  <c r="AA97" i="41"/>
  <c r="AE97" i="41" s="1"/>
  <c r="AB64" i="41"/>
  <c r="AF64" i="41" s="1"/>
  <c r="AA26" i="41"/>
  <c r="AE26" i="41" s="1"/>
  <c r="AA96" i="41"/>
  <c r="AE96" i="41" s="1"/>
  <c r="AB49" i="41"/>
  <c r="AF49" i="41" s="1"/>
  <c r="AA103" i="41"/>
  <c r="AE103" i="41" s="1"/>
  <c r="AA44" i="41"/>
  <c r="AE44" i="41" s="1"/>
  <c r="AB16" i="41"/>
  <c r="AF16" i="41" s="1"/>
  <c r="AA67" i="41"/>
  <c r="AE67" i="41" s="1"/>
  <c r="AB23" i="41"/>
  <c r="AF23" i="41" s="1"/>
  <c r="AB71" i="41"/>
  <c r="AF71" i="41" s="1"/>
  <c r="AA22" i="41"/>
  <c r="AE22" i="41" s="1"/>
  <c r="AA111" i="41"/>
  <c r="AE111" i="41" s="1"/>
  <c r="AA29" i="41"/>
  <c r="AE29" i="41" s="1"/>
  <c r="AA120" i="41"/>
  <c r="AE120" i="41" s="1"/>
  <c r="AA66" i="41"/>
  <c r="AE66" i="41" s="1"/>
  <c r="AA80" i="41"/>
  <c r="AE80" i="41" s="1"/>
  <c r="AA51" i="41"/>
  <c r="AE51" i="41" s="1"/>
  <c r="AB77" i="41"/>
  <c r="AF77" i="41" s="1"/>
  <c r="AB44" i="41"/>
  <c r="AF44" i="41" s="1"/>
  <c r="AA83" i="41"/>
  <c r="AE83" i="41" s="1"/>
  <c r="AB52" i="41"/>
  <c r="AF52" i="41" s="1"/>
  <c r="AB104" i="41"/>
  <c r="AF104" i="41" s="1"/>
  <c r="AA99" i="41"/>
  <c r="AE99" i="41" s="1"/>
  <c r="AB94" i="41"/>
  <c r="AF94" i="41" s="1"/>
  <c r="AA64" i="41"/>
  <c r="AE64" i="41" s="1"/>
  <c r="AB36" i="41"/>
  <c r="AF36" i="41" s="1"/>
  <c r="AB113" i="41"/>
  <c r="AF113" i="41" s="1"/>
  <c r="AA53" i="41"/>
  <c r="AE53" i="41" s="1"/>
  <c r="AB93" i="41"/>
  <c r="AF93" i="41" s="1"/>
  <c r="AB45" i="41"/>
  <c r="AF45" i="41" s="1"/>
  <c r="AB106" i="41"/>
  <c r="AF106" i="41" s="1"/>
  <c r="AA56" i="41"/>
  <c r="AE56" i="41" s="1"/>
  <c r="AB47" i="41"/>
  <c r="AF47" i="41" s="1"/>
  <c r="AB88" i="41"/>
  <c r="AF88" i="41" s="1"/>
  <c r="AB24" i="41"/>
  <c r="AF24" i="41" s="1"/>
  <c r="AB87" i="41"/>
  <c r="AF87" i="41" s="1"/>
  <c r="AB26" i="41"/>
  <c r="AF26" i="41" s="1"/>
  <c r="AA93" i="41"/>
  <c r="AE93" i="41" s="1"/>
  <c r="AB25" i="41"/>
  <c r="AF25" i="41" s="1"/>
  <c r="AA115" i="41"/>
  <c r="AE115" i="41" s="1"/>
  <c r="AA65" i="41"/>
  <c r="AE65" i="41" s="1"/>
  <c r="AA15" i="41"/>
  <c r="AE15" i="41" s="1"/>
  <c r="AA55" i="41"/>
  <c r="AE55" i="41" s="1"/>
  <c r="AA73" i="41"/>
  <c r="AE73" i="41" s="1"/>
  <c r="AB66" i="41"/>
  <c r="AF66" i="41" s="1"/>
  <c r="AB20" i="41"/>
  <c r="AF20" i="41" s="1"/>
  <c r="AA98" i="41"/>
  <c r="AE98" i="41" s="1"/>
  <c r="AA112" i="41"/>
  <c r="AE112" i="41" s="1"/>
  <c r="AB86" i="41"/>
  <c r="AF86" i="41" s="1"/>
  <c r="AB54" i="41"/>
  <c r="AF54" i="41" s="1"/>
  <c r="AA17" i="41"/>
  <c r="AE17" i="41" s="1"/>
  <c r="AB97" i="41"/>
  <c r="AF97" i="41" s="1"/>
  <c r="AB46" i="41"/>
  <c r="AF46" i="41" s="1"/>
  <c r="AB105" i="41"/>
  <c r="AF105" i="41" s="1"/>
  <c r="AA45" i="41"/>
  <c r="AE45" i="41" s="1"/>
  <c r="AA106" i="41"/>
  <c r="AE106" i="41" s="1"/>
  <c r="AA36" i="41"/>
  <c r="AE36" i="41" s="1"/>
  <c r="AA68" i="41"/>
  <c r="AE68" i="41" s="1"/>
  <c r="AB60" i="41"/>
  <c r="AF60" i="41" s="1"/>
  <c r="AB18" i="41"/>
  <c r="AF18" i="41" s="1"/>
  <c r="AA79" i="41"/>
  <c r="AE79" i="41" s="1"/>
  <c r="AB65" i="41"/>
  <c r="AF65" i="41" s="1"/>
  <c r="AB91" i="41"/>
  <c r="AF91" i="41" s="1"/>
  <c r="AA25" i="41"/>
  <c r="AE25" i="41" s="1"/>
  <c r="AB101" i="41"/>
  <c r="AF101" i="41" s="1"/>
  <c r="AB57" i="41"/>
  <c r="AF57" i="41" s="1"/>
  <c r="AB35" i="41"/>
  <c r="AF35" i="41" s="1"/>
  <c r="AA72" i="41"/>
  <c r="AE72" i="41" s="1"/>
  <c r="AA27" i="41"/>
  <c r="AE27" i="41" s="1"/>
  <c r="AA40" i="41"/>
  <c r="AE40" i="41" s="1"/>
  <c r="AB27" i="41"/>
  <c r="AF27" i="41" s="1"/>
  <c r="AB109" i="41"/>
  <c r="AF109" i="41" s="1"/>
  <c r="AA118" i="41"/>
  <c r="AE118" i="41" s="1"/>
  <c r="AA105" i="41"/>
  <c r="AE105" i="41" s="1"/>
  <c r="AA24" i="41"/>
  <c r="AE24" i="41" s="1"/>
  <c r="AB63" i="41"/>
  <c r="AF63" i="41" s="1"/>
  <c r="AB92" i="41"/>
  <c r="AF92" i="41" s="1"/>
  <c r="AA38" i="41"/>
  <c r="AE38" i="41" s="1"/>
  <c r="AA92" i="41"/>
  <c r="AE92" i="41" s="1"/>
  <c r="AB42" i="41"/>
  <c r="AF42" i="41" s="1"/>
  <c r="AA89" i="41"/>
  <c r="AE89" i="41" s="1"/>
  <c r="AB41" i="41"/>
  <c r="AF41" i="41" s="1"/>
  <c r="AB111" i="41"/>
  <c r="AF111" i="41" s="1"/>
  <c r="AA76" i="41"/>
  <c r="AE76" i="41" s="1"/>
  <c r="AB15" i="41"/>
  <c r="AF15" i="41" s="1"/>
  <c r="AB70" i="41"/>
  <c r="AF70" i="41" s="1"/>
  <c r="AA61" i="41"/>
  <c r="AE61" i="41" s="1"/>
  <c r="AA82" i="41"/>
  <c r="AE82" i="41" s="1"/>
  <c r="AB61" i="41"/>
  <c r="AF61" i="41" s="1"/>
  <c r="AB90" i="41"/>
  <c r="AF90" i="41" s="1"/>
  <c r="AB59" i="41"/>
  <c r="AF59" i="41" s="1"/>
  <c r="AA94" i="41"/>
  <c r="AE94" i="41" s="1"/>
  <c r="AA52" i="41"/>
  <c r="AE52" i="41" s="1"/>
  <c r="AB74" i="41"/>
  <c r="AF74" i="41" s="1"/>
  <c r="AB53" i="41"/>
  <c r="AF53" i="41" s="1"/>
  <c r="AA23" i="41"/>
  <c r="AE23" i="41" s="1"/>
  <c r="AB96" i="41"/>
  <c r="AF96" i="41" s="1"/>
  <c r="AB124" i="41"/>
  <c r="AF124" i="41" s="1"/>
  <c r="AA81" i="41"/>
  <c r="AE81" i="41" s="1"/>
  <c r="AB37" i="41"/>
  <c r="AF37" i="41" s="1"/>
  <c r="AB19" i="41"/>
  <c r="AF19" i="41" s="1"/>
  <c r="AB73" i="41"/>
  <c r="AF73" i="41" s="1"/>
  <c r="AB40" i="41"/>
  <c r="AF40" i="41" s="1"/>
  <c r="AB79" i="41"/>
  <c r="AF79" i="41" s="1"/>
  <c r="AA34" i="41"/>
  <c r="AE34" i="41" s="1"/>
  <c r="AA90" i="41"/>
  <c r="AE90" i="41" s="1"/>
  <c r="AA41" i="41"/>
  <c r="AE41" i="41" s="1"/>
  <c r="AA121" i="41"/>
  <c r="AE121" i="41" s="1"/>
  <c r="AA32" i="41"/>
  <c r="AE32" i="41" s="1"/>
  <c r="AA35" i="41"/>
  <c r="AE35" i="41" s="1"/>
  <c r="AB56" i="41"/>
  <c r="AF56" i="41" s="1"/>
  <c r="AA84" i="41"/>
  <c r="AE84" i="41" s="1"/>
  <c r="AA75" i="41"/>
  <c r="AE75" i="41" s="1"/>
  <c r="AB55" i="41"/>
  <c r="AF55" i="41" s="1"/>
  <c r="AA91" i="41"/>
  <c r="AE91" i="41" s="1"/>
  <c r="AA21" i="41"/>
  <c r="AE21" i="41" s="1"/>
  <c r="AA100" i="41"/>
  <c r="AE100" i="41" s="1"/>
  <c r="AA54" i="41"/>
  <c r="AE54" i="41" s="1"/>
  <c r="AA39" i="41"/>
  <c r="AE39" i="41" s="1"/>
  <c r="AA78" i="41"/>
  <c r="AE78" i="41" s="1"/>
  <c r="AB21" i="41"/>
  <c r="AF21" i="41" s="1"/>
  <c r="AA19" i="41"/>
  <c r="AE19" i="41" s="1"/>
  <c r="AA122" i="41"/>
  <c r="AE122" i="41" s="1"/>
  <c r="AA113" i="41"/>
  <c r="AE113" i="41" s="1"/>
  <c r="AA87" i="41"/>
  <c r="AE87" i="41" s="1"/>
  <c r="AA49" i="41"/>
  <c r="AE49" i="41" s="1"/>
  <c r="AB39" i="41"/>
  <c r="AF39" i="41" s="1"/>
  <c r="AB72" i="41"/>
  <c r="AF72" i="41" s="1"/>
  <c r="AB51" i="41"/>
  <c r="AF51" i="41" s="1"/>
  <c r="AB69" i="41"/>
  <c r="AF69" i="41" s="1"/>
  <c r="AB32" i="41"/>
  <c r="AF32" i="41" s="1"/>
  <c r="AA88" i="41"/>
  <c r="AE88" i="41" s="1"/>
  <c r="AB34" i="41"/>
  <c r="AF34" i="41" s="1"/>
  <c r="AA85" i="41"/>
  <c r="AE85" i="41" s="1"/>
  <c r="AB33" i="41"/>
  <c r="AF33" i="41" s="1"/>
  <c r="AB116" i="41"/>
  <c r="AF116" i="41" s="1"/>
  <c r="AB62" i="41"/>
  <c r="AF62" i="41" s="1"/>
  <c r="AA47" i="41"/>
  <c r="AE47" i="41" s="1"/>
  <c r="AA63" i="41"/>
  <c r="AE63" i="41" s="1"/>
  <c r="AB31" i="41"/>
  <c r="AF31" i="41" s="1"/>
  <c r="AA74" i="41"/>
  <c r="AE74" i="41" s="1"/>
  <c r="AA50" i="41"/>
  <c r="AE50" i="41" s="1"/>
  <c r="AA123" i="41"/>
  <c r="AE123" i="41" s="1"/>
  <c r="AA57" i="41"/>
  <c r="AE57" i="41" s="1"/>
  <c r="AB83" i="41"/>
  <c r="AF83" i="41" s="1"/>
  <c r="AA33" i="41"/>
  <c r="AE33" i="41" s="1"/>
  <c r="AB17" i="41"/>
  <c r="AF17" i="41" s="1"/>
  <c r="AB107" i="41"/>
  <c r="AF107" i="41" s="1"/>
  <c r="AA116" i="41"/>
  <c r="AE116" i="41" s="1"/>
  <c r="AB81" i="41"/>
  <c r="AF81" i="41" s="1"/>
  <c r="AA58" i="41"/>
  <c r="AE58" i="41" s="1"/>
  <c r="AA16" i="41"/>
  <c r="AE16" i="41" s="1"/>
  <c r="AB68" i="41"/>
  <c r="AF68" i="41" s="1"/>
  <c r="AA18" i="41"/>
  <c r="AE18" i="41" s="1"/>
  <c r="AA69" i="41"/>
  <c r="AE69" i="41" s="1"/>
  <c r="AA31" i="41"/>
  <c r="AE31" i="41" s="1"/>
  <c r="AB75" i="41"/>
  <c r="AF75" i="41" s="1"/>
  <c r="AA30" i="41"/>
  <c r="AE30" i="41" s="1"/>
  <c r="AA86" i="41"/>
  <c r="AE86" i="41" s="1"/>
  <c r="AA37" i="41"/>
  <c r="AE37" i="41" s="1"/>
  <c r="AB85" i="41"/>
  <c r="AF85" i="41" s="1"/>
  <c r="AA28" i="41"/>
  <c r="AE28" i="41" s="1"/>
  <c r="AB84" i="41"/>
  <c r="AF84" i="41" s="1"/>
  <c r="AA62" i="41"/>
  <c r="AE62" i="41" s="1"/>
  <c r="AA71" i="41"/>
  <c r="AE71" i="41" s="1"/>
  <c r="AB48" i="41"/>
  <c r="AF48" i="41" s="1"/>
  <c r="AB121" i="41"/>
  <c r="AF121" i="41" s="1"/>
  <c r="AB50" i="41"/>
  <c r="AF50" i="41" s="1"/>
  <c r="AA114" i="44"/>
  <c r="AE114" i="44" s="1"/>
  <c r="AA109" i="44"/>
  <c r="AE109" i="44" s="1"/>
  <c r="AA85" i="44"/>
  <c r="AE85" i="44" s="1"/>
  <c r="AA29" i="44"/>
  <c r="AE29" i="44" s="1"/>
  <c r="AB91" i="44"/>
  <c r="AF91" i="44" s="1"/>
  <c r="AB73" i="44"/>
  <c r="AF73" i="44" s="1"/>
  <c r="AA38" i="44"/>
  <c r="AE38" i="44" s="1"/>
  <c r="AA106" i="44"/>
  <c r="AE106" i="44" s="1"/>
  <c r="AB86" i="44"/>
  <c r="AF86" i="44" s="1"/>
  <c r="AB71" i="44"/>
  <c r="AF71" i="44" s="1"/>
  <c r="AA16" i="44"/>
  <c r="AE16" i="44" s="1"/>
  <c r="AA108" i="44"/>
  <c r="AE108" i="44" s="1"/>
  <c r="AB65" i="44"/>
  <c r="AF65" i="44" s="1"/>
  <c r="AA43" i="44"/>
  <c r="AE43" i="44" s="1"/>
  <c r="AB119" i="44"/>
  <c r="AF119" i="44" s="1"/>
  <c r="AA79" i="44"/>
  <c r="AE79" i="44" s="1"/>
  <c r="AB63" i="44"/>
  <c r="AF63" i="44" s="1"/>
  <c r="AB37" i="44"/>
  <c r="AF37" i="44" s="1"/>
  <c r="AB102" i="44"/>
  <c r="AF102" i="44" s="1"/>
  <c r="AB57" i="44"/>
  <c r="AF57" i="44" s="1"/>
  <c r="AA39" i="44"/>
  <c r="AE39" i="44" s="1"/>
  <c r="AA122" i="44"/>
  <c r="AE122" i="44" s="1"/>
  <c r="AB75" i="44"/>
  <c r="AF75" i="44" s="1"/>
  <c r="AA66" i="44"/>
  <c r="AE66" i="44" s="1"/>
  <c r="AA15" i="44"/>
  <c r="AE15" i="44" s="1"/>
  <c r="AB105" i="44"/>
  <c r="AF105" i="44" s="1"/>
  <c r="AB78" i="44"/>
  <c r="AF78" i="44" s="1"/>
  <c r="AB47" i="44"/>
  <c r="AF47" i="44" s="1"/>
  <c r="AB103" i="44"/>
  <c r="AF103" i="44" s="1"/>
  <c r="AA86" i="44"/>
  <c r="AE86" i="44" s="1"/>
  <c r="AA58" i="44"/>
  <c r="AE58" i="44" s="1"/>
  <c r="AA102" i="44"/>
  <c r="AE102" i="44" s="1"/>
  <c r="AA78" i="44"/>
  <c r="AE78" i="44" s="1"/>
  <c r="AB28" i="44"/>
  <c r="AF28" i="44" s="1"/>
  <c r="AA119" i="44"/>
  <c r="AE119" i="44" s="1"/>
  <c r="AB80" i="44"/>
  <c r="AF80" i="44" s="1"/>
  <c r="AA71" i="44"/>
  <c r="AE71" i="44" s="1"/>
  <c r="AA37" i="44"/>
  <c r="AE37" i="44" s="1"/>
  <c r="AB92" i="44"/>
  <c r="AF92" i="44" s="1"/>
  <c r="AA69" i="44"/>
  <c r="AE69" i="44" s="1"/>
  <c r="AB48" i="44"/>
  <c r="AF48" i="44" s="1"/>
  <c r="AA111" i="44"/>
  <c r="AE111" i="44" s="1"/>
  <c r="AB100" i="44"/>
  <c r="AF100" i="44" s="1"/>
  <c r="AA44" i="44"/>
  <c r="AE44" i="44" s="1"/>
  <c r="AA21" i="44"/>
  <c r="AE21" i="44" s="1"/>
  <c r="AB117" i="44"/>
  <c r="AF117" i="44" s="1"/>
  <c r="AA61" i="44"/>
  <c r="AE61" i="44" s="1"/>
  <c r="AB44" i="44"/>
  <c r="AF44" i="44" s="1"/>
  <c r="AB111" i="44"/>
  <c r="AF111" i="44" s="1"/>
  <c r="AA98" i="44"/>
  <c r="AE98" i="44" s="1"/>
  <c r="AB55" i="44"/>
  <c r="AF55" i="44" s="1"/>
  <c r="AB21" i="44"/>
  <c r="AF21" i="44" s="1"/>
  <c r="AB125" i="44"/>
  <c r="AF125" i="44" s="1"/>
  <c r="AB49" i="44"/>
  <c r="AF49" i="44" s="1"/>
  <c r="AB36" i="44"/>
  <c r="AF36" i="44" s="1"/>
  <c r="AA124" i="44"/>
  <c r="AE124" i="44" s="1"/>
  <c r="AA80" i="44"/>
  <c r="AE80" i="44" s="1"/>
  <c r="AA67" i="44"/>
  <c r="AE67" i="44" s="1"/>
  <c r="AB22" i="44"/>
  <c r="AF22" i="44" s="1"/>
  <c r="AB113" i="44"/>
  <c r="AF113" i="44" s="1"/>
  <c r="AB82" i="44"/>
  <c r="AF82" i="44" s="1"/>
  <c r="AA28" i="44"/>
  <c r="AE28" i="44" s="1"/>
  <c r="AB122" i="44"/>
  <c r="AF122" i="44" s="1"/>
  <c r="AA93" i="44"/>
  <c r="AE93" i="44" s="1"/>
  <c r="AA45" i="44"/>
  <c r="AE45" i="44" s="1"/>
  <c r="AB33" i="44"/>
  <c r="AF33" i="44" s="1"/>
  <c r="AA101" i="44"/>
  <c r="AE101" i="44" s="1"/>
  <c r="AB70" i="44"/>
  <c r="AF70" i="44" s="1"/>
  <c r="AB38" i="44"/>
  <c r="AF38" i="44" s="1"/>
  <c r="AB112" i="44"/>
  <c r="AF112" i="44" s="1"/>
  <c r="AB99" i="44"/>
  <c r="AF99" i="44" s="1"/>
  <c r="AA76" i="44"/>
  <c r="AE76" i="44" s="1"/>
  <c r="AA18" i="44"/>
  <c r="AE18" i="44" s="1"/>
  <c r="AA97" i="44"/>
  <c r="AE97" i="44" s="1"/>
  <c r="AB62" i="44"/>
  <c r="AF62" i="44" s="1"/>
  <c r="AB30" i="44"/>
  <c r="AF30" i="44" s="1"/>
  <c r="AB124" i="44"/>
  <c r="AF124" i="44" s="1"/>
  <c r="AB93" i="44"/>
  <c r="AF93" i="44" s="1"/>
  <c r="AB45" i="44"/>
  <c r="AF45" i="44" s="1"/>
  <c r="AA34" i="44"/>
  <c r="AE34" i="44" s="1"/>
  <c r="AA92" i="44"/>
  <c r="AE92" i="44" s="1"/>
  <c r="AA53" i="44"/>
  <c r="AE53" i="44" s="1"/>
  <c r="AA36" i="44"/>
  <c r="AE36" i="44" s="1"/>
  <c r="AA125" i="44"/>
  <c r="AE125" i="44" s="1"/>
  <c r="AA68" i="44"/>
  <c r="AE68" i="44" s="1"/>
  <c r="AB46" i="44"/>
  <c r="AF46" i="44" s="1"/>
  <c r="AB27" i="44"/>
  <c r="AF27" i="44" s="1"/>
  <c r="AB94" i="44"/>
  <c r="AF94" i="44" s="1"/>
  <c r="AA117" i="44"/>
  <c r="AE117" i="44" s="1"/>
  <c r="AB20" i="44"/>
  <c r="AF20" i="44" s="1"/>
  <c r="AB108" i="44"/>
  <c r="AF108" i="44" s="1"/>
  <c r="AA60" i="44"/>
  <c r="AE60" i="44" s="1"/>
  <c r="AA63" i="44"/>
  <c r="AE63" i="44" s="1"/>
  <c r="AA24" i="44"/>
  <c r="AE24" i="44" s="1"/>
  <c r="AA87" i="44"/>
  <c r="AE87" i="44" s="1"/>
  <c r="AA82" i="44"/>
  <c r="AE82" i="44" s="1"/>
  <c r="AA30" i="44"/>
  <c r="AE30" i="44" s="1"/>
  <c r="AB101" i="44"/>
  <c r="AF101" i="44" s="1"/>
  <c r="AA52" i="44"/>
  <c r="AE52" i="44" s="1"/>
  <c r="AB60" i="44"/>
  <c r="AF60" i="44" s="1"/>
  <c r="AB19" i="44"/>
  <c r="AF19" i="44" s="1"/>
  <c r="AB79" i="44"/>
  <c r="AF79" i="44" s="1"/>
  <c r="AA70" i="44"/>
  <c r="AE70" i="44" s="1"/>
  <c r="AA23" i="44"/>
  <c r="AE23" i="44" s="1"/>
  <c r="AA112" i="44"/>
  <c r="AE112" i="44" s="1"/>
  <c r="AB77" i="44"/>
  <c r="AF77" i="44" s="1"/>
  <c r="AA55" i="44"/>
  <c r="AE55" i="44" s="1"/>
  <c r="AA19" i="44"/>
  <c r="AE19" i="44" s="1"/>
  <c r="AA113" i="44"/>
  <c r="AE113" i="44" s="1"/>
  <c r="AB54" i="44"/>
  <c r="AF54" i="44" s="1"/>
  <c r="AB35" i="44"/>
  <c r="AF35" i="44" s="1"/>
  <c r="AA100" i="44"/>
  <c r="AE100" i="44" s="1"/>
  <c r="AA77" i="44"/>
  <c r="AE77" i="44" s="1"/>
  <c r="AB43" i="44"/>
  <c r="AF43" i="44" s="1"/>
  <c r="AA110" i="44"/>
  <c r="AE110" i="44" s="1"/>
  <c r="AA94" i="44"/>
  <c r="AE94" i="44" s="1"/>
  <c r="AA74" i="44"/>
  <c r="AE74" i="44" s="1"/>
  <c r="AA20" i="44"/>
  <c r="AE20" i="44" s="1"/>
  <c r="AB87" i="44"/>
  <c r="AF87" i="44" s="1"/>
  <c r="AB69" i="44"/>
  <c r="AF69" i="44" s="1"/>
  <c r="AB39" i="44"/>
  <c r="AF39" i="44" s="1"/>
  <c r="AB123" i="44"/>
  <c r="AF123" i="44" s="1"/>
  <c r="AA83" i="44"/>
  <c r="AE83" i="44" s="1"/>
  <c r="AB67" i="44"/>
  <c r="AF67" i="44" s="1"/>
  <c r="AA105" i="44"/>
  <c r="AE105" i="44" s="1"/>
  <c r="AB61" i="44"/>
  <c r="AF61" i="44" s="1"/>
  <c r="AB40" i="44"/>
  <c r="AF40" i="44" s="1"/>
  <c r="AB115" i="44"/>
  <c r="AF115" i="44" s="1"/>
  <c r="AA75" i="44"/>
  <c r="AE75" i="44" s="1"/>
  <c r="AB59" i="44"/>
  <c r="AF59" i="44" s="1"/>
  <c r="AA26" i="44"/>
  <c r="AE26" i="44" s="1"/>
  <c r="AB118" i="44"/>
  <c r="AF118" i="44" s="1"/>
  <c r="AA103" i="44"/>
  <c r="AE103" i="44" s="1"/>
  <c r="AB52" i="44"/>
  <c r="AF52" i="44" s="1"/>
  <c r="AA118" i="44"/>
  <c r="AE118" i="44" s="1"/>
  <c r="AA116" i="44"/>
  <c r="AE116" i="44" s="1"/>
  <c r="AA62" i="44"/>
  <c r="AE62" i="44" s="1"/>
  <c r="AA35" i="44"/>
  <c r="AE35" i="44" s="1"/>
  <c r="AB106" i="44"/>
  <c r="AF106" i="44" s="1"/>
  <c r="AB81" i="44"/>
  <c r="AF81" i="44" s="1"/>
  <c r="AB32" i="44"/>
  <c r="AF32" i="44" s="1"/>
  <c r="AA123" i="44"/>
  <c r="AE123" i="44" s="1"/>
  <c r="AB84" i="44"/>
  <c r="AF84" i="44" s="1"/>
  <c r="AA54" i="44"/>
  <c r="AE54" i="44" s="1"/>
  <c r="AA46" i="44"/>
  <c r="AE46" i="44" s="1"/>
  <c r="AA95" i="44"/>
  <c r="AE95" i="44" s="1"/>
  <c r="AA73" i="44"/>
  <c r="AE73" i="44" s="1"/>
  <c r="AB24" i="44"/>
  <c r="AF24" i="44" s="1"/>
  <c r="AA115" i="44"/>
  <c r="AE115" i="44" s="1"/>
  <c r="AB76" i="44"/>
  <c r="AF76" i="44" s="1"/>
  <c r="AB68" i="44"/>
  <c r="AF68" i="44" s="1"/>
  <c r="AB31" i="44"/>
  <c r="AF31" i="44" s="1"/>
  <c r="AB88" i="44"/>
  <c r="AF88" i="44" s="1"/>
  <c r="AA65" i="44"/>
  <c r="AE65" i="44" s="1"/>
  <c r="AA47" i="44"/>
  <c r="AE47" i="44" s="1"/>
  <c r="AA107" i="44"/>
  <c r="AE107" i="44" s="1"/>
  <c r="AB96" i="44"/>
  <c r="AF96" i="44" s="1"/>
  <c r="AA40" i="44"/>
  <c r="AE40" i="44" s="1"/>
  <c r="AA17" i="44"/>
  <c r="AE17" i="44" s="1"/>
  <c r="AB95" i="44"/>
  <c r="AF95" i="44" s="1"/>
  <c r="AB53" i="44"/>
  <c r="AF53" i="44" s="1"/>
  <c r="AB72" i="44"/>
  <c r="AF72" i="44" s="1"/>
  <c r="AB107" i="44"/>
  <c r="AF107" i="44" s="1"/>
  <c r="AA91" i="44"/>
  <c r="AE91" i="44" s="1"/>
  <c r="AB51" i="44"/>
  <c r="AF51" i="44" s="1"/>
  <c r="AB17" i="44"/>
  <c r="AF17" i="44" s="1"/>
  <c r="AA88" i="44"/>
  <c r="AE88" i="44" s="1"/>
  <c r="AA49" i="44"/>
  <c r="AE49" i="44" s="1"/>
  <c r="AA32" i="44"/>
  <c r="AE32" i="44" s="1"/>
  <c r="AA120" i="44"/>
  <c r="AE120" i="44" s="1"/>
  <c r="AA96" i="44"/>
  <c r="AE96" i="44" s="1"/>
  <c r="AB64" i="44"/>
  <c r="AF64" i="44" s="1"/>
  <c r="AB18" i="44"/>
  <c r="AF18" i="44" s="1"/>
  <c r="AB109" i="44"/>
  <c r="AF109" i="44" s="1"/>
  <c r="AA81" i="44"/>
  <c r="AE81" i="44" s="1"/>
  <c r="AA50" i="44"/>
  <c r="AE50" i="44" s="1"/>
  <c r="AB121" i="44"/>
  <c r="AF121" i="44" s="1"/>
  <c r="AB90" i="44"/>
  <c r="AF90" i="44" s="1"/>
  <c r="AA41" i="44"/>
  <c r="AE41" i="44" s="1"/>
  <c r="AA22" i="44"/>
  <c r="AE22" i="44" s="1"/>
  <c r="AB98" i="44"/>
  <c r="AF98" i="44" s="1"/>
  <c r="AB66" i="44"/>
  <c r="AF66" i="44" s="1"/>
  <c r="AB34" i="44"/>
  <c r="AF34" i="44" s="1"/>
  <c r="AA121" i="44"/>
  <c r="AE121" i="44" s="1"/>
  <c r="AA90" i="44"/>
  <c r="AE90" i="44" s="1"/>
  <c r="AA59" i="44"/>
  <c r="AE59" i="44" s="1"/>
  <c r="AA25" i="44"/>
  <c r="AE25" i="44" s="1"/>
  <c r="AB110" i="44"/>
  <c r="AF110" i="44" s="1"/>
  <c r="AA57" i="44"/>
  <c r="AE57" i="44" s="1"/>
  <c r="AA42" i="44"/>
  <c r="AE42" i="44" s="1"/>
  <c r="AB120" i="44"/>
  <c r="AF120" i="44" s="1"/>
  <c r="AA84" i="44"/>
  <c r="AE84" i="44" s="1"/>
  <c r="AB41" i="44"/>
  <c r="AF41" i="44" s="1"/>
  <c r="AA31" i="44"/>
  <c r="AE31" i="44" s="1"/>
  <c r="AA104" i="44"/>
  <c r="AE104" i="44" s="1"/>
  <c r="AB50" i="44"/>
  <c r="AF50" i="44" s="1"/>
  <c r="AB29" i="44"/>
  <c r="AF29" i="44" s="1"/>
  <c r="AB116" i="44"/>
  <c r="AF116" i="44" s="1"/>
  <c r="AA64" i="44"/>
  <c r="AE64" i="44" s="1"/>
  <c r="AB42" i="44"/>
  <c r="AF42" i="44" s="1"/>
  <c r="AB25" i="44"/>
  <c r="AF25" i="44" s="1"/>
  <c r="AA89" i="44"/>
  <c r="AE89" i="44" s="1"/>
  <c r="AB85" i="44"/>
  <c r="AF85" i="44" s="1"/>
  <c r="AB16" i="44"/>
  <c r="AF16" i="44" s="1"/>
  <c r="AB104" i="44"/>
  <c r="AF104" i="44" s="1"/>
  <c r="AA56" i="44"/>
  <c r="AE56" i="44" s="1"/>
  <c r="AB89" i="44"/>
  <c r="AF89" i="44" s="1"/>
  <c r="AB23" i="44"/>
  <c r="AF23" i="44" s="1"/>
  <c r="AB83" i="44"/>
  <c r="AF83" i="44" s="1"/>
  <c r="AB74" i="44"/>
  <c r="AF74" i="44" s="1"/>
  <c r="AA27" i="44"/>
  <c r="AE27" i="44" s="1"/>
  <c r="AB97" i="44"/>
  <c r="AF97" i="44" s="1"/>
  <c r="AA48" i="44"/>
  <c r="AE48" i="44" s="1"/>
  <c r="AB56" i="44"/>
  <c r="AF56" i="44" s="1"/>
  <c r="AB15" i="44"/>
  <c r="AF15" i="44" s="1"/>
  <c r="AB114" i="44"/>
  <c r="AF114" i="44" s="1"/>
  <c r="AB58" i="44"/>
  <c r="AF58" i="44" s="1"/>
  <c r="AB26" i="44"/>
  <c r="AF26" i="44" s="1"/>
  <c r="AA99" i="44"/>
  <c r="AE99" i="44" s="1"/>
  <c r="AA72" i="44"/>
  <c r="AE72" i="44" s="1"/>
  <c r="AA51" i="44"/>
  <c r="AE51" i="44" s="1"/>
  <c r="AA33" i="44"/>
  <c r="AE33" i="44" s="1"/>
  <c r="AB116" i="46"/>
  <c r="AF116" i="46" s="1"/>
  <c r="AA125" i="46"/>
  <c r="AE125" i="46" s="1"/>
  <c r="AB105" i="46"/>
  <c r="AF105" i="46" s="1"/>
  <c r="AB99" i="46"/>
  <c r="AF99" i="46" s="1"/>
  <c r="AB101" i="46"/>
  <c r="AF101" i="46" s="1"/>
  <c r="AA87" i="46"/>
  <c r="AE87" i="46" s="1"/>
  <c r="AB106" i="46"/>
  <c r="AF106" i="46" s="1"/>
  <c r="AB111" i="46"/>
  <c r="AF111" i="46" s="1"/>
  <c r="AB81" i="46"/>
  <c r="AF81" i="46" s="1"/>
  <c r="AA43" i="46"/>
  <c r="AE43" i="46" s="1"/>
  <c r="AB15" i="46"/>
  <c r="AF15" i="46" s="1"/>
  <c r="AB97" i="46"/>
  <c r="AF97" i="46" s="1"/>
  <c r="AB92" i="46"/>
  <c r="AF92" i="46" s="1"/>
  <c r="AA81" i="46"/>
  <c r="AE81" i="46" s="1"/>
  <c r="AA113" i="46"/>
  <c r="AE113" i="46" s="1"/>
  <c r="AB69" i="46"/>
  <c r="AF69" i="46" s="1"/>
  <c r="AB41" i="46"/>
  <c r="AF41" i="46" s="1"/>
  <c r="AB93" i="46"/>
  <c r="AF93" i="46" s="1"/>
  <c r="AB43" i="46"/>
  <c r="AF43" i="46" s="1"/>
  <c r="AB118" i="46"/>
  <c r="AF118" i="46" s="1"/>
  <c r="AA68" i="46"/>
  <c r="AE68" i="46" s="1"/>
  <c r="AA57" i="46"/>
  <c r="AE57" i="46" s="1"/>
  <c r="AB117" i="46"/>
  <c r="AF117" i="46" s="1"/>
  <c r="AB54" i="46"/>
  <c r="AF54" i="46" s="1"/>
  <c r="AB30" i="46"/>
  <c r="AF30" i="46" s="1"/>
  <c r="AB102" i="46"/>
  <c r="AF102" i="46" s="1"/>
  <c r="AB56" i="46"/>
  <c r="AF56" i="46" s="1"/>
  <c r="AA111" i="46"/>
  <c r="AE111" i="46" s="1"/>
  <c r="AA95" i="46"/>
  <c r="AE95" i="46" s="1"/>
  <c r="AB38" i="46"/>
  <c r="AF38" i="46" s="1"/>
  <c r="AB109" i="46"/>
  <c r="AF109" i="46" s="1"/>
  <c r="AB51" i="46"/>
  <c r="AF51" i="46" s="1"/>
  <c r="AB23" i="46"/>
  <c r="AF23" i="46" s="1"/>
  <c r="AA24" i="46"/>
  <c r="AE24" i="46" s="1"/>
  <c r="AB27" i="46"/>
  <c r="AF27" i="46" s="1"/>
  <c r="AB90" i="46"/>
  <c r="AF90" i="46" s="1"/>
  <c r="AB48" i="46"/>
  <c r="AF48" i="46" s="1"/>
  <c r="AA20" i="46"/>
  <c r="AE20" i="46" s="1"/>
  <c r="AA101" i="46"/>
  <c r="AE101" i="46" s="1"/>
  <c r="AA60" i="46"/>
  <c r="AE60" i="46" s="1"/>
  <c r="AB34" i="46"/>
  <c r="AF34" i="46" s="1"/>
  <c r="AA107" i="46"/>
  <c r="AE107" i="46" s="1"/>
  <c r="AA50" i="46"/>
  <c r="AE50" i="46" s="1"/>
  <c r="AA15" i="46"/>
  <c r="AE15" i="46" s="1"/>
  <c r="AB84" i="46"/>
  <c r="AF84" i="46" s="1"/>
  <c r="AA35" i="46"/>
  <c r="AE35" i="46" s="1"/>
  <c r="AB115" i="46"/>
  <c r="AF115" i="46" s="1"/>
  <c r="AB61" i="46"/>
  <c r="AF61" i="46" s="1"/>
  <c r="AA29" i="46"/>
  <c r="AE29" i="46" s="1"/>
  <c r="AA103" i="46"/>
  <c r="AE103" i="46" s="1"/>
  <c r="AA34" i="46"/>
  <c r="AE34" i="46" s="1"/>
  <c r="AB37" i="46"/>
  <c r="AF37" i="46" s="1"/>
  <c r="AB72" i="46"/>
  <c r="AF72" i="46" s="1"/>
  <c r="AA52" i="46"/>
  <c r="AE52" i="46" s="1"/>
  <c r="AA112" i="46"/>
  <c r="AE112" i="46" s="1"/>
  <c r="AA62" i="46"/>
  <c r="AE62" i="46" s="1"/>
  <c r="AB18" i="46"/>
  <c r="AF18" i="46" s="1"/>
  <c r="AA91" i="46"/>
  <c r="AE91" i="46" s="1"/>
  <c r="AA51" i="46"/>
  <c r="AE51" i="46" s="1"/>
  <c r="AA80" i="46"/>
  <c r="AE80" i="46" s="1"/>
  <c r="AB125" i="46"/>
  <c r="AF125" i="46" s="1"/>
  <c r="AB96" i="46"/>
  <c r="AF96" i="46" s="1"/>
  <c r="AA71" i="46"/>
  <c r="AE71" i="46" s="1"/>
  <c r="AA67" i="46"/>
  <c r="AE67" i="46" s="1"/>
  <c r="AA122" i="46"/>
  <c r="AE122" i="46" s="1"/>
  <c r="AA84" i="46"/>
  <c r="AE84" i="46" s="1"/>
  <c r="AA26" i="46"/>
  <c r="AE26" i="46" s="1"/>
  <c r="AA44" i="46"/>
  <c r="AE44" i="46" s="1"/>
  <c r="AA108" i="46"/>
  <c r="AE108" i="46" s="1"/>
  <c r="AB47" i="46"/>
  <c r="AF47" i="46" s="1"/>
  <c r="AA16" i="46"/>
  <c r="AE16" i="46" s="1"/>
  <c r="AB94" i="46"/>
  <c r="AF94" i="46" s="1"/>
  <c r="AB32" i="46"/>
  <c r="AF32" i="46" s="1"/>
  <c r="AB104" i="46"/>
  <c r="AF104" i="46" s="1"/>
  <c r="AB62" i="46"/>
  <c r="AF62" i="46" s="1"/>
  <c r="AA90" i="46"/>
  <c r="AE90" i="46" s="1"/>
  <c r="AA75" i="46"/>
  <c r="AE75" i="46" s="1"/>
  <c r="AA118" i="46"/>
  <c r="AE118" i="46" s="1"/>
  <c r="AA70" i="46"/>
  <c r="AE70" i="46" s="1"/>
  <c r="AA37" i="46"/>
  <c r="AE37" i="46" s="1"/>
  <c r="AA98" i="46"/>
  <c r="AE98" i="46" s="1"/>
  <c r="AB46" i="46"/>
  <c r="AF46" i="46" s="1"/>
  <c r="AA23" i="46"/>
  <c r="AE23" i="46" s="1"/>
  <c r="AB100" i="46"/>
  <c r="AF100" i="46" s="1"/>
  <c r="AB40" i="46"/>
  <c r="AF40" i="46" s="1"/>
  <c r="AA86" i="46"/>
  <c r="AE86" i="46" s="1"/>
  <c r="AA59" i="46"/>
  <c r="AE59" i="46" s="1"/>
  <c r="AB67" i="46"/>
  <c r="AF67" i="46" s="1"/>
  <c r="AB58" i="46"/>
  <c r="AF58" i="46" s="1"/>
  <c r="AA53" i="46"/>
  <c r="AE53" i="46" s="1"/>
  <c r="AB107" i="46"/>
  <c r="AF107" i="46" s="1"/>
  <c r="AA92" i="46"/>
  <c r="AE92" i="46" s="1"/>
  <c r="AB31" i="46"/>
  <c r="AF31" i="46" s="1"/>
  <c r="AA18" i="46"/>
  <c r="AE18" i="46" s="1"/>
  <c r="AB88" i="46"/>
  <c r="AF88" i="46" s="1"/>
  <c r="AA47" i="46"/>
  <c r="AE47" i="46" s="1"/>
  <c r="AB122" i="46"/>
  <c r="AF122" i="46" s="1"/>
  <c r="AA72" i="46"/>
  <c r="AE72" i="46" s="1"/>
  <c r="AB59" i="46"/>
  <c r="AF59" i="46" s="1"/>
  <c r="AB113" i="46"/>
  <c r="AF113" i="46" s="1"/>
  <c r="AB60" i="46"/>
  <c r="AF60" i="46" s="1"/>
  <c r="AB25" i="46"/>
  <c r="AF25" i="46" s="1"/>
  <c r="AA93" i="46"/>
  <c r="AE93" i="46" s="1"/>
  <c r="AA63" i="46"/>
  <c r="AE63" i="46" s="1"/>
  <c r="AA115" i="46"/>
  <c r="AE115" i="46" s="1"/>
  <c r="AA61" i="46"/>
  <c r="AE61" i="46" s="1"/>
  <c r="AA40" i="46"/>
  <c r="AE40" i="46" s="1"/>
  <c r="AB121" i="46"/>
  <c r="AF121" i="46" s="1"/>
  <c r="AB55" i="46"/>
  <c r="AF55" i="46" s="1"/>
  <c r="AB16" i="46"/>
  <c r="AF16" i="46" s="1"/>
  <c r="AB85" i="46"/>
  <c r="AF85" i="46" s="1"/>
  <c r="AB77" i="46"/>
  <c r="AF77" i="46" s="1"/>
  <c r="AB114" i="46"/>
  <c r="AF114" i="46" s="1"/>
  <c r="AB57" i="46"/>
  <c r="AF57" i="46" s="1"/>
  <c r="AA124" i="46"/>
  <c r="AE124" i="46" s="1"/>
  <c r="AB64" i="46"/>
  <c r="AF64" i="46" s="1"/>
  <c r="AB20" i="46"/>
  <c r="AF20" i="46" s="1"/>
  <c r="AB112" i="46"/>
  <c r="AF112" i="46" s="1"/>
  <c r="AA76" i="46"/>
  <c r="AE76" i="46" s="1"/>
  <c r="AA39" i="46"/>
  <c r="AE39" i="46" s="1"/>
  <c r="AA97" i="46"/>
  <c r="AE97" i="46" s="1"/>
  <c r="AB36" i="46"/>
  <c r="AF36" i="46" s="1"/>
  <c r="AB119" i="46"/>
  <c r="AF119" i="46" s="1"/>
  <c r="AB65" i="46"/>
  <c r="AF65" i="46" s="1"/>
  <c r="AB42" i="46"/>
  <c r="AF42" i="46" s="1"/>
  <c r="AB103" i="46"/>
  <c r="AF103" i="46" s="1"/>
  <c r="AA42" i="46"/>
  <c r="AE42" i="46" s="1"/>
  <c r="AB53" i="46"/>
  <c r="AF53" i="46" s="1"/>
  <c r="AB76" i="46"/>
  <c r="AF76" i="46" s="1"/>
  <c r="AB74" i="46"/>
  <c r="AF74" i="46" s="1"/>
  <c r="AA116" i="46"/>
  <c r="AE116" i="46" s="1"/>
  <c r="AA66" i="46"/>
  <c r="AE66" i="46" s="1"/>
  <c r="AB22" i="46"/>
  <c r="AF22" i="46" s="1"/>
  <c r="AB83" i="46"/>
  <c r="AF83" i="46" s="1"/>
  <c r="AA55" i="46"/>
  <c r="AE55" i="46" s="1"/>
  <c r="AA110" i="46"/>
  <c r="AE110" i="46" s="1"/>
  <c r="AA77" i="46"/>
  <c r="AE77" i="46" s="1"/>
  <c r="AB29" i="46"/>
  <c r="AF29" i="46" s="1"/>
  <c r="AA78" i="46"/>
  <c r="AE78" i="46" s="1"/>
  <c r="AB91" i="46"/>
  <c r="AF91" i="46" s="1"/>
  <c r="AA73" i="46"/>
  <c r="AE73" i="46" s="1"/>
  <c r="AA64" i="46"/>
  <c r="AE64" i="46" s="1"/>
  <c r="AA36" i="46"/>
  <c r="AE36" i="46" s="1"/>
  <c r="AA121" i="46"/>
  <c r="AE121" i="46" s="1"/>
  <c r="AB82" i="46"/>
  <c r="AF82" i="46" s="1"/>
  <c r="AB44" i="46"/>
  <c r="AF44" i="46" s="1"/>
  <c r="AA25" i="46"/>
  <c r="AE25" i="46" s="1"/>
  <c r="AA83" i="46"/>
  <c r="AE83" i="46" s="1"/>
  <c r="AA69" i="46"/>
  <c r="AE69" i="46" s="1"/>
  <c r="AB108" i="46"/>
  <c r="AF108" i="46" s="1"/>
  <c r="AB66" i="46"/>
  <c r="AF66" i="46" s="1"/>
  <c r="AB17" i="46"/>
  <c r="AF17" i="46" s="1"/>
  <c r="AB89" i="46"/>
  <c r="AF89" i="46" s="1"/>
  <c r="AB39" i="46"/>
  <c r="AF39" i="46" s="1"/>
  <c r="AB110" i="46"/>
  <c r="AF110" i="46" s="1"/>
  <c r="AA74" i="46"/>
  <c r="AE74" i="46" s="1"/>
  <c r="AA41" i="46"/>
  <c r="AE41" i="46" s="1"/>
  <c r="AA102" i="46"/>
  <c r="AE102" i="46" s="1"/>
  <c r="AB50" i="46"/>
  <c r="AF50" i="46" s="1"/>
  <c r="AB26" i="46"/>
  <c r="AF26" i="46" s="1"/>
  <c r="AA96" i="46"/>
  <c r="AE96" i="46" s="1"/>
  <c r="AB52" i="46"/>
  <c r="AF52" i="46" s="1"/>
  <c r="AB124" i="46"/>
  <c r="AF124" i="46" s="1"/>
  <c r="AA79" i="46"/>
  <c r="AE79" i="46" s="1"/>
  <c r="AA32" i="46"/>
  <c r="AE32" i="46" s="1"/>
  <c r="AA45" i="46"/>
  <c r="AE45" i="46" s="1"/>
  <c r="AA38" i="46"/>
  <c r="AE38" i="46" s="1"/>
  <c r="AA28" i="46"/>
  <c r="AE28" i="46" s="1"/>
  <c r="AA88" i="46"/>
  <c r="AE88" i="46" s="1"/>
  <c r="AA30" i="46"/>
  <c r="AE30" i="46" s="1"/>
  <c r="AA17" i="46"/>
  <c r="AE17" i="46" s="1"/>
  <c r="AA104" i="46"/>
  <c r="AE104" i="46" s="1"/>
  <c r="AA65" i="46"/>
  <c r="AE65" i="46" s="1"/>
  <c r="AA56" i="46"/>
  <c r="AE56" i="46" s="1"/>
  <c r="AB123" i="46"/>
  <c r="AF123" i="46" s="1"/>
  <c r="AB71" i="46"/>
  <c r="AF71" i="46" s="1"/>
  <c r="AB24" i="46"/>
  <c r="AF24" i="46" s="1"/>
  <c r="AA109" i="46"/>
  <c r="AE109" i="46" s="1"/>
  <c r="AB78" i="46"/>
  <c r="AF78" i="46" s="1"/>
  <c r="AA27" i="46"/>
  <c r="AE27" i="46" s="1"/>
  <c r="AB80" i="46"/>
  <c r="AF80" i="46" s="1"/>
  <c r="AA31" i="46"/>
  <c r="AE31" i="46" s="1"/>
  <c r="AA119" i="46"/>
  <c r="AE119" i="46" s="1"/>
  <c r="AB79" i="46"/>
  <c r="AF79" i="46" s="1"/>
  <c r="AB45" i="46"/>
  <c r="AF45" i="46" s="1"/>
  <c r="AA99" i="46"/>
  <c r="AE99" i="46" s="1"/>
  <c r="AB75" i="46"/>
  <c r="AF75" i="46" s="1"/>
  <c r="AB33" i="46"/>
  <c r="AF33" i="46" s="1"/>
  <c r="AB68" i="46"/>
  <c r="AF68" i="46" s="1"/>
  <c r="AA48" i="46"/>
  <c r="AE48" i="46" s="1"/>
  <c r="AA117" i="46"/>
  <c r="AE117" i="46" s="1"/>
  <c r="AA85" i="46"/>
  <c r="AE85" i="46" s="1"/>
  <c r="AB49" i="46"/>
  <c r="AF49" i="46" s="1"/>
  <c r="AA123" i="46"/>
  <c r="AE123" i="46" s="1"/>
  <c r="AB19" i="46"/>
  <c r="AF19" i="46" s="1"/>
  <c r="AA106" i="46"/>
  <c r="AE106" i="46" s="1"/>
  <c r="AB35" i="46"/>
  <c r="AF35" i="46" s="1"/>
  <c r="AA22" i="46"/>
  <c r="AE22" i="46" s="1"/>
  <c r="AB95" i="46"/>
  <c r="AF95" i="46" s="1"/>
  <c r="AA89" i="46"/>
  <c r="AE89" i="46" s="1"/>
  <c r="AA49" i="46"/>
  <c r="AE49" i="46" s="1"/>
  <c r="AB120" i="46"/>
  <c r="AF120" i="46" s="1"/>
  <c r="AB73" i="46"/>
  <c r="AF73" i="46" s="1"/>
  <c r="AB21" i="46"/>
  <c r="AF21" i="46" s="1"/>
  <c r="AA105" i="46"/>
  <c r="AE105" i="46" s="1"/>
  <c r="AA46" i="46"/>
  <c r="AE46" i="46" s="1"/>
  <c r="AA58" i="46"/>
  <c r="AE58" i="46" s="1"/>
  <c r="AB86" i="46"/>
  <c r="AF86" i="46" s="1"/>
  <c r="AB28" i="46"/>
  <c r="AF28" i="46" s="1"/>
  <c r="AA120" i="46"/>
  <c r="AE120" i="46" s="1"/>
  <c r="AB70" i="46"/>
  <c r="AF70" i="46" s="1"/>
  <c r="AA21" i="46"/>
  <c r="AE21" i="46" s="1"/>
  <c r="AB87" i="46"/>
  <c r="AF87" i="46" s="1"/>
  <c r="AB63" i="46"/>
  <c r="AF63" i="46" s="1"/>
  <c r="AA114" i="46"/>
  <c r="AE114" i="46" s="1"/>
  <c r="AB98" i="46"/>
  <c r="AF98" i="46" s="1"/>
  <c r="AA33" i="46"/>
  <c r="AE33" i="46" s="1"/>
  <c r="AA94" i="46"/>
  <c r="AE94" i="46" s="1"/>
  <c r="AA54" i="46"/>
  <c r="AE54" i="46" s="1"/>
  <c r="AA19" i="46"/>
  <c r="AE19" i="46" s="1"/>
  <c r="AA82" i="46"/>
  <c r="AE82" i="46" s="1"/>
  <c r="AA100" i="46"/>
  <c r="AE100" i="46" s="1"/>
  <c r="AA103" i="38"/>
  <c r="AE103" i="38" s="1"/>
  <c r="AB33" i="38"/>
  <c r="AF33" i="38" s="1"/>
  <c r="AA33" i="38"/>
  <c r="AE33" i="38" s="1"/>
  <c r="AB120" i="38"/>
  <c r="AF120" i="38" s="1"/>
  <c r="AB71" i="38"/>
  <c r="AF71" i="38" s="1"/>
  <c r="AB55" i="38"/>
  <c r="AF55" i="38" s="1"/>
  <c r="AA98" i="38"/>
  <c r="AE98" i="38" s="1"/>
  <c r="AB57" i="38"/>
  <c r="AF57" i="38" s="1"/>
  <c r="AB16" i="38"/>
  <c r="AF16" i="38" s="1"/>
  <c r="AB112" i="38"/>
  <c r="AF112" i="38" s="1"/>
  <c r="AB91" i="38"/>
  <c r="AF91" i="38" s="1"/>
  <c r="AB47" i="38"/>
  <c r="AF47" i="38" s="1"/>
  <c r="AB17" i="38"/>
  <c r="AF17" i="38" s="1"/>
  <c r="AA108" i="38"/>
  <c r="AE108" i="38" s="1"/>
  <c r="AB49" i="38"/>
  <c r="AF49" i="38" s="1"/>
  <c r="AB54" i="38"/>
  <c r="AF54" i="38" s="1"/>
  <c r="AA120" i="38"/>
  <c r="AE120" i="38" s="1"/>
  <c r="AA86" i="38"/>
  <c r="AE86" i="38" s="1"/>
  <c r="AB39" i="38"/>
  <c r="AF39" i="38" s="1"/>
  <c r="AA20" i="38"/>
  <c r="AE20" i="38" s="1"/>
  <c r="AB96" i="38"/>
  <c r="AF96" i="38" s="1"/>
  <c r="AB41" i="38"/>
  <c r="AF41" i="38" s="1"/>
  <c r="AA39" i="38"/>
  <c r="AE39" i="38" s="1"/>
  <c r="AA112" i="38"/>
  <c r="AE112" i="38" s="1"/>
  <c r="AB77" i="38"/>
  <c r="AF77" i="38" s="1"/>
  <c r="AA46" i="38"/>
  <c r="AE46" i="38" s="1"/>
  <c r="AB25" i="38"/>
  <c r="AF25" i="38" s="1"/>
  <c r="AA92" i="38"/>
  <c r="AE92" i="38" s="1"/>
  <c r="AA41" i="38"/>
  <c r="AE41" i="38" s="1"/>
  <c r="AA34" i="38"/>
  <c r="AE34" i="38" s="1"/>
  <c r="AB121" i="38"/>
  <c r="AF121" i="38" s="1"/>
  <c r="AB69" i="38"/>
  <c r="AF69" i="38" s="1"/>
  <c r="AA36" i="38"/>
  <c r="AE36" i="38" s="1"/>
  <c r="AB19" i="38"/>
  <c r="AF19" i="38" s="1"/>
  <c r="AA97" i="38"/>
  <c r="AE97" i="38" s="1"/>
  <c r="AA65" i="38"/>
  <c r="AE65" i="38" s="1"/>
  <c r="AA24" i="38"/>
  <c r="AE24" i="38" s="1"/>
  <c r="AB113" i="38"/>
  <c r="AF113" i="38" s="1"/>
  <c r="AB82" i="38"/>
  <c r="AF82" i="38" s="1"/>
  <c r="AB62" i="38"/>
  <c r="AF62" i="38" s="1"/>
  <c r="AB27" i="38"/>
  <c r="AF27" i="38" s="1"/>
  <c r="AA91" i="38"/>
  <c r="AE91" i="38" s="1"/>
  <c r="AA57" i="38"/>
  <c r="AE57" i="38" s="1"/>
  <c r="AA54" i="38"/>
  <c r="AE54" i="38" s="1"/>
  <c r="AB105" i="38"/>
  <c r="AF105" i="38" s="1"/>
  <c r="AA68" i="38"/>
  <c r="AE68" i="38" s="1"/>
  <c r="AA58" i="38"/>
  <c r="AE58" i="38" s="1"/>
  <c r="AA16" i="38"/>
  <c r="AE16" i="38" s="1"/>
  <c r="AA83" i="38"/>
  <c r="AE83" i="38" s="1"/>
  <c r="AA49" i="38"/>
  <c r="AE49" i="38" s="1"/>
  <c r="AB44" i="38"/>
  <c r="AF44" i="38" s="1"/>
  <c r="AA113" i="38"/>
  <c r="AE113" i="38" s="1"/>
  <c r="AB95" i="38"/>
  <c r="AF95" i="38" s="1"/>
  <c r="AA40" i="38"/>
  <c r="AE40" i="38" s="1"/>
  <c r="AB26" i="38"/>
  <c r="AF26" i="38" s="1"/>
  <c r="AB119" i="38"/>
  <c r="AF119" i="38" s="1"/>
  <c r="AA100" i="38"/>
  <c r="AE100" i="38" s="1"/>
  <c r="AA78" i="38"/>
  <c r="AE78" i="38" s="1"/>
  <c r="AA17" i="38"/>
  <c r="AE17" i="38" s="1"/>
  <c r="AB106" i="38"/>
  <c r="AF106" i="38" s="1"/>
  <c r="AA77" i="38"/>
  <c r="AE77" i="38" s="1"/>
  <c r="AB48" i="38"/>
  <c r="AF48" i="38" s="1"/>
  <c r="AB118" i="38"/>
  <c r="AF118" i="38" s="1"/>
  <c r="AA84" i="38"/>
  <c r="AE84" i="38" s="1"/>
  <c r="AB78" i="38"/>
  <c r="AF78" i="38" s="1"/>
  <c r="AA47" i="38"/>
  <c r="AE47" i="38" s="1"/>
  <c r="AB101" i="38"/>
  <c r="AF101" i="38" s="1"/>
  <c r="AB72" i="38"/>
  <c r="AF72" i="38" s="1"/>
  <c r="AA37" i="38"/>
  <c r="AE37" i="38" s="1"/>
  <c r="AB110" i="38"/>
  <c r="AF110" i="38" s="1"/>
  <c r="AA93" i="38"/>
  <c r="AE93" i="38" s="1"/>
  <c r="AA72" i="38"/>
  <c r="AE72" i="38" s="1"/>
  <c r="AA38" i="38"/>
  <c r="AE38" i="38" s="1"/>
  <c r="AA125" i="38"/>
  <c r="AE125" i="38" s="1"/>
  <c r="AB65" i="38"/>
  <c r="AF65" i="38" s="1"/>
  <c r="AB31" i="38"/>
  <c r="AF31" i="38" s="1"/>
  <c r="AA118" i="38"/>
  <c r="AE118" i="38" s="1"/>
  <c r="AB85" i="38"/>
  <c r="AF85" i="38" s="1"/>
  <c r="AB64" i="38"/>
  <c r="AF64" i="38" s="1"/>
  <c r="AA25" i="38"/>
  <c r="AE25" i="38" s="1"/>
  <c r="AA109" i="38"/>
  <c r="AE109" i="38" s="1"/>
  <c r="AA73" i="38"/>
  <c r="AE73" i="38" s="1"/>
  <c r="AA23" i="38"/>
  <c r="AE23" i="38" s="1"/>
  <c r="AB124" i="38"/>
  <c r="AF124" i="38" s="1"/>
  <c r="AB75" i="38"/>
  <c r="AF75" i="38" s="1"/>
  <c r="AB59" i="38"/>
  <c r="AF59" i="38" s="1"/>
  <c r="AA18" i="38"/>
  <c r="AE18" i="38" s="1"/>
  <c r="AB104" i="38"/>
  <c r="AF104" i="38" s="1"/>
  <c r="AB68" i="38"/>
  <c r="AF68" i="38" s="1"/>
  <c r="AA15" i="38"/>
  <c r="AE15" i="38" s="1"/>
  <c r="AB111" i="38"/>
  <c r="AF111" i="38" s="1"/>
  <c r="AB92" i="38"/>
  <c r="AF92" i="38" s="1"/>
  <c r="AA64" i="38"/>
  <c r="AE64" i="38" s="1"/>
  <c r="AB30" i="38"/>
  <c r="AF30" i="38" s="1"/>
  <c r="AA104" i="38"/>
  <c r="AE104" i="38" s="1"/>
  <c r="AB60" i="38"/>
  <c r="AF60" i="38" s="1"/>
  <c r="AA51" i="38"/>
  <c r="AE51" i="38" s="1"/>
  <c r="AA123" i="38"/>
  <c r="AE123" i="38" s="1"/>
  <c r="AB87" i="38"/>
  <c r="AF87" i="38" s="1"/>
  <c r="AB80" i="38"/>
  <c r="AF80" i="38" s="1"/>
  <c r="AB15" i="38"/>
  <c r="AF15" i="38" s="1"/>
  <c r="AB98" i="38"/>
  <c r="AF98" i="38" s="1"/>
  <c r="AB79" i="38"/>
  <c r="AF79" i="38" s="1"/>
  <c r="AA42" i="38"/>
  <c r="AE42" i="38" s="1"/>
  <c r="AA115" i="38"/>
  <c r="AE115" i="38" s="1"/>
  <c r="AA82" i="38"/>
  <c r="AE82" i="38" s="1"/>
  <c r="AA69" i="38"/>
  <c r="AE69" i="38" s="1"/>
  <c r="AB46" i="38"/>
  <c r="AF46" i="38" s="1"/>
  <c r="AB108" i="38"/>
  <c r="AF108" i="38" s="1"/>
  <c r="AA56" i="38"/>
  <c r="AE56" i="38" s="1"/>
  <c r="AB28" i="38"/>
  <c r="AF28" i="38" s="1"/>
  <c r="AB125" i="38"/>
  <c r="AF125" i="38" s="1"/>
  <c r="AB73" i="38"/>
  <c r="AF73" i="38" s="1"/>
  <c r="AB40" i="38"/>
  <c r="AF40" i="38" s="1"/>
  <c r="AB22" i="38"/>
  <c r="AF22" i="38" s="1"/>
  <c r="AA102" i="38"/>
  <c r="AE102" i="38" s="1"/>
  <c r="AB61" i="38"/>
  <c r="AF61" i="38" s="1"/>
  <c r="AB20" i="38"/>
  <c r="AF20" i="38" s="1"/>
  <c r="AB116" i="38"/>
  <c r="AF116" i="38" s="1"/>
  <c r="AA75" i="38"/>
  <c r="AE75" i="38" s="1"/>
  <c r="AB51" i="38"/>
  <c r="AF51" i="38" s="1"/>
  <c r="AB56" i="38"/>
  <c r="AF56" i="38" s="1"/>
  <c r="AA94" i="38"/>
  <c r="AE94" i="38" s="1"/>
  <c r="AB53" i="38"/>
  <c r="AF53" i="38" s="1"/>
  <c r="AA70" i="38"/>
  <c r="AE70" i="38" s="1"/>
  <c r="AA124" i="38"/>
  <c r="AE124" i="38" s="1"/>
  <c r="AB88" i="38"/>
  <c r="AF88" i="38" s="1"/>
  <c r="AB43" i="38"/>
  <c r="AF43" i="38" s="1"/>
  <c r="AB23" i="38"/>
  <c r="AF23" i="38" s="1"/>
  <c r="AB100" i="38"/>
  <c r="AF100" i="38" s="1"/>
  <c r="AB45" i="38"/>
  <c r="AF45" i="38" s="1"/>
  <c r="AB50" i="38"/>
  <c r="AF50" i="38" s="1"/>
  <c r="AA116" i="38"/>
  <c r="AE116" i="38" s="1"/>
  <c r="AB83" i="38"/>
  <c r="AF83" i="38" s="1"/>
  <c r="AB35" i="38"/>
  <c r="AF35" i="38" s="1"/>
  <c r="AA35" i="38"/>
  <c r="AE35" i="38" s="1"/>
  <c r="AA121" i="38"/>
  <c r="AE121" i="38" s="1"/>
  <c r="AB37" i="38"/>
  <c r="AF37" i="38" s="1"/>
  <c r="AB34" i="38"/>
  <c r="AF34" i="38" s="1"/>
  <c r="AA110" i="38"/>
  <c r="AE110" i="38" s="1"/>
  <c r="AB90" i="38"/>
  <c r="AF90" i="38" s="1"/>
  <c r="AB52" i="38"/>
  <c r="AF52" i="38" s="1"/>
  <c r="AA22" i="38"/>
  <c r="AE22" i="38" s="1"/>
  <c r="AA96" i="38"/>
  <c r="AE96" i="38" s="1"/>
  <c r="AB76" i="38"/>
  <c r="AF76" i="38" s="1"/>
  <c r="AA28" i="38"/>
  <c r="AE28" i="38" s="1"/>
  <c r="AB117" i="38"/>
  <c r="AF117" i="38" s="1"/>
  <c r="AA89" i="38"/>
  <c r="AE89" i="38" s="1"/>
  <c r="AA30" i="38"/>
  <c r="AE30" i="38" s="1"/>
  <c r="AB36" i="38"/>
  <c r="AF36" i="38" s="1"/>
  <c r="AB99" i="38"/>
  <c r="AF99" i="38" s="1"/>
  <c r="AA61" i="38"/>
  <c r="AE61" i="38" s="1"/>
  <c r="AA99" i="38"/>
  <c r="AE99" i="38" s="1"/>
  <c r="AB109" i="38"/>
  <c r="AF109" i="38" s="1"/>
  <c r="AB74" i="38"/>
  <c r="AF74" i="38" s="1"/>
  <c r="AA59" i="38"/>
  <c r="AE59" i="38" s="1"/>
  <c r="AA26" i="38"/>
  <c r="AE26" i="38" s="1"/>
  <c r="AA87" i="38"/>
  <c r="AE87" i="38" s="1"/>
  <c r="AA53" i="38"/>
  <c r="AE53" i="38" s="1"/>
  <c r="AA50" i="38"/>
  <c r="AE50" i="38" s="1"/>
  <c r="AA114" i="38"/>
  <c r="AE114" i="38" s="1"/>
  <c r="AB103" i="38"/>
  <c r="AF103" i="38" s="1"/>
  <c r="AA43" i="38"/>
  <c r="AE43" i="38" s="1"/>
  <c r="AB29" i="38"/>
  <c r="AF29" i="38" s="1"/>
  <c r="AB93" i="38"/>
  <c r="AF93" i="38" s="1"/>
  <c r="AA45" i="38"/>
  <c r="AE45" i="38" s="1"/>
  <c r="AB38" i="38"/>
  <c r="AF38" i="38" s="1"/>
  <c r="AA106" i="38"/>
  <c r="AE106" i="38" s="1"/>
  <c r="AA66" i="38"/>
  <c r="AE66" i="38" s="1"/>
  <c r="AA19" i="38"/>
  <c r="AE19" i="38" s="1"/>
  <c r="AB122" i="38"/>
  <c r="AF122" i="38" s="1"/>
  <c r="AA88" i="38"/>
  <c r="AE88" i="38" s="1"/>
  <c r="AB86" i="38"/>
  <c r="AF86" i="38" s="1"/>
  <c r="AA55" i="38"/>
  <c r="AE55" i="38" s="1"/>
  <c r="AA105" i="38"/>
  <c r="AE105" i="38" s="1"/>
  <c r="AA74" i="38"/>
  <c r="AE74" i="38" s="1"/>
  <c r="AB42" i="38"/>
  <c r="AF42" i="38" s="1"/>
  <c r="AB114" i="38"/>
  <c r="AF114" i="38" s="1"/>
  <c r="AA80" i="38"/>
  <c r="AE80" i="38" s="1"/>
  <c r="AA76" i="38"/>
  <c r="AE76" i="38" s="1"/>
  <c r="AA44" i="38"/>
  <c r="AE44" i="38" s="1"/>
  <c r="AB97" i="38"/>
  <c r="AF97" i="38" s="1"/>
  <c r="AA71" i="38"/>
  <c r="AE71" i="38" s="1"/>
  <c r="AA32" i="38"/>
  <c r="AE32" i="38" s="1"/>
  <c r="AA122" i="38"/>
  <c r="AE122" i="38" s="1"/>
  <c r="AB89" i="38"/>
  <c r="AF89" i="38" s="1"/>
  <c r="AB67" i="38"/>
  <c r="AF67" i="38" s="1"/>
  <c r="AA29" i="38"/>
  <c r="AE29" i="38" s="1"/>
  <c r="AA117" i="38"/>
  <c r="AE117" i="38" s="1"/>
  <c r="AA85" i="38"/>
  <c r="AE85" i="38" s="1"/>
  <c r="AA27" i="38"/>
  <c r="AE27" i="38" s="1"/>
  <c r="AB123" i="38"/>
  <c r="AF123" i="38" s="1"/>
  <c r="AB81" i="38"/>
  <c r="AF81" i="38" s="1"/>
  <c r="AB58" i="38"/>
  <c r="AF58" i="38" s="1"/>
  <c r="AA21" i="38"/>
  <c r="AE21" i="38" s="1"/>
  <c r="AA107" i="38"/>
  <c r="AE107" i="38" s="1"/>
  <c r="AA52" i="38"/>
  <c r="AE52" i="38" s="1"/>
  <c r="AB24" i="38"/>
  <c r="AF24" i="38" s="1"/>
  <c r="AB115" i="38"/>
  <c r="AF115" i="38" s="1"/>
  <c r="AA95" i="38"/>
  <c r="AE95" i="38" s="1"/>
  <c r="AA67" i="38"/>
  <c r="AE67" i="38" s="1"/>
  <c r="AB21" i="38"/>
  <c r="AF21" i="38" s="1"/>
  <c r="AA101" i="38"/>
  <c r="AE101" i="38" s="1"/>
  <c r="AA62" i="38"/>
  <c r="AE62" i="38" s="1"/>
  <c r="AB66" i="38"/>
  <c r="AF66" i="38" s="1"/>
  <c r="AB107" i="38"/>
  <c r="AF107" i="38" s="1"/>
  <c r="AA90" i="38"/>
  <c r="AE90" i="38" s="1"/>
  <c r="AB63" i="38"/>
  <c r="AF63" i="38" s="1"/>
  <c r="AB18" i="38"/>
  <c r="AF18" i="38" s="1"/>
  <c r="AB102" i="38"/>
  <c r="AF102" i="38" s="1"/>
  <c r="AA81" i="38"/>
  <c r="AE81" i="38" s="1"/>
  <c r="AA48" i="38"/>
  <c r="AE48" i="38" s="1"/>
  <c r="AA119" i="38"/>
  <c r="AE119" i="38" s="1"/>
  <c r="AB84" i="38"/>
  <c r="AF84" i="38" s="1"/>
  <c r="AB70" i="38"/>
  <c r="AF70" i="38" s="1"/>
  <c r="AB94" i="38"/>
  <c r="AF94" i="38" s="1"/>
  <c r="AA60" i="38"/>
  <c r="AE60" i="38" s="1"/>
  <c r="AA31" i="38"/>
  <c r="AE31" i="38" s="1"/>
  <c r="AA111" i="38"/>
  <c r="AE111" i="38" s="1"/>
  <c r="AA79" i="38"/>
  <c r="AE79" i="38" s="1"/>
  <c r="AA63" i="38"/>
  <c r="AE63" i="38" s="1"/>
  <c r="AB32" i="38"/>
  <c r="AF32" i="38" s="1"/>
  <c r="AB107" i="39"/>
  <c r="AF107" i="39" s="1"/>
  <c r="AA84" i="39"/>
  <c r="AE84" i="39" s="1"/>
  <c r="AB82" i="39"/>
  <c r="AF82" i="39" s="1"/>
  <c r="AA25" i="39"/>
  <c r="AE25" i="39" s="1"/>
  <c r="AA103" i="39"/>
  <c r="AE103" i="39" s="1"/>
  <c r="AA76" i="39"/>
  <c r="AE76" i="39" s="1"/>
  <c r="AA27" i="39"/>
  <c r="AE27" i="39" s="1"/>
  <c r="AB122" i="39"/>
  <c r="AF122" i="39" s="1"/>
  <c r="AB104" i="39"/>
  <c r="AF104" i="39" s="1"/>
  <c r="AB75" i="39"/>
  <c r="AF75" i="39" s="1"/>
  <c r="AA53" i="39"/>
  <c r="AE53" i="39" s="1"/>
  <c r="AA98" i="39"/>
  <c r="AE98" i="39" s="1"/>
  <c r="AB78" i="39"/>
  <c r="AF78" i="39" s="1"/>
  <c r="AB49" i="39"/>
  <c r="AF49" i="39" s="1"/>
  <c r="AB123" i="39"/>
  <c r="AF123" i="39" s="1"/>
  <c r="AB80" i="39"/>
  <c r="AF80" i="39" s="1"/>
  <c r="AB59" i="39"/>
  <c r="AF59" i="39" s="1"/>
  <c r="AA41" i="39"/>
  <c r="AE41" i="39" s="1"/>
  <c r="AB112" i="39"/>
  <c r="AF112" i="39" s="1"/>
  <c r="AA70" i="39"/>
  <c r="AE70" i="39" s="1"/>
  <c r="AA43" i="39"/>
  <c r="AE43" i="39" s="1"/>
  <c r="AB115" i="39"/>
  <c r="AF115" i="39" s="1"/>
  <c r="AA105" i="39"/>
  <c r="AE105" i="39" s="1"/>
  <c r="AB51" i="39"/>
  <c r="AF51" i="39" s="1"/>
  <c r="AA33" i="39"/>
  <c r="AE33" i="39" s="1"/>
  <c r="AA121" i="39"/>
  <c r="AE121" i="39" s="1"/>
  <c r="AA79" i="39"/>
  <c r="AE79" i="39" s="1"/>
  <c r="AA35" i="39"/>
  <c r="AE35" i="39" s="1"/>
  <c r="AB125" i="39"/>
  <c r="AF125" i="39" s="1"/>
  <c r="AA77" i="39"/>
  <c r="AE77" i="39" s="1"/>
  <c r="AA56" i="39"/>
  <c r="AE56" i="39" s="1"/>
  <c r="AB25" i="39"/>
  <c r="AF25" i="39" s="1"/>
  <c r="AA89" i="39"/>
  <c r="AE89" i="39" s="1"/>
  <c r="AB64" i="39"/>
  <c r="AF64" i="39" s="1"/>
  <c r="AB28" i="39"/>
  <c r="AF28" i="39" s="1"/>
  <c r="AA119" i="39"/>
  <c r="AE119" i="39" s="1"/>
  <c r="AB88" i="39"/>
  <c r="AF88" i="39" s="1"/>
  <c r="AB63" i="39"/>
  <c r="AF63" i="39" s="1"/>
  <c r="AA17" i="39"/>
  <c r="AE17" i="39" s="1"/>
  <c r="AA95" i="39"/>
  <c r="AE95" i="39" s="1"/>
  <c r="AB67" i="39"/>
  <c r="AF67" i="39" s="1"/>
  <c r="AA19" i="39"/>
  <c r="AE19" i="39" s="1"/>
  <c r="AA111" i="39"/>
  <c r="AE111" i="39" s="1"/>
  <c r="AB81" i="39"/>
  <c r="AF81" i="39" s="1"/>
  <c r="AA55" i="39"/>
  <c r="AE55" i="39" s="1"/>
  <c r="AB33" i="39"/>
  <c r="AF33" i="39" s="1"/>
  <c r="AA100" i="39"/>
  <c r="AE100" i="39" s="1"/>
  <c r="AB83" i="39"/>
  <c r="AF83" i="39" s="1"/>
  <c r="AA49" i="39"/>
  <c r="AE49" i="39" s="1"/>
  <c r="AB120" i="39"/>
  <c r="AF120" i="39" s="1"/>
  <c r="AA88" i="39"/>
  <c r="AE88" i="39" s="1"/>
  <c r="AB66" i="39"/>
  <c r="AF66" i="39" s="1"/>
  <c r="AB41" i="39"/>
  <c r="AF41" i="39" s="1"/>
  <c r="AA96" i="39"/>
  <c r="AE96" i="39" s="1"/>
  <c r="AB72" i="39"/>
  <c r="AF72" i="39" s="1"/>
  <c r="AB36" i="39"/>
  <c r="AF36" i="39" s="1"/>
  <c r="AA124" i="39"/>
  <c r="AE124" i="39" s="1"/>
  <c r="AA87" i="39"/>
  <c r="AE87" i="39" s="1"/>
  <c r="AA38" i="39"/>
  <c r="AE38" i="39" s="1"/>
  <c r="AB22" i="39"/>
  <c r="AF22" i="39" s="1"/>
  <c r="AB99" i="39"/>
  <c r="AF99" i="39" s="1"/>
  <c r="AB54" i="39"/>
  <c r="AF54" i="39" s="1"/>
  <c r="AA32" i="39"/>
  <c r="AE32" i="39" s="1"/>
  <c r="AB117" i="39"/>
  <c r="AF117" i="39" s="1"/>
  <c r="AB94" i="39"/>
  <c r="AF94" i="39" s="1"/>
  <c r="AB38" i="39"/>
  <c r="AF38" i="39" s="1"/>
  <c r="AB17" i="39"/>
  <c r="AF17" i="39" s="1"/>
  <c r="AA109" i="39"/>
  <c r="AE109" i="39" s="1"/>
  <c r="AB69" i="39"/>
  <c r="AF69" i="39" s="1"/>
  <c r="AB20" i="39"/>
  <c r="AF20" i="39" s="1"/>
  <c r="AB109" i="39"/>
  <c r="AF109" i="39" s="1"/>
  <c r="AB92" i="39"/>
  <c r="AF92" i="39" s="1"/>
  <c r="AB56" i="39"/>
  <c r="AF56" i="39" s="1"/>
  <c r="AB34" i="39"/>
  <c r="AF34" i="39" s="1"/>
  <c r="AA97" i="39"/>
  <c r="AE97" i="39" s="1"/>
  <c r="AA61" i="39"/>
  <c r="AE61" i="39" s="1"/>
  <c r="AA47" i="39"/>
  <c r="AE47" i="39" s="1"/>
  <c r="AA120" i="39"/>
  <c r="AE120" i="39" s="1"/>
  <c r="AB96" i="39"/>
  <c r="AF96" i="39" s="1"/>
  <c r="AB45" i="39"/>
  <c r="AF45" i="39" s="1"/>
  <c r="AB30" i="39"/>
  <c r="AF30" i="39" s="1"/>
  <c r="AB90" i="39"/>
  <c r="AF90" i="39" s="1"/>
  <c r="AB62" i="39"/>
  <c r="AF62" i="39" s="1"/>
  <c r="AA40" i="39"/>
  <c r="AE40" i="39" s="1"/>
  <c r="AB108" i="39"/>
  <c r="AF108" i="39" s="1"/>
  <c r="AB70" i="39"/>
  <c r="AF70" i="39" s="1"/>
  <c r="AB23" i="39"/>
  <c r="AF23" i="39" s="1"/>
  <c r="AB53" i="39"/>
  <c r="AF53" i="39" s="1"/>
  <c r="AB100" i="39"/>
  <c r="AF100" i="39" s="1"/>
  <c r="AA50" i="39"/>
  <c r="AE50" i="39" s="1"/>
  <c r="AA57" i="39"/>
  <c r="AE57" i="39" s="1"/>
  <c r="AA114" i="39"/>
  <c r="AE114" i="39" s="1"/>
  <c r="AA85" i="39"/>
  <c r="AE85" i="39" s="1"/>
  <c r="AA45" i="39"/>
  <c r="AE45" i="39" s="1"/>
  <c r="AA15" i="39"/>
  <c r="AE15" i="39" s="1"/>
  <c r="AA86" i="39"/>
  <c r="AE86" i="39" s="1"/>
  <c r="AB46" i="39"/>
  <c r="AF46" i="39" s="1"/>
  <c r="AA24" i="39"/>
  <c r="AE24" i="39" s="1"/>
  <c r="AA104" i="39"/>
  <c r="AE104" i="39" s="1"/>
  <c r="AA73" i="39"/>
  <c r="AE73" i="39" s="1"/>
  <c r="AB39" i="39"/>
  <c r="AF39" i="39" s="1"/>
  <c r="AA26" i="39"/>
  <c r="AE26" i="39" s="1"/>
  <c r="AB101" i="39"/>
  <c r="AF101" i="39" s="1"/>
  <c r="AB65" i="39"/>
  <c r="AF65" i="39" s="1"/>
  <c r="AA16" i="39"/>
  <c r="AE16" i="39" s="1"/>
  <c r="AA113" i="39"/>
  <c r="AE113" i="39" s="1"/>
  <c r="AA94" i="39"/>
  <c r="AE94" i="39" s="1"/>
  <c r="AB31" i="39"/>
  <c r="AF31" i="39" s="1"/>
  <c r="AA18" i="39"/>
  <c r="AE18" i="39" s="1"/>
  <c r="AA116" i="39"/>
  <c r="AE116" i="39" s="1"/>
  <c r="AA58" i="39"/>
  <c r="AE58" i="39" s="1"/>
  <c r="AA63" i="39"/>
  <c r="AE63" i="39" s="1"/>
  <c r="AA112" i="39"/>
  <c r="AE112" i="39" s="1"/>
  <c r="AA78" i="39"/>
  <c r="AE78" i="39" s="1"/>
  <c r="AA31" i="39"/>
  <c r="AE31" i="39" s="1"/>
  <c r="AA123" i="39"/>
  <c r="AE123" i="39" s="1"/>
  <c r="AA80" i="39"/>
  <c r="AE80" i="39" s="1"/>
  <c r="AA67" i="39"/>
  <c r="AE67" i="39" s="1"/>
  <c r="AA21" i="39"/>
  <c r="AE21" i="39" s="1"/>
  <c r="AA102" i="39"/>
  <c r="AE102" i="39" s="1"/>
  <c r="AB79" i="39"/>
  <c r="AF79" i="39" s="1"/>
  <c r="AB15" i="39"/>
  <c r="AF15" i="39" s="1"/>
  <c r="AB118" i="39"/>
  <c r="AF118" i="39" s="1"/>
  <c r="AB84" i="39"/>
  <c r="AF84" i="39" s="1"/>
  <c r="AA65" i="39"/>
  <c r="AE65" i="39" s="1"/>
  <c r="AA48" i="39"/>
  <c r="AE48" i="39" s="1"/>
  <c r="AA117" i="39"/>
  <c r="AE117" i="39" s="1"/>
  <c r="AA74" i="39"/>
  <c r="AE74" i="39" s="1"/>
  <c r="AA46" i="39"/>
  <c r="AE46" i="39" s="1"/>
  <c r="AB119" i="39"/>
  <c r="AF119" i="39" s="1"/>
  <c r="AB76" i="39"/>
  <c r="AF76" i="39" s="1"/>
  <c r="AB55" i="39"/>
  <c r="AF55" i="39" s="1"/>
  <c r="AA37" i="39"/>
  <c r="AE37" i="39" s="1"/>
  <c r="AA108" i="39"/>
  <c r="AE108" i="39" s="1"/>
  <c r="AA66" i="39"/>
  <c r="AE66" i="39" s="1"/>
  <c r="AA39" i="39"/>
  <c r="AE39" i="39" s="1"/>
  <c r="AB111" i="39"/>
  <c r="AF111" i="39" s="1"/>
  <c r="AB89" i="39"/>
  <c r="AF89" i="39" s="1"/>
  <c r="AB47" i="39"/>
  <c r="AF47" i="39" s="1"/>
  <c r="AA29" i="39"/>
  <c r="AE29" i="39" s="1"/>
  <c r="AA93" i="39"/>
  <c r="AE93" i="39" s="1"/>
  <c r="AB68" i="39"/>
  <c r="AF68" i="39" s="1"/>
  <c r="AB32" i="39"/>
  <c r="AF32" i="39" s="1"/>
  <c r="AB121" i="39"/>
  <c r="AF121" i="39" s="1"/>
  <c r="AA101" i="39"/>
  <c r="AE101" i="39" s="1"/>
  <c r="AB44" i="39"/>
  <c r="AF44" i="39" s="1"/>
  <c r="AB21" i="39"/>
  <c r="AF21" i="39" s="1"/>
  <c r="AA99" i="39"/>
  <c r="AE99" i="39" s="1"/>
  <c r="AB71" i="39"/>
  <c r="AF71" i="39" s="1"/>
  <c r="AA23" i="39"/>
  <c r="AE23" i="39" s="1"/>
  <c r="AA115" i="39"/>
  <c r="AE115" i="39" s="1"/>
  <c r="AB86" i="39"/>
  <c r="AF86" i="39" s="1"/>
  <c r="AA59" i="39"/>
  <c r="AE59" i="39" s="1"/>
  <c r="AB37" i="39"/>
  <c r="AF37" i="39" s="1"/>
  <c r="AA125" i="39"/>
  <c r="AE125" i="39" s="1"/>
  <c r="AA92" i="39"/>
  <c r="AE92" i="39" s="1"/>
  <c r="AA68" i="39"/>
  <c r="AE68" i="39" s="1"/>
  <c r="AB124" i="39"/>
  <c r="AF124" i="39" s="1"/>
  <c r="AB77" i="39"/>
  <c r="AF77" i="39" s="1"/>
  <c r="AA51" i="39"/>
  <c r="AE51" i="39" s="1"/>
  <c r="AB57" i="39"/>
  <c r="AF57" i="39" s="1"/>
  <c r="AB97" i="39"/>
  <c r="AF97" i="39" s="1"/>
  <c r="AA82" i="39"/>
  <c r="AE82" i="39" s="1"/>
  <c r="AB40" i="39"/>
  <c r="AF40" i="39" s="1"/>
  <c r="AB116" i="39"/>
  <c r="AF116" i="39" s="1"/>
  <c r="AA81" i="39"/>
  <c r="AE81" i="39" s="1"/>
  <c r="AA60" i="39"/>
  <c r="AE60" i="39" s="1"/>
  <c r="AB29" i="39"/>
  <c r="AF29" i="39" s="1"/>
  <c r="AB106" i="39"/>
  <c r="AF106" i="39" s="1"/>
  <c r="AB58" i="39"/>
  <c r="AF58" i="39" s="1"/>
  <c r="AA36" i="39"/>
  <c r="AE36" i="39" s="1"/>
  <c r="AA122" i="39"/>
  <c r="AE122" i="39" s="1"/>
  <c r="AB85" i="39"/>
  <c r="AF85" i="39" s="1"/>
  <c r="AA52" i="39"/>
  <c r="AE52" i="39" s="1"/>
  <c r="AB18" i="39"/>
  <c r="AF18" i="39" s="1"/>
  <c r="AB114" i="39"/>
  <c r="AF114" i="39" s="1"/>
  <c r="AB73" i="39"/>
  <c r="AF73" i="39" s="1"/>
  <c r="AB24" i="39"/>
  <c r="AF24" i="39" s="1"/>
  <c r="AB113" i="39"/>
  <c r="AF113" i="39" s="1"/>
  <c r="AB93" i="39"/>
  <c r="AF93" i="39" s="1"/>
  <c r="AB60" i="39"/>
  <c r="AF60" i="39" s="1"/>
  <c r="AB48" i="39"/>
  <c r="AF48" i="39" s="1"/>
  <c r="AB98" i="39"/>
  <c r="AF98" i="39" s="1"/>
  <c r="AA64" i="39"/>
  <c r="AE64" i="39" s="1"/>
  <c r="AB16" i="39"/>
  <c r="AF16" i="39" s="1"/>
  <c r="AB105" i="39"/>
  <c r="AF105" i="39" s="1"/>
  <c r="AB87" i="39"/>
  <c r="AF87" i="39" s="1"/>
  <c r="AB52" i="39"/>
  <c r="AF52" i="39" s="1"/>
  <c r="AA34" i="39"/>
  <c r="AE34" i="39" s="1"/>
  <c r="AB95" i="39"/>
  <c r="AF95" i="39" s="1"/>
  <c r="AA71" i="39"/>
  <c r="AE71" i="39" s="1"/>
  <c r="AA42" i="39"/>
  <c r="AE42" i="39" s="1"/>
  <c r="AA118" i="39"/>
  <c r="AE118" i="39" s="1"/>
  <c r="AA83" i="39"/>
  <c r="AE83" i="39" s="1"/>
  <c r="AA44" i="39"/>
  <c r="AE44" i="39" s="1"/>
  <c r="AB26" i="39"/>
  <c r="AF26" i="39" s="1"/>
  <c r="AB103" i="39"/>
  <c r="AF103" i="39" s="1"/>
  <c r="AA54" i="39"/>
  <c r="AE54" i="39" s="1"/>
  <c r="AB61" i="39"/>
  <c r="AF61" i="39" s="1"/>
  <c r="AA107" i="39"/>
  <c r="AE107" i="39" s="1"/>
  <c r="AA91" i="39"/>
  <c r="AE91" i="39" s="1"/>
  <c r="AB19" i="39"/>
  <c r="AF19" i="39" s="1"/>
  <c r="AA90" i="39"/>
  <c r="AE90" i="39" s="1"/>
  <c r="AB50" i="39"/>
  <c r="AF50" i="39" s="1"/>
  <c r="AA28" i="39"/>
  <c r="AE28" i="39" s="1"/>
  <c r="AB110" i="39"/>
  <c r="AF110" i="39" s="1"/>
  <c r="AA75" i="39"/>
  <c r="AE75" i="39" s="1"/>
  <c r="AB43" i="39"/>
  <c r="AF43" i="39" s="1"/>
  <c r="AA30" i="39"/>
  <c r="AE30" i="39" s="1"/>
  <c r="AA106" i="39"/>
  <c r="AE106" i="39" s="1"/>
  <c r="AB42" i="39"/>
  <c r="AF42" i="39" s="1"/>
  <c r="AA20" i="39"/>
  <c r="AE20" i="39" s="1"/>
  <c r="AB102" i="39"/>
  <c r="AF102" i="39" s="1"/>
  <c r="AA69" i="39"/>
  <c r="AE69" i="39" s="1"/>
  <c r="AB35" i="39"/>
  <c r="AF35" i="39" s="1"/>
  <c r="AA22" i="39"/>
  <c r="AE22" i="39" s="1"/>
  <c r="AB91" i="39"/>
  <c r="AF91" i="39" s="1"/>
  <c r="AA62" i="39"/>
  <c r="AE62" i="39" s="1"/>
  <c r="AA110" i="39"/>
  <c r="AE110" i="39" s="1"/>
  <c r="AB74" i="39"/>
  <c r="AF74" i="39" s="1"/>
  <c r="AB27" i="39"/>
  <c r="AF27" i="39" s="1"/>
  <c r="AA72" i="39"/>
  <c r="AE72" i="39" s="1"/>
  <c r="AB104" i="42"/>
  <c r="AF104" i="42" s="1"/>
  <c r="AB71" i="42"/>
  <c r="AF71" i="42" s="1"/>
  <c r="AB50" i="42"/>
  <c r="AF50" i="42" s="1"/>
  <c r="AB118" i="42"/>
  <c r="AF118" i="42" s="1"/>
  <c r="AB80" i="42"/>
  <c r="AF80" i="42" s="1"/>
  <c r="AB59" i="42"/>
  <c r="AF59" i="42" s="1"/>
  <c r="AB21" i="42"/>
  <c r="AF21" i="42" s="1"/>
  <c r="AA109" i="42"/>
  <c r="AE109" i="42" s="1"/>
  <c r="AA79" i="42"/>
  <c r="AE79" i="42" s="1"/>
  <c r="AB42" i="42"/>
  <c r="AF42" i="42" s="1"/>
  <c r="AB110" i="42"/>
  <c r="AF110" i="42" s="1"/>
  <c r="AA101" i="42"/>
  <c r="AE101" i="42" s="1"/>
  <c r="AB51" i="42"/>
  <c r="AF51" i="42" s="1"/>
  <c r="AB32" i="42"/>
  <c r="AF32" i="42" s="1"/>
  <c r="AA102" i="42"/>
  <c r="AE102" i="42" s="1"/>
  <c r="AB86" i="42"/>
  <c r="AF86" i="42" s="1"/>
  <c r="AB34" i="42"/>
  <c r="AF34" i="42" s="1"/>
  <c r="AA118" i="42"/>
  <c r="AE118" i="42" s="1"/>
  <c r="AB92" i="42"/>
  <c r="AF92" i="42" s="1"/>
  <c r="AA59" i="42"/>
  <c r="AE59" i="42" s="1"/>
  <c r="AA25" i="42"/>
  <c r="AE25" i="42" s="1"/>
  <c r="AA94" i="42"/>
  <c r="AE94" i="42" s="1"/>
  <c r="AB76" i="42"/>
  <c r="AF76" i="42" s="1"/>
  <c r="AA50" i="42"/>
  <c r="AE50" i="42" s="1"/>
  <c r="AA110" i="42"/>
  <c r="AE110" i="42" s="1"/>
  <c r="AA84" i="42"/>
  <c r="AE84" i="42" s="1"/>
  <c r="AA51" i="42"/>
  <c r="AE51" i="42" s="1"/>
  <c r="AB26" i="42"/>
  <c r="AF26" i="42" s="1"/>
  <c r="AA117" i="42"/>
  <c r="AE117" i="42" s="1"/>
  <c r="AB68" i="42"/>
  <c r="AF68" i="42" s="1"/>
  <c r="AA42" i="42"/>
  <c r="AE42" i="42" s="1"/>
  <c r="AB119" i="42"/>
  <c r="AF119" i="42" s="1"/>
  <c r="AB89" i="42"/>
  <c r="AF89" i="42" s="1"/>
  <c r="AB69" i="42"/>
  <c r="AF69" i="42" s="1"/>
  <c r="AB18" i="42"/>
  <c r="AF18" i="42" s="1"/>
  <c r="AB99" i="42"/>
  <c r="AF99" i="42" s="1"/>
  <c r="AB90" i="42"/>
  <c r="AF90" i="42" s="1"/>
  <c r="AB53" i="42"/>
  <c r="AF53" i="42" s="1"/>
  <c r="AB111" i="42"/>
  <c r="AF111" i="42" s="1"/>
  <c r="AB112" i="42"/>
  <c r="AF112" i="42" s="1"/>
  <c r="AB64" i="42"/>
  <c r="AF64" i="42" s="1"/>
  <c r="AA30" i="42"/>
  <c r="AE30" i="42" s="1"/>
  <c r="AB106" i="42"/>
  <c r="AF106" i="42" s="1"/>
  <c r="AA80" i="42"/>
  <c r="AE80" i="42" s="1"/>
  <c r="AB43" i="42"/>
  <c r="AF43" i="42" s="1"/>
  <c r="AA123" i="42"/>
  <c r="AE123" i="42" s="1"/>
  <c r="AA89" i="42"/>
  <c r="AE89" i="42" s="1"/>
  <c r="AB56" i="42"/>
  <c r="AF56" i="42" s="1"/>
  <c r="AA22" i="42"/>
  <c r="AE22" i="42" s="1"/>
  <c r="AA103" i="42"/>
  <c r="AE103" i="42" s="1"/>
  <c r="AA72" i="42"/>
  <c r="AE72" i="42" s="1"/>
  <c r="AB35" i="42"/>
  <c r="AF35" i="42" s="1"/>
  <c r="AA115" i="42"/>
  <c r="AE115" i="42" s="1"/>
  <c r="AA95" i="42"/>
  <c r="AE95" i="42" s="1"/>
  <c r="AA64" i="42"/>
  <c r="AE64" i="42" s="1"/>
  <c r="AA27" i="42"/>
  <c r="AE27" i="42" s="1"/>
  <c r="AA106" i="42"/>
  <c r="AE106" i="42" s="1"/>
  <c r="AA73" i="42"/>
  <c r="AE73" i="42" s="1"/>
  <c r="AB48" i="42"/>
  <c r="AF48" i="42" s="1"/>
  <c r="AB124" i="42"/>
  <c r="AF124" i="42" s="1"/>
  <c r="AA86" i="42"/>
  <c r="AE86" i="42" s="1"/>
  <c r="AA56" i="42"/>
  <c r="AE56" i="42" s="1"/>
  <c r="AA17" i="42"/>
  <c r="AE17" i="42" s="1"/>
  <c r="AA96" i="42"/>
  <c r="AE96" i="42" s="1"/>
  <c r="AA61" i="42"/>
  <c r="AE61" i="42" s="1"/>
  <c r="AB40" i="42"/>
  <c r="AF40" i="42" s="1"/>
  <c r="AB116" i="42"/>
  <c r="AF116" i="42" s="1"/>
  <c r="AB78" i="42"/>
  <c r="AF78" i="42" s="1"/>
  <c r="AA44" i="42"/>
  <c r="AE44" i="42" s="1"/>
  <c r="AB19" i="42"/>
  <c r="AF19" i="42" s="1"/>
  <c r="AB98" i="42"/>
  <c r="AF98" i="42" s="1"/>
  <c r="AA53" i="42"/>
  <c r="AE53" i="42" s="1"/>
  <c r="AA39" i="42"/>
  <c r="AE39" i="42" s="1"/>
  <c r="AA120" i="42"/>
  <c r="AE120" i="42" s="1"/>
  <c r="AB70" i="42"/>
  <c r="AF70" i="42" s="1"/>
  <c r="AA36" i="42"/>
  <c r="AE36" i="42" s="1"/>
  <c r="AA18" i="42"/>
  <c r="AE18" i="42" s="1"/>
  <c r="AB87" i="42"/>
  <c r="AF87" i="42" s="1"/>
  <c r="AB65" i="42"/>
  <c r="AF65" i="42" s="1"/>
  <c r="AB28" i="42"/>
  <c r="AF28" i="42" s="1"/>
  <c r="AB125" i="42"/>
  <c r="AF125" i="42" s="1"/>
  <c r="AA83" i="42"/>
  <c r="AE83" i="42" s="1"/>
  <c r="AB49" i="42"/>
  <c r="AF49" i="42" s="1"/>
  <c r="AA15" i="42"/>
  <c r="AE15" i="42" s="1"/>
  <c r="AB102" i="42"/>
  <c r="AF102" i="42" s="1"/>
  <c r="AB58" i="42"/>
  <c r="AF58" i="42" s="1"/>
  <c r="AB20" i="42"/>
  <c r="AF20" i="42" s="1"/>
  <c r="AB117" i="42"/>
  <c r="AF117" i="42" s="1"/>
  <c r="AA78" i="42"/>
  <c r="AE78" i="42" s="1"/>
  <c r="AB41" i="42"/>
  <c r="AF41" i="42" s="1"/>
  <c r="AB16" i="42"/>
  <c r="AF16" i="42" s="1"/>
  <c r="AB94" i="42"/>
  <c r="AF94" i="42" s="1"/>
  <c r="AA65" i="42"/>
  <c r="AE65" i="42" s="1"/>
  <c r="AA24" i="42"/>
  <c r="AE24" i="42" s="1"/>
  <c r="AB109" i="42"/>
  <c r="AF109" i="42" s="1"/>
  <c r="AA70" i="42"/>
  <c r="AE70" i="42" s="1"/>
  <c r="AB33" i="42"/>
  <c r="AF33" i="42" s="1"/>
  <c r="AA87" i="42"/>
  <c r="AE87" i="42" s="1"/>
  <c r="AA58" i="42"/>
  <c r="AE58" i="42" s="1"/>
  <c r="AA52" i="42"/>
  <c r="AE52" i="42" s="1"/>
  <c r="AA112" i="42"/>
  <c r="AE112" i="42" s="1"/>
  <c r="AA93" i="42"/>
  <c r="AE93" i="42" s="1"/>
  <c r="AA45" i="42"/>
  <c r="AE45" i="42" s="1"/>
  <c r="AA97" i="42"/>
  <c r="AE97" i="42" s="1"/>
  <c r="AB73" i="42"/>
  <c r="AF73" i="42" s="1"/>
  <c r="AA33" i="42"/>
  <c r="AE33" i="42" s="1"/>
  <c r="AA107" i="42"/>
  <c r="AE107" i="42" s="1"/>
  <c r="AB75" i="42"/>
  <c r="AF75" i="42" s="1"/>
  <c r="AA37" i="42"/>
  <c r="AE37" i="42" s="1"/>
  <c r="AB17" i="42"/>
  <c r="AF17" i="42" s="1"/>
  <c r="AB122" i="42"/>
  <c r="AF122" i="42" s="1"/>
  <c r="AB84" i="42"/>
  <c r="AF84" i="42" s="1"/>
  <c r="AB63" i="42"/>
  <c r="AF63" i="42" s="1"/>
  <c r="AB25" i="42"/>
  <c r="AF25" i="42" s="1"/>
  <c r="AA113" i="42"/>
  <c r="AE113" i="42" s="1"/>
  <c r="AB67" i="42"/>
  <c r="AF67" i="42" s="1"/>
  <c r="AB46" i="42"/>
  <c r="AF46" i="42" s="1"/>
  <c r="AB114" i="42"/>
  <c r="AF114" i="42" s="1"/>
  <c r="AA121" i="42"/>
  <c r="AE121" i="42" s="1"/>
  <c r="AB55" i="42"/>
  <c r="AF55" i="42" s="1"/>
  <c r="AA34" i="42"/>
  <c r="AE34" i="42" s="1"/>
  <c r="AA104" i="42"/>
  <c r="AE104" i="42" s="1"/>
  <c r="AA75" i="42"/>
  <c r="AE75" i="42" s="1"/>
  <c r="AB38" i="42"/>
  <c r="AF38" i="42" s="1"/>
  <c r="AA122" i="42"/>
  <c r="AE122" i="42" s="1"/>
  <c r="AB96" i="42"/>
  <c r="AF96" i="42" s="1"/>
  <c r="AA63" i="42"/>
  <c r="AE63" i="42" s="1"/>
  <c r="AA29" i="42"/>
  <c r="AE29" i="42" s="1"/>
  <c r="AA98" i="42"/>
  <c r="AE98" i="42" s="1"/>
  <c r="AB81" i="42"/>
  <c r="AF81" i="42" s="1"/>
  <c r="AB57" i="42"/>
  <c r="AF57" i="42" s="1"/>
  <c r="AA114" i="42"/>
  <c r="AE114" i="42" s="1"/>
  <c r="AA88" i="42"/>
  <c r="AE88" i="42" s="1"/>
  <c r="AA55" i="42"/>
  <c r="AE55" i="42" s="1"/>
  <c r="AB30" i="42"/>
  <c r="AF30" i="42" s="1"/>
  <c r="AA125" i="42"/>
  <c r="AE125" i="42" s="1"/>
  <c r="AB72" i="42"/>
  <c r="AF72" i="42" s="1"/>
  <c r="AA46" i="42"/>
  <c r="AE46" i="42" s="1"/>
  <c r="AB123" i="42"/>
  <c r="AF123" i="42" s="1"/>
  <c r="AA92" i="42"/>
  <c r="AE92" i="42" s="1"/>
  <c r="AB77" i="42"/>
  <c r="AF77" i="42" s="1"/>
  <c r="AB22" i="42"/>
  <c r="AF22" i="42" s="1"/>
  <c r="AB103" i="42"/>
  <c r="AF103" i="42" s="1"/>
  <c r="AB108" i="42"/>
  <c r="AF108" i="42" s="1"/>
  <c r="AA38" i="42"/>
  <c r="AE38" i="42" s="1"/>
  <c r="AB115" i="42"/>
  <c r="AF115" i="42" s="1"/>
  <c r="AB85" i="42"/>
  <c r="AF85" i="42" s="1"/>
  <c r="AA68" i="42"/>
  <c r="AE68" i="42" s="1"/>
  <c r="AA43" i="42"/>
  <c r="AE43" i="42" s="1"/>
  <c r="AB95" i="42"/>
  <c r="AF95" i="42" s="1"/>
  <c r="AA81" i="42"/>
  <c r="AE81" i="42" s="1"/>
  <c r="AB47" i="42"/>
  <c r="AF47" i="42" s="1"/>
  <c r="AB107" i="42"/>
  <c r="AF107" i="42" s="1"/>
  <c r="AB93" i="42"/>
  <c r="AF93" i="42" s="1"/>
  <c r="AB60" i="42"/>
  <c r="AF60" i="42" s="1"/>
  <c r="AA26" i="42"/>
  <c r="AE26" i="42" s="1"/>
  <c r="AA105" i="42"/>
  <c r="AE105" i="42" s="1"/>
  <c r="AA76" i="42"/>
  <c r="AE76" i="42" s="1"/>
  <c r="AB39" i="42"/>
  <c r="AF39" i="42" s="1"/>
  <c r="AA119" i="42"/>
  <c r="AE119" i="42" s="1"/>
  <c r="AA85" i="42"/>
  <c r="AE85" i="42" s="1"/>
  <c r="AB52" i="42"/>
  <c r="AF52" i="42" s="1"/>
  <c r="AA31" i="42"/>
  <c r="AE31" i="42" s="1"/>
  <c r="AA99" i="42"/>
  <c r="AE99" i="42" s="1"/>
  <c r="AA77" i="42"/>
  <c r="AE77" i="42" s="1"/>
  <c r="AB61" i="42"/>
  <c r="AF61" i="42" s="1"/>
  <c r="AA111" i="42"/>
  <c r="AE111" i="42" s="1"/>
  <c r="AA90" i="42"/>
  <c r="AE90" i="42" s="1"/>
  <c r="AA60" i="42"/>
  <c r="AE60" i="42" s="1"/>
  <c r="AA23" i="42"/>
  <c r="AE23" i="42" s="1"/>
  <c r="AA100" i="42"/>
  <c r="AE100" i="42" s="1"/>
  <c r="AA69" i="42"/>
  <c r="AE69" i="42" s="1"/>
  <c r="AB44" i="42"/>
  <c r="AF44" i="42" s="1"/>
  <c r="AB120" i="42"/>
  <c r="AF120" i="42" s="1"/>
  <c r="AB82" i="42"/>
  <c r="AF82" i="42" s="1"/>
  <c r="AA48" i="42"/>
  <c r="AE48" i="42" s="1"/>
  <c r="AB31" i="42"/>
  <c r="AF31" i="42" s="1"/>
  <c r="AB100" i="42"/>
  <c r="AF100" i="42" s="1"/>
  <c r="AA57" i="42"/>
  <c r="AE57" i="42" s="1"/>
  <c r="AB36" i="42"/>
  <c r="AF36" i="42" s="1"/>
  <c r="AA124" i="42"/>
  <c r="AE124" i="42" s="1"/>
  <c r="AB74" i="42"/>
  <c r="AF74" i="42" s="1"/>
  <c r="AA40" i="42"/>
  <c r="AE40" i="42" s="1"/>
  <c r="AA19" i="42"/>
  <c r="AE19" i="42" s="1"/>
  <c r="AB91" i="42"/>
  <c r="AF91" i="42" s="1"/>
  <c r="AA71" i="42"/>
  <c r="AE71" i="42" s="1"/>
  <c r="AA35" i="42"/>
  <c r="AE35" i="42" s="1"/>
  <c r="AA116" i="42"/>
  <c r="AE116" i="42" s="1"/>
  <c r="AB66" i="42"/>
  <c r="AF66" i="42" s="1"/>
  <c r="AA32" i="42"/>
  <c r="AE32" i="42" s="1"/>
  <c r="AB15" i="42"/>
  <c r="AF15" i="42" s="1"/>
  <c r="AB83" i="42"/>
  <c r="AF83" i="42" s="1"/>
  <c r="AB62" i="42"/>
  <c r="AF62" i="42" s="1"/>
  <c r="AB24" i="42"/>
  <c r="AF24" i="42" s="1"/>
  <c r="AB121" i="42"/>
  <c r="AF121" i="42" s="1"/>
  <c r="AA82" i="42"/>
  <c r="AE82" i="42" s="1"/>
  <c r="AB45" i="42"/>
  <c r="AF45" i="42" s="1"/>
  <c r="AA21" i="42"/>
  <c r="AE21" i="42" s="1"/>
  <c r="AB97" i="42"/>
  <c r="AF97" i="42" s="1"/>
  <c r="AB54" i="42"/>
  <c r="AF54" i="42" s="1"/>
  <c r="AA28" i="42"/>
  <c r="AE28" i="42" s="1"/>
  <c r="AB113" i="42"/>
  <c r="AF113" i="42" s="1"/>
  <c r="AA74" i="42"/>
  <c r="AE74" i="42" s="1"/>
  <c r="AB37" i="42"/>
  <c r="AF37" i="42" s="1"/>
  <c r="AA16" i="42"/>
  <c r="AE16" i="42" s="1"/>
  <c r="AA91" i="42"/>
  <c r="AE91" i="42" s="1"/>
  <c r="AA62" i="42"/>
  <c r="AE62" i="42" s="1"/>
  <c r="AA20" i="42"/>
  <c r="AE20" i="42" s="1"/>
  <c r="AB105" i="42"/>
  <c r="AF105" i="42" s="1"/>
  <c r="AA66" i="42"/>
  <c r="AE66" i="42" s="1"/>
  <c r="AA49" i="42"/>
  <c r="AE49" i="42" s="1"/>
  <c r="AB23" i="42"/>
  <c r="AF23" i="42" s="1"/>
  <c r="AB101" i="42"/>
  <c r="AF101" i="42" s="1"/>
  <c r="AA54" i="42"/>
  <c r="AE54" i="42" s="1"/>
  <c r="AA47" i="42"/>
  <c r="AE47" i="42" s="1"/>
  <c r="AA108" i="42"/>
  <c r="AE108" i="42" s="1"/>
  <c r="AB79" i="42"/>
  <c r="AF79" i="42" s="1"/>
  <c r="AA41" i="42"/>
  <c r="AE41" i="42" s="1"/>
  <c r="AB27" i="42"/>
  <c r="AF27" i="42" s="1"/>
  <c r="AB88" i="42"/>
  <c r="AF88" i="42" s="1"/>
  <c r="AA67" i="42"/>
  <c r="AE67" i="42" s="1"/>
  <c r="AB29" i="42"/>
  <c r="AF29" i="42" s="1"/>
  <c r="AA117" i="43"/>
  <c r="AE117" i="43" s="1"/>
  <c r="AB64" i="43"/>
  <c r="AF64" i="43" s="1"/>
  <c r="AB40" i="43"/>
  <c r="AF40" i="43" s="1"/>
  <c r="AB122" i="43"/>
  <c r="AF122" i="43" s="1"/>
  <c r="AB88" i="43"/>
  <c r="AF88" i="43" s="1"/>
  <c r="AA62" i="43"/>
  <c r="AE62" i="43" s="1"/>
  <c r="AB28" i="43"/>
  <c r="AF28" i="43" s="1"/>
  <c r="AB113" i="43"/>
  <c r="AF113" i="43" s="1"/>
  <c r="AB83" i="43"/>
  <c r="AF83" i="43" s="1"/>
  <c r="AA39" i="43"/>
  <c r="AE39" i="43" s="1"/>
  <c r="AB114" i="43"/>
  <c r="AF114" i="43" s="1"/>
  <c r="AA96" i="43"/>
  <c r="AE96" i="43" s="1"/>
  <c r="AB67" i="43"/>
  <c r="AF67" i="43" s="1"/>
  <c r="AB20" i="43"/>
  <c r="AF20" i="43" s="1"/>
  <c r="AB105" i="43"/>
  <c r="AF105" i="43" s="1"/>
  <c r="AB75" i="43"/>
  <c r="AF75" i="43" s="1"/>
  <c r="AA58" i="43"/>
  <c r="AE58" i="43" s="1"/>
  <c r="AB106" i="43"/>
  <c r="AF106" i="43" s="1"/>
  <c r="AB84" i="43"/>
  <c r="AF84" i="43" s="1"/>
  <c r="AB59" i="43"/>
  <c r="AF59" i="43" s="1"/>
  <c r="AA122" i="43"/>
  <c r="AE122" i="43" s="1"/>
  <c r="AB80" i="43"/>
  <c r="AF80" i="43" s="1"/>
  <c r="AA56" i="43"/>
  <c r="AE56" i="43" s="1"/>
  <c r="AA32" i="43"/>
  <c r="AE32" i="43" s="1"/>
  <c r="AA93" i="43"/>
  <c r="AE93" i="43" s="1"/>
  <c r="AB68" i="43"/>
  <c r="AF68" i="43" s="1"/>
  <c r="AB44" i="43"/>
  <c r="AF44" i="43" s="1"/>
  <c r="AB89" i="43"/>
  <c r="AF89" i="43" s="1"/>
  <c r="AA94" i="43"/>
  <c r="AE94" i="43" s="1"/>
  <c r="AA73" i="43"/>
  <c r="AE73" i="43" s="1"/>
  <c r="AA26" i="43"/>
  <c r="AE26" i="43" s="1"/>
  <c r="AA110" i="43"/>
  <c r="AE110" i="43" s="1"/>
  <c r="AA90" i="43"/>
  <c r="AE90" i="43" s="1"/>
  <c r="AA45" i="43"/>
  <c r="AE45" i="43" s="1"/>
  <c r="AA20" i="43"/>
  <c r="AE20" i="43" s="1"/>
  <c r="AB98" i="43"/>
  <c r="AF98" i="43" s="1"/>
  <c r="AB56" i="43"/>
  <c r="AF56" i="43" s="1"/>
  <c r="AA52" i="43"/>
  <c r="AE52" i="43" s="1"/>
  <c r="AB123" i="43"/>
  <c r="AF123" i="43" s="1"/>
  <c r="AA80" i="43"/>
  <c r="AE80" i="43" s="1"/>
  <c r="AB54" i="43"/>
  <c r="AF54" i="43" s="1"/>
  <c r="AB90" i="43"/>
  <c r="AF90" i="43" s="1"/>
  <c r="AA72" i="43"/>
  <c r="AE72" i="43" s="1"/>
  <c r="AA44" i="43"/>
  <c r="AE44" i="43" s="1"/>
  <c r="AB115" i="43"/>
  <c r="AF115" i="43" s="1"/>
  <c r="AA91" i="43"/>
  <c r="AE91" i="43" s="1"/>
  <c r="AB46" i="43"/>
  <c r="AF46" i="43" s="1"/>
  <c r="AB111" i="43"/>
  <c r="AF111" i="43" s="1"/>
  <c r="AB87" i="43"/>
  <c r="AF87" i="43" s="1"/>
  <c r="AB42" i="43"/>
  <c r="AF42" i="43" s="1"/>
  <c r="AA34" i="43"/>
  <c r="AE34" i="43" s="1"/>
  <c r="AA98" i="43"/>
  <c r="AE98" i="43" s="1"/>
  <c r="AA60" i="43"/>
  <c r="AE60" i="43" s="1"/>
  <c r="AA30" i="43"/>
  <c r="AE30" i="43" s="1"/>
  <c r="AB37" i="43"/>
  <c r="AF37" i="43" s="1"/>
  <c r="AA103" i="43"/>
  <c r="AE103" i="43" s="1"/>
  <c r="AA61" i="43"/>
  <c r="AE61" i="43" s="1"/>
  <c r="AB19" i="43"/>
  <c r="AF19" i="43" s="1"/>
  <c r="AA119" i="43"/>
  <c r="AE119" i="43" s="1"/>
  <c r="AB77" i="43"/>
  <c r="AF77" i="43" s="1"/>
  <c r="AA71" i="43"/>
  <c r="AE71" i="43" s="1"/>
  <c r="AB25" i="43"/>
  <c r="AF25" i="43" s="1"/>
  <c r="AB103" i="43"/>
  <c r="AF103" i="43" s="1"/>
  <c r="AB65" i="43"/>
  <c r="AF65" i="43" s="1"/>
  <c r="AA18" i="43"/>
  <c r="AE18" i="43" s="1"/>
  <c r="AA111" i="43"/>
  <c r="AE111" i="43" s="1"/>
  <c r="AB101" i="43"/>
  <c r="AF101" i="43" s="1"/>
  <c r="AA54" i="43"/>
  <c r="AE54" i="43" s="1"/>
  <c r="AB17" i="43"/>
  <c r="AF17" i="43" s="1"/>
  <c r="AB95" i="43"/>
  <c r="AF95" i="43" s="1"/>
  <c r="AB57" i="43"/>
  <c r="AF57" i="43" s="1"/>
  <c r="AA36" i="43"/>
  <c r="AE36" i="43" s="1"/>
  <c r="AB120" i="43"/>
  <c r="AF120" i="43" s="1"/>
  <c r="AA85" i="43"/>
  <c r="AE85" i="43" s="1"/>
  <c r="AA46" i="43"/>
  <c r="AE46" i="43" s="1"/>
  <c r="AB116" i="43"/>
  <c r="AF116" i="43" s="1"/>
  <c r="AA81" i="43"/>
  <c r="AE81" i="43" s="1"/>
  <c r="AA42" i="43"/>
  <c r="AE42" i="43" s="1"/>
  <c r="AA33" i="43"/>
  <c r="AE33" i="43" s="1"/>
  <c r="AA105" i="43"/>
  <c r="AE105" i="43" s="1"/>
  <c r="AA65" i="43"/>
  <c r="AE65" i="43" s="1"/>
  <c r="AB23" i="43"/>
  <c r="AF23" i="43" s="1"/>
  <c r="AA37" i="43"/>
  <c r="AE37" i="43" s="1"/>
  <c r="AB92" i="43"/>
  <c r="AF92" i="43" s="1"/>
  <c r="AA66" i="43"/>
  <c r="AE66" i="43" s="1"/>
  <c r="AB32" i="43"/>
  <c r="AF32" i="43" s="1"/>
  <c r="AB104" i="43"/>
  <c r="AF104" i="43" s="1"/>
  <c r="AB86" i="43"/>
  <c r="AF86" i="43" s="1"/>
  <c r="AB51" i="43"/>
  <c r="AF51" i="43" s="1"/>
  <c r="AA21" i="43"/>
  <c r="AE21" i="43" s="1"/>
  <c r="AA95" i="43"/>
  <c r="AE95" i="43" s="1"/>
  <c r="AA83" i="43"/>
  <c r="AE83" i="43" s="1"/>
  <c r="AA31" i="43"/>
  <c r="AE31" i="43" s="1"/>
  <c r="AA120" i="43"/>
  <c r="AE120" i="43" s="1"/>
  <c r="AB78" i="43"/>
  <c r="AF78" i="43" s="1"/>
  <c r="AB43" i="43"/>
  <c r="AF43" i="43" s="1"/>
  <c r="AB26" i="43"/>
  <c r="AF26" i="43" s="1"/>
  <c r="AA107" i="43"/>
  <c r="AE107" i="43" s="1"/>
  <c r="AB66" i="43"/>
  <c r="AF66" i="43" s="1"/>
  <c r="AA23" i="43"/>
  <c r="AE23" i="43" s="1"/>
  <c r="AA112" i="43"/>
  <c r="AE112" i="43" s="1"/>
  <c r="AA88" i="43"/>
  <c r="AE88" i="43" s="1"/>
  <c r="AB35" i="43"/>
  <c r="AF35" i="43" s="1"/>
  <c r="AA108" i="43"/>
  <c r="AE108" i="43" s="1"/>
  <c r="AA86" i="43"/>
  <c r="AE86" i="43" s="1"/>
  <c r="AA55" i="43"/>
  <c r="AE55" i="43" s="1"/>
  <c r="AB41" i="43"/>
  <c r="AF41" i="43" s="1"/>
  <c r="AB96" i="43"/>
  <c r="AF96" i="43" s="1"/>
  <c r="AA70" i="43"/>
  <c r="AE70" i="43" s="1"/>
  <c r="AB49" i="43"/>
  <c r="AF49" i="43" s="1"/>
  <c r="AB30" i="43"/>
  <c r="AF30" i="43" s="1"/>
  <c r="AA114" i="43"/>
  <c r="AE114" i="43" s="1"/>
  <c r="AB97" i="43"/>
  <c r="AF97" i="43" s="1"/>
  <c r="AA49" i="43"/>
  <c r="AE49" i="43" s="1"/>
  <c r="AA24" i="43"/>
  <c r="AE24" i="43" s="1"/>
  <c r="AB117" i="43"/>
  <c r="AF117" i="43" s="1"/>
  <c r="AB93" i="43"/>
  <c r="AF93" i="43" s="1"/>
  <c r="AA43" i="43"/>
  <c r="AE43" i="43" s="1"/>
  <c r="AB118" i="43"/>
  <c r="AF118" i="43" s="1"/>
  <c r="AA100" i="43"/>
  <c r="AE100" i="43" s="1"/>
  <c r="AB71" i="43"/>
  <c r="AF71" i="43" s="1"/>
  <c r="AB24" i="43"/>
  <c r="AF24" i="43" s="1"/>
  <c r="AB109" i="43"/>
  <c r="AF109" i="43" s="1"/>
  <c r="AB79" i="43"/>
  <c r="AF79" i="43" s="1"/>
  <c r="AA59" i="43"/>
  <c r="AE59" i="43" s="1"/>
  <c r="AB110" i="43"/>
  <c r="AF110" i="43" s="1"/>
  <c r="AA89" i="43"/>
  <c r="AE89" i="43" s="1"/>
  <c r="AB63" i="43"/>
  <c r="AF63" i="43" s="1"/>
  <c r="AB16" i="43"/>
  <c r="AF16" i="43" s="1"/>
  <c r="AA101" i="43"/>
  <c r="AE101" i="43" s="1"/>
  <c r="AA75" i="43"/>
  <c r="AE75" i="43" s="1"/>
  <c r="AB52" i="43"/>
  <c r="AF52" i="43" s="1"/>
  <c r="AA97" i="43"/>
  <c r="AE97" i="43" s="1"/>
  <c r="AB72" i="43"/>
  <c r="AF72" i="43" s="1"/>
  <c r="AB48" i="43"/>
  <c r="AF48" i="43" s="1"/>
  <c r="AA118" i="43"/>
  <c r="AE118" i="43" s="1"/>
  <c r="AB76" i="43"/>
  <c r="AF76" i="43" s="1"/>
  <c r="AA53" i="43"/>
  <c r="AE53" i="43" s="1"/>
  <c r="AA28" i="43"/>
  <c r="AE28" i="43" s="1"/>
  <c r="AA123" i="43"/>
  <c r="AE123" i="43" s="1"/>
  <c r="AB81" i="43"/>
  <c r="AF81" i="43" s="1"/>
  <c r="AB34" i="43"/>
  <c r="AF34" i="43" s="1"/>
  <c r="AB29" i="43"/>
  <c r="AF29" i="43" s="1"/>
  <c r="AB102" i="43"/>
  <c r="AF102" i="43" s="1"/>
  <c r="AB60" i="43"/>
  <c r="AF60" i="43" s="1"/>
  <c r="AA67" i="43"/>
  <c r="AE67" i="43" s="1"/>
  <c r="AA106" i="43"/>
  <c r="AE106" i="43" s="1"/>
  <c r="AA84" i="43"/>
  <c r="AE84" i="43" s="1"/>
  <c r="AA41" i="43"/>
  <c r="AE41" i="43" s="1"/>
  <c r="AA16" i="43"/>
  <c r="AE16" i="43" s="1"/>
  <c r="AB94" i="43"/>
  <c r="AF94" i="43" s="1"/>
  <c r="AA79" i="43"/>
  <c r="AE79" i="43" s="1"/>
  <c r="AA48" i="43"/>
  <c r="AE48" i="43" s="1"/>
  <c r="AB119" i="43"/>
  <c r="AF119" i="43" s="1"/>
  <c r="AA76" i="43"/>
  <c r="AE76" i="43" s="1"/>
  <c r="AB50" i="43"/>
  <c r="AF50" i="43" s="1"/>
  <c r="AB53" i="43"/>
  <c r="AF53" i="43" s="1"/>
  <c r="AA125" i="43"/>
  <c r="AE125" i="43" s="1"/>
  <c r="AA68" i="43"/>
  <c r="AE68" i="43" s="1"/>
  <c r="AA40" i="43"/>
  <c r="AE40" i="43" s="1"/>
  <c r="AA102" i="43"/>
  <c r="AE102" i="43" s="1"/>
  <c r="AA64" i="43"/>
  <c r="AE64" i="43" s="1"/>
  <c r="AB36" i="43"/>
  <c r="AF36" i="43" s="1"/>
  <c r="AB107" i="43"/>
  <c r="AF107" i="43" s="1"/>
  <c r="AB85" i="43"/>
  <c r="AF85" i="43" s="1"/>
  <c r="AB38" i="43"/>
  <c r="AF38" i="43" s="1"/>
  <c r="AB33" i="43"/>
  <c r="AF33" i="43" s="1"/>
  <c r="AB108" i="43"/>
  <c r="AF108" i="43" s="1"/>
  <c r="AA92" i="43"/>
  <c r="AE92" i="43" s="1"/>
  <c r="AB55" i="43"/>
  <c r="AF55" i="43" s="1"/>
  <c r="AA25" i="43"/>
  <c r="AE25" i="43" s="1"/>
  <c r="AA109" i="43"/>
  <c r="AE109" i="43" s="1"/>
  <c r="AB69" i="43"/>
  <c r="AF69" i="43" s="1"/>
  <c r="AA22" i="43"/>
  <c r="AE22" i="43" s="1"/>
  <c r="AA115" i="43"/>
  <c r="AE115" i="43" s="1"/>
  <c r="AB73" i="43"/>
  <c r="AF73" i="43" s="1"/>
  <c r="AA63" i="43"/>
  <c r="AE63" i="43" s="1"/>
  <c r="AB21" i="43"/>
  <c r="AF21" i="43" s="1"/>
  <c r="AB99" i="43"/>
  <c r="AF99" i="43" s="1"/>
  <c r="AB61" i="43"/>
  <c r="AF61" i="43" s="1"/>
  <c r="AB45" i="43"/>
  <c r="AF45" i="43" s="1"/>
  <c r="AB124" i="43"/>
  <c r="AF124" i="43" s="1"/>
  <c r="AA87" i="43"/>
  <c r="AE87" i="43" s="1"/>
  <c r="AA50" i="43"/>
  <c r="AE50" i="43" s="1"/>
  <c r="AB91" i="43"/>
  <c r="AF91" i="43" s="1"/>
  <c r="AA74" i="43"/>
  <c r="AE74" i="43" s="1"/>
  <c r="AB31" i="43"/>
  <c r="AF31" i="43" s="1"/>
  <c r="AA121" i="43"/>
  <c r="AE121" i="43" s="1"/>
  <c r="AA69" i="43"/>
  <c r="AE69" i="43" s="1"/>
  <c r="AB27" i="43"/>
  <c r="AF27" i="43" s="1"/>
  <c r="AB112" i="43"/>
  <c r="AF112" i="43" s="1"/>
  <c r="AA77" i="43"/>
  <c r="AE77" i="43" s="1"/>
  <c r="AA38" i="43"/>
  <c r="AE38" i="43" s="1"/>
  <c r="AA29" i="43"/>
  <c r="AE29" i="43" s="1"/>
  <c r="AB121" i="43"/>
  <c r="AF121" i="43" s="1"/>
  <c r="AA78" i="43"/>
  <c r="AE78" i="43" s="1"/>
  <c r="AA47" i="43"/>
  <c r="AE47" i="43" s="1"/>
  <c r="AA35" i="43"/>
  <c r="AE35" i="43" s="1"/>
  <c r="AA99" i="43"/>
  <c r="AE99" i="43" s="1"/>
  <c r="AA57" i="43"/>
  <c r="AE57" i="43" s="1"/>
  <c r="AB15" i="43"/>
  <c r="AF15" i="43" s="1"/>
  <c r="AA124" i="43"/>
  <c r="AE124" i="43" s="1"/>
  <c r="AB82" i="43"/>
  <c r="AF82" i="43" s="1"/>
  <c r="AB47" i="43"/>
  <c r="AF47" i="43" s="1"/>
  <c r="AA17" i="43"/>
  <c r="AE17" i="43" s="1"/>
  <c r="AA113" i="43"/>
  <c r="AE113" i="43" s="1"/>
  <c r="AB70" i="43"/>
  <c r="AF70" i="43" s="1"/>
  <c r="AA27" i="43"/>
  <c r="AE27" i="43" s="1"/>
  <c r="AA116" i="43"/>
  <c r="AE116" i="43" s="1"/>
  <c r="AB74" i="43"/>
  <c r="AF74" i="43" s="1"/>
  <c r="AB39" i="43"/>
  <c r="AF39" i="43" s="1"/>
  <c r="AB18" i="43"/>
  <c r="AF18" i="43" s="1"/>
  <c r="AA104" i="43"/>
  <c r="AE104" i="43" s="1"/>
  <c r="AB62" i="43"/>
  <c r="AF62" i="43" s="1"/>
  <c r="AA19" i="43"/>
  <c r="AE19" i="43" s="1"/>
  <c r="AB100" i="43"/>
  <c r="AF100" i="43" s="1"/>
  <c r="AB58" i="43"/>
  <c r="AF58" i="43" s="1"/>
  <c r="AA15" i="43"/>
  <c r="AE15" i="43" s="1"/>
  <c r="AB125" i="43"/>
  <c r="AF125" i="43" s="1"/>
  <c r="AA82" i="43"/>
  <c r="AE82" i="43" s="1"/>
  <c r="AA51" i="43"/>
  <c r="AE51" i="43" s="1"/>
  <c r="AB22" i="43"/>
  <c r="AF22" i="43" s="1"/>
  <c r="AB105" i="45"/>
  <c r="AF105" i="45" s="1"/>
  <c r="AB77" i="45"/>
  <c r="AF77" i="45" s="1"/>
  <c r="AB45" i="45"/>
  <c r="AF45" i="45" s="1"/>
  <c r="AB110" i="45"/>
  <c r="AF110" i="45" s="1"/>
  <c r="AA87" i="45"/>
  <c r="AE87" i="45" s="1"/>
  <c r="AB55" i="45"/>
  <c r="AF55" i="45" s="1"/>
  <c r="AA25" i="45"/>
  <c r="AE25" i="45" s="1"/>
  <c r="AB103" i="45"/>
  <c r="AF103" i="45" s="1"/>
  <c r="AB69" i="45"/>
  <c r="AF69" i="45" s="1"/>
  <c r="AB37" i="45"/>
  <c r="AF37" i="45" s="1"/>
  <c r="AA118" i="45"/>
  <c r="AE118" i="45" s="1"/>
  <c r="AA102" i="45"/>
  <c r="AE102" i="45" s="1"/>
  <c r="AA60" i="45"/>
  <c r="AE60" i="45" s="1"/>
  <c r="AB31" i="45"/>
  <c r="AF31" i="45" s="1"/>
  <c r="AB91" i="45"/>
  <c r="AF91" i="45" s="1"/>
  <c r="AA89" i="45"/>
  <c r="AE89" i="45" s="1"/>
  <c r="AA52" i="45"/>
  <c r="AE52" i="45" s="1"/>
  <c r="AB122" i="45"/>
  <c r="AF122" i="45" s="1"/>
  <c r="AB79" i="45"/>
  <c r="AF79" i="45" s="1"/>
  <c r="AB67" i="45"/>
  <c r="AF67" i="45" s="1"/>
  <c r="AA37" i="45"/>
  <c r="AE37" i="45" s="1"/>
  <c r="AB109" i="45"/>
  <c r="AF109" i="45" s="1"/>
  <c r="AB81" i="45"/>
  <c r="AF81" i="45" s="1"/>
  <c r="AB49" i="45"/>
  <c r="AF49" i="45" s="1"/>
  <c r="AB107" i="45"/>
  <c r="AF107" i="45" s="1"/>
  <c r="AB125" i="45"/>
  <c r="AF125" i="45" s="1"/>
  <c r="AB61" i="45"/>
  <c r="AF61" i="45" s="1"/>
  <c r="AA122" i="45"/>
  <c r="AE122" i="45" s="1"/>
  <c r="AA99" i="45"/>
  <c r="AE99" i="45" s="1"/>
  <c r="AB70" i="45"/>
  <c r="AF70" i="45" s="1"/>
  <c r="AB42" i="45"/>
  <c r="AF42" i="45" s="1"/>
  <c r="AB115" i="45"/>
  <c r="AF115" i="45" s="1"/>
  <c r="AA78" i="45"/>
  <c r="AE78" i="45" s="1"/>
  <c r="AA50" i="45"/>
  <c r="AE50" i="45" s="1"/>
  <c r="AB17" i="45"/>
  <c r="AF17" i="45" s="1"/>
  <c r="AA91" i="45"/>
  <c r="AE91" i="45" s="1"/>
  <c r="AB65" i="45"/>
  <c r="AF65" i="45" s="1"/>
  <c r="AA31" i="45"/>
  <c r="AE31" i="45" s="1"/>
  <c r="AA123" i="45"/>
  <c r="AE123" i="45" s="1"/>
  <c r="AA100" i="45"/>
  <c r="AE100" i="45" s="1"/>
  <c r="AA38" i="45"/>
  <c r="AE38" i="45" s="1"/>
  <c r="AA19" i="45"/>
  <c r="AE19" i="45" s="1"/>
  <c r="AA104" i="45"/>
  <c r="AE104" i="45" s="1"/>
  <c r="AB53" i="45"/>
  <c r="AF53" i="45" s="1"/>
  <c r="AB68" i="45"/>
  <c r="AF68" i="45" s="1"/>
  <c r="AA110" i="45"/>
  <c r="AE110" i="45" s="1"/>
  <c r="AB89" i="45"/>
  <c r="AF89" i="45" s="1"/>
  <c r="AB60" i="45"/>
  <c r="AF60" i="45" s="1"/>
  <c r="AB23" i="45"/>
  <c r="AF23" i="45" s="1"/>
  <c r="AA103" i="45"/>
  <c r="AE103" i="45" s="1"/>
  <c r="AB74" i="45"/>
  <c r="AF74" i="45" s="1"/>
  <c r="AB46" i="45"/>
  <c r="AF46" i="45" s="1"/>
  <c r="AB102" i="45"/>
  <c r="AF102" i="45" s="1"/>
  <c r="AA72" i="45"/>
  <c r="AE72" i="45" s="1"/>
  <c r="AA27" i="45"/>
  <c r="AE27" i="45" s="1"/>
  <c r="AA106" i="45"/>
  <c r="AE106" i="45" s="1"/>
  <c r="AB92" i="45"/>
  <c r="AF92" i="45" s="1"/>
  <c r="AA57" i="45"/>
  <c r="AE57" i="45" s="1"/>
  <c r="AB28" i="45"/>
  <c r="AF28" i="45" s="1"/>
  <c r="AB120" i="45"/>
  <c r="AF120" i="45" s="1"/>
  <c r="AA75" i="45"/>
  <c r="AE75" i="45" s="1"/>
  <c r="AA59" i="45"/>
  <c r="AE59" i="45" s="1"/>
  <c r="AB18" i="45"/>
  <c r="AF18" i="45" s="1"/>
  <c r="AB101" i="45"/>
  <c r="AF101" i="45" s="1"/>
  <c r="AA86" i="45"/>
  <c r="AE86" i="45" s="1"/>
  <c r="AB20" i="45"/>
  <c r="AF20" i="45" s="1"/>
  <c r="AB108" i="45"/>
  <c r="AF108" i="45" s="1"/>
  <c r="AB84" i="45"/>
  <c r="AF84" i="45" s="1"/>
  <c r="AA39" i="45"/>
  <c r="AE39" i="45" s="1"/>
  <c r="AA22" i="45"/>
  <c r="AE22" i="45" s="1"/>
  <c r="AA94" i="45"/>
  <c r="AE94" i="45" s="1"/>
  <c r="AB66" i="45"/>
  <c r="AF66" i="45" s="1"/>
  <c r="AA24" i="45"/>
  <c r="AE24" i="45" s="1"/>
  <c r="AA115" i="45"/>
  <c r="AE115" i="45" s="1"/>
  <c r="AB71" i="45"/>
  <c r="AF71" i="45" s="1"/>
  <c r="AB47" i="45"/>
  <c r="AF47" i="45" s="1"/>
  <c r="AB52" i="45"/>
  <c r="AF52" i="45" s="1"/>
  <c r="AB96" i="45"/>
  <c r="AF96" i="45" s="1"/>
  <c r="AA61" i="45"/>
  <c r="AE61" i="45" s="1"/>
  <c r="AB32" i="45"/>
  <c r="AF32" i="45" s="1"/>
  <c r="AA42" i="45"/>
  <c r="AE42" i="45" s="1"/>
  <c r="AA44" i="45"/>
  <c r="AE44" i="45" s="1"/>
  <c r="AB97" i="45"/>
  <c r="AF97" i="45" s="1"/>
  <c r="AA64" i="45"/>
  <c r="AE64" i="45" s="1"/>
  <c r="AB82" i="45"/>
  <c r="AF82" i="45" s="1"/>
  <c r="AB54" i="45"/>
  <c r="AF54" i="45" s="1"/>
  <c r="AA36" i="45"/>
  <c r="AE36" i="45" s="1"/>
  <c r="AA112" i="45"/>
  <c r="AE112" i="45" s="1"/>
  <c r="AA82" i="45"/>
  <c r="AE82" i="45" s="1"/>
  <c r="AA55" i="45"/>
  <c r="AE55" i="45" s="1"/>
  <c r="AA15" i="45"/>
  <c r="AE15" i="45" s="1"/>
  <c r="AB98" i="45"/>
  <c r="AF98" i="45" s="1"/>
  <c r="AA62" i="45"/>
  <c r="AE62" i="45" s="1"/>
  <c r="AB29" i="45"/>
  <c r="AF29" i="45" s="1"/>
  <c r="AB121" i="45"/>
  <c r="AF121" i="45" s="1"/>
  <c r="AA101" i="45"/>
  <c r="AE101" i="45" s="1"/>
  <c r="AA40" i="45"/>
  <c r="AE40" i="45" s="1"/>
  <c r="AA16" i="45"/>
  <c r="AE16" i="45" s="1"/>
  <c r="AB83" i="45"/>
  <c r="AF83" i="45" s="1"/>
  <c r="AA73" i="45"/>
  <c r="AE73" i="45" s="1"/>
  <c r="AA41" i="45"/>
  <c r="AE41" i="45" s="1"/>
  <c r="AA124" i="45"/>
  <c r="AE124" i="45" s="1"/>
  <c r="AB76" i="45"/>
  <c r="AF76" i="45" s="1"/>
  <c r="AB44" i="45"/>
  <c r="AF44" i="45" s="1"/>
  <c r="AB30" i="45"/>
  <c r="AF30" i="45" s="1"/>
  <c r="AB86" i="45"/>
  <c r="AF86" i="45" s="1"/>
  <c r="AB58" i="45"/>
  <c r="AF58" i="45" s="1"/>
  <c r="AA51" i="45"/>
  <c r="AE51" i="45" s="1"/>
  <c r="AA49" i="45"/>
  <c r="AE49" i="45" s="1"/>
  <c r="AA26" i="45"/>
  <c r="AE26" i="45" s="1"/>
  <c r="AA81" i="45"/>
  <c r="AE81" i="45" s="1"/>
  <c r="AB35" i="45"/>
  <c r="AF35" i="45" s="1"/>
  <c r="AB114" i="45"/>
  <c r="AF114" i="45" s="1"/>
  <c r="AA98" i="45"/>
  <c r="AE98" i="45" s="1"/>
  <c r="AB59" i="45"/>
  <c r="AF59" i="45" s="1"/>
  <c r="AA29" i="45"/>
  <c r="AE29" i="45" s="1"/>
  <c r="AA117" i="45"/>
  <c r="AE117" i="45" s="1"/>
  <c r="AB73" i="45"/>
  <c r="AF73" i="45" s="1"/>
  <c r="AB41" i="45"/>
  <c r="AF41" i="45" s="1"/>
  <c r="AB106" i="45"/>
  <c r="AF106" i="45" s="1"/>
  <c r="AA83" i="45"/>
  <c r="AE83" i="45" s="1"/>
  <c r="AA68" i="45"/>
  <c r="AE68" i="45" s="1"/>
  <c r="AB38" i="45"/>
  <c r="AF38" i="45" s="1"/>
  <c r="AB95" i="45"/>
  <c r="AF95" i="45" s="1"/>
  <c r="AA93" i="45"/>
  <c r="AE93" i="45" s="1"/>
  <c r="AB56" i="45"/>
  <c r="AF56" i="45" s="1"/>
  <c r="AA114" i="45"/>
  <c r="AE114" i="45" s="1"/>
  <c r="AA92" i="45"/>
  <c r="AE92" i="45" s="1"/>
  <c r="AA67" i="45"/>
  <c r="AE67" i="45" s="1"/>
  <c r="AB27" i="45"/>
  <c r="AF27" i="45" s="1"/>
  <c r="AB113" i="45"/>
  <c r="AF113" i="45" s="1"/>
  <c r="AA85" i="45"/>
  <c r="AE85" i="45" s="1"/>
  <c r="AB51" i="45"/>
  <c r="AF51" i="45" s="1"/>
  <c r="AB118" i="45"/>
  <c r="AF118" i="45" s="1"/>
  <c r="AA109" i="45"/>
  <c r="AE109" i="45" s="1"/>
  <c r="AB63" i="45"/>
  <c r="AF63" i="45" s="1"/>
  <c r="AA33" i="45"/>
  <c r="AE33" i="45" s="1"/>
  <c r="AB112" i="45"/>
  <c r="AF112" i="45" s="1"/>
  <c r="AB99" i="45"/>
  <c r="AF99" i="45" s="1"/>
  <c r="AA32" i="45"/>
  <c r="AE32" i="45" s="1"/>
  <c r="AB119" i="45"/>
  <c r="AF119" i="45" s="1"/>
  <c r="AA96" i="45"/>
  <c r="AE96" i="45" s="1"/>
  <c r="AA53" i="45"/>
  <c r="AE53" i="45" s="1"/>
  <c r="AB19" i="45"/>
  <c r="AF19" i="45" s="1"/>
  <c r="AA95" i="45"/>
  <c r="AE95" i="45" s="1"/>
  <c r="AA77" i="45"/>
  <c r="AE77" i="45" s="1"/>
  <c r="AA35" i="45"/>
  <c r="AE35" i="45" s="1"/>
  <c r="AB111" i="45"/>
  <c r="AF111" i="45" s="1"/>
  <c r="AA74" i="45"/>
  <c r="AE74" i="45" s="1"/>
  <c r="AA46" i="45"/>
  <c r="AE46" i="45" s="1"/>
  <c r="AA105" i="45"/>
  <c r="AE105" i="45" s="1"/>
  <c r="AB57" i="45"/>
  <c r="AF57" i="45" s="1"/>
  <c r="AA23" i="45"/>
  <c r="AE23" i="45" s="1"/>
  <c r="AA119" i="45"/>
  <c r="AE119" i="45" s="1"/>
  <c r="AB75" i="45"/>
  <c r="AF75" i="45" s="1"/>
  <c r="AA63" i="45"/>
  <c r="AE63" i="45" s="1"/>
  <c r="AA17" i="45"/>
  <c r="AE17" i="45" s="1"/>
  <c r="AA125" i="45"/>
  <c r="AE125" i="45" s="1"/>
  <c r="AB78" i="45"/>
  <c r="AF78" i="45" s="1"/>
  <c r="AB50" i="45"/>
  <c r="AF50" i="45" s="1"/>
  <c r="AB123" i="45"/>
  <c r="AF123" i="45" s="1"/>
  <c r="AB85" i="45"/>
  <c r="AF85" i="45" s="1"/>
  <c r="AA56" i="45"/>
  <c r="AE56" i="45" s="1"/>
  <c r="AA21" i="45"/>
  <c r="AE21" i="45" s="1"/>
  <c r="AB90" i="45"/>
  <c r="AF90" i="45" s="1"/>
  <c r="AB94" i="45"/>
  <c r="AF94" i="45" s="1"/>
  <c r="AA97" i="45"/>
  <c r="AE97" i="45" s="1"/>
  <c r="AB124" i="45"/>
  <c r="AF124" i="45" s="1"/>
  <c r="AA79" i="45"/>
  <c r="AE79" i="45" s="1"/>
  <c r="AB39" i="45"/>
  <c r="AF39" i="45" s="1"/>
  <c r="AB22" i="45"/>
  <c r="AF22" i="45" s="1"/>
  <c r="AA121" i="45"/>
  <c r="AE121" i="45" s="1"/>
  <c r="AA88" i="45"/>
  <c r="AE88" i="45" s="1"/>
  <c r="AB24" i="45"/>
  <c r="AF24" i="45" s="1"/>
  <c r="AB116" i="45"/>
  <c r="AF116" i="45" s="1"/>
  <c r="AA71" i="45"/>
  <c r="AE71" i="45" s="1"/>
  <c r="AA47" i="45"/>
  <c r="AE47" i="45" s="1"/>
  <c r="AB26" i="45"/>
  <c r="AF26" i="45" s="1"/>
  <c r="AB93" i="45"/>
  <c r="AF93" i="45" s="1"/>
  <c r="AA69" i="45"/>
  <c r="AE69" i="45" s="1"/>
  <c r="AA28" i="45"/>
  <c r="AE28" i="45" s="1"/>
  <c r="AB104" i="45"/>
  <c r="AF104" i="45" s="1"/>
  <c r="AA80" i="45"/>
  <c r="AE80" i="45" s="1"/>
  <c r="AB48" i="45"/>
  <c r="AF48" i="45" s="1"/>
  <c r="AA18" i="45"/>
  <c r="AE18" i="45" s="1"/>
  <c r="AB100" i="45"/>
  <c r="AF100" i="45" s="1"/>
  <c r="AA65" i="45"/>
  <c r="AE65" i="45" s="1"/>
  <c r="AA45" i="45"/>
  <c r="AE45" i="45" s="1"/>
  <c r="AA111" i="45"/>
  <c r="AE111" i="45" s="1"/>
  <c r="AB80" i="45"/>
  <c r="AF80" i="45" s="1"/>
  <c r="AB43" i="45"/>
  <c r="AF43" i="45" s="1"/>
  <c r="AB34" i="45"/>
  <c r="AF34" i="45" s="1"/>
  <c r="AA43" i="45"/>
  <c r="AE43" i="45" s="1"/>
  <c r="AB64" i="45"/>
  <c r="AF64" i="45" s="1"/>
  <c r="AA58" i="45"/>
  <c r="AE58" i="45" s="1"/>
  <c r="AA116" i="45"/>
  <c r="AE116" i="45" s="1"/>
  <c r="AA84" i="45"/>
  <c r="AE84" i="45" s="1"/>
  <c r="AB36" i="45"/>
  <c r="AF36" i="45" s="1"/>
  <c r="AA30" i="45"/>
  <c r="AE30" i="45" s="1"/>
  <c r="AA107" i="45"/>
  <c r="AE107" i="45" s="1"/>
  <c r="AA66" i="45"/>
  <c r="AE66" i="45" s="1"/>
  <c r="AB33" i="45"/>
  <c r="AF33" i="45" s="1"/>
  <c r="AA108" i="45"/>
  <c r="AE108" i="45" s="1"/>
  <c r="AA76" i="45"/>
  <c r="AE76" i="45" s="1"/>
  <c r="AA48" i="45"/>
  <c r="AE48" i="45" s="1"/>
  <c r="AB16" i="45"/>
  <c r="AF16" i="45" s="1"/>
  <c r="AB87" i="45"/>
  <c r="AF87" i="45" s="1"/>
  <c r="AA54" i="45"/>
  <c r="AE54" i="45" s="1"/>
  <c r="AB21" i="45"/>
  <c r="AF21" i="45" s="1"/>
  <c r="AB117" i="45"/>
  <c r="AF117" i="45" s="1"/>
  <c r="AB88" i="45"/>
  <c r="AF88" i="45" s="1"/>
  <c r="AA70" i="45"/>
  <c r="AE70" i="45" s="1"/>
  <c r="AA90" i="45"/>
  <c r="AE90" i="45" s="1"/>
  <c r="AB62" i="45"/>
  <c r="AF62" i="45" s="1"/>
  <c r="AA20" i="45"/>
  <c r="AE20" i="45" s="1"/>
  <c r="AA120" i="45"/>
  <c r="AE120" i="45" s="1"/>
  <c r="AB72" i="45"/>
  <c r="AF72" i="45" s="1"/>
  <c r="AB40" i="45"/>
  <c r="AF40" i="45" s="1"/>
  <c r="AB15" i="45"/>
  <c r="AF15" i="45" s="1"/>
  <c r="AA34" i="45"/>
  <c r="AE34" i="45" s="1"/>
  <c r="AA113" i="45"/>
  <c r="AE113" i="45" s="1"/>
  <c r="AB25" i="45"/>
  <c r="AF25" i="45" s="1"/>
  <c r="AA122" i="37"/>
  <c r="AE122" i="37" s="1"/>
  <c r="AA82" i="37"/>
  <c r="AE82" i="37" s="1"/>
  <c r="AA37" i="37"/>
  <c r="AE37" i="37" s="1"/>
  <c r="AA71" i="37"/>
  <c r="AE71" i="37" s="1"/>
  <c r="AB101" i="37"/>
  <c r="AF101" i="37" s="1"/>
  <c r="AB62" i="37"/>
  <c r="AF62" i="37" s="1"/>
  <c r="AB18" i="37"/>
  <c r="AF18" i="37" s="1"/>
  <c r="AB104" i="37"/>
  <c r="AF104" i="37" s="1"/>
  <c r="AA75" i="37"/>
  <c r="AE75" i="37" s="1"/>
  <c r="AB40" i="37"/>
  <c r="AF40" i="37" s="1"/>
  <c r="AA28" i="37"/>
  <c r="AE28" i="37" s="1"/>
  <c r="AB23" i="37"/>
  <c r="AF23" i="37" s="1"/>
  <c r="AA35" i="37"/>
  <c r="AE35" i="37" s="1"/>
  <c r="AB98" i="37"/>
  <c r="AF98" i="37" s="1"/>
  <c r="AB59" i="37"/>
  <c r="AF59" i="37" s="1"/>
  <c r="AB27" i="37"/>
  <c r="AF27" i="37" s="1"/>
  <c r="AA17" i="37"/>
  <c r="AE17" i="37" s="1"/>
  <c r="AB89" i="37"/>
  <c r="AF89" i="37" s="1"/>
  <c r="AB56" i="37"/>
  <c r="AF56" i="37" s="1"/>
  <c r="AB121" i="37"/>
  <c r="AF121" i="37" s="1"/>
  <c r="AA106" i="37"/>
  <c r="AE106" i="37" s="1"/>
  <c r="AB76" i="37"/>
  <c r="AF76" i="37" s="1"/>
  <c r="AB50" i="37"/>
  <c r="AF50" i="37" s="1"/>
  <c r="AB110" i="37"/>
  <c r="AF110" i="37" s="1"/>
  <c r="AA90" i="37"/>
  <c r="AE90" i="37" s="1"/>
  <c r="AA66" i="37"/>
  <c r="AE66" i="37" s="1"/>
  <c r="AB24" i="37"/>
  <c r="AF24" i="37" s="1"/>
  <c r="AB84" i="37"/>
  <c r="AF84" i="37" s="1"/>
  <c r="AA107" i="37"/>
  <c r="AE107" i="37" s="1"/>
  <c r="AB66" i="37"/>
  <c r="AF66" i="37" s="1"/>
  <c r="AB22" i="37"/>
  <c r="AF22" i="37" s="1"/>
  <c r="AB34" i="37"/>
  <c r="AF34" i="37" s="1"/>
  <c r="AA124" i="37"/>
  <c r="AE124" i="37" s="1"/>
  <c r="AB53" i="37"/>
  <c r="AF53" i="37" s="1"/>
  <c r="AA39" i="37"/>
  <c r="AE39" i="37" s="1"/>
  <c r="AA123" i="37"/>
  <c r="AE123" i="37" s="1"/>
  <c r="AB95" i="37"/>
  <c r="AF95" i="37" s="1"/>
  <c r="AB47" i="37"/>
  <c r="AF47" i="37" s="1"/>
  <c r="AA27" i="37"/>
  <c r="AE27" i="37" s="1"/>
  <c r="AA88" i="37"/>
  <c r="AE88" i="37" s="1"/>
  <c r="AB123" i="37"/>
  <c r="AF123" i="37" s="1"/>
  <c r="AA89" i="37"/>
  <c r="AE89" i="37" s="1"/>
  <c r="AA59" i="37"/>
  <c r="AE59" i="37" s="1"/>
  <c r="AA20" i="37"/>
  <c r="AE20" i="37" s="1"/>
  <c r="AA19" i="37"/>
  <c r="AE19" i="37" s="1"/>
  <c r="AB94" i="37"/>
  <c r="AF94" i="37" s="1"/>
  <c r="AA61" i="37"/>
  <c r="AE61" i="37" s="1"/>
  <c r="AB109" i="37"/>
  <c r="AF109" i="37" s="1"/>
  <c r="AA116" i="37"/>
  <c r="AE116" i="37" s="1"/>
  <c r="AB57" i="37"/>
  <c r="AF57" i="37" s="1"/>
  <c r="AB54" i="37"/>
  <c r="AF54" i="37" s="1"/>
  <c r="AA111" i="37"/>
  <c r="AE111" i="37" s="1"/>
  <c r="AA72" i="37"/>
  <c r="AE72" i="37" s="1"/>
  <c r="AB64" i="37"/>
  <c r="AF64" i="37" s="1"/>
  <c r="AA33" i="37"/>
  <c r="AE33" i="37" s="1"/>
  <c r="AB68" i="37"/>
  <c r="AF68" i="37" s="1"/>
  <c r="AA97" i="37"/>
  <c r="AE97" i="37" s="1"/>
  <c r="AA65" i="37"/>
  <c r="AE65" i="37" s="1"/>
  <c r="AB51" i="37"/>
  <c r="AF51" i="37" s="1"/>
  <c r="AB125" i="37"/>
  <c r="AF125" i="37" s="1"/>
  <c r="AA99" i="37"/>
  <c r="AE99" i="37" s="1"/>
  <c r="AB70" i="37"/>
  <c r="AF70" i="37" s="1"/>
  <c r="AA29" i="37"/>
  <c r="AE29" i="37" s="1"/>
  <c r="AB107" i="37"/>
  <c r="AF107" i="37" s="1"/>
  <c r="AA105" i="37"/>
  <c r="AE105" i="37" s="1"/>
  <c r="AB33" i="37"/>
  <c r="AF33" i="37" s="1"/>
  <c r="AA24" i="37"/>
  <c r="AE24" i="37" s="1"/>
  <c r="AB85" i="37"/>
  <c r="AF85" i="37" s="1"/>
  <c r="AA125" i="37"/>
  <c r="AE125" i="37" s="1"/>
  <c r="AA80" i="37"/>
  <c r="AE80" i="37" s="1"/>
  <c r="AB60" i="37"/>
  <c r="AF60" i="37" s="1"/>
  <c r="AB75" i="37"/>
  <c r="AF75" i="37" s="1"/>
  <c r="AB122" i="37"/>
  <c r="AF122" i="37" s="1"/>
  <c r="AA86" i="37"/>
  <c r="AE86" i="37" s="1"/>
  <c r="AB38" i="37"/>
  <c r="AF38" i="37" s="1"/>
  <c r="AA83" i="37"/>
  <c r="AE83" i="37" s="1"/>
  <c r="AB80" i="37"/>
  <c r="AF80" i="37" s="1"/>
  <c r="AA70" i="37"/>
  <c r="AE70" i="37" s="1"/>
  <c r="AB30" i="37"/>
  <c r="AF30" i="37" s="1"/>
  <c r="AA102" i="37"/>
  <c r="AE102" i="37" s="1"/>
  <c r="AB73" i="37"/>
  <c r="AF73" i="37" s="1"/>
  <c r="AA47" i="37"/>
  <c r="AE47" i="37" s="1"/>
  <c r="AB49" i="37"/>
  <c r="AF49" i="37" s="1"/>
  <c r="AA48" i="37"/>
  <c r="AE48" i="37" s="1"/>
  <c r="AB78" i="37"/>
  <c r="AF78" i="37" s="1"/>
  <c r="AB74" i="37"/>
  <c r="AF74" i="37" s="1"/>
  <c r="AA15" i="37"/>
  <c r="AE15" i="37" s="1"/>
  <c r="AB117" i="37"/>
  <c r="AF117" i="37" s="1"/>
  <c r="AA96" i="37"/>
  <c r="AE96" i="37" s="1"/>
  <c r="AA69" i="37"/>
  <c r="AE69" i="37" s="1"/>
  <c r="AB90" i="37"/>
  <c r="AF90" i="37" s="1"/>
  <c r="AB96" i="37"/>
  <c r="AF96" i="37" s="1"/>
  <c r="AA85" i="37"/>
  <c r="AE85" i="37" s="1"/>
  <c r="AB46" i="37"/>
  <c r="AF46" i="37" s="1"/>
  <c r="AB39" i="37"/>
  <c r="AF39" i="37" s="1"/>
  <c r="AA120" i="37"/>
  <c r="AE120" i="37" s="1"/>
  <c r="AA118" i="37"/>
  <c r="AE118" i="37" s="1"/>
  <c r="AA94" i="37"/>
  <c r="AE94" i="37" s="1"/>
  <c r="AA67" i="37"/>
  <c r="AE67" i="37" s="1"/>
  <c r="AA41" i="37"/>
  <c r="AE41" i="37" s="1"/>
  <c r="AB113" i="37"/>
  <c r="AF113" i="37" s="1"/>
  <c r="AB79" i="37"/>
  <c r="AF79" i="37" s="1"/>
  <c r="AB36" i="37"/>
  <c r="AF36" i="37" s="1"/>
  <c r="AA60" i="37"/>
  <c r="AE60" i="37" s="1"/>
  <c r="AB81" i="37"/>
  <c r="AF81" i="37" s="1"/>
  <c r="AA52" i="37"/>
  <c r="AE52" i="37" s="1"/>
  <c r="AA22" i="37"/>
  <c r="AE22" i="37" s="1"/>
  <c r="AA115" i="37"/>
  <c r="AE115" i="37" s="1"/>
  <c r="AA84" i="37"/>
  <c r="AE84" i="37" s="1"/>
  <c r="AB44" i="37"/>
  <c r="AF44" i="37" s="1"/>
  <c r="AA16" i="37"/>
  <c r="AE16" i="37" s="1"/>
  <c r="AB19" i="37"/>
  <c r="AF19" i="37" s="1"/>
  <c r="AB118" i="37"/>
  <c r="AF118" i="37" s="1"/>
  <c r="AA98" i="37"/>
  <c r="AE98" i="37" s="1"/>
  <c r="AA46" i="37"/>
  <c r="AE46" i="37" s="1"/>
  <c r="AB20" i="37"/>
  <c r="AF20" i="37" s="1"/>
  <c r="AB111" i="37"/>
  <c r="AF111" i="37" s="1"/>
  <c r="AA79" i="37"/>
  <c r="AE79" i="37" s="1"/>
  <c r="AA42" i="37"/>
  <c r="AE42" i="37" s="1"/>
  <c r="AA55" i="37"/>
  <c r="AE55" i="37" s="1"/>
  <c r="AB97" i="37"/>
  <c r="AF97" i="37" s="1"/>
  <c r="AB58" i="37"/>
  <c r="AF58" i="37" s="1"/>
  <c r="AA38" i="37"/>
  <c r="AE38" i="37" s="1"/>
  <c r="AA25" i="37"/>
  <c r="AE25" i="37" s="1"/>
  <c r="AA81" i="37"/>
  <c r="AE81" i="37" s="1"/>
  <c r="AA119" i="37"/>
  <c r="AE119" i="37" s="1"/>
  <c r="AA92" i="37"/>
  <c r="AE92" i="37" s="1"/>
  <c r="AB45" i="37"/>
  <c r="AF45" i="37" s="1"/>
  <c r="AA30" i="37"/>
  <c r="AE30" i="37" s="1"/>
  <c r="AA110" i="37"/>
  <c r="AE110" i="37" s="1"/>
  <c r="AA77" i="37"/>
  <c r="AE77" i="37" s="1"/>
  <c r="AA117" i="37"/>
  <c r="AE117" i="37" s="1"/>
  <c r="AA26" i="37"/>
  <c r="AE26" i="37" s="1"/>
  <c r="AB86" i="37"/>
  <c r="AF86" i="37" s="1"/>
  <c r="AA49" i="37"/>
  <c r="AE49" i="37" s="1"/>
  <c r="AB43" i="37"/>
  <c r="AF43" i="37" s="1"/>
  <c r="AA113" i="37"/>
  <c r="AE113" i="37" s="1"/>
  <c r="AB69" i="37"/>
  <c r="AF69" i="37" s="1"/>
  <c r="AB26" i="37"/>
  <c r="AF26" i="37" s="1"/>
  <c r="AA31" i="37"/>
  <c r="AE31" i="37" s="1"/>
  <c r="AB115" i="37"/>
  <c r="AF115" i="37" s="1"/>
  <c r="AA87" i="37"/>
  <c r="AE87" i="37" s="1"/>
  <c r="AB48" i="37"/>
  <c r="AF48" i="37" s="1"/>
  <c r="AB15" i="37"/>
  <c r="AF15" i="37" s="1"/>
  <c r="AB102" i="37"/>
  <c r="AF102" i="37" s="1"/>
  <c r="AB99" i="37"/>
  <c r="AF99" i="37" s="1"/>
  <c r="AA51" i="37"/>
  <c r="AE51" i="37" s="1"/>
  <c r="AB32" i="37"/>
  <c r="AF32" i="37" s="1"/>
  <c r="AA109" i="37"/>
  <c r="AE109" i="37" s="1"/>
  <c r="AB72" i="37"/>
  <c r="AF72" i="37" s="1"/>
  <c r="AB31" i="37"/>
  <c r="AF31" i="37" s="1"/>
  <c r="AA91" i="37"/>
  <c r="AE91" i="37" s="1"/>
  <c r="AA53" i="37"/>
  <c r="AE53" i="37" s="1"/>
  <c r="AB103" i="37"/>
  <c r="AF103" i="37" s="1"/>
  <c r="AA73" i="37"/>
  <c r="AE73" i="37" s="1"/>
  <c r="AB29" i="37"/>
  <c r="AF29" i="37" s="1"/>
  <c r="AB41" i="37"/>
  <c r="AF41" i="37" s="1"/>
  <c r="AB112" i="37"/>
  <c r="AF112" i="37" s="1"/>
  <c r="AB65" i="37"/>
  <c r="AF65" i="37" s="1"/>
  <c r="AB61" i="37"/>
  <c r="AF61" i="37" s="1"/>
  <c r="AB120" i="37"/>
  <c r="AF120" i="37" s="1"/>
  <c r="AA103" i="37"/>
  <c r="AE103" i="37" s="1"/>
  <c r="AA56" i="37"/>
  <c r="AE56" i="37" s="1"/>
  <c r="AB16" i="37"/>
  <c r="AF16" i="37" s="1"/>
  <c r="AA101" i="37"/>
  <c r="AE101" i="37" s="1"/>
  <c r="AB71" i="37"/>
  <c r="AF71" i="37" s="1"/>
  <c r="AA18" i="37"/>
  <c r="AE18" i="37" s="1"/>
  <c r="AB35" i="37"/>
  <c r="AF35" i="37" s="1"/>
  <c r="AB106" i="37"/>
  <c r="AF106" i="37" s="1"/>
  <c r="AA104" i="37"/>
  <c r="AE104" i="37" s="1"/>
  <c r="AB55" i="37"/>
  <c r="AF55" i="37" s="1"/>
  <c r="AA108" i="37"/>
  <c r="AE108" i="37" s="1"/>
  <c r="AA64" i="37"/>
  <c r="AE64" i="37" s="1"/>
  <c r="AB37" i="37"/>
  <c r="AF37" i="37" s="1"/>
  <c r="AB124" i="37"/>
  <c r="AF124" i="37" s="1"/>
  <c r="AA95" i="37"/>
  <c r="AE95" i="37" s="1"/>
  <c r="AA62" i="37"/>
  <c r="AE62" i="37" s="1"/>
  <c r="AA36" i="37"/>
  <c r="AE36" i="37" s="1"/>
  <c r="AA58" i="37"/>
  <c r="AE58" i="37" s="1"/>
  <c r="AB63" i="37"/>
  <c r="AF63" i="37" s="1"/>
  <c r="AB92" i="37"/>
  <c r="AF92" i="37" s="1"/>
  <c r="AB83" i="37"/>
  <c r="AF83" i="37" s="1"/>
  <c r="AA44" i="37"/>
  <c r="AE44" i="37" s="1"/>
  <c r="AB108" i="37"/>
  <c r="AF108" i="37" s="1"/>
  <c r="AA121" i="37"/>
  <c r="AE121" i="37" s="1"/>
  <c r="AA74" i="37"/>
  <c r="AE74" i="37" s="1"/>
  <c r="AB21" i="37"/>
  <c r="AF21" i="37" s="1"/>
  <c r="AB114" i="37"/>
  <c r="AF114" i="37" s="1"/>
  <c r="AA93" i="37"/>
  <c r="AE93" i="37" s="1"/>
  <c r="AA78" i="37"/>
  <c r="AE78" i="37" s="1"/>
  <c r="AB28" i="37"/>
  <c r="AF28" i="37" s="1"/>
  <c r="AB82" i="37"/>
  <c r="AF82" i="37" s="1"/>
  <c r="AA45" i="37"/>
  <c r="AE45" i="37" s="1"/>
  <c r="AB17" i="37"/>
  <c r="AF17" i="37" s="1"/>
  <c r="AA112" i="37"/>
  <c r="AE112" i="37" s="1"/>
  <c r="AA68" i="37"/>
  <c r="AE68" i="37" s="1"/>
  <c r="AA43" i="37"/>
  <c r="AE43" i="37" s="1"/>
  <c r="AB105" i="37"/>
  <c r="AF105" i="37" s="1"/>
  <c r="AB100" i="37"/>
  <c r="AF100" i="37" s="1"/>
  <c r="AB91" i="37"/>
  <c r="AF91" i="37" s="1"/>
  <c r="AA54" i="37"/>
  <c r="AE54" i="37" s="1"/>
  <c r="AB116" i="37"/>
  <c r="AF116" i="37" s="1"/>
  <c r="AB87" i="37"/>
  <c r="AF87" i="37" s="1"/>
  <c r="AA63" i="37"/>
  <c r="AE63" i="37" s="1"/>
  <c r="AB42" i="37"/>
  <c r="AF42" i="37" s="1"/>
  <c r="AB25" i="37"/>
  <c r="AF25" i="37" s="1"/>
  <c r="AB52" i="37"/>
  <c r="AF52" i="37" s="1"/>
  <c r="AB93" i="37"/>
  <c r="AF93" i="37" s="1"/>
  <c r="AB77" i="37"/>
  <c r="AF77" i="37" s="1"/>
  <c r="AA34" i="37"/>
  <c r="AE34" i="37" s="1"/>
  <c r="AB67" i="37"/>
  <c r="AF67" i="37" s="1"/>
  <c r="AB88" i="37"/>
  <c r="AF88" i="37" s="1"/>
  <c r="AA57" i="37"/>
  <c r="AE57" i="37" s="1"/>
  <c r="AA21" i="37"/>
  <c r="AE21" i="37" s="1"/>
  <c r="AA114" i="37"/>
  <c r="AE114" i="37" s="1"/>
  <c r="AA76" i="37"/>
  <c r="AE76" i="37" s="1"/>
  <c r="AA40" i="37"/>
  <c r="AE40" i="37" s="1"/>
  <c r="AB119" i="37"/>
  <c r="AF119" i="37" s="1"/>
  <c r="AA100" i="37"/>
  <c r="AE100" i="37" s="1"/>
  <c r="AA50" i="37"/>
  <c r="AE50" i="37" s="1"/>
  <c r="AA32" i="37"/>
  <c r="AE32" i="37" s="1"/>
  <c r="AA23" i="37"/>
  <c r="AE23" i="37" s="1"/>
  <c r="CC32" i="24"/>
  <c r="CG32" i="24" s="1"/>
  <c r="CC64" i="24"/>
  <c r="CG64" i="24" s="1"/>
  <c r="CC96" i="24"/>
  <c r="CG96" i="24" s="1"/>
  <c r="CC36" i="24"/>
  <c r="CG36" i="24" s="1"/>
  <c r="CC68" i="24"/>
  <c r="CG68" i="24" s="1"/>
  <c r="CC100" i="24"/>
  <c r="CG100" i="24" s="1"/>
  <c r="CD43" i="24"/>
  <c r="CH43" i="24" s="1"/>
  <c r="CC24" i="24"/>
  <c r="CG24" i="24" s="1"/>
  <c r="CC56" i="24"/>
  <c r="CG56" i="24" s="1"/>
  <c r="CC88" i="24"/>
  <c r="CG88" i="24" s="1"/>
  <c r="CC40" i="24"/>
  <c r="CG40" i="24" s="1"/>
  <c r="CC72" i="24"/>
  <c r="CG72" i="24" s="1"/>
  <c r="CC104" i="24"/>
  <c r="CG104" i="24" s="1"/>
  <c r="CC41" i="24"/>
  <c r="CG41" i="24" s="1"/>
  <c r="CC73" i="24"/>
  <c r="CG73" i="24" s="1"/>
  <c r="CC105" i="24"/>
  <c r="CG105" i="24" s="1"/>
  <c r="CD64" i="24"/>
  <c r="CH64" i="24" s="1"/>
  <c r="CD60" i="24"/>
  <c r="CH60" i="24" s="1"/>
  <c r="CD71" i="24"/>
  <c r="CH71" i="24" s="1"/>
  <c r="CD72" i="24"/>
  <c r="CH72" i="24" s="1"/>
  <c r="CD104" i="24"/>
  <c r="CH104" i="24" s="1"/>
  <c r="CC37" i="24"/>
  <c r="CG37" i="24" s="1"/>
  <c r="CC69" i="24"/>
  <c r="CG69" i="24" s="1"/>
  <c r="CC101" i="24"/>
  <c r="CG101" i="24" s="1"/>
  <c r="CD52" i="24"/>
  <c r="CH52" i="24" s="1"/>
  <c r="CD56" i="24"/>
  <c r="CH56" i="24" s="1"/>
  <c r="CD42" i="24"/>
  <c r="CH42" i="24" s="1"/>
  <c r="CD36" i="24"/>
  <c r="CH36" i="24" s="1"/>
  <c r="CC28" i="24"/>
  <c r="CG28" i="24" s="1"/>
  <c r="CC60" i="24"/>
  <c r="CG60" i="24" s="1"/>
  <c r="CC92" i="24"/>
  <c r="CG92" i="24" s="1"/>
  <c r="CD47" i="24"/>
  <c r="CH47" i="24" s="1"/>
  <c r="CC48" i="24"/>
  <c r="CG48" i="24" s="1"/>
  <c r="CC80" i="24"/>
  <c r="CG80" i="24" s="1"/>
  <c r="CD75" i="24"/>
  <c r="CH75" i="24" s="1"/>
  <c r="CD92" i="24"/>
  <c r="CH92" i="24" s="1"/>
  <c r="CC49" i="24"/>
  <c r="CG49" i="24" s="1"/>
  <c r="CC81" i="24"/>
  <c r="CG81" i="24" s="1"/>
  <c r="CD28" i="24"/>
  <c r="CH28" i="24" s="1"/>
  <c r="CD18" i="24"/>
  <c r="CH18" i="24" s="1"/>
  <c r="CD82" i="24"/>
  <c r="CH82" i="24" s="1"/>
  <c r="CD85" i="24"/>
  <c r="CH85" i="24" s="1"/>
  <c r="CD50" i="24"/>
  <c r="CH50" i="24" s="1"/>
  <c r="CD51" i="24"/>
  <c r="CH51" i="24" s="1"/>
  <c r="CD96" i="24"/>
  <c r="CH96" i="24" s="1"/>
  <c r="CD44" i="24"/>
  <c r="CH44" i="24" s="1"/>
  <c r="CC33" i="24"/>
  <c r="CG33" i="24" s="1"/>
  <c r="CC65" i="24"/>
  <c r="CG65" i="24" s="1"/>
  <c r="CC97" i="24"/>
  <c r="CG97" i="24" s="1"/>
  <c r="CD87" i="24"/>
  <c r="CH87" i="24" s="1"/>
  <c r="CD39" i="24"/>
  <c r="CH39" i="24" s="1"/>
  <c r="CD103" i="24"/>
  <c r="CH103" i="24" s="1"/>
  <c r="CD88" i="24"/>
  <c r="CH88" i="24" s="1"/>
  <c r="CC20" i="24"/>
  <c r="CG20" i="24" s="1"/>
  <c r="CC52" i="24"/>
  <c r="CG52" i="24" s="1"/>
  <c r="CC84" i="24"/>
  <c r="CG84" i="24" s="1"/>
  <c r="CD32" i="24"/>
  <c r="CH32" i="24" s="1"/>
  <c r="CD69" i="24"/>
  <c r="CH69" i="24" s="1"/>
  <c r="CC23" i="24"/>
  <c r="CG23" i="24" s="1"/>
  <c r="CC55" i="24"/>
  <c r="CG55" i="24" s="1"/>
  <c r="CC87" i="24"/>
  <c r="CG87" i="24" s="1"/>
  <c r="CD30" i="24"/>
  <c r="CH30" i="24" s="1"/>
  <c r="CD55" i="24"/>
  <c r="CH55" i="24" s="1"/>
  <c r="CD23" i="24"/>
  <c r="CH23" i="24" s="1"/>
  <c r="CC29" i="24"/>
  <c r="CG29" i="24" s="1"/>
  <c r="CC61" i="24"/>
  <c r="CG61" i="24" s="1"/>
  <c r="CC93" i="24"/>
  <c r="CG93" i="24" s="1"/>
  <c r="CD19" i="24"/>
  <c r="CH19" i="24" s="1"/>
  <c r="CD79" i="24"/>
  <c r="CH79" i="24" s="1"/>
  <c r="CD20" i="24"/>
  <c r="CH20" i="24" s="1"/>
  <c r="CD63" i="24"/>
  <c r="CH63" i="24" s="1"/>
  <c r="CD100" i="24"/>
  <c r="CH100" i="24" s="1"/>
  <c r="CC25" i="24"/>
  <c r="CG25" i="24" s="1"/>
  <c r="CC57" i="24"/>
  <c r="CG57" i="24" s="1"/>
  <c r="CC89" i="24"/>
  <c r="CG89" i="24" s="1"/>
  <c r="CD99" i="24"/>
  <c r="CH99" i="24" s="1"/>
  <c r="CD76" i="24"/>
  <c r="CH76" i="24" s="1"/>
  <c r="CD95" i="24"/>
  <c r="CH95" i="24" s="1"/>
  <c r="CD31" i="24"/>
  <c r="CH31" i="24" s="1"/>
  <c r="CD24" i="24"/>
  <c r="CH24" i="24" s="1"/>
  <c r="CC78" i="24"/>
  <c r="CG78" i="24" s="1"/>
  <c r="CD83" i="24"/>
  <c r="CH83" i="24" s="1"/>
  <c r="CC21" i="24"/>
  <c r="CG21" i="24" s="1"/>
  <c r="CC53" i="24"/>
  <c r="CG53" i="24" s="1"/>
  <c r="CC85" i="24"/>
  <c r="CG85" i="24" s="1"/>
  <c r="CD17" i="24"/>
  <c r="CH17" i="24" s="1"/>
  <c r="CD16" i="24"/>
  <c r="CH16" i="24" s="1"/>
  <c r="CD101" i="24"/>
  <c r="CH101" i="24" s="1"/>
  <c r="CD77" i="24"/>
  <c r="CH77" i="24" s="1"/>
  <c r="CC18" i="24"/>
  <c r="CG18" i="24" s="1"/>
  <c r="CC50" i="24"/>
  <c r="CG50" i="24" s="1"/>
  <c r="CC82" i="24"/>
  <c r="CG82" i="24" s="1"/>
  <c r="CD26" i="24"/>
  <c r="CH26" i="24" s="1"/>
  <c r="CD86" i="24"/>
  <c r="CH86" i="24" s="1"/>
  <c r="CC27" i="24"/>
  <c r="CG27" i="24" s="1"/>
  <c r="CC59" i="24"/>
  <c r="CG59" i="24" s="1"/>
  <c r="CC91" i="24"/>
  <c r="CG91" i="24" s="1"/>
  <c r="CD27" i="24"/>
  <c r="CH27" i="24" s="1"/>
  <c r="CD91" i="24"/>
  <c r="CH91" i="24" s="1"/>
  <c r="CD68" i="24"/>
  <c r="CH68" i="24" s="1"/>
  <c r="CD29" i="24"/>
  <c r="CH29" i="24" s="1"/>
  <c r="CD21" i="24"/>
  <c r="CH21" i="24" s="1"/>
  <c r="CD81" i="24"/>
  <c r="CH81" i="24" s="1"/>
  <c r="CC22" i="24"/>
  <c r="CG22" i="24" s="1"/>
  <c r="CC54" i="24"/>
  <c r="CG54" i="24" s="1"/>
  <c r="CC86" i="24"/>
  <c r="CG86" i="24" s="1"/>
  <c r="CD22" i="24"/>
  <c r="CH22" i="24" s="1"/>
  <c r="CD34" i="24"/>
  <c r="CH34" i="24" s="1"/>
  <c r="CD94" i="24"/>
  <c r="CH94" i="24" s="1"/>
  <c r="CC31" i="24"/>
  <c r="CG31" i="24" s="1"/>
  <c r="CC63" i="24"/>
  <c r="CG63" i="24" s="1"/>
  <c r="CC95" i="24"/>
  <c r="CG95" i="24" s="1"/>
  <c r="CD35" i="24"/>
  <c r="CH35" i="24" s="1"/>
  <c r="CD40" i="24"/>
  <c r="CH40" i="24" s="1"/>
  <c r="CD41" i="24"/>
  <c r="CH41" i="24" s="1"/>
  <c r="CD33" i="24"/>
  <c r="CH33" i="24" s="1"/>
  <c r="CD89" i="24"/>
  <c r="CH89" i="24" s="1"/>
  <c r="CC26" i="24"/>
  <c r="CG26" i="24" s="1"/>
  <c r="CC58" i="24"/>
  <c r="CG58" i="24" s="1"/>
  <c r="CC90" i="24"/>
  <c r="CG90" i="24" s="1"/>
  <c r="CD38" i="24"/>
  <c r="CH38" i="24" s="1"/>
  <c r="CD46" i="24"/>
  <c r="CH46" i="24" s="1"/>
  <c r="CD98" i="24"/>
  <c r="CH98" i="24" s="1"/>
  <c r="CC35" i="24"/>
  <c r="CG35" i="24" s="1"/>
  <c r="CC67" i="24"/>
  <c r="CG67" i="24" s="1"/>
  <c r="CC99" i="24"/>
  <c r="CG99" i="24" s="1"/>
  <c r="CD49" i="24"/>
  <c r="CH49" i="24" s="1"/>
  <c r="CD37" i="24"/>
  <c r="CH37" i="24" s="1"/>
  <c r="CD93" i="24"/>
  <c r="CH93" i="24" s="1"/>
  <c r="CC30" i="24"/>
  <c r="CG30" i="24" s="1"/>
  <c r="CC62" i="24"/>
  <c r="CG62" i="24" s="1"/>
  <c r="CC94" i="24"/>
  <c r="CG94" i="24" s="1"/>
  <c r="CD54" i="24"/>
  <c r="CH54" i="24" s="1"/>
  <c r="CD58" i="24"/>
  <c r="CH58" i="24" s="1"/>
  <c r="CD102" i="24"/>
  <c r="CH102" i="24" s="1"/>
  <c r="CC39" i="24"/>
  <c r="CG39" i="24" s="1"/>
  <c r="CC71" i="24"/>
  <c r="CG71" i="24" s="1"/>
  <c r="CC103" i="24"/>
  <c r="CG103" i="24" s="1"/>
  <c r="CC16" i="24"/>
  <c r="CG16" i="24" s="1"/>
  <c r="CC17" i="24"/>
  <c r="CG17" i="24" s="1"/>
  <c r="CC46" i="24"/>
  <c r="CG46" i="24" s="1"/>
  <c r="CD48" i="24"/>
  <c r="CH48" i="24" s="1"/>
  <c r="CD80" i="24"/>
  <c r="CH80" i="24" s="1"/>
  <c r="CD57" i="24"/>
  <c r="CH57" i="24" s="1"/>
  <c r="CD45" i="24"/>
  <c r="CH45" i="24" s="1"/>
  <c r="CD97" i="24"/>
  <c r="CH97" i="24" s="1"/>
  <c r="CC34" i="24"/>
  <c r="CG34" i="24" s="1"/>
  <c r="CC66" i="24"/>
  <c r="CG66" i="24" s="1"/>
  <c r="CC98" i="24"/>
  <c r="CG98" i="24" s="1"/>
  <c r="CD66" i="24"/>
  <c r="CH66" i="24" s="1"/>
  <c r="CD62" i="24"/>
  <c r="CH62" i="24" s="1"/>
  <c r="CC43" i="24"/>
  <c r="CG43" i="24" s="1"/>
  <c r="CC75" i="24"/>
  <c r="CG75" i="24" s="1"/>
  <c r="CD59" i="24"/>
  <c r="CH59" i="24" s="1"/>
  <c r="CD84" i="24"/>
  <c r="CH84" i="24" s="1"/>
  <c r="CD65" i="24"/>
  <c r="CH65" i="24" s="1"/>
  <c r="CD53" i="24"/>
  <c r="CH53" i="24" s="1"/>
  <c r="CD105" i="24"/>
  <c r="CH105" i="24" s="1"/>
  <c r="CC38" i="24"/>
  <c r="CG38" i="24" s="1"/>
  <c r="CC70" i="24"/>
  <c r="CG70" i="24" s="1"/>
  <c r="CC102" i="24"/>
  <c r="CG102" i="24" s="1"/>
  <c r="CD78" i="24"/>
  <c r="CH78" i="24" s="1"/>
  <c r="CD70" i="24"/>
  <c r="CH70" i="24" s="1"/>
  <c r="CC47" i="24"/>
  <c r="CG47" i="24" s="1"/>
  <c r="CC79" i="24"/>
  <c r="CG79" i="24" s="1"/>
  <c r="CC44" i="24"/>
  <c r="CG44" i="24" s="1"/>
  <c r="CC76" i="24"/>
  <c r="CG76" i="24" s="1"/>
  <c r="CD67" i="24"/>
  <c r="CH67" i="24" s="1"/>
  <c r="CD25" i="24"/>
  <c r="CH25" i="24" s="1"/>
  <c r="CC45" i="24"/>
  <c r="CG45" i="24" s="1"/>
  <c r="CC77" i="24"/>
  <c r="CG77" i="24" s="1"/>
  <c r="CD73" i="24"/>
  <c r="CH73" i="24" s="1"/>
  <c r="CD61" i="24"/>
  <c r="CH61" i="24" s="1"/>
  <c r="CC42" i="24"/>
  <c r="CG42" i="24" s="1"/>
  <c r="CC74" i="24"/>
  <c r="CG74" i="24" s="1"/>
  <c r="CD90" i="24"/>
  <c r="CH90" i="24" s="1"/>
  <c r="CD74" i="24"/>
  <c r="CH74" i="24" s="1"/>
  <c r="CC19" i="24"/>
  <c r="CG19" i="24" s="1"/>
  <c r="CC51" i="24"/>
  <c r="CG51" i="24" s="1"/>
  <c r="CC83" i="24"/>
  <c r="CG83" i="24" s="1"/>
  <c r="I14" i="24"/>
  <c r="J14" i="24"/>
  <c r="C125" i="24" l="1"/>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N13" i="24"/>
  <c r="M13" i="24"/>
  <c r="L13" i="24"/>
  <c r="K13" i="24"/>
  <c r="H13" i="24"/>
  <c r="G13" i="24"/>
  <c r="F13" i="24"/>
  <c r="E13" i="24"/>
  <c r="N22" i="24" l="1" a="1"/>
  <c r="N22" i="24" s="1"/>
  <c r="M22" i="24" a="1"/>
  <c r="M22" i="24" s="1"/>
  <c r="N30" i="24" a="1"/>
  <c r="N30" i="24" s="1"/>
  <c r="M30" i="24" a="1"/>
  <c r="M30" i="24" s="1"/>
  <c r="M38" i="24" a="1"/>
  <c r="M38" i="24" s="1"/>
  <c r="N38" i="24" a="1"/>
  <c r="N38" i="24" s="1"/>
  <c r="M46" i="24" a="1"/>
  <c r="M46" i="24" s="1"/>
  <c r="N46" i="24" a="1"/>
  <c r="N46" i="24" s="1"/>
  <c r="N54" i="24" a="1"/>
  <c r="N54" i="24" s="1"/>
  <c r="M54" i="24" a="1"/>
  <c r="M54" i="24" s="1"/>
  <c r="N62" i="24" a="1"/>
  <c r="N62" i="24" s="1"/>
  <c r="M62" i="24" a="1"/>
  <c r="M62" i="24" s="1"/>
  <c r="M70" i="24" a="1"/>
  <c r="M70" i="24" s="1"/>
  <c r="N70" i="24" a="1"/>
  <c r="N70" i="24" s="1"/>
  <c r="N78" i="24" a="1"/>
  <c r="N78" i="24" s="1"/>
  <c r="M78" i="24" a="1"/>
  <c r="M78" i="24" s="1"/>
  <c r="M86" i="24" a="1"/>
  <c r="M86" i="24" s="1"/>
  <c r="N86" i="24" a="1"/>
  <c r="N86" i="24" s="1"/>
  <c r="M94" i="24" a="1"/>
  <c r="M94" i="24" s="1"/>
  <c r="N94" i="24" a="1"/>
  <c r="N94" i="24" s="1"/>
  <c r="N102" i="24" a="1"/>
  <c r="N102" i="24" s="1"/>
  <c r="M102" i="24" a="1"/>
  <c r="M102" i="24" s="1"/>
  <c r="N110" i="24" a="1"/>
  <c r="N110" i="24" s="1"/>
  <c r="M110" i="24" a="1"/>
  <c r="M110" i="24" s="1"/>
  <c r="N118" i="24" a="1"/>
  <c r="N118" i="24" s="1"/>
  <c r="M118" i="24" a="1"/>
  <c r="M118" i="24" s="1"/>
  <c r="N23" i="24" a="1"/>
  <c r="N23" i="24" s="1"/>
  <c r="M23" i="24" a="1"/>
  <c r="M23" i="24" s="1"/>
  <c r="M31" i="24" a="1"/>
  <c r="M31" i="24" s="1"/>
  <c r="N31" i="24" a="1"/>
  <c r="N31" i="24" s="1"/>
  <c r="M39" i="24" a="1"/>
  <c r="M39" i="24" s="1"/>
  <c r="N39" i="24" a="1"/>
  <c r="N39" i="24" s="1"/>
  <c r="N47" i="24" a="1"/>
  <c r="N47" i="24" s="1"/>
  <c r="M47" i="24" a="1"/>
  <c r="M47" i="24" s="1"/>
  <c r="N55" i="24" a="1"/>
  <c r="N55" i="24" s="1"/>
  <c r="M55" i="24" a="1"/>
  <c r="M55" i="24" s="1"/>
  <c r="M63" i="24" a="1"/>
  <c r="M63" i="24" s="1"/>
  <c r="N63" i="24" a="1"/>
  <c r="N63" i="24" s="1"/>
  <c r="M71" i="24" a="1"/>
  <c r="M71" i="24" s="1"/>
  <c r="N71" i="24" a="1"/>
  <c r="N71" i="24" s="1"/>
  <c r="M79" i="24" a="1"/>
  <c r="M79" i="24" s="1"/>
  <c r="N79" i="24" a="1"/>
  <c r="N79" i="24" s="1"/>
  <c r="M87" i="24" a="1"/>
  <c r="M87" i="24" s="1"/>
  <c r="N87" i="24" a="1"/>
  <c r="N87" i="24" s="1"/>
  <c r="N95" i="24" a="1"/>
  <c r="N95" i="24" s="1"/>
  <c r="M95" i="24" a="1"/>
  <c r="M95" i="24" s="1"/>
  <c r="M103" i="24" a="1"/>
  <c r="M103" i="24" s="1"/>
  <c r="N103" i="24" a="1"/>
  <c r="N103" i="24" s="1"/>
  <c r="M111" i="24" a="1"/>
  <c r="M111" i="24" s="1"/>
  <c r="N111" i="24" a="1"/>
  <c r="N111" i="24" s="1"/>
  <c r="N119" i="24" a="1"/>
  <c r="N119" i="24" s="1"/>
  <c r="M119" i="24" a="1"/>
  <c r="M119" i="24" s="1"/>
  <c r="M40" i="24" a="1"/>
  <c r="M40" i="24" s="1"/>
  <c r="N40" i="24" a="1"/>
  <c r="N40" i="24" s="1"/>
  <c r="M72" i="24" a="1"/>
  <c r="M72" i="24" s="1"/>
  <c r="N72" i="24" a="1"/>
  <c r="N72" i="24" s="1"/>
  <c r="N96" i="24" a="1"/>
  <c r="N96" i="24" s="1"/>
  <c r="M96" i="24" a="1"/>
  <c r="M96" i="24" s="1"/>
  <c r="N17" i="24" a="1"/>
  <c r="N17" i="24" s="1"/>
  <c r="M17" i="24" a="1"/>
  <c r="M17" i="24" s="1"/>
  <c r="M41" i="24" a="1"/>
  <c r="M41" i="24" s="1"/>
  <c r="N41" i="24" a="1"/>
  <c r="N41" i="24" s="1"/>
  <c r="N49" i="24" a="1"/>
  <c r="N49" i="24" s="1"/>
  <c r="M49" i="24" a="1"/>
  <c r="M49" i="24" s="1"/>
  <c r="N57" i="24" a="1"/>
  <c r="N57" i="24" s="1"/>
  <c r="M57" i="24" a="1"/>
  <c r="M57" i="24" s="1"/>
  <c r="M65" i="24" a="1"/>
  <c r="M65" i="24" s="1"/>
  <c r="N65" i="24" a="1"/>
  <c r="N65" i="24" s="1"/>
  <c r="M73" i="24" a="1"/>
  <c r="M73" i="24" s="1"/>
  <c r="N73" i="24" a="1"/>
  <c r="N73" i="24" s="1"/>
  <c r="N81" i="24" a="1"/>
  <c r="N81" i="24" s="1"/>
  <c r="M81" i="24" a="1"/>
  <c r="M81" i="24" s="1"/>
  <c r="N89" i="24" a="1"/>
  <c r="N89" i="24" s="1"/>
  <c r="M89" i="24" a="1"/>
  <c r="M89" i="24" s="1"/>
  <c r="M97" i="24" a="1"/>
  <c r="M97" i="24" s="1"/>
  <c r="N97" i="24" a="1"/>
  <c r="N97" i="24" s="1"/>
  <c r="N105" i="24" a="1"/>
  <c r="N105" i="24" s="1"/>
  <c r="M105" i="24" a="1"/>
  <c r="M105" i="24" s="1"/>
  <c r="M113" i="24" a="1"/>
  <c r="M113" i="24" s="1"/>
  <c r="N113" i="24" a="1"/>
  <c r="N113" i="24" s="1"/>
  <c r="M121" i="24" a="1"/>
  <c r="M121" i="24" s="1"/>
  <c r="N121" i="24" a="1"/>
  <c r="N121" i="24" s="1"/>
  <c r="N16" i="24" a="1"/>
  <c r="N16" i="24" s="1"/>
  <c r="M16" i="24" a="1"/>
  <c r="M16" i="24" s="1"/>
  <c r="M80" i="24" a="1"/>
  <c r="M80" i="24" s="1"/>
  <c r="N80" i="24" a="1"/>
  <c r="N80" i="24" s="1"/>
  <c r="N26" i="24" a="1"/>
  <c r="N26" i="24" s="1"/>
  <c r="M26" i="24" a="1"/>
  <c r="M26" i="24" s="1"/>
  <c r="M42" i="24" a="1"/>
  <c r="M42" i="24" s="1"/>
  <c r="N42" i="24" a="1"/>
  <c r="N42" i="24" s="1"/>
  <c r="N50" i="24" a="1"/>
  <c r="N50" i="24" s="1"/>
  <c r="M50" i="24" a="1"/>
  <c r="M50" i="24" s="1"/>
  <c r="N58" i="24" a="1"/>
  <c r="N58" i="24" s="1"/>
  <c r="M58" i="24" a="1"/>
  <c r="M58" i="24" s="1"/>
  <c r="N66" i="24" a="1"/>
  <c r="N66" i="24" s="1"/>
  <c r="M66" i="24" a="1"/>
  <c r="M66" i="24" s="1"/>
  <c r="M74" i="24" a="1"/>
  <c r="M74" i="24" s="1"/>
  <c r="N74" i="24" a="1"/>
  <c r="N74" i="24" s="1"/>
  <c r="M82" i="24" a="1"/>
  <c r="M82" i="24" s="1"/>
  <c r="N82" i="24" a="1"/>
  <c r="N82" i="24" s="1"/>
  <c r="N90" i="24" a="1"/>
  <c r="N90" i="24" s="1"/>
  <c r="M90" i="24" a="1"/>
  <c r="M90" i="24" s="1"/>
  <c r="N98" i="24" a="1"/>
  <c r="N98" i="24" s="1"/>
  <c r="M98" i="24" a="1"/>
  <c r="M98" i="24" s="1"/>
  <c r="M106" i="24" a="1"/>
  <c r="M106" i="24" s="1"/>
  <c r="N106" i="24" a="1"/>
  <c r="N106" i="24" s="1"/>
  <c r="N114" i="24" a="1"/>
  <c r="N114" i="24" s="1"/>
  <c r="M114" i="24" a="1"/>
  <c r="M114" i="24" s="1"/>
  <c r="M122" i="24" a="1"/>
  <c r="M122" i="24" s="1"/>
  <c r="N122" i="24" a="1"/>
  <c r="N122" i="24" s="1"/>
  <c r="N24" i="24" a="1"/>
  <c r="N24" i="24" s="1"/>
  <c r="M24" i="24" a="1"/>
  <c r="M24" i="24" s="1"/>
  <c r="N56" i="24" a="1"/>
  <c r="N56" i="24" s="1"/>
  <c r="M56" i="24" a="1"/>
  <c r="M56" i="24" s="1"/>
  <c r="N88" i="24" a="1"/>
  <c r="N88" i="24" s="1"/>
  <c r="M88" i="24" a="1"/>
  <c r="M88" i="24" s="1"/>
  <c r="N112" i="24" a="1"/>
  <c r="N112" i="24" s="1"/>
  <c r="M112" i="24" a="1"/>
  <c r="M112" i="24" s="1"/>
  <c r="N25" i="24" a="1"/>
  <c r="N25" i="24" s="1"/>
  <c r="M25" i="24" a="1"/>
  <c r="M25" i="24" s="1"/>
  <c r="N34" i="24" a="1"/>
  <c r="N34" i="24" s="1"/>
  <c r="M34" i="24" a="1"/>
  <c r="M34" i="24" s="1"/>
  <c r="N19" i="24" a="1"/>
  <c r="N19" i="24" s="1"/>
  <c r="M19" i="24" a="1"/>
  <c r="M19" i="24" s="1"/>
  <c r="N27" i="24" a="1"/>
  <c r="N27" i="24" s="1"/>
  <c r="M27" i="24" a="1"/>
  <c r="M27" i="24" s="1"/>
  <c r="M35" i="24" a="1"/>
  <c r="M35" i="24" s="1"/>
  <c r="N35" i="24" a="1"/>
  <c r="N35" i="24" s="1"/>
  <c r="M43" i="24" a="1"/>
  <c r="M43" i="24" s="1"/>
  <c r="N43" i="24" a="1"/>
  <c r="N43" i="24" s="1"/>
  <c r="N51" i="24" a="1"/>
  <c r="N51" i="24" s="1"/>
  <c r="M51" i="24" a="1"/>
  <c r="M51" i="24" s="1"/>
  <c r="N59" i="24" a="1"/>
  <c r="N59" i="24" s="1"/>
  <c r="M59" i="24" a="1"/>
  <c r="M59" i="24" s="1"/>
  <c r="M67" i="24" a="1"/>
  <c r="M67" i="24" s="1"/>
  <c r="N67" i="24" a="1"/>
  <c r="N67" i="24" s="1"/>
  <c r="M75" i="24" a="1"/>
  <c r="M75" i="24" s="1"/>
  <c r="N75" i="24" a="1"/>
  <c r="N75" i="24" s="1"/>
  <c r="M83" i="24" a="1"/>
  <c r="M83" i="24" s="1"/>
  <c r="N83" i="24" a="1"/>
  <c r="N83" i="24" s="1"/>
  <c r="N91" i="24" a="1"/>
  <c r="N91" i="24" s="1"/>
  <c r="M91" i="24" a="1"/>
  <c r="M91" i="24" s="1"/>
  <c r="M99" i="24" a="1"/>
  <c r="M99" i="24" s="1"/>
  <c r="N99" i="24" a="1"/>
  <c r="N99" i="24" s="1"/>
  <c r="N107" i="24" a="1"/>
  <c r="N107" i="24" s="1"/>
  <c r="M107" i="24" a="1"/>
  <c r="M107" i="24" s="1"/>
  <c r="N115" i="24" a="1"/>
  <c r="N115" i="24" s="1"/>
  <c r="M115" i="24" a="1"/>
  <c r="M115" i="24" s="1"/>
  <c r="M123" i="24" a="1"/>
  <c r="M123" i="24" s="1"/>
  <c r="N123" i="24" a="1"/>
  <c r="N123" i="24" s="1"/>
  <c r="M32" i="24" a="1"/>
  <c r="M32" i="24" s="1"/>
  <c r="N32" i="24" a="1"/>
  <c r="N32" i="24" s="1"/>
  <c r="M64" i="24" a="1"/>
  <c r="M64" i="24" s="1"/>
  <c r="N64" i="24" a="1"/>
  <c r="N64" i="24" s="1"/>
  <c r="N104" i="24" a="1"/>
  <c r="N104" i="24" s="1"/>
  <c r="M104" i="24" a="1"/>
  <c r="M104" i="24" s="1"/>
  <c r="M33" i="24" a="1"/>
  <c r="M33" i="24" s="1"/>
  <c r="N33" i="24" a="1"/>
  <c r="N33" i="24" s="1"/>
  <c r="M18" i="24" a="1"/>
  <c r="M18" i="24" s="1"/>
  <c r="N18" i="24" a="1"/>
  <c r="N18" i="24" s="1"/>
  <c r="N20" i="24" a="1"/>
  <c r="N20" i="24" s="1"/>
  <c r="M20" i="24" a="1"/>
  <c r="M20" i="24" s="1"/>
  <c r="N28" i="24" a="1"/>
  <c r="N28" i="24" s="1"/>
  <c r="M28" i="24" a="1"/>
  <c r="M28" i="24" s="1"/>
  <c r="M36" i="24" a="1"/>
  <c r="M36" i="24" s="1"/>
  <c r="N36" i="24" a="1"/>
  <c r="N36" i="24" s="1"/>
  <c r="N44" i="24" a="1"/>
  <c r="N44" i="24" s="1"/>
  <c r="M44" i="24" a="1"/>
  <c r="M44" i="24" s="1"/>
  <c r="N52" i="24" a="1"/>
  <c r="N52" i="24" s="1"/>
  <c r="M52" i="24" a="1"/>
  <c r="M52" i="24" s="1"/>
  <c r="M60" i="24" a="1"/>
  <c r="M60" i="24" s="1"/>
  <c r="N60" i="24" a="1"/>
  <c r="N60" i="24" s="1"/>
  <c r="M68" i="24" a="1"/>
  <c r="M68" i="24" s="1"/>
  <c r="N68" i="24" a="1"/>
  <c r="N68" i="24" s="1"/>
  <c r="M76" i="24" a="1"/>
  <c r="M76" i="24" s="1"/>
  <c r="N76" i="24" a="1"/>
  <c r="N76" i="24" s="1"/>
  <c r="N84" i="24" a="1"/>
  <c r="N84" i="24" s="1"/>
  <c r="M84" i="24" a="1"/>
  <c r="M84" i="24" s="1"/>
  <c r="N92" i="24" a="1"/>
  <c r="N92" i="24" s="1"/>
  <c r="M92" i="24" a="1"/>
  <c r="M92" i="24" s="1"/>
  <c r="M100" i="24" a="1"/>
  <c r="M100" i="24" s="1"/>
  <c r="N100" i="24" a="1"/>
  <c r="N100" i="24" s="1"/>
  <c r="M108" i="24" a="1"/>
  <c r="M108" i="24" s="1"/>
  <c r="N108" i="24" a="1"/>
  <c r="N108" i="24" s="1"/>
  <c r="N116" i="24" a="1"/>
  <c r="N116" i="24" s="1"/>
  <c r="M116" i="24" a="1"/>
  <c r="M116" i="24" s="1"/>
  <c r="N124" i="24" a="1"/>
  <c r="N124" i="24" s="1"/>
  <c r="M124" i="24" a="1"/>
  <c r="M124" i="24" s="1"/>
  <c r="N48" i="24" a="1"/>
  <c r="N48" i="24" s="1"/>
  <c r="M48" i="24" a="1"/>
  <c r="M48" i="24" s="1"/>
  <c r="M120" i="24" a="1"/>
  <c r="M120" i="24" s="1"/>
  <c r="N120" i="24" a="1"/>
  <c r="N120" i="24" s="1"/>
  <c r="N21" i="24" a="1"/>
  <c r="N21" i="24" s="1"/>
  <c r="M21" i="24" a="1"/>
  <c r="M21" i="24" s="1"/>
  <c r="N29" i="24" a="1"/>
  <c r="N29" i="24" s="1"/>
  <c r="M29" i="24" a="1"/>
  <c r="M29" i="24" s="1"/>
  <c r="M37" i="24" a="1"/>
  <c r="M37" i="24" s="1"/>
  <c r="N37" i="24" a="1"/>
  <c r="N37" i="24" s="1"/>
  <c r="N45" i="24" a="1"/>
  <c r="N45" i="24" s="1"/>
  <c r="M45" i="24" a="1"/>
  <c r="M45" i="24" s="1"/>
  <c r="N53" i="24" a="1"/>
  <c r="N53" i="24" s="1"/>
  <c r="M53" i="24" a="1"/>
  <c r="M53" i="24" s="1"/>
  <c r="N61" i="24" a="1"/>
  <c r="N61" i="24" s="1"/>
  <c r="M61" i="24" a="1"/>
  <c r="M61" i="24" s="1"/>
  <c r="M69" i="24" a="1"/>
  <c r="M69" i="24" s="1"/>
  <c r="N69" i="24" a="1"/>
  <c r="N69" i="24" s="1"/>
  <c r="M77" i="24" a="1"/>
  <c r="M77" i="24" s="1"/>
  <c r="N77" i="24" a="1"/>
  <c r="N77" i="24" s="1"/>
  <c r="N85" i="24" a="1"/>
  <c r="N85" i="24" s="1"/>
  <c r="M85" i="24" a="1"/>
  <c r="M85" i="24" s="1"/>
  <c r="M93" i="24" a="1"/>
  <c r="M93" i="24" s="1"/>
  <c r="N93" i="24" a="1"/>
  <c r="N93" i="24" s="1"/>
  <c r="N101" i="24" a="1"/>
  <c r="N101" i="24" s="1"/>
  <c r="M101" i="24" a="1"/>
  <c r="M101" i="24" s="1"/>
  <c r="M109" i="24" a="1"/>
  <c r="M109" i="24" s="1"/>
  <c r="N109" i="24" a="1"/>
  <c r="N109" i="24" s="1"/>
  <c r="M117" i="24" a="1"/>
  <c r="M117" i="24" s="1"/>
  <c r="N117" i="24" a="1"/>
  <c r="N117" i="24" s="1"/>
  <c r="M125" i="24" a="1"/>
  <c r="M125" i="24" s="1"/>
  <c r="N125" i="24" a="1"/>
  <c r="N125" i="24" s="1"/>
  <c r="L62" i="24" a="1"/>
  <c r="L62" i="24" s="1"/>
  <c r="K62" i="24" a="1"/>
  <c r="K62" i="24" s="1"/>
  <c r="L94" i="24" a="1"/>
  <c r="L94" i="24" s="1"/>
  <c r="K94" i="24" a="1"/>
  <c r="K94" i="24" s="1"/>
  <c r="M15" i="24" a="1"/>
  <c r="M15" i="24" s="1"/>
  <c r="N15" i="24" a="1"/>
  <c r="N15" i="24" s="1"/>
  <c r="L23" i="24" a="1"/>
  <c r="L23" i="24" s="1"/>
  <c r="K23" i="24" a="1"/>
  <c r="K23" i="24" s="1"/>
  <c r="L31" i="24" a="1"/>
  <c r="L31" i="24" s="1"/>
  <c r="K31" i="24" a="1"/>
  <c r="K31" i="24" s="1"/>
  <c r="K39" i="24" a="1"/>
  <c r="K39" i="24" s="1"/>
  <c r="L39" i="24" a="1"/>
  <c r="L39" i="24" s="1"/>
  <c r="K47" i="24" a="1"/>
  <c r="K47" i="24" s="1"/>
  <c r="L47" i="24" a="1"/>
  <c r="L47" i="24" s="1"/>
  <c r="K55" i="24" a="1"/>
  <c r="K55" i="24" s="1"/>
  <c r="L55" i="24" a="1"/>
  <c r="L55" i="24" s="1"/>
  <c r="K63" i="24" a="1"/>
  <c r="K63" i="24" s="1"/>
  <c r="L63" i="24" a="1"/>
  <c r="L63" i="24" s="1"/>
  <c r="K71" i="24" a="1"/>
  <c r="K71" i="24" s="1"/>
  <c r="L71" i="24" a="1"/>
  <c r="L71" i="24" s="1"/>
  <c r="K79" i="24" a="1"/>
  <c r="K79" i="24" s="1"/>
  <c r="L79" i="24" a="1"/>
  <c r="L79" i="24" s="1"/>
  <c r="K87" i="24" a="1"/>
  <c r="K87" i="24" s="1"/>
  <c r="L87" i="24" a="1"/>
  <c r="L87" i="24" s="1"/>
  <c r="K95" i="24" a="1"/>
  <c r="K95" i="24" s="1"/>
  <c r="L95" i="24" a="1"/>
  <c r="L95" i="24" s="1"/>
  <c r="K103" i="24" a="1"/>
  <c r="K103" i="24" s="1"/>
  <c r="L103" i="24" a="1"/>
  <c r="L103" i="24" s="1"/>
  <c r="K111" i="24" a="1"/>
  <c r="K111" i="24" s="1"/>
  <c r="L111" i="24" a="1"/>
  <c r="L111" i="24" s="1"/>
  <c r="L119" i="24" a="1"/>
  <c r="L119" i="24" s="1"/>
  <c r="K119" i="24" a="1"/>
  <c r="K119" i="24" s="1"/>
  <c r="L70" i="24" a="1"/>
  <c r="L70" i="24" s="1"/>
  <c r="K70" i="24" a="1"/>
  <c r="K70" i="24" s="1"/>
  <c r="K16" i="24" a="1"/>
  <c r="K16" i="24" s="1"/>
  <c r="L16" i="24" a="1"/>
  <c r="L16" i="24" s="1"/>
  <c r="L56" i="24" a="1"/>
  <c r="L56" i="24" s="1"/>
  <c r="K56" i="24" a="1"/>
  <c r="K56" i="24" s="1"/>
  <c r="K72" i="24" a="1"/>
  <c r="K72" i="24" s="1"/>
  <c r="L72" i="24" a="1"/>
  <c r="L72" i="24" s="1"/>
  <c r="L80" i="24" a="1"/>
  <c r="L80" i="24" s="1"/>
  <c r="K80" i="24" a="1"/>
  <c r="K80" i="24" s="1"/>
  <c r="L88" i="24" a="1"/>
  <c r="L88" i="24" s="1"/>
  <c r="K88" i="24" a="1"/>
  <c r="K88" i="24" s="1"/>
  <c r="L96" i="24" a="1"/>
  <c r="L96" i="24" s="1"/>
  <c r="K96" i="24" a="1"/>
  <c r="K96" i="24" s="1"/>
  <c r="K104" i="24" a="1"/>
  <c r="K104" i="24" s="1"/>
  <c r="L104" i="24" a="1"/>
  <c r="L104" i="24" s="1"/>
  <c r="L112" i="24" a="1"/>
  <c r="L112" i="24" s="1"/>
  <c r="K112" i="24" a="1"/>
  <c r="K112" i="24" s="1"/>
  <c r="L120" i="24" a="1"/>
  <c r="L120" i="24" s="1"/>
  <c r="K120" i="24" a="1"/>
  <c r="K120" i="24" s="1"/>
  <c r="L46" i="24" a="1"/>
  <c r="L46" i="24" s="1"/>
  <c r="K46" i="24" a="1"/>
  <c r="K46" i="24" s="1"/>
  <c r="K118" i="24" a="1"/>
  <c r="K118" i="24" s="1"/>
  <c r="L118" i="24" a="1"/>
  <c r="L118" i="24" s="1"/>
  <c r="L48" i="24" a="1"/>
  <c r="L48" i="24" s="1"/>
  <c r="K48" i="24" a="1"/>
  <c r="K48" i="24" s="1"/>
  <c r="L17" i="24" a="1"/>
  <c r="L17" i="24" s="1"/>
  <c r="K17" i="24" a="1"/>
  <c r="K17" i="24" s="1"/>
  <c r="K33" i="24" a="1"/>
  <c r="K33" i="24" s="1"/>
  <c r="L33" i="24" a="1"/>
  <c r="L33" i="24" s="1"/>
  <c r="L41" i="24" a="1"/>
  <c r="L41" i="24" s="1"/>
  <c r="K41" i="24" a="1"/>
  <c r="K41" i="24" s="1"/>
  <c r="L49" i="24" a="1"/>
  <c r="L49" i="24" s="1"/>
  <c r="K49" i="24" a="1"/>
  <c r="K49" i="24" s="1"/>
  <c r="K57" i="24" a="1"/>
  <c r="K57" i="24" s="1"/>
  <c r="L57" i="24" a="1"/>
  <c r="L57" i="24" s="1"/>
  <c r="L65" i="24" a="1"/>
  <c r="L65" i="24" s="1"/>
  <c r="K65" i="24" a="1"/>
  <c r="K65" i="24" s="1"/>
  <c r="L73" i="24" a="1"/>
  <c r="L73" i="24" s="1"/>
  <c r="K73" i="24" a="1"/>
  <c r="K73" i="24" s="1"/>
  <c r="L81" i="24" a="1"/>
  <c r="L81" i="24" s="1"/>
  <c r="K81" i="24" a="1"/>
  <c r="K81" i="24" s="1"/>
  <c r="L89" i="24" a="1"/>
  <c r="L89" i="24" s="1"/>
  <c r="K89" i="24" a="1"/>
  <c r="K89" i="24" s="1"/>
  <c r="K97" i="24" a="1"/>
  <c r="K97" i="24" s="1"/>
  <c r="L97" i="24" a="1"/>
  <c r="L97" i="24" s="1"/>
  <c r="L105" i="24" a="1"/>
  <c r="L105" i="24" s="1"/>
  <c r="K105" i="24" a="1"/>
  <c r="K105" i="24" s="1"/>
  <c r="L113" i="24" a="1"/>
  <c r="L113" i="24" s="1"/>
  <c r="K113" i="24" a="1"/>
  <c r="K113" i="24" s="1"/>
  <c r="K121" i="24" a="1"/>
  <c r="K121" i="24" s="1"/>
  <c r="L121" i="24" a="1"/>
  <c r="L121" i="24" s="1"/>
  <c r="L38" i="24" a="1"/>
  <c r="L38" i="24" s="1"/>
  <c r="K38" i="24" a="1"/>
  <c r="K38" i="24" s="1"/>
  <c r="L86" i="24" a="1"/>
  <c r="L86" i="24" s="1"/>
  <c r="K86" i="24" a="1"/>
  <c r="K86" i="24" s="1"/>
  <c r="K32" i="24" a="1"/>
  <c r="K32" i="24" s="1"/>
  <c r="L32" i="24" a="1"/>
  <c r="L32" i="24" s="1"/>
  <c r="L34" i="24" a="1"/>
  <c r="L34" i="24" s="1"/>
  <c r="K34" i="24" a="1"/>
  <c r="K34" i="24" s="1"/>
  <c r="L42" i="24" a="1"/>
  <c r="L42" i="24" s="1"/>
  <c r="K42" i="24" a="1"/>
  <c r="K42" i="24" s="1"/>
  <c r="L50" i="24" a="1"/>
  <c r="L50" i="24" s="1"/>
  <c r="K50" i="24" a="1"/>
  <c r="K50" i="24" s="1"/>
  <c r="L58" i="24" a="1"/>
  <c r="L58" i="24" s="1"/>
  <c r="K58" i="24" a="1"/>
  <c r="K58" i="24" s="1"/>
  <c r="L66" i="24" a="1"/>
  <c r="L66" i="24" s="1"/>
  <c r="K66" i="24" a="1"/>
  <c r="K66" i="24" s="1"/>
  <c r="L74" i="24" a="1"/>
  <c r="L74" i="24" s="1"/>
  <c r="K74" i="24" a="1"/>
  <c r="K74" i="24" s="1"/>
  <c r="L82" i="24" a="1"/>
  <c r="L82" i="24" s="1"/>
  <c r="K82" i="24" a="1"/>
  <c r="K82" i="24" s="1"/>
  <c r="L90" i="24" a="1"/>
  <c r="L90" i="24" s="1"/>
  <c r="K90" i="24" a="1"/>
  <c r="K90" i="24" s="1"/>
  <c r="L98" i="24" a="1"/>
  <c r="L98" i="24" s="1"/>
  <c r="K98" i="24" a="1"/>
  <c r="K98" i="24" s="1"/>
  <c r="L106" i="24" a="1"/>
  <c r="L106" i="24" s="1"/>
  <c r="K106" i="24" a="1"/>
  <c r="K106" i="24" s="1"/>
  <c r="L114" i="24" a="1"/>
  <c r="L114" i="24" s="1"/>
  <c r="K114" i="24" a="1"/>
  <c r="K114" i="24" s="1"/>
  <c r="K122" i="24" a="1"/>
  <c r="K122" i="24" s="1"/>
  <c r="L122" i="24" a="1"/>
  <c r="L122" i="24" s="1"/>
  <c r="L22" i="24" a="1"/>
  <c r="L22" i="24" s="1"/>
  <c r="K22" i="24" a="1"/>
  <c r="K22" i="24" s="1"/>
  <c r="L102" i="24" a="1"/>
  <c r="L102" i="24" s="1"/>
  <c r="K102" i="24" a="1"/>
  <c r="K102" i="24" s="1"/>
  <c r="L24" i="24" a="1"/>
  <c r="L24" i="24" s="1"/>
  <c r="K24" i="24" a="1"/>
  <c r="K24" i="24" s="1"/>
  <c r="K18" i="24" a="1"/>
  <c r="K18" i="24" s="1"/>
  <c r="L18" i="24" a="1"/>
  <c r="L18" i="24" s="1"/>
  <c r="L19" i="24" a="1"/>
  <c r="L19" i="24" s="1"/>
  <c r="K19" i="24" a="1"/>
  <c r="K19" i="24" s="1"/>
  <c r="L27" i="24" a="1"/>
  <c r="L27" i="24" s="1"/>
  <c r="K27" i="24" a="1"/>
  <c r="K27" i="24" s="1"/>
  <c r="K35" i="24" a="1"/>
  <c r="K35" i="24" s="1"/>
  <c r="L35" i="24" a="1"/>
  <c r="L35" i="24" s="1"/>
  <c r="K43" i="24" a="1"/>
  <c r="K43" i="24" s="1"/>
  <c r="L43" i="24" a="1"/>
  <c r="L43" i="24" s="1"/>
  <c r="K51" i="24" a="1"/>
  <c r="K51" i="24" s="1"/>
  <c r="L51" i="24" a="1"/>
  <c r="L51" i="24" s="1"/>
  <c r="K59" i="24" a="1"/>
  <c r="K59" i="24" s="1"/>
  <c r="L59" i="24" a="1"/>
  <c r="L59" i="24" s="1"/>
  <c r="K67" i="24" a="1"/>
  <c r="K67" i="24" s="1"/>
  <c r="L67" i="24" a="1"/>
  <c r="L67" i="24" s="1"/>
  <c r="K75" i="24" a="1"/>
  <c r="K75" i="24" s="1"/>
  <c r="L75" i="24" a="1"/>
  <c r="L75" i="24" s="1"/>
  <c r="K83" i="24" a="1"/>
  <c r="K83" i="24" s="1"/>
  <c r="L83" i="24" a="1"/>
  <c r="L83" i="24" s="1"/>
  <c r="K91" i="24" a="1"/>
  <c r="K91" i="24" s="1"/>
  <c r="L91" i="24" a="1"/>
  <c r="L91" i="24" s="1"/>
  <c r="K99" i="24" a="1"/>
  <c r="K99" i="24" s="1"/>
  <c r="L99" i="24" a="1"/>
  <c r="L99" i="24" s="1"/>
  <c r="K107" i="24" a="1"/>
  <c r="K107" i="24" s="1"/>
  <c r="L107" i="24" a="1"/>
  <c r="L107" i="24" s="1"/>
  <c r="K115" i="24" a="1"/>
  <c r="K115" i="24" s="1"/>
  <c r="L115" i="24" a="1"/>
  <c r="L115" i="24" s="1"/>
  <c r="L123" i="24" a="1"/>
  <c r="L123" i="24" s="1"/>
  <c r="K123" i="24" a="1"/>
  <c r="K123" i="24" s="1"/>
  <c r="L30" i="24" a="1"/>
  <c r="L30" i="24" s="1"/>
  <c r="K30" i="24" a="1"/>
  <c r="K30" i="24" s="1"/>
  <c r="L78" i="24" a="1"/>
  <c r="L78" i="24" s="1"/>
  <c r="K78" i="24" a="1"/>
  <c r="K78" i="24" s="1"/>
  <c r="K64" i="24" a="1"/>
  <c r="K64" i="24" s="1"/>
  <c r="L64" i="24" a="1"/>
  <c r="L64" i="24" s="1"/>
  <c r="L20" i="24" a="1"/>
  <c r="L20" i="24" s="1"/>
  <c r="K20" i="24" a="1"/>
  <c r="K20" i="24" s="1"/>
  <c r="L28" i="24" a="1"/>
  <c r="L28" i="24" s="1"/>
  <c r="K28" i="24" a="1"/>
  <c r="K28" i="24" s="1"/>
  <c r="L36" i="24" a="1"/>
  <c r="L36" i="24" s="1"/>
  <c r="K36" i="24" a="1"/>
  <c r="K36" i="24" s="1"/>
  <c r="K44" i="24" a="1"/>
  <c r="K44" i="24" s="1"/>
  <c r="L44" i="24" a="1"/>
  <c r="L44" i="24" s="1"/>
  <c r="L52" i="24" a="1"/>
  <c r="L52" i="24" s="1"/>
  <c r="K52" i="24" a="1"/>
  <c r="K52" i="24" s="1"/>
  <c r="K60" i="24" a="1"/>
  <c r="K60" i="24" s="1"/>
  <c r="L60" i="24" a="1"/>
  <c r="L60" i="24" s="1"/>
  <c r="L68" i="24" a="1"/>
  <c r="L68" i="24" s="1"/>
  <c r="K68" i="24" a="1"/>
  <c r="K68" i="24" s="1"/>
  <c r="K76" i="24" a="1"/>
  <c r="K76" i="24" s="1"/>
  <c r="L76" i="24" a="1"/>
  <c r="L76" i="24" s="1"/>
  <c r="L84" i="24" a="1"/>
  <c r="L84" i="24" s="1"/>
  <c r="K84" i="24" a="1"/>
  <c r="K84" i="24" s="1"/>
  <c r="L92" i="24" a="1"/>
  <c r="L92" i="24" s="1"/>
  <c r="K92" i="24" a="1"/>
  <c r="K92" i="24" s="1"/>
  <c r="L100" i="24" a="1"/>
  <c r="L100" i="24" s="1"/>
  <c r="K100" i="24" a="1"/>
  <c r="K100" i="24" s="1"/>
  <c r="K108" i="24" a="1"/>
  <c r="K108" i="24" s="1"/>
  <c r="L108" i="24" a="1"/>
  <c r="L108" i="24" s="1"/>
  <c r="L116" i="24" a="1"/>
  <c r="L116" i="24" s="1"/>
  <c r="K116" i="24" a="1"/>
  <c r="K116" i="24" s="1"/>
  <c r="L124" i="24" a="1"/>
  <c r="L124" i="24" s="1"/>
  <c r="K124" i="24" a="1"/>
  <c r="K124" i="24" s="1"/>
  <c r="L54" i="24" a="1"/>
  <c r="L54" i="24" s="1"/>
  <c r="K54" i="24" a="1"/>
  <c r="K54" i="24" s="1"/>
  <c r="L110" i="24" a="1"/>
  <c r="L110" i="24" s="1"/>
  <c r="K110" i="24" a="1"/>
  <c r="K110" i="24" s="1"/>
  <c r="L40" i="24" a="1"/>
  <c r="L40" i="24" s="1"/>
  <c r="K40" i="24" a="1"/>
  <c r="K40" i="24" s="1"/>
  <c r="L25" i="24" a="1"/>
  <c r="L25" i="24" s="1"/>
  <c r="K25" i="24" a="1"/>
  <c r="K25" i="24" s="1"/>
  <c r="L26" i="24" a="1"/>
  <c r="L26" i="24" s="1"/>
  <c r="K26" i="24" a="1"/>
  <c r="K26" i="24" s="1"/>
  <c r="L21" i="24" a="1"/>
  <c r="L21" i="24" s="1"/>
  <c r="K21" i="24" a="1"/>
  <c r="K21" i="24" s="1"/>
  <c r="K29" i="24" a="1"/>
  <c r="K29" i="24" s="1"/>
  <c r="L29" i="24" a="1"/>
  <c r="L29" i="24" s="1"/>
  <c r="K37" i="24" a="1"/>
  <c r="K37" i="24" s="1"/>
  <c r="L37" i="24" a="1"/>
  <c r="L37" i="24" s="1"/>
  <c r="L45" i="24" a="1"/>
  <c r="L45" i="24" s="1"/>
  <c r="K45" i="24" a="1"/>
  <c r="K45" i="24" s="1"/>
  <c r="L53" i="24" a="1"/>
  <c r="L53" i="24" s="1"/>
  <c r="K53" i="24" a="1"/>
  <c r="K53" i="24" s="1"/>
  <c r="L61" i="24" a="1"/>
  <c r="L61" i="24" s="1"/>
  <c r="K61" i="24" a="1"/>
  <c r="K61" i="24" s="1"/>
  <c r="K69" i="24" a="1"/>
  <c r="K69" i="24" s="1"/>
  <c r="L69" i="24" a="1"/>
  <c r="L69" i="24" s="1"/>
  <c r="L77" i="24" a="1"/>
  <c r="L77" i="24" s="1"/>
  <c r="K77" i="24" a="1"/>
  <c r="K77" i="24" s="1"/>
  <c r="K85" i="24" a="1"/>
  <c r="K85" i="24" s="1"/>
  <c r="L85" i="24" a="1"/>
  <c r="L85" i="24" s="1"/>
  <c r="L93" i="24" a="1"/>
  <c r="L93" i="24" s="1"/>
  <c r="K93" i="24" a="1"/>
  <c r="K93" i="24" s="1"/>
  <c r="K101" i="24" a="1"/>
  <c r="K101" i="24" s="1"/>
  <c r="L101" i="24" a="1"/>
  <c r="L101" i="24" s="1"/>
  <c r="L109" i="24" a="1"/>
  <c r="L109" i="24" s="1"/>
  <c r="K109" i="24" a="1"/>
  <c r="K109" i="24" s="1"/>
  <c r="K117" i="24" a="1"/>
  <c r="K117" i="24" s="1"/>
  <c r="L117" i="24" a="1"/>
  <c r="L117" i="24" s="1"/>
  <c r="K125" i="24" a="1"/>
  <c r="K125" i="24" s="1"/>
  <c r="L125" i="24" a="1"/>
  <c r="L125" i="24" s="1"/>
  <c r="L15" i="24" a="1"/>
  <c r="L15" i="24" s="1"/>
  <c r="P15" i="24" s="1"/>
  <c r="K15" i="24" a="1"/>
  <c r="K15" i="24" s="1"/>
  <c r="O15" i="24" s="1"/>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F133" i="20"/>
  <c r="E133" i="20"/>
  <c r="P124" i="24" l="1"/>
  <c r="O35" i="24"/>
  <c r="P86" i="24"/>
  <c r="O72" i="24"/>
  <c r="P125" i="24"/>
  <c r="O93" i="24"/>
  <c r="O61" i="24"/>
  <c r="P29" i="24"/>
  <c r="O40" i="24"/>
  <c r="O116" i="24"/>
  <c r="O84" i="24"/>
  <c r="O52" i="24"/>
  <c r="O20" i="24"/>
  <c r="O123" i="24"/>
  <c r="P91" i="24"/>
  <c r="P59" i="24"/>
  <c r="O27" i="24"/>
  <c r="O102" i="24"/>
  <c r="O106" i="24"/>
  <c r="O74" i="24"/>
  <c r="O42" i="24"/>
  <c r="O38" i="24"/>
  <c r="P97" i="24"/>
  <c r="O65" i="24"/>
  <c r="P33" i="24"/>
  <c r="O46" i="24"/>
  <c r="O96" i="24"/>
  <c r="O56" i="24"/>
  <c r="P119" i="24"/>
  <c r="O87" i="24"/>
  <c r="O55" i="24"/>
  <c r="P23" i="24"/>
  <c r="P25" i="24"/>
  <c r="O99" i="24"/>
  <c r="P105" i="24"/>
  <c r="O104" i="24"/>
  <c r="O125" i="24"/>
  <c r="P61" i="24"/>
  <c r="O29" i="24"/>
  <c r="P40" i="24"/>
  <c r="P116" i="24"/>
  <c r="P84" i="24"/>
  <c r="P52" i="24"/>
  <c r="P20" i="24"/>
  <c r="P123" i="24"/>
  <c r="O91" i="24"/>
  <c r="O59" i="24"/>
  <c r="P27" i="24"/>
  <c r="P102" i="24"/>
  <c r="P106" i="24"/>
  <c r="P74" i="24"/>
  <c r="P42" i="24"/>
  <c r="P38" i="24"/>
  <c r="O97" i="24"/>
  <c r="P65" i="24"/>
  <c r="O33" i="24"/>
  <c r="P46" i="24"/>
  <c r="P96" i="24"/>
  <c r="P56" i="24"/>
  <c r="P111" i="24"/>
  <c r="P79" i="24"/>
  <c r="P47" i="24"/>
  <c r="O60" i="24"/>
  <c r="P114" i="24"/>
  <c r="P41" i="24"/>
  <c r="P87" i="24"/>
  <c r="P93" i="24"/>
  <c r="P117" i="24"/>
  <c r="P85" i="24"/>
  <c r="O53" i="24"/>
  <c r="O21" i="24"/>
  <c r="O110" i="24"/>
  <c r="P108" i="24"/>
  <c r="P76" i="24"/>
  <c r="P44" i="24"/>
  <c r="P64" i="24"/>
  <c r="P115" i="24"/>
  <c r="P83" i="24"/>
  <c r="P51" i="24"/>
  <c r="O19" i="24"/>
  <c r="O22" i="24"/>
  <c r="O98" i="24"/>
  <c r="O66" i="24"/>
  <c r="O34" i="24"/>
  <c r="P121" i="24"/>
  <c r="O89" i="24"/>
  <c r="P57" i="24"/>
  <c r="O17" i="24"/>
  <c r="O120" i="24"/>
  <c r="O88" i="24"/>
  <c r="P16" i="24"/>
  <c r="O111" i="24"/>
  <c r="O79" i="24"/>
  <c r="O47" i="24"/>
  <c r="O37" i="24"/>
  <c r="O67" i="24"/>
  <c r="P73" i="24"/>
  <c r="O119" i="24"/>
  <c r="O117" i="24"/>
  <c r="O85" i="24"/>
  <c r="P53" i="24"/>
  <c r="P21" i="24"/>
  <c r="P110" i="24"/>
  <c r="O108" i="24"/>
  <c r="O76" i="24"/>
  <c r="O44" i="24"/>
  <c r="O64" i="24"/>
  <c r="O115" i="24"/>
  <c r="O83" i="24"/>
  <c r="O51" i="24"/>
  <c r="P19" i="24"/>
  <c r="P22" i="24"/>
  <c r="P98" i="24"/>
  <c r="P66" i="24"/>
  <c r="P34" i="24"/>
  <c r="O121" i="24"/>
  <c r="P89" i="24"/>
  <c r="O57" i="24"/>
  <c r="P17" i="24"/>
  <c r="P120" i="24"/>
  <c r="P88" i="24"/>
  <c r="O16" i="24"/>
  <c r="P103" i="24"/>
  <c r="P71" i="24"/>
  <c r="P39" i="24"/>
  <c r="O94" i="24"/>
  <c r="O69" i="24"/>
  <c r="P28" i="24"/>
  <c r="P50" i="24"/>
  <c r="P55" i="24"/>
  <c r="O109" i="24"/>
  <c r="O77" i="24"/>
  <c r="O45" i="24"/>
  <c r="O26" i="24"/>
  <c r="O54" i="24"/>
  <c r="O100" i="24"/>
  <c r="O68" i="24"/>
  <c r="O36" i="24"/>
  <c r="O78" i="24"/>
  <c r="P107" i="24"/>
  <c r="P75" i="24"/>
  <c r="P43" i="24"/>
  <c r="P18" i="24"/>
  <c r="P122" i="24"/>
  <c r="O90" i="24"/>
  <c r="O58" i="24"/>
  <c r="P32" i="24"/>
  <c r="O113" i="24"/>
  <c r="O81" i="24"/>
  <c r="O49" i="24"/>
  <c r="O48" i="24"/>
  <c r="O112" i="24"/>
  <c r="O80" i="24"/>
  <c r="O103" i="24"/>
  <c r="O71" i="24"/>
  <c r="O39" i="24"/>
  <c r="P94" i="24"/>
  <c r="O101" i="24"/>
  <c r="P30" i="24"/>
  <c r="P82" i="24"/>
  <c r="O23" i="24"/>
  <c r="P109" i="24"/>
  <c r="P77" i="24"/>
  <c r="P45" i="24"/>
  <c r="P26" i="24"/>
  <c r="P54" i="24"/>
  <c r="P100" i="24"/>
  <c r="P68" i="24"/>
  <c r="P36" i="24"/>
  <c r="P78" i="24"/>
  <c r="O107" i="24"/>
  <c r="O75" i="24"/>
  <c r="O43" i="24"/>
  <c r="O18" i="24"/>
  <c r="O122" i="24"/>
  <c r="P90" i="24"/>
  <c r="P58" i="24"/>
  <c r="O32" i="24"/>
  <c r="P113" i="24"/>
  <c r="P81" i="24"/>
  <c r="P49" i="24"/>
  <c r="P48" i="24"/>
  <c r="P112" i="24"/>
  <c r="P80" i="24"/>
  <c r="O70" i="24"/>
  <c r="P95" i="24"/>
  <c r="P63" i="24"/>
  <c r="O31" i="24"/>
  <c r="O62" i="24"/>
  <c r="P92" i="24"/>
  <c r="P24" i="24"/>
  <c r="O118" i="24"/>
  <c r="P101" i="24"/>
  <c r="P69" i="24"/>
  <c r="P37" i="24"/>
  <c r="O25" i="24"/>
  <c r="O124" i="24"/>
  <c r="O92" i="24"/>
  <c r="P60" i="24"/>
  <c r="O28" i="24"/>
  <c r="O30" i="24"/>
  <c r="P99" i="24"/>
  <c r="P67" i="24"/>
  <c r="P35" i="24"/>
  <c r="O24" i="24"/>
  <c r="O114" i="24"/>
  <c r="O82" i="24"/>
  <c r="O50" i="24"/>
  <c r="O86" i="24"/>
  <c r="O105" i="24"/>
  <c r="O73" i="24"/>
  <c r="O41" i="24"/>
  <c r="P118" i="24"/>
  <c r="P104" i="24"/>
  <c r="P72" i="24"/>
  <c r="P70" i="24"/>
  <c r="O95" i="24"/>
  <c r="O63" i="24"/>
  <c r="P31" i="24"/>
  <c r="P62" i="24"/>
  <c r="Y46" i="24"/>
  <c r="AB46" i="24" s="1"/>
  <c r="AF46" i="24" s="1"/>
  <c r="Y76" i="24"/>
  <c r="AB76" i="24" s="1"/>
  <c r="AF76" i="24" s="1"/>
  <c r="Y105" i="24"/>
  <c r="AB105" i="24" s="1"/>
  <c r="AF105" i="24" s="1"/>
  <c r="Y89" i="24"/>
  <c r="AB89" i="24" s="1"/>
  <c r="AF89" i="24" s="1"/>
  <c r="Y66" i="24"/>
  <c r="AB66" i="24" s="1"/>
  <c r="AF66" i="24" s="1"/>
  <c r="X102" i="24"/>
  <c r="AA102" i="24" s="1"/>
  <c r="AE102" i="24" s="1"/>
  <c r="Y47" i="24"/>
  <c r="AB47" i="24" s="1"/>
  <c r="AF47" i="24" s="1"/>
  <c r="Y25" i="24"/>
  <c r="AB25" i="24" s="1"/>
  <c r="AF25" i="24" s="1"/>
  <c r="X20" i="24"/>
  <c r="AA20" i="24" s="1"/>
  <c r="AE20" i="24" s="1"/>
  <c r="X42" i="24"/>
  <c r="AA42" i="24" s="1"/>
  <c r="AE42" i="24" s="1"/>
  <c r="Y102" i="24"/>
  <c r="AB102" i="24" s="1"/>
  <c r="AF102" i="24" s="1"/>
  <c r="Y84" i="24"/>
  <c r="AB84" i="24" s="1"/>
  <c r="AF84" i="24" s="1"/>
  <c r="Y52" i="24"/>
  <c r="AB52" i="24" s="1"/>
  <c r="AF52" i="24" s="1"/>
  <c r="X99" i="24"/>
  <c r="AA99" i="24" s="1"/>
  <c r="AE99" i="24" s="1"/>
  <c r="X115" i="24"/>
  <c r="AA115" i="24" s="1"/>
  <c r="AE115" i="24" s="1"/>
  <c r="Y98" i="24"/>
  <c r="AB98" i="24" s="1"/>
  <c r="AF98" i="24" s="1"/>
  <c r="Y56" i="24"/>
  <c r="AB56" i="24" s="1"/>
  <c r="AF56" i="24" s="1"/>
  <c r="X103" i="24"/>
  <c r="AA103" i="24" s="1"/>
  <c r="AE103" i="24" s="1"/>
  <c r="Y87" i="24"/>
  <c r="AB87" i="24" s="1"/>
  <c r="AF87" i="24" s="1"/>
  <c r="X44" i="24"/>
  <c r="AA44" i="24" s="1"/>
  <c r="AE44" i="24" s="1"/>
  <c r="X35" i="24"/>
  <c r="AA35" i="24" s="1"/>
  <c r="AE35" i="24" s="1"/>
  <c r="X76" i="24"/>
  <c r="AA76" i="24" s="1"/>
  <c r="AE76" i="24" s="1"/>
  <c r="Y71" i="24"/>
  <c r="AB71" i="24" s="1"/>
  <c r="AF71" i="24" s="1"/>
  <c r="Y104" i="24" l="1"/>
  <c r="AB104" i="24" s="1"/>
  <c r="AF104" i="24" s="1"/>
  <c r="X114" i="24"/>
  <c r="AA114" i="24" s="1"/>
  <c r="AE114" i="24" s="1"/>
  <c r="X92" i="24"/>
  <c r="AA92" i="24" s="1"/>
  <c r="AE92" i="24" s="1"/>
  <c r="Y92" i="24"/>
  <c r="AB92" i="24" s="1"/>
  <c r="AF92" i="24" s="1"/>
  <c r="Y48" i="24"/>
  <c r="AB48" i="24" s="1"/>
  <c r="AF48" i="24" s="1"/>
  <c r="X18" i="24"/>
  <c r="AA18" i="24" s="1"/>
  <c r="AE18" i="24" s="1"/>
  <c r="Y54" i="24"/>
  <c r="AB54" i="24" s="1"/>
  <c r="AF54" i="24" s="1"/>
  <c r="X101" i="24"/>
  <c r="AA101" i="24" s="1"/>
  <c r="AE101" i="24" s="1"/>
  <c r="X49" i="24"/>
  <c r="AA49" i="24" s="1"/>
  <c r="AE49" i="24" s="1"/>
  <c r="Y43" i="24"/>
  <c r="AB43" i="24" s="1"/>
  <c r="AF43" i="24" s="1"/>
  <c r="X26" i="24"/>
  <c r="AA26" i="24" s="1"/>
  <c r="AE26" i="24" s="1"/>
  <c r="X94" i="24"/>
  <c r="AA94" i="24" s="1"/>
  <c r="AE94" i="24" s="1"/>
  <c r="X57" i="24"/>
  <c r="AA57" i="24" s="1"/>
  <c r="AE57" i="24" s="1"/>
  <c r="X51" i="24"/>
  <c r="AA51" i="24" s="1"/>
  <c r="AE51" i="24" s="1"/>
  <c r="Y21" i="24"/>
  <c r="AB21" i="24" s="1"/>
  <c r="AF21" i="24" s="1"/>
  <c r="X47" i="24"/>
  <c r="AA47" i="24" s="1"/>
  <c r="AE47" i="24" s="1"/>
  <c r="X89" i="24"/>
  <c r="AA89" i="24" s="1"/>
  <c r="AE89" i="24" s="1"/>
  <c r="Y83" i="24"/>
  <c r="AB83" i="24" s="1"/>
  <c r="AF83" i="24" s="1"/>
  <c r="X53" i="24"/>
  <c r="AA53" i="24" s="1"/>
  <c r="AE53" i="24" s="1"/>
  <c r="X97" i="24"/>
  <c r="AA97" i="24" s="1"/>
  <c r="AE97" i="24" s="1"/>
  <c r="X91" i="24"/>
  <c r="AA91" i="24" s="1"/>
  <c r="AE91" i="24" s="1"/>
  <c r="Y61" i="24"/>
  <c r="AB61" i="24" s="1"/>
  <c r="AF61" i="24" s="1"/>
  <c r="X87" i="24"/>
  <c r="AA87" i="24" s="1"/>
  <c r="AE87" i="24" s="1"/>
  <c r="X38" i="24"/>
  <c r="AA38" i="24" s="1"/>
  <c r="AE38" i="24" s="1"/>
  <c r="X93" i="24"/>
  <c r="AA93" i="24" s="1"/>
  <c r="AE93" i="24" s="1"/>
  <c r="X24" i="24"/>
  <c r="AA24" i="24" s="1"/>
  <c r="AE24" i="24" s="1"/>
  <c r="X62" i="24"/>
  <c r="AA62" i="24" s="1"/>
  <c r="AE62" i="24" s="1"/>
  <c r="Y49" i="24"/>
  <c r="AB49" i="24" s="1"/>
  <c r="AF49" i="24" s="1"/>
  <c r="X43" i="24"/>
  <c r="AA43" i="24" s="1"/>
  <c r="AE43" i="24" s="1"/>
  <c r="Y26" i="24"/>
  <c r="AB26" i="24" s="1"/>
  <c r="AF26" i="24" s="1"/>
  <c r="Y94" i="24"/>
  <c r="AB94" i="24" s="1"/>
  <c r="AF94" i="24" s="1"/>
  <c r="X81" i="24"/>
  <c r="AA81" i="24" s="1"/>
  <c r="AE81" i="24" s="1"/>
  <c r="Y75" i="24"/>
  <c r="AB75" i="24" s="1"/>
  <c r="AF75" i="24" s="1"/>
  <c r="X45" i="24"/>
  <c r="AA45" i="24" s="1"/>
  <c r="AE45" i="24" s="1"/>
  <c r="Y39" i="24"/>
  <c r="AB39" i="24" s="1"/>
  <c r="AF39" i="24" s="1"/>
  <c r="X83" i="24"/>
  <c r="AA83" i="24" s="1"/>
  <c r="AE83" i="24" s="1"/>
  <c r="Y53" i="24"/>
  <c r="AB53" i="24" s="1"/>
  <c r="AF53" i="24" s="1"/>
  <c r="X79" i="24"/>
  <c r="AA79" i="24" s="1"/>
  <c r="AE79" i="24" s="1"/>
  <c r="Y115" i="24"/>
  <c r="AB115" i="24" s="1"/>
  <c r="AF115" i="24" s="1"/>
  <c r="Y85" i="24"/>
  <c r="AB85" i="24" s="1"/>
  <c r="AF85" i="24" s="1"/>
  <c r="Y79" i="24"/>
  <c r="AB79" i="24" s="1"/>
  <c r="AF79" i="24" s="1"/>
  <c r="Y38" i="24"/>
  <c r="AB38" i="24" s="1"/>
  <c r="AF38" i="24" s="1"/>
  <c r="Y62" i="24"/>
  <c r="AB62" i="24" s="1"/>
  <c r="AF62" i="24" s="1"/>
  <c r="X41" i="24"/>
  <c r="AA41" i="24" s="1"/>
  <c r="AE41" i="24" s="1"/>
  <c r="Y35" i="24"/>
  <c r="AB35" i="24" s="1"/>
  <c r="AF35" i="24" s="1"/>
  <c r="X25" i="24"/>
  <c r="AA25" i="24" s="1"/>
  <c r="AE25" i="24" s="1"/>
  <c r="X31" i="24"/>
  <c r="AA31" i="24" s="1"/>
  <c r="AE31" i="24" s="1"/>
  <c r="Y81" i="24"/>
  <c r="AB81" i="24" s="1"/>
  <c r="AF81" i="24" s="1"/>
  <c r="X75" i="24"/>
  <c r="AA75" i="24" s="1"/>
  <c r="AE75" i="24" s="1"/>
  <c r="Y45" i="24"/>
  <c r="AB45" i="24" s="1"/>
  <c r="AF45" i="24" s="1"/>
  <c r="X39" i="24"/>
  <c r="AA39" i="24" s="1"/>
  <c r="AE39" i="24" s="1"/>
  <c r="X113" i="24"/>
  <c r="AA113" i="24" s="1"/>
  <c r="AE113" i="24" s="1"/>
  <c r="Y107" i="24"/>
  <c r="AB107" i="24" s="1"/>
  <c r="AF107" i="24" s="1"/>
  <c r="X77" i="24"/>
  <c r="AA77" i="24" s="1"/>
  <c r="AE77" i="24" s="1"/>
  <c r="X85" i="24"/>
  <c r="AA85" i="24" s="1"/>
  <c r="AE85" i="24" s="1"/>
  <c r="X111" i="24"/>
  <c r="AA111" i="24" s="1"/>
  <c r="AE111" i="24" s="1"/>
  <c r="X34" i="24"/>
  <c r="AA34" i="24" s="1"/>
  <c r="AE34" i="24" s="1"/>
  <c r="Y64" i="24"/>
  <c r="AB64" i="24" s="1"/>
  <c r="AF64" i="24" s="1"/>
  <c r="Y111" i="24"/>
  <c r="AB111" i="24" s="1"/>
  <c r="AF111" i="24" s="1"/>
  <c r="Y42" i="24"/>
  <c r="AB42" i="24" s="1"/>
  <c r="AF42" i="24" s="1"/>
  <c r="Y20" i="24"/>
  <c r="AB20" i="24" s="1"/>
  <c r="AF20" i="24" s="1"/>
  <c r="X104" i="24"/>
  <c r="AA104" i="24" s="1"/>
  <c r="AE104" i="24" s="1"/>
  <c r="X56" i="24"/>
  <c r="AA56" i="24" s="1"/>
  <c r="AE56" i="24" s="1"/>
  <c r="X74" i="24"/>
  <c r="AA74" i="24" s="1"/>
  <c r="AE74" i="24" s="1"/>
  <c r="X52" i="24"/>
  <c r="AA52" i="24" s="1"/>
  <c r="AE52" i="24" s="1"/>
  <c r="X72" i="24"/>
  <c r="AA72" i="24" s="1"/>
  <c r="AE72" i="24" s="1"/>
  <c r="Y31" i="24"/>
  <c r="AB31" i="24" s="1"/>
  <c r="AF31" i="24" s="1"/>
  <c r="X73" i="24"/>
  <c r="AA73" i="24" s="1"/>
  <c r="AE73" i="24" s="1"/>
  <c r="Y67" i="24"/>
  <c r="AB67" i="24" s="1"/>
  <c r="AF67" i="24" s="1"/>
  <c r="Y37" i="24"/>
  <c r="AB37" i="24" s="1"/>
  <c r="AF37" i="24" s="1"/>
  <c r="Y63" i="24"/>
  <c r="AB63" i="24" s="1"/>
  <c r="AF63" i="24" s="1"/>
  <c r="Y113" i="24"/>
  <c r="AB113" i="24" s="1"/>
  <c r="AF113" i="24" s="1"/>
  <c r="X107" i="24"/>
  <c r="AA107" i="24" s="1"/>
  <c r="AE107" i="24" s="1"/>
  <c r="Y77" i="24"/>
  <c r="AB77" i="24" s="1"/>
  <c r="AF77" i="24" s="1"/>
  <c r="X71" i="24"/>
  <c r="AA71" i="24" s="1"/>
  <c r="AE71" i="24" s="1"/>
  <c r="Y32" i="24"/>
  <c r="AB32" i="24" s="1"/>
  <c r="AF32" i="24" s="1"/>
  <c r="X78" i="24"/>
  <c r="AA78" i="24" s="1"/>
  <c r="AE78" i="24" s="1"/>
  <c r="X109" i="24"/>
  <c r="AA109" i="24" s="1"/>
  <c r="AE109" i="24" s="1"/>
  <c r="Y103" i="24"/>
  <c r="AB103" i="24" s="1"/>
  <c r="AF103" i="24" s="1"/>
  <c r="Y34" i="24"/>
  <c r="AB34" i="24" s="1"/>
  <c r="AF34" i="24" s="1"/>
  <c r="X64" i="24"/>
  <c r="AA64" i="24" s="1"/>
  <c r="AE64" i="24" s="1"/>
  <c r="X66" i="24"/>
  <c r="AA66" i="24" s="1"/>
  <c r="AE66" i="24" s="1"/>
  <c r="Y44" i="24"/>
  <c r="AB44" i="24" s="1"/>
  <c r="AF44" i="24" s="1"/>
  <c r="Y93" i="24"/>
  <c r="AB93" i="24" s="1"/>
  <c r="AF93" i="24" s="1"/>
  <c r="Y74" i="24"/>
  <c r="AB74" i="24" s="1"/>
  <c r="AF74" i="24" s="1"/>
  <c r="X96" i="24"/>
  <c r="AA96" i="24" s="1"/>
  <c r="AE96" i="24" s="1"/>
  <c r="X84" i="24"/>
  <c r="AA84" i="24" s="1"/>
  <c r="AE84" i="24" s="1"/>
  <c r="Y86" i="24"/>
  <c r="AB86" i="24" s="1"/>
  <c r="AF86" i="24" s="1"/>
  <c r="X63" i="24"/>
  <c r="AA63" i="24" s="1"/>
  <c r="AE63" i="24" s="1"/>
  <c r="X105" i="24"/>
  <c r="AA105" i="24" s="1"/>
  <c r="AE105" i="24" s="1"/>
  <c r="Y99" i="24"/>
  <c r="AB99" i="24" s="1"/>
  <c r="AF99" i="24" s="1"/>
  <c r="Y69" i="24"/>
  <c r="AB69" i="24" s="1"/>
  <c r="AF69" i="24" s="1"/>
  <c r="Y95" i="24"/>
  <c r="AB95" i="24" s="1"/>
  <c r="AF95" i="24" s="1"/>
  <c r="X32" i="24"/>
  <c r="AA32" i="24" s="1"/>
  <c r="AE32" i="24" s="1"/>
  <c r="Y78" i="24"/>
  <c r="AB78" i="24" s="1"/>
  <c r="AF78" i="24" s="1"/>
  <c r="Y109" i="24"/>
  <c r="AB109" i="24" s="1"/>
  <c r="AF109" i="24" s="1"/>
  <c r="X58" i="24"/>
  <c r="AA58" i="24" s="1"/>
  <c r="AE58" i="24" s="1"/>
  <c r="X36" i="24"/>
  <c r="AA36" i="24" s="1"/>
  <c r="AE36" i="24" s="1"/>
  <c r="Y55" i="24"/>
  <c r="AB55" i="24" s="1"/>
  <c r="AF55" i="24" s="1"/>
  <c r="X88" i="24"/>
  <c r="AA88" i="24" s="1"/>
  <c r="AE88" i="24" s="1"/>
  <c r="X98" i="24"/>
  <c r="AA98" i="24" s="1"/>
  <c r="AE98" i="24" s="1"/>
  <c r="Y96" i="24"/>
  <c r="AB96" i="24" s="1"/>
  <c r="AF96" i="24" s="1"/>
  <c r="Y106" i="24"/>
  <c r="AB106" i="24" s="1"/>
  <c r="AF106" i="24" s="1"/>
  <c r="X46" i="24"/>
  <c r="AA46" i="24" s="1"/>
  <c r="AE46" i="24" s="1"/>
  <c r="X95" i="24"/>
  <c r="AA95" i="24" s="1"/>
  <c r="AE95" i="24" s="1"/>
  <c r="X86" i="24"/>
  <c r="AA86" i="24" s="1"/>
  <c r="AE86" i="24" s="1"/>
  <c r="X30" i="24"/>
  <c r="AA30" i="24" s="1"/>
  <c r="AE30" i="24" s="1"/>
  <c r="Y101" i="24"/>
  <c r="AB101" i="24" s="1"/>
  <c r="AF101" i="24" s="1"/>
  <c r="X70" i="24"/>
  <c r="AA70" i="24" s="1"/>
  <c r="AE70" i="24" s="1"/>
  <c r="Y58" i="24"/>
  <c r="AB58" i="24" s="1"/>
  <c r="AF58" i="24" s="1"/>
  <c r="Y36" i="24"/>
  <c r="AB36" i="24" s="1"/>
  <c r="AF36" i="24" s="1"/>
  <c r="X23" i="24"/>
  <c r="AA23" i="24" s="1"/>
  <c r="AE23" i="24" s="1"/>
  <c r="X80" i="24"/>
  <c r="AA80" i="24" s="1"/>
  <c r="AE80" i="24" s="1"/>
  <c r="X90" i="24"/>
  <c r="AA90" i="24" s="1"/>
  <c r="AE90" i="24" s="1"/>
  <c r="X68" i="24"/>
  <c r="AA68" i="24" s="1"/>
  <c r="AE68" i="24" s="1"/>
  <c r="Y50" i="24"/>
  <c r="AB50" i="24" s="1"/>
  <c r="AF50" i="24" s="1"/>
  <c r="Y88" i="24"/>
  <c r="AB88" i="24" s="1"/>
  <c r="AF88" i="24" s="1"/>
  <c r="Y73" i="24"/>
  <c r="AB73" i="24" s="1"/>
  <c r="AF73" i="24" s="1"/>
  <c r="X22" i="24"/>
  <c r="AA22" i="24" s="1"/>
  <c r="AE22" i="24" s="1"/>
  <c r="Y108" i="24"/>
  <c r="AB108" i="24" s="1"/>
  <c r="AF108" i="24" s="1"/>
  <c r="Y41" i="24"/>
  <c r="AB41" i="24" s="1"/>
  <c r="AF41" i="24" s="1"/>
  <c r="Y33" i="24"/>
  <c r="AB33" i="24" s="1"/>
  <c r="AF33" i="24" s="1"/>
  <c r="X27" i="24"/>
  <c r="AA27" i="24" s="1"/>
  <c r="AE27" i="24" s="1"/>
  <c r="X40" i="24"/>
  <c r="AA40" i="24" s="1"/>
  <c r="AE40" i="24" s="1"/>
  <c r="Y70" i="24"/>
  <c r="AB70" i="24" s="1"/>
  <c r="AF70" i="24" s="1"/>
  <c r="X50" i="24"/>
  <c r="AA50" i="24" s="1"/>
  <c r="AE50" i="24" s="1"/>
  <c r="X28" i="24"/>
  <c r="AA28" i="24" s="1"/>
  <c r="AE28" i="24" s="1"/>
  <c r="Y80" i="24"/>
  <c r="AB80" i="24" s="1"/>
  <c r="AF80" i="24" s="1"/>
  <c r="Y90" i="24"/>
  <c r="AB90" i="24" s="1"/>
  <c r="AF90" i="24" s="1"/>
  <c r="Y68" i="24"/>
  <c r="AB68" i="24" s="1"/>
  <c r="AF68" i="24" s="1"/>
  <c r="Y82" i="24"/>
  <c r="AB82" i="24" s="1"/>
  <c r="AF82" i="24" s="1"/>
  <c r="X112" i="24"/>
  <c r="AA112" i="24" s="1"/>
  <c r="AE112" i="24" s="1"/>
  <c r="X100" i="24"/>
  <c r="AA100" i="24" s="1"/>
  <c r="AE100" i="24" s="1"/>
  <c r="Y28" i="24"/>
  <c r="AB28" i="24" s="1"/>
  <c r="AF28" i="24" s="1"/>
  <c r="Y22" i="24"/>
  <c r="AB22" i="24" s="1"/>
  <c r="AF22" i="24" s="1"/>
  <c r="X108" i="24"/>
  <c r="AA108" i="24" s="1"/>
  <c r="AE108" i="24" s="1"/>
  <c r="X67" i="24"/>
  <c r="AA67" i="24" s="1"/>
  <c r="AE67" i="24" s="1"/>
  <c r="X17" i="24"/>
  <c r="AA17" i="24" s="1"/>
  <c r="AE17" i="24" s="1"/>
  <c r="X19" i="24"/>
  <c r="AA19" i="24" s="1"/>
  <c r="AE19" i="24" s="1"/>
  <c r="X110" i="24"/>
  <c r="AA110" i="24" s="1"/>
  <c r="AE110" i="24" s="1"/>
  <c r="Y114" i="24"/>
  <c r="AB114" i="24" s="1"/>
  <c r="AF114" i="24" s="1"/>
  <c r="X33" i="24"/>
  <c r="AA33" i="24" s="1"/>
  <c r="AE33" i="24" s="1"/>
  <c r="Y27" i="24"/>
  <c r="AB27" i="24" s="1"/>
  <c r="AF27" i="24" s="1"/>
  <c r="Y40" i="24"/>
  <c r="AB40" i="24" s="1"/>
  <c r="AF40" i="24" s="1"/>
  <c r="Y23" i="24"/>
  <c r="AB23" i="24" s="1"/>
  <c r="AF23" i="24" s="1"/>
  <c r="X65" i="24"/>
  <c r="AA65" i="24" s="1"/>
  <c r="AE65" i="24" s="1"/>
  <c r="Y59" i="24"/>
  <c r="AB59" i="24" s="1"/>
  <c r="AF59" i="24" s="1"/>
  <c r="Y29" i="24"/>
  <c r="AB29" i="24" s="1"/>
  <c r="AF29" i="24" s="1"/>
  <c r="Y72" i="24"/>
  <c r="AB72" i="24" s="1"/>
  <c r="AF72" i="24" s="1"/>
  <c r="X82" i="24"/>
  <c r="AA82" i="24" s="1"/>
  <c r="AE82" i="24" s="1"/>
  <c r="Y60" i="24"/>
  <c r="AB60" i="24" s="1"/>
  <c r="AF60" i="24" s="1"/>
  <c r="Y24" i="24"/>
  <c r="AB24" i="24" s="1"/>
  <c r="AF24" i="24" s="1"/>
  <c r="Y112" i="24"/>
  <c r="AB112" i="24" s="1"/>
  <c r="AF112" i="24" s="1"/>
  <c r="Y100" i="24"/>
  <c r="AB100" i="24" s="1"/>
  <c r="AF100" i="24" s="1"/>
  <c r="Y30" i="24"/>
  <c r="AB30" i="24" s="1"/>
  <c r="AF30" i="24" s="1"/>
  <c r="X48" i="24"/>
  <c r="AA48" i="24" s="1"/>
  <c r="AE48" i="24" s="1"/>
  <c r="Y18" i="24"/>
  <c r="AB18" i="24" s="1"/>
  <c r="AF18" i="24" s="1"/>
  <c r="X54" i="24"/>
  <c r="AA54" i="24" s="1"/>
  <c r="AE54" i="24" s="1"/>
  <c r="X69" i="24"/>
  <c r="AA69" i="24" s="1"/>
  <c r="AE69" i="24" s="1"/>
  <c r="Y17" i="24"/>
  <c r="AB17" i="24" s="1"/>
  <c r="AF17" i="24" s="1"/>
  <c r="Y19" i="24"/>
  <c r="AB19" i="24" s="1"/>
  <c r="AF19" i="24" s="1"/>
  <c r="Y110" i="24"/>
  <c r="AB110" i="24" s="1"/>
  <c r="AF110" i="24" s="1"/>
  <c r="X37" i="24"/>
  <c r="AA37" i="24" s="1"/>
  <c r="AE37" i="24" s="1"/>
  <c r="Y57" i="24"/>
  <c r="AB57" i="24" s="1"/>
  <c r="AF57" i="24" s="1"/>
  <c r="Y51" i="24"/>
  <c r="AB51" i="24" s="1"/>
  <c r="AF51" i="24" s="1"/>
  <c r="X21" i="24"/>
  <c r="AA21" i="24" s="1"/>
  <c r="AE21" i="24" s="1"/>
  <c r="X60" i="24"/>
  <c r="AA60" i="24" s="1"/>
  <c r="AE60" i="24" s="1"/>
  <c r="Y65" i="24"/>
  <c r="AB65" i="24" s="1"/>
  <c r="AF65" i="24" s="1"/>
  <c r="X59" i="24"/>
  <c r="AA59" i="24" s="1"/>
  <c r="AE59" i="24" s="1"/>
  <c r="X29" i="24"/>
  <c r="AA29" i="24" s="1"/>
  <c r="AE29" i="24" s="1"/>
  <c r="X55" i="24"/>
  <c r="AA55" i="24" s="1"/>
  <c r="AE55" i="24" s="1"/>
  <c r="Y97" i="24"/>
  <c r="AB97" i="24" s="1"/>
  <c r="AF97" i="24" s="1"/>
  <c r="Y91" i="24"/>
  <c r="AB91" i="24" s="1"/>
  <c r="AF91" i="24" s="1"/>
  <c r="X61" i="24"/>
  <c r="AA61" i="24" s="1"/>
  <c r="AE61" i="24" s="1"/>
  <c r="CG125" i="24"/>
  <c r="CG121" i="24"/>
  <c r="CG117" i="24"/>
  <c r="CG113" i="24"/>
  <c r="CG109" i="24"/>
  <c r="CG124" i="24"/>
  <c r="CG120" i="24"/>
  <c r="CG116" i="24"/>
  <c r="CG112" i="24"/>
  <c r="CG108" i="24"/>
  <c r="CG123" i="24"/>
  <c r="CG119" i="24"/>
  <c r="CG115" i="24"/>
  <c r="CG111" i="24"/>
  <c r="CG107" i="24"/>
  <c r="CG122" i="24"/>
  <c r="CG118" i="24"/>
  <c r="CG114" i="24"/>
  <c r="CG110" i="24"/>
  <c r="CG106" i="24"/>
  <c r="CH125" i="24"/>
  <c r="CH121" i="24"/>
  <c r="CH117" i="24"/>
  <c r="CH113" i="24"/>
  <c r="CH109" i="24"/>
  <c r="CH119" i="24"/>
  <c r="CH115" i="24"/>
  <c r="CH124" i="24"/>
  <c r="CH120" i="24"/>
  <c r="CH116" i="24"/>
  <c r="CH112" i="24"/>
  <c r="CH108" i="24"/>
  <c r="CH111" i="24"/>
  <c r="CH107" i="24"/>
  <c r="CH123" i="24"/>
  <c r="CH122" i="24"/>
  <c r="CH118" i="24"/>
  <c r="CH114" i="24"/>
  <c r="CH110" i="24"/>
  <c r="CH106" i="24"/>
  <c r="X106" i="24"/>
  <c r="AA106" i="24" s="1"/>
  <c r="AE106" i="24" s="1"/>
  <c r="X16" i="24"/>
  <c r="Y16" i="24" l="1"/>
  <c r="AB16" i="24"/>
  <c r="AF16" i="24" s="1"/>
  <c r="Y15" i="24"/>
  <c r="AB15" i="24" s="1"/>
  <c r="AF15" i="24" s="1"/>
  <c r="AA16" i="24"/>
  <c r="AE16" i="24" s="1"/>
  <c r="X15" i="24"/>
  <c r="AA15" i="24" s="1"/>
  <c r="AE15" i="24" s="1"/>
  <c r="Y116" i="24"/>
  <c r="AB116" i="24" s="1"/>
  <c r="AF116" i="24" s="1"/>
  <c r="BF14" i="24"/>
  <c r="BH14" i="24" s="1"/>
  <c r="BJ14" i="24" s="1"/>
  <c r="X116" i="24"/>
  <c r="AA116" i="24" s="1"/>
  <c r="AE116" i="24" s="1"/>
  <c r="BE14" i="24"/>
  <c r="BG14" i="24" s="1"/>
  <c r="BI14" i="24" s="1"/>
  <c r="AQ14" i="24"/>
  <c r="AS14" i="24" s="1"/>
  <c r="AU14" i="24" s="1"/>
  <c r="AP14" i="24"/>
  <c r="AR14" i="24" s="1"/>
  <c r="AT14" i="24" s="1"/>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F13" i="20" l="1"/>
  <c r="E13" i="20"/>
  <c r="D13" i="20"/>
  <c r="C13" i="20"/>
  <c r="C15" i="20" s="1"/>
  <c r="D11" i="6" s="1" a="1"/>
  <c r="D11" i="6" s="1"/>
  <c r="E15" i="20" l="1"/>
  <c r="F11" i="6" s="1" a="1"/>
  <c r="F11" i="6" s="1"/>
  <c r="F15" i="20"/>
  <c r="G11" i="6" s="1" a="1"/>
  <c r="G11" i="6" s="1"/>
  <c r="G15" i="20"/>
  <c r="H11" i="6" s="1" a="1"/>
  <c r="H11" i="6" s="1"/>
  <c r="D15" i="20"/>
  <c r="E11" i="6" s="1" a="1"/>
  <c r="E11" i="6" s="1"/>
  <c r="D156" i="32"/>
  <c r="D153" i="32"/>
  <c r="D151" i="32"/>
  <c r="D65" i="32"/>
  <c r="D61" i="32"/>
  <c r="D43" i="32"/>
  <c r="D34" i="32"/>
  <c r="D16" i="32"/>
  <c r="D58" i="32"/>
  <c r="D42" i="32"/>
  <c r="D33" i="32"/>
  <c r="D15" i="32"/>
  <c r="D64" i="32"/>
  <c r="D41" i="32"/>
  <c r="F41" i="32" s="1"/>
  <c r="D20" i="32"/>
  <c r="F20" i="32" s="1"/>
  <c r="D60" i="32"/>
  <c r="D40" i="32"/>
  <c r="D37" i="32"/>
  <c r="F37" i="32" s="1"/>
  <c r="D17" i="32"/>
  <c r="D67" i="32"/>
  <c r="D63" i="32"/>
  <c r="D57" i="32"/>
  <c r="D39" i="32"/>
  <c r="D21" i="32"/>
  <c r="D66" i="32"/>
  <c r="D59" i="32"/>
  <c r="D36" i="32"/>
  <c r="D19" i="32"/>
  <c r="D35" i="32"/>
  <c r="D47" i="32"/>
  <c r="D24" i="32"/>
  <c r="D25" i="32"/>
  <c r="D62" i="32"/>
  <c r="D49" i="32"/>
  <c r="D18" i="32"/>
  <c r="D56" i="32"/>
  <c r="D69" i="32"/>
  <c r="D14" i="32"/>
  <c r="D73" i="32"/>
  <c r="D48" i="32"/>
  <c r="D72" i="32"/>
  <c r="D70" i="32"/>
  <c r="D23" i="32"/>
  <c r="D32" i="32"/>
  <c r="D45" i="32"/>
  <c r="F45" i="32" s="1"/>
  <c r="D46" i="32"/>
  <c r="D71" i="32"/>
  <c r="D38" i="32"/>
  <c r="D22" i="32"/>
  <c r="D44" i="32"/>
  <c r="D68" i="32"/>
  <c r="C11" i="9" s="1"/>
  <c r="D148" i="32" l="1"/>
  <c r="D144" i="32"/>
  <c r="D149" i="32"/>
  <c r="D154" i="32"/>
  <c r="D139" i="32"/>
  <c r="D152" i="32"/>
  <c r="E152" i="32" s="1"/>
  <c r="D143" i="32"/>
  <c r="F143" i="32" s="1"/>
  <c r="D140" i="32"/>
  <c r="F140" i="32" s="1"/>
  <c r="D141" i="32"/>
  <c r="F141" i="32" s="1"/>
  <c r="D150" i="32"/>
  <c r="D145" i="32"/>
  <c r="F145" i="32" s="1"/>
  <c r="D142" i="32"/>
  <c r="F142" i="32" s="1"/>
  <c r="D155" i="32"/>
  <c r="F155" i="32" s="1"/>
  <c r="D147" i="32"/>
  <c r="F147" i="32" s="1"/>
  <c r="D115" i="32"/>
  <c r="E115" i="32" s="1"/>
  <c r="D106" i="32"/>
  <c r="D110" i="32" s="1"/>
  <c r="E110" i="32" s="1"/>
  <c r="D124" i="32"/>
  <c r="E124" i="32" s="1"/>
  <c r="D146" i="32"/>
  <c r="F150" i="32"/>
  <c r="C67" i="5"/>
  <c r="E151" i="32"/>
  <c r="F151" i="32"/>
  <c r="F148" i="32"/>
  <c r="F154" i="32"/>
  <c r="E154" i="32"/>
  <c r="F144" i="32"/>
  <c r="E144" i="32"/>
  <c r="D116" i="32"/>
  <c r="E116" i="32" s="1"/>
  <c r="F153" i="32"/>
  <c r="E153" i="32"/>
  <c r="E139" i="32"/>
  <c r="F139" i="32"/>
  <c r="F149" i="32"/>
  <c r="F156" i="32"/>
  <c r="E156" i="32"/>
  <c r="J9" i="5"/>
  <c r="I9" i="5" s="1"/>
  <c r="D9" i="5"/>
  <c r="D37" i="3"/>
  <c r="F37" i="3" s="1"/>
  <c r="J8" i="5"/>
  <c r="I8" i="5" s="1"/>
  <c r="D8" i="5"/>
  <c r="C17" i="9" s="1"/>
  <c r="D10" i="5"/>
  <c r="J10" i="5"/>
  <c r="I10" i="5" s="1"/>
  <c r="D38" i="3"/>
  <c r="F38" i="3" s="1"/>
  <c r="D12" i="5"/>
  <c r="J12" i="5"/>
  <c r="I12" i="5" s="1"/>
  <c r="D40" i="3"/>
  <c r="F40" i="3" s="1"/>
  <c r="D11" i="5"/>
  <c r="J11" i="5"/>
  <c r="I11" i="5" s="1"/>
  <c r="D39" i="3"/>
  <c r="F39" i="3" s="1"/>
  <c r="J13" i="5"/>
  <c r="I13" i="5" s="1"/>
  <c r="D13" i="5"/>
  <c r="D41" i="3"/>
  <c r="F41" i="3" s="1"/>
  <c r="E62" i="32"/>
  <c r="F62" i="32"/>
  <c r="D86" i="32"/>
  <c r="E41" i="32"/>
  <c r="E38" i="32"/>
  <c r="F38" i="32"/>
  <c r="F48" i="32"/>
  <c r="E48" i="32"/>
  <c r="F25" i="32"/>
  <c r="E25" i="32"/>
  <c r="F21" i="32"/>
  <c r="E21" i="32"/>
  <c r="D84" i="32"/>
  <c r="F60" i="32"/>
  <c r="E60" i="32"/>
  <c r="F16" i="32"/>
  <c r="E16" i="32"/>
  <c r="F72" i="32"/>
  <c r="D96" i="32"/>
  <c r="E72" i="32"/>
  <c r="D95" i="32"/>
  <c r="F71" i="32"/>
  <c r="E71" i="32"/>
  <c r="F73" i="32"/>
  <c r="D97" i="32"/>
  <c r="E73" i="32"/>
  <c r="F24" i="32"/>
  <c r="E24" i="32"/>
  <c r="F39" i="32"/>
  <c r="E39" i="32"/>
  <c r="F34" i="32"/>
  <c r="E34" i="32"/>
  <c r="F40" i="32"/>
  <c r="E40" i="32"/>
  <c r="E14" i="32"/>
  <c r="F14" i="32"/>
  <c r="F47" i="32"/>
  <c r="E47" i="32"/>
  <c r="F57" i="32"/>
  <c r="D81" i="32"/>
  <c r="E57" i="32"/>
  <c r="F43" i="32"/>
  <c r="E43" i="32"/>
  <c r="F69" i="32"/>
  <c r="D93" i="32"/>
  <c r="E69" i="32"/>
  <c r="F35" i="32"/>
  <c r="E35" i="32"/>
  <c r="D87" i="32"/>
  <c r="F63" i="32"/>
  <c r="E63" i="32"/>
  <c r="D88" i="32"/>
  <c r="F64" i="32"/>
  <c r="E64" i="32"/>
  <c r="D85" i="32"/>
  <c r="F61" i="32"/>
  <c r="E61" i="32"/>
  <c r="D90" i="32"/>
  <c r="F66" i="32"/>
  <c r="E66" i="32"/>
  <c r="F46" i="32"/>
  <c r="E46" i="32"/>
  <c r="E37" i="32"/>
  <c r="F32" i="32"/>
  <c r="E32" i="32"/>
  <c r="D80" i="32"/>
  <c r="F56" i="32"/>
  <c r="E56" i="32"/>
  <c r="F19" i="32"/>
  <c r="E19" i="32"/>
  <c r="D91" i="32"/>
  <c r="F67" i="32"/>
  <c r="E67" i="32"/>
  <c r="F15" i="32"/>
  <c r="E15" i="32"/>
  <c r="D89" i="32"/>
  <c r="F65" i="32"/>
  <c r="E65" i="32"/>
  <c r="F22" i="32"/>
  <c r="E22" i="32"/>
  <c r="D92" i="32"/>
  <c r="E68" i="32"/>
  <c r="F68" i="32"/>
  <c r="F23" i="32"/>
  <c r="E23" i="32"/>
  <c r="E20" i="32"/>
  <c r="E18" i="32"/>
  <c r="F18" i="32"/>
  <c r="F36" i="32"/>
  <c r="E36" i="32"/>
  <c r="F17" i="32"/>
  <c r="E17" i="32"/>
  <c r="F33" i="32"/>
  <c r="E33" i="32"/>
  <c r="D82" i="32"/>
  <c r="F58" i="32"/>
  <c r="E58" i="32"/>
  <c r="E45" i="32"/>
  <c r="F44" i="32"/>
  <c r="E44" i="32"/>
  <c r="F70" i="32"/>
  <c r="D94" i="32"/>
  <c r="E70" i="32"/>
  <c r="F49" i="32"/>
  <c r="E49" i="32"/>
  <c r="D83" i="32"/>
  <c r="F59" i="32"/>
  <c r="E59" i="32"/>
  <c r="F42" i="32"/>
  <c r="E42" i="32"/>
  <c r="F152" i="32" l="1"/>
  <c r="D122" i="32"/>
  <c r="E122" i="32" s="1"/>
  <c r="E143" i="32"/>
  <c r="D113" i="32"/>
  <c r="E113" i="32" s="1"/>
  <c r="D108" i="32"/>
  <c r="E108" i="32" s="1"/>
  <c r="E140" i="32"/>
  <c r="E106" i="32"/>
  <c r="D107" i="32"/>
  <c r="E107" i="32" s="1"/>
  <c r="D109" i="32"/>
  <c r="E109" i="32" s="1"/>
  <c r="D125" i="32"/>
  <c r="C29" i="5" s="1"/>
  <c r="E141" i="32"/>
  <c r="D131" i="32"/>
  <c r="F29" i="5" s="1"/>
  <c r="F36" i="3"/>
  <c r="C8" i="3" s="1"/>
  <c r="E150" i="32"/>
  <c r="E148" i="32"/>
  <c r="E145" i="32"/>
  <c r="E149" i="32"/>
  <c r="E142" i="32"/>
  <c r="D114" i="32"/>
  <c r="E114" i="32" s="1"/>
  <c r="E155" i="32"/>
  <c r="E146" i="32"/>
  <c r="E147" i="32"/>
  <c r="D130" i="32"/>
  <c r="D112" i="32"/>
  <c r="E112" i="32" s="1"/>
  <c r="D111" i="32"/>
  <c r="E111" i="32" s="1"/>
  <c r="F146" i="32"/>
  <c r="D129" i="32"/>
  <c r="E129" i="32" s="1"/>
  <c r="D117" i="32"/>
  <c r="E117" i="32" s="1"/>
  <c r="D128" i="32"/>
  <c r="D126" i="32"/>
  <c r="E126" i="32" s="1"/>
  <c r="D118" i="32"/>
  <c r="E118" i="32" s="1"/>
  <c r="D132" i="32"/>
  <c r="E132" i="32" s="1"/>
  <c r="D123" i="32"/>
  <c r="E123" i="32" s="1"/>
  <c r="D121" i="32"/>
  <c r="D120" i="32"/>
  <c r="E120" i="32" s="1"/>
  <c r="D119" i="32"/>
  <c r="D127" i="32"/>
  <c r="D29" i="5" s="1"/>
  <c r="E125" i="32"/>
  <c r="D36" i="3"/>
  <c r="D25" i="17"/>
  <c r="E131" i="32" l="1"/>
  <c r="E130" i="32"/>
  <c r="E31" i="5"/>
  <c r="E128" i="32"/>
  <c r="D31" i="5"/>
  <c r="D32" i="5" s="1"/>
  <c r="D34" i="5" s="1"/>
  <c r="C41" i="5" s="1"/>
  <c r="C31" i="5"/>
  <c r="C32" i="5" s="1"/>
  <c r="C34" i="5" s="1"/>
  <c r="F31" i="5"/>
  <c r="E119" i="32"/>
  <c r="E121" i="32"/>
  <c r="E29" i="5"/>
  <c r="E127" i="32"/>
  <c r="D26" i="17"/>
  <c r="C34" i="9" s="1"/>
  <c r="C68" i="5"/>
  <c r="C33" i="9" s="1"/>
  <c r="J30" i="6"/>
  <c r="K30" i="6"/>
  <c r="L30" i="6"/>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J29" i="6"/>
  <c r="K29" i="6"/>
  <c r="L29" i="6"/>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J27" i="6"/>
  <c r="K27" i="6"/>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R25" i="4"/>
  <c r="R26" i="4" s="1"/>
  <c r="S25" i="4"/>
  <c r="S26" i="4" s="1"/>
  <c r="T25" i="4"/>
  <c r="T26" i="4" s="1"/>
  <c r="U25" i="4"/>
  <c r="U26" i="4" s="1"/>
  <c r="V25" i="4"/>
  <c r="V26" i="4" s="1"/>
  <c r="W25" i="4"/>
  <c r="W26" i="4" s="1"/>
  <c r="X25" i="4"/>
  <c r="X26" i="4" s="1"/>
  <c r="Y25" i="4"/>
  <c r="Y26" i="4" s="1"/>
  <c r="Z25" i="4"/>
  <c r="Z26" i="4" s="1"/>
  <c r="AA25" i="4"/>
  <c r="AA26" i="4" s="1"/>
  <c r="AB25" i="4"/>
  <c r="AB26" i="4" s="1"/>
  <c r="AC25" i="4"/>
  <c r="AC26" i="4" s="1"/>
  <c r="AD25" i="4"/>
  <c r="AD26" i="4" s="1"/>
  <c r="AE25" i="4"/>
  <c r="AE26" i="4" s="1"/>
  <c r="AF25" i="4"/>
  <c r="AF26" i="4" s="1"/>
  <c r="AG25" i="4"/>
  <c r="AG26" i="4" s="1"/>
  <c r="AH25" i="4"/>
  <c r="AH26" i="4" s="1"/>
  <c r="AI25" i="4"/>
  <c r="AI26" i="4" s="1"/>
  <c r="AJ25" i="4"/>
  <c r="AJ26" i="4" s="1"/>
  <c r="AK25" i="4"/>
  <c r="AK26" i="4" s="1"/>
  <c r="AL25" i="4"/>
  <c r="AL26" i="4" s="1"/>
  <c r="AM25" i="4"/>
  <c r="AM26" i="4" s="1"/>
  <c r="AN25" i="4"/>
  <c r="AN26" i="4" s="1"/>
  <c r="AO25" i="4"/>
  <c r="AO26" i="4" s="1"/>
  <c r="AP25" i="4"/>
  <c r="AP26" i="4" s="1"/>
  <c r="AQ25" i="4"/>
  <c r="AQ26" i="4" s="1"/>
  <c r="AR25" i="4"/>
  <c r="AR26" i="4" s="1"/>
  <c r="AS25" i="4"/>
  <c r="AS26" i="4" s="1"/>
  <c r="AT25" i="4"/>
  <c r="AT26" i="4" s="1"/>
  <c r="AU25" i="4"/>
  <c r="AU26" i="4" s="1"/>
  <c r="AV25" i="4"/>
  <c r="AV26" i="4" s="1"/>
  <c r="AW25" i="4"/>
  <c r="AW26" i="4" s="1"/>
  <c r="AX25" i="4"/>
  <c r="AX26" i="4" s="1"/>
  <c r="AY25" i="4"/>
  <c r="AY26" i="4" s="1"/>
  <c r="AZ25" i="4"/>
  <c r="AZ26" i="4" s="1"/>
  <c r="BA25" i="4"/>
  <c r="BA26" i="4" s="1"/>
  <c r="BB25" i="4"/>
  <c r="BB26" i="4" s="1"/>
  <c r="F21" i="4"/>
  <c r="F22" i="4" s="1"/>
  <c r="G21" i="4"/>
  <c r="G22" i="4" s="1"/>
  <c r="H21" i="4"/>
  <c r="H22" i="4" s="1"/>
  <c r="I21" i="4"/>
  <c r="I22" i="4" s="1"/>
  <c r="J21" i="4"/>
  <c r="J22" i="4" s="1"/>
  <c r="K21" i="4"/>
  <c r="K22" i="4" s="1"/>
  <c r="L21" i="4"/>
  <c r="L22" i="4" s="1"/>
  <c r="M21" i="4"/>
  <c r="M22" i="4" s="1"/>
  <c r="N21" i="4"/>
  <c r="N22" i="4" s="1"/>
  <c r="O21" i="4"/>
  <c r="O22" i="4" s="1"/>
  <c r="P21" i="4"/>
  <c r="P22" i="4" s="1"/>
  <c r="Q21" i="4"/>
  <c r="Q22" i="4" s="1"/>
  <c r="R21" i="4"/>
  <c r="R22" i="4" s="1"/>
  <c r="S21" i="4"/>
  <c r="S22" i="4" s="1"/>
  <c r="T21" i="4"/>
  <c r="T22" i="4" s="1"/>
  <c r="U21" i="4"/>
  <c r="U22" i="4" s="1"/>
  <c r="V21" i="4"/>
  <c r="V22" i="4" s="1"/>
  <c r="W21" i="4"/>
  <c r="W22" i="4" s="1"/>
  <c r="X21" i="4"/>
  <c r="X22" i="4" s="1"/>
  <c r="Y21" i="4"/>
  <c r="Y22" i="4" s="1"/>
  <c r="Z21" i="4"/>
  <c r="Z22" i="4" s="1"/>
  <c r="AA21" i="4"/>
  <c r="AA22" i="4" s="1"/>
  <c r="AB21" i="4"/>
  <c r="AB22" i="4" s="1"/>
  <c r="AC21" i="4"/>
  <c r="AC22" i="4" s="1"/>
  <c r="AD21" i="4"/>
  <c r="AD22" i="4" s="1"/>
  <c r="AE21" i="4"/>
  <c r="AE22" i="4" s="1"/>
  <c r="AF21" i="4"/>
  <c r="AF22" i="4" s="1"/>
  <c r="AG21" i="4"/>
  <c r="AG22" i="4" s="1"/>
  <c r="AH21" i="4"/>
  <c r="AH22" i="4" s="1"/>
  <c r="AI21" i="4"/>
  <c r="AI22" i="4" s="1"/>
  <c r="AJ21" i="4"/>
  <c r="AJ22" i="4" s="1"/>
  <c r="AK21" i="4"/>
  <c r="AK22" i="4" s="1"/>
  <c r="AL21" i="4"/>
  <c r="AL22" i="4" s="1"/>
  <c r="AM21" i="4"/>
  <c r="AM22" i="4" s="1"/>
  <c r="AN21" i="4"/>
  <c r="AN22" i="4" s="1"/>
  <c r="AO21" i="4"/>
  <c r="AO22" i="4" s="1"/>
  <c r="AP21" i="4"/>
  <c r="AP22" i="4" s="1"/>
  <c r="AQ21" i="4"/>
  <c r="AQ22" i="4" s="1"/>
  <c r="AR21" i="4"/>
  <c r="AR22" i="4" s="1"/>
  <c r="AS21" i="4"/>
  <c r="AS22" i="4" s="1"/>
  <c r="AT21" i="4"/>
  <c r="AT22" i="4" s="1"/>
  <c r="AU21" i="4"/>
  <c r="AU22" i="4" s="1"/>
  <c r="AV21" i="4"/>
  <c r="AV22" i="4" s="1"/>
  <c r="AW21" i="4"/>
  <c r="AW22" i="4" s="1"/>
  <c r="AX21" i="4"/>
  <c r="AX22" i="4" s="1"/>
  <c r="AY21" i="4"/>
  <c r="AY22" i="4" s="1"/>
  <c r="AZ21" i="4"/>
  <c r="AZ22" i="4" s="1"/>
  <c r="BA21" i="4"/>
  <c r="BA22" i="4" s="1"/>
  <c r="BB21" i="4"/>
  <c r="BB22" i="4" s="1"/>
  <c r="F17" i="4"/>
  <c r="F18" i="4" s="1"/>
  <c r="G17" i="4"/>
  <c r="G18" i="4" s="1"/>
  <c r="H17" i="4"/>
  <c r="H18" i="4" s="1"/>
  <c r="I17" i="4"/>
  <c r="I18" i="4" s="1"/>
  <c r="J17" i="4"/>
  <c r="J18" i="4" s="1"/>
  <c r="K17" i="4"/>
  <c r="K18" i="4" s="1"/>
  <c r="L17" i="4"/>
  <c r="L18" i="4" s="1"/>
  <c r="M17" i="4"/>
  <c r="M18" i="4" s="1"/>
  <c r="N17" i="4"/>
  <c r="N18" i="4" s="1"/>
  <c r="O17" i="4"/>
  <c r="O18" i="4" s="1"/>
  <c r="P17" i="4"/>
  <c r="P18" i="4" s="1"/>
  <c r="Q17" i="4"/>
  <c r="Q18" i="4" s="1"/>
  <c r="R17" i="4"/>
  <c r="R18" i="4" s="1"/>
  <c r="S17" i="4"/>
  <c r="S18" i="4" s="1"/>
  <c r="T17" i="4"/>
  <c r="T18" i="4" s="1"/>
  <c r="U17" i="4"/>
  <c r="U18"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F13" i="4"/>
  <c r="F14" i="4" s="1"/>
  <c r="G13" i="4"/>
  <c r="G14" i="4" s="1"/>
  <c r="H13" i="4"/>
  <c r="H14" i="4" s="1"/>
  <c r="I13" i="4"/>
  <c r="I14" i="4" s="1"/>
  <c r="J13" i="4"/>
  <c r="J14" i="4" s="1"/>
  <c r="K13" i="4"/>
  <c r="K14" i="4" s="1"/>
  <c r="L13" i="4"/>
  <c r="L14" i="4" s="1"/>
  <c r="M13" i="4"/>
  <c r="M14" i="4" s="1"/>
  <c r="N13" i="4"/>
  <c r="N14" i="4" s="1"/>
  <c r="O13" i="4"/>
  <c r="O14" i="4" s="1"/>
  <c r="P13" i="4"/>
  <c r="P14" i="4" s="1"/>
  <c r="Q13" i="4"/>
  <c r="Q14" i="4" s="1"/>
  <c r="R13" i="4"/>
  <c r="R14" i="4" s="1"/>
  <c r="S13" i="4"/>
  <c r="S14" i="4" s="1"/>
  <c r="T13" i="4"/>
  <c r="T14" i="4" s="1"/>
  <c r="U13" i="4"/>
  <c r="U14" i="4" s="1"/>
  <c r="V13" i="4"/>
  <c r="V14" i="4" s="1"/>
  <c r="W13" i="4"/>
  <c r="W14" i="4" s="1"/>
  <c r="X13" i="4"/>
  <c r="X14" i="4" s="1"/>
  <c r="Y13" i="4"/>
  <c r="Y14" i="4" s="1"/>
  <c r="Z13" i="4"/>
  <c r="Z14" i="4" s="1"/>
  <c r="AA13" i="4"/>
  <c r="AA14" i="4" s="1"/>
  <c r="AB13" i="4"/>
  <c r="AB14" i="4" s="1"/>
  <c r="AC13" i="4"/>
  <c r="AC14" i="4" s="1"/>
  <c r="AD13" i="4"/>
  <c r="AD14" i="4" s="1"/>
  <c r="AE13" i="4"/>
  <c r="AE14" i="4" s="1"/>
  <c r="AF13" i="4"/>
  <c r="AF14" i="4" s="1"/>
  <c r="AG13" i="4"/>
  <c r="AG14" i="4" s="1"/>
  <c r="AH13" i="4"/>
  <c r="AH14" i="4" s="1"/>
  <c r="AI13" i="4"/>
  <c r="AI14" i="4" s="1"/>
  <c r="AJ13" i="4"/>
  <c r="AJ14" i="4" s="1"/>
  <c r="AK13" i="4"/>
  <c r="AK14" i="4" s="1"/>
  <c r="AL13" i="4"/>
  <c r="AL14" i="4" s="1"/>
  <c r="AM13" i="4"/>
  <c r="AM14" i="4" s="1"/>
  <c r="AN13" i="4"/>
  <c r="AN14" i="4" s="1"/>
  <c r="AO13" i="4"/>
  <c r="AO14" i="4" s="1"/>
  <c r="AP13" i="4"/>
  <c r="AP14" i="4" s="1"/>
  <c r="AQ13" i="4"/>
  <c r="AQ14" i="4" s="1"/>
  <c r="AR13" i="4"/>
  <c r="AR14" i="4" s="1"/>
  <c r="AS13" i="4"/>
  <c r="AS14" i="4" s="1"/>
  <c r="AT13" i="4"/>
  <c r="AT14" i="4" s="1"/>
  <c r="AU13" i="4"/>
  <c r="AU14" i="4" s="1"/>
  <c r="AV13" i="4"/>
  <c r="AV14" i="4" s="1"/>
  <c r="AW13" i="4"/>
  <c r="AW14" i="4" s="1"/>
  <c r="AX13" i="4"/>
  <c r="AX14" i="4" s="1"/>
  <c r="AY13" i="4"/>
  <c r="AY14" i="4" s="1"/>
  <c r="AZ13" i="4"/>
  <c r="AZ14" i="4" s="1"/>
  <c r="BA13" i="4"/>
  <c r="BA14" i="4" s="1"/>
  <c r="BB13" i="4"/>
  <c r="BB14" i="4" s="1"/>
  <c r="G76" i="5"/>
  <c r="F76" i="5"/>
  <c r="E76" i="5"/>
  <c r="D76" i="5"/>
  <c r="C76" i="5"/>
  <c r="C85" i="5"/>
  <c r="C84" i="5"/>
  <c r="BB55" i="4"/>
  <c r="BB56" i="4" s="1"/>
  <c r="BA55" i="4"/>
  <c r="BA56" i="4" s="1"/>
  <c r="AZ55" i="4"/>
  <c r="AZ56" i="4" s="1"/>
  <c r="AY55" i="4"/>
  <c r="AY56" i="4" s="1"/>
  <c r="AX55" i="4"/>
  <c r="AX56" i="4" s="1"/>
  <c r="AW55" i="4"/>
  <c r="AW56" i="4" s="1"/>
  <c r="AV55" i="4"/>
  <c r="AV56" i="4" s="1"/>
  <c r="AU55" i="4"/>
  <c r="AU56" i="4" s="1"/>
  <c r="AT55" i="4"/>
  <c r="AT56" i="4" s="1"/>
  <c r="AS55" i="4"/>
  <c r="AS56" i="4" s="1"/>
  <c r="AR55" i="4"/>
  <c r="AR56" i="4" s="1"/>
  <c r="AQ55" i="4"/>
  <c r="AQ56" i="4" s="1"/>
  <c r="AP55" i="4"/>
  <c r="AP56" i="4" s="1"/>
  <c r="AO55" i="4"/>
  <c r="AO56" i="4" s="1"/>
  <c r="AN55" i="4"/>
  <c r="AN56" i="4" s="1"/>
  <c r="AM55" i="4"/>
  <c r="AM56" i="4" s="1"/>
  <c r="AL55" i="4"/>
  <c r="AL56" i="4" s="1"/>
  <c r="AK55" i="4"/>
  <c r="AK56" i="4" s="1"/>
  <c r="AJ55" i="4"/>
  <c r="AJ56" i="4" s="1"/>
  <c r="AI55" i="4"/>
  <c r="AI56" i="4" s="1"/>
  <c r="AH55" i="4"/>
  <c r="AH56" i="4" s="1"/>
  <c r="AG55" i="4"/>
  <c r="AG56" i="4" s="1"/>
  <c r="AF55" i="4"/>
  <c r="AF56" i="4" s="1"/>
  <c r="AE55" i="4"/>
  <c r="AE56" i="4" s="1"/>
  <c r="AD55" i="4"/>
  <c r="AD56" i="4" s="1"/>
  <c r="AC55" i="4"/>
  <c r="AC56" i="4" s="1"/>
  <c r="AB55" i="4"/>
  <c r="AB56" i="4" s="1"/>
  <c r="AA55" i="4"/>
  <c r="AA56" i="4" s="1"/>
  <c r="Z55" i="4"/>
  <c r="Z56" i="4" s="1"/>
  <c r="Y55" i="4"/>
  <c r="Y56" i="4" s="1"/>
  <c r="X55" i="4"/>
  <c r="X56" i="4" s="1"/>
  <c r="W55" i="4"/>
  <c r="W56" i="4" s="1"/>
  <c r="V55" i="4"/>
  <c r="V56" i="4" s="1"/>
  <c r="U55" i="4"/>
  <c r="U56" i="4" s="1"/>
  <c r="T55" i="4"/>
  <c r="T56" i="4" s="1"/>
  <c r="S55" i="4"/>
  <c r="S56" i="4" s="1"/>
  <c r="R55" i="4"/>
  <c r="R56" i="4" s="1"/>
  <c r="Q55" i="4"/>
  <c r="Q56" i="4" s="1"/>
  <c r="P55" i="4"/>
  <c r="P56" i="4" s="1"/>
  <c r="O55" i="4"/>
  <c r="O56" i="4" s="1"/>
  <c r="N55" i="4"/>
  <c r="N56" i="4" s="1"/>
  <c r="M55" i="4"/>
  <c r="M56" i="4" s="1"/>
  <c r="L55" i="4"/>
  <c r="L56" i="4" s="1"/>
  <c r="K55" i="4"/>
  <c r="K56" i="4" s="1"/>
  <c r="J55" i="4"/>
  <c r="J56" i="4" s="1"/>
  <c r="I55" i="4"/>
  <c r="I56" i="4" s="1"/>
  <c r="H55" i="4"/>
  <c r="H56" i="4" s="1"/>
  <c r="G55" i="4"/>
  <c r="G56" i="4" s="1"/>
  <c r="F55" i="4"/>
  <c r="F56" i="4" s="1"/>
  <c r="E55" i="4"/>
  <c r="E56" i="4" s="1"/>
  <c r="BB51" i="4"/>
  <c r="BB52" i="4" s="1"/>
  <c r="BA51" i="4"/>
  <c r="BA52" i="4" s="1"/>
  <c r="AZ51" i="4"/>
  <c r="AZ52" i="4" s="1"/>
  <c r="AY51" i="4"/>
  <c r="AY52" i="4" s="1"/>
  <c r="AX51" i="4"/>
  <c r="AX52" i="4" s="1"/>
  <c r="AW51" i="4"/>
  <c r="AW52" i="4" s="1"/>
  <c r="AV51" i="4"/>
  <c r="AV52" i="4" s="1"/>
  <c r="AU51" i="4"/>
  <c r="AU52" i="4" s="1"/>
  <c r="AT51" i="4"/>
  <c r="AT52" i="4" s="1"/>
  <c r="AS51" i="4"/>
  <c r="AS52" i="4" s="1"/>
  <c r="AR51" i="4"/>
  <c r="AR52" i="4" s="1"/>
  <c r="AQ51" i="4"/>
  <c r="AQ52" i="4" s="1"/>
  <c r="AP51" i="4"/>
  <c r="AP52" i="4" s="1"/>
  <c r="AO51" i="4"/>
  <c r="AO52" i="4" s="1"/>
  <c r="AN51" i="4"/>
  <c r="AN52" i="4" s="1"/>
  <c r="AM51" i="4"/>
  <c r="AM52" i="4" s="1"/>
  <c r="AL51" i="4"/>
  <c r="AL52" i="4" s="1"/>
  <c r="AK51" i="4"/>
  <c r="AK52" i="4" s="1"/>
  <c r="AJ51" i="4"/>
  <c r="AJ52" i="4" s="1"/>
  <c r="AI51" i="4"/>
  <c r="AI52" i="4" s="1"/>
  <c r="AH51" i="4"/>
  <c r="AH52" i="4" s="1"/>
  <c r="AG51" i="4"/>
  <c r="AG52" i="4" s="1"/>
  <c r="AF51" i="4"/>
  <c r="AF52" i="4" s="1"/>
  <c r="AE51" i="4"/>
  <c r="AE52" i="4" s="1"/>
  <c r="AD51" i="4"/>
  <c r="AD52" i="4" s="1"/>
  <c r="AC51" i="4"/>
  <c r="AC52" i="4" s="1"/>
  <c r="AB51" i="4"/>
  <c r="AB52" i="4" s="1"/>
  <c r="AA51" i="4"/>
  <c r="AA52" i="4" s="1"/>
  <c r="Z51" i="4"/>
  <c r="Z52" i="4" s="1"/>
  <c r="Y51" i="4"/>
  <c r="Y52" i="4" s="1"/>
  <c r="X51" i="4"/>
  <c r="X52" i="4" s="1"/>
  <c r="W51" i="4"/>
  <c r="W52" i="4" s="1"/>
  <c r="V51" i="4"/>
  <c r="V52" i="4" s="1"/>
  <c r="U51" i="4"/>
  <c r="U52" i="4" s="1"/>
  <c r="T51" i="4"/>
  <c r="T52" i="4" s="1"/>
  <c r="S51" i="4"/>
  <c r="S52" i="4" s="1"/>
  <c r="R51" i="4"/>
  <c r="R52" i="4" s="1"/>
  <c r="Q51" i="4"/>
  <c r="Q52" i="4" s="1"/>
  <c r="P51" i="4"/>
  <c r="P52" i="4" s="1"/>
  <c r="O51" i="4"/>
  <c r="O52" i="4" s="1"/>
  <c r="N51" i="4"/>
  <c r="N52" i="4" s="1"/>
  <c r="M51" i="4"/>
  <c r="M52" i="4" s="1"/>
  <c r="L51" i="4"/>
  <c r="L52" i="4" s="1"/>
  <c r="K51" i="4"/>
  <c r="K52" i="4" s="1"/>
  <c r="J51" i="4"/>
  <c r="J52" i="4" s="1"/>
  <c r="I51" i="4"/>
  <c r="I52" i="4" s="1"/>
  <c r="H51" i="4"/>
  <c r="H52" i="4" s="1"/>
  <c r="G51" i="4"/>
  <c r="G52" i="4" s="1"/>
  <c r="F51" i="4"/>
  <c r="F52" i="4" s="1"/>
  <c r="E51" i="4"/>
  <c r="E52" i="4" s="1"/>
  <c r="E21" i="4"/>
  <c r="E22" i="4" s="1"/>
  <c r="E17" i="4"/>
  <c r="E18" i="4" s="1"/>
  <c r="D14" i="17"/>
  <c r="D18" i="17" s="1"/>
  <c r="D20" i="17" s="1"/>
  <c r="D21" i="17" s="1"/>
  <c r="D54" i="3"/>
  <c r="C51" i="9"/>
  <c r="C50" i="9"/>
  <c r="D57" i="3"/>
  <c r="D56" i="3"/>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AI112" i="4" s="1"/>
  <c r="AJ112" i="4" s="1"/>
  <c r="AK112" i="4" s="1"/>
  <c r="AL112" i="4" s="1"/>
  <c r="AM112" i="4" s="1"/>
  <c r="AN112" i="4" s="1"/>
  <c r="AO112" i="4" s="1"/>
  <c r="AP112" i="4" s="1"/>
  <c r="AQ112" i="4" s="1"/>
  <c r="AR112" i="4" s="1"/>
  <c r="AS112" i="4" s="1"/>
  <c r="AT112" i="4" s="1"/>
  <c r="AU112" i="4" s="1"/>
  <c r="AV112" i="4" s="1"/>
  <c r="AW112" i="4" s="1"/>
  <c r="AX112" i="4" s="1"/>
  <c r="AY112" i="4" s="1"/>
  <c r="AZ112" i="4" s="1"/>
  <c r="BA112" i="4" s="1"/>
  <c r="BB112"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AE104" i="4" s="1"/>
  <c r="AF104" i="4" s="1"/>
  <c r="AG104" i="4" s="1"/>
  <c r="AH104" i="4" s="1"/>
  <c r="AI104" i="4" s="1"/>
  <c r="AJ104" i="4" s="1"/>
  <c r="AK104" i="4" s="1"/>
  <c r="AL104" i="4" s="1"/>
  <c r="AM104" i="4" s="1"/>
  <c r="AN104" i="4" s="1"/>
  <c r="AO104" i="4" s="1"/>
  <c r="AP104" i="4" s="1"/>
  <c r="AQ104" i="4" s="1"/>
  <c r="AR104" i="4" s="1"/>
  <c r="AS104" i="4" s="1"/>
  <c r="AT104" i="4" s="1"/>
  <c r="AU104" i="4" s="1"/>
  <c r="AV104" i="4" s="1"/>
  <c r="AW104" i="4" s="1"/>
  <c r="AX104" i="4" s="1"/>
  <c r="AY104" i="4" s="1"/>
  <c r="AZ104" i="4" s="1"/>
  <c r="BA104" i="4" s="1"/>
  <c r="BB104"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AE96" i="4" s="1"/>
  <c r="AF96" i="4" s="1"/>
  <c r="AG96" i="4" s="1"/>
  <c r="AH96" i="4" s="1"/>
  <c r="AI96" i="4" s="1"/>
  <c r="AJ96" i="4" s="1"/>
  <c r="AK96" i="4" s="1"/>
  <c r="AL96" i="4" s="1"/>
  <c r="AM96" i="4" s="1"/>
  <c r="AN96" i="4" s="1"/>
  <c r="AO96" i="4" s="1"/>
  <c r="AP96" i="4" s="1"/>
  <c r="AQ96" i="4" s="1"/>
  <c r="AR96" i="4" s="1"/>
  <c r="AS96" i="4" s="1"/>
  <c r="AT96" i="4" s="1"/>
  <c r="AU96" i="4" s="1"/>
  <c r="AV96" i="4" s="1"/>
  <c r="AW96" i="4" s="1"/>
  <c r="AX96" i="4" s="1"/>
  <c r="AY96" i="4" s="1"/>
  <c r="AZ96" i="4" s="1"/>
  <c r="BA96" i="4" s="1"/>
  <c r="BB96"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E88" i="4" s="1"/>
  <c r="AF88" i="4" s="1"/>
  <c r="AG88" i="4" s="1"/>
  <c r="AH88" i="4" s="1"/>
  <c r="AI88" i="4" s="1"/>
  <c r="AJ88" i="4" s="1"/>
  <c r="AK88" i="4" s="1"/>
  <c r="AL88" i="4" s="1"/>
  <c r="AM88" i="4" s="1"/>
  <c r="AN88" i="4" s="1"/>
  <c r="AO88" i="4" s="1"/>
  <c r="AP88" i="4" s="1"/>
  <c r="AQ88" i="4" s="1"/>
  <c r="AR88" i="4" s="1"/>
  <c r="AS88" i="4" s="1"/>
  <c r="AT88" i="4" s="1"/>
  <c r="AU88" i="4" s="1"/>
  <c r="AV88" i="4" s="1"/>
  <c r="AW88" i="4" s="1"/>
  <c r="AX88" i="4" s="1"/>
  <c r="AY88" i="4" s="1"/>
  <c r="AZ88" i="4" s="1"/>
  <c r="BA88" i="4" s="1"/>
  <c r="BB88" i="4" s="1"/>
  <c r="BB71" i="4"/>
  <c r="BB72" i="4" s="1"/>
  <c r="BA71" i="4"/>
  <c r="BA72" i="4" s="1"/>
  <c r="AZ71" i="4"/>
  <c r="AZ72" i="4" s="1"/>
  <c r="AY71" i="4"/>
  <c r="AY72" i="4" s="1"/>
  <c r="AX71" i="4"/>
  <c r="AX72" i="4" s="1"/>
  <c r="AW71" i="4"/>
  <c r="AW72" i="4" s="1"/>
  <c r="AV71" i="4"/>
  <c r="AV72" i="4" s="1"/>
  <c r="AU71" i="4"/>
  <c r="AU72" i="4" s="1"/>
  <c r="AT71" i="4"/>
  <c r="AT72" i="4" s="1"/>
  <c r="AS71" i="4"/>
  <c r="AS72" i="4" s="1"/>
  <c r="AR71" i="4"/>
  <c r="AR72" i="4" s="1"/>
  <c r="AQ71" i="4"/>
  <c r="AQ72" i="4" s="1"/>
  <c r="AP71" i="4"/>
  <c r="AP72" i="4" s="1"/>
  <c r="AO71" i="4"/>
  <c r="AO72" i="4" s="1"/>
  <c r="AN71" i="4"/>
  <c r="AN72" i="4" s="1"/>
  <c r="AM71" i="4"/>
  <c r="AM72" i="4" s="1"/>
  <c r="AL71" i="4"/>
  <c r="AL72" i="4" s="1"/>
  <c r="AK71" i="4"/>
  <c r="AK72" i="4" s="1"/>
  <c r="AJ71" i="4"/>
  <c r="AJ72" i="4" s="1"/>
  <c r="AI71" i="4"/>
  <c r="AI72" i="4" s="1"/>
  <c r="AH71" i="4"/>
  <c r="AH72" i="4" s="1"/>
  <c r="AG71" i="4"/>
  <c r="AG72" i="4" s="1"/>
  <c r="AF71" i="4"/>
  <c r="AF72" i="4" s="1"/>
  <c r="AE71" i="4"/>
  <c r="AE72" i="4" s="1"/>
  <c r="AD71" i="4"/>
  <c r="AD72" i="4" s="1"/>
  <c r="AC71" i="4"/>
  <c r="AC72" i="4" s="1"/>
  <c r="AB71" i="4"/>
  <c r="AB72" i="4" s="1"/>
  <c r="AA71" i="4"/>
  <c r="AA72" i="4" s="1"/>
  <c r="Z71" i="4"/>
  <c r="Z72" i="4" s="1"/>
  <c r="Y71" i="4"/>
  <c r="Y72" i="4" s="1"/>
  <c r="X71" i="4"/>
  <c r="X72" i="4" s="1"/>
  <c r="W71" i="4"/>
  <c r="W72" i="4" s="1"/>
  <c r="V71" i="4"/>
  <c r="V72" i="4" s="1"/>
  <c r="U71" i="4"/>
  <c r="U72" i="4" s="1"/>
  <c r="T71" i="4"/>
  <c r="T72" i="4" s="1"/>
  <c r="S71" i="4"/>
  <c r="S72" i="4" s="1"/>
  <c r="R71" i="4"/>
  <c r="R72" i="4" s="1"/>
  <c r="Q71" i="4"/>
  <c r="Q72" i="4" s="1"/>
  <c r="P71" i="4"/>
  <c r="P72" i="4" s="1"/>
  <c r="O71" i="4"/>
  <c r="O72" i="4" s="1"/>
  <c r="N71" i="4"/>
  <c r="N72" i="4" s="1"/>
  <c r="M71" i="4"/>
  <c r="M72" i="4" s="1"/>
  <c r="L71" i="4"/>
  <c r="L72" i="4" s="1"/>
  <c r="K71" i="4"/>
  <c r="K72" i="4" s="1"/>
  <c r="J71" i="4"/>
  <c r="J72" i="4" s="1"/>
  <c r="I71" i="4"/>
  <c r="I72" i="4" s="1"/>
  <c r="H71" i="4"/>
  <c r="H72" i="4" s="1"/>
  <c r="G71" i="4"/>
  <c r="G72" i="4" s="1"/>
  <c r="F71" i="4"/>
  <c r="F72" i="4" s="1"/>
  <c r="BB67" i="4"/>
  <c r="BB68" i="4" s="1"/>
  <c r="BA67" i="4"/>
  <c r="BA68" i="4" s="1"/>
  <c r="AZ67" i="4"/>
  <c r="AZ68" i="4" s="1"/>
  <c r="AY67" i="4"/>
  <c r="AY68" i="4" s="1"/>
  <c r="AX67" i="4"/>
  <c r="AX68" i="4" s="1"/>
  <c r="AW67" i="4"/>
  <c r="AW68" i="4" s="1"/>
  <c r="AV67" i="4"/>
  <c r="AV68" i="4" s="1"/>
  <c r="AU67" i="4"/>
  <c r="AU68" i="4" s="1"/>
  <c r="AT67" i="4"/>
  <c r="AT68" i="4" s="1"/>
  <c r="AS67" i="4"/>
  <c r="AS68" i="4" s="1"/>
  <c r="AR67" i="4"/>
  <c r="AR68" i="4" s="1"/>
  <c r="AQ67" i="4"/>
  <c r="AQ68" i="4" s="1"/>
  <c r="AP67" i="4"/>
  <c r="AP68" i="4" s="1"/>
  <c r="AO67" i="4"/>
  <c r="AO68" i="4" s="1"/>
  <c r="AN67" i="4"/>
  <c r="AN68" i="4" s="1"/>
  <c r="AM67" i="4"/>
  <c r="AM68" i="4" s="1"/>
  <c r="AL67" i="4"/>
  <c r="AL68" i="4" s="1"/>
  <c r="AK67" i="4"/>
  <c r="AK68" i="4" s="1"/>
  <c r="AJ67" i="4"/>
  <c r="AJ68" i="4" s="1"/>
  <c r="AI67" i="4"/>
  <c r="AI68" i="4" s="1"/>
  <c r="AH67" i="4"/>
  <c r="AH68" i="4" s="1"/>
  <c r="AG67" i="4"/>
  <c r="AG68" i="4" s="1"/>
  <c r="AF67" i="4"/>
  <c r="AF68" i="4" s="1"/>
  <c r="AE67" i="4"/>
  <c r="AE68" i="4" s="1"/>
  <c r="AD67" i="4"/>
  <c r="AD68" i="4" s="1"/>
  <c r="AC67" i="4"/>
  <c r="AC68" i="4" s="1"/>
  <c r="AB67" i="4"/>
  <c r="AB68" i="4" s="1"/>
  <c r="AA67" i="4"/>
  <c r="AA68" i="4" s="1"/>
  <c r="Z67" i="4"/>
  <c r="Z68" i="4" s="1"/>
  <c r="Y67" i="4"/>
  <c r="Y68" i="4" s="1"/>
  <c r="X67" i="4"/>
  <c r="X68" i="4" s="1"/>
  <c r="W67" i="4"/>
  <c r="W68" i="4" s="1"/>
  <c r="V67" i="4"/>
  <c r="V68" i="4" s="1"/>
  <c r="U67" i="4"/>
  <c r="U68" i="4" s="1"/>
  <c r="T67" i="4"/>
  <c r="T68" i="4" s="1"/>
  <c r="S67" i="4"/>
  <c r="S68" i="4" s="1"/>
  <c r="R67" i="4"/>
  <c r="R68" i="4" s="1"/>
  <c r="Q67" i="4"/>
  <c r="Q68" i="4" s="1"/>
  <c r="P67" i="4"/>
  <c r="P68" i="4" s="1"/>
  <c r="O67" i="4"/>
  <c r="O68" i="4" s="1"/>
  <c r="N67" i="4"/>
  <c r="N68" i="4" s="1"/>
  <c r="M67" i="4"/>
  <c r="M68" i="4" s="1"/>
  <c r="L67" i="4"/>
  <c r="L68" i="4" s="1"/>
  <c r="K67" i="4"/>
  <c r="K68" i="4" s="1"/>
  <c r="J67" i="4"/>
  <c r="J68" i="4" s="1"/>
  <c r="I67" i="4"/>
  <c r="I68" i="4" s="1"/>
  <c r="H67" i="4"/>
  <c r="H68" i="4" s="1"/>
  <c r="G67" i="4"/>
  <c r="G68" i="4" s="1"/>
  <c r="F67" i="4"/>
  <c r="F68" i="4" s="1"/>
  <c r="BB63" i="4"/>
  <c r="BB64" i="4" s="1"/>
  <c r="BA63" i="4"/>
  <c r="BA64" i="4" s="1"/>
  <c r="AZ63" i="4"/>
  <c r="AZ64" i="4" s="1"/>
  <c r="AY63" i="4"/>
  <c r="AY64" i="4" s="1"/>
  <c r="AX63" i="4"/>
  <c r="AX64" i="4" s="1"/>
  <c r="AW63" i="4"/>
  <c r="AW64" i="4" s="1"/>
  <c r="AV63" i="4"/>
  <c r="AV64" i="4" s="1"/>
  <c r="AU63" i="4"/>
  <c r="AU64" i="4" s="1"/>
  <c r="AT63" i="4"/>
  <c r="AT64" i="4" s="1"/>
  <c r="AS63" i="4"/>
  <c r="AS64" i="4" s="1"/>
  <c r="AR63" i="4"/>
  <c r="AR64" i="4" s="1"/>
  <c r="AQ63" i="4"/>
  <c r="AQ64" i="4" s="1"/>
  <c r="AP63" i="4"/>
  <c r="AP64" i="4" s="1"/>
  <c r="AO63" i="4"/>
  <c r="AO64" i="4" s="1"/>
  <c r="AN63" i="4"/>
  <c r="AN64" i="4" s="1"/>
  <c r="AM63" i="4"/>
  <c r="AM64" i="4" s="1"/>
  <c r="AL63" i="4"/>
  <c r="AL64" i="4" s="1"/>
  <c r="AK63" i="4"/>
  <c r="AK64" i="4" s="1"/>
  <c r="AJ63" i="4"/>
  <c r="AJ64" i="4" s="1"/>
  <c r="AI63" i="4"/>
  <c r="AI64" i="4" s="1"/>
  <c r="AH63" i="4"/>
  <c r="AH64" i="4" s="1"/>
  <c r="AG63" i="4"/>
  <c r="AG64" i="4" s="1"/>
  <c r="AF63" i="4"/>
  <c r="AF64" i="4" s="1"/>
  <c r="AE63" i="4"/>
  <c r="AE64" i="4" s="1"/>
  <c r="AD63" i="4"/>
  <c r="AD64" i="4" s="1"/>
  <c r="AC63" i="4"/>
  <c r="AC64" i="4" s="1"/>
  <c r="AB63" i="4"/>
  <c r="AB64" i="4" s="1"/>
  <c r="AA63" i="4"/>
  <c r="AA64" i="4" s="1"/>
  <c r="Z63" i="4"/>
  <c r="Z64" i="4" s="1"/>
  <c r="Y63" i="4"/>
  <c r="Y64" i="4" s="1"/>
  <c r="X63" i="4"/>
  <c r="X64" i="4" s="1"/>
  <c r="W63" i="4"/>
  <c r="W64" i="4" s="1"/>
  <c r="V63" i="4"/>
  <c r="V64" i="4" s="1"/>
  <c r="U63" i="4"/>
  <c r="U64" i="4" s="1"/>
  <c r="T63" i="4"/>
  <c r="T64" i="4" s="1"/>
  <c r="S63" i="4"/>
  <c r="S64" i="4" s="1"/>
  <c r="R63" i="4"/>
  <c r="R64" i="4" s="1"/>
  <c r="Q63" i="4"/>
  <c r="Q64" i="4" s="1"/>
  <c r="P63" i="4"/>
  <c r="P64" i="4" s="1"/>
  <c r="O63" i="4"/>
  <c r="O64" i="4" s="1"/>
  <c r="N63" i="4"/>
  <c r="N64" i="4" s="1"/>
  <c r="M63" i="4"/>
  <c r="M64" i="4" s="1"/>
  <c r="L63" i="4"/>
  <c r="L64" i="4" s="1"/>
  <c r="K63" i="4"/>
  <c r="K64" i="4" s="1"/>
  <c r="J63" i="4"/>
  <c r="J64" i="4" s="1"/>
  <c r="I63" i="4"/>
  <c r="I64" i="4" s="1"/>
  <c r="H63" i="4"/>
  <c r="H64" i="4" s="1"/>
  <c r="G63" i="4"/>
  <c r="G64" i="4" s="1"/>
  <c r="F63" i="4"/>
  <c r="F64" i="4" s="1"/>
  <c r="BB59" i="4"/>
  <c r="BB60" i="4" s="1"/>
  <c r="BA59" i="4"/>
  <c r="BA60" i="4" s="1"/>
  <c r="AZ59" i="4"/>
  <c r="AZ60" i="4" s="1"/>
  <c r="AY59" i="4"/>
  <c r="AY60" i="4" s="1"/>
  <c r="AX59" i="4"/>
  <c r="AX60" i="4" s="1"/>
  <c r="AW59" i="4"/>
  <c r="AW60" i="4" s="1"/>
  <c r="AV59" i="4"/>
  <c r="AV60" i="4" s="1"/>
  <c r="AU59" i="4"/>
  <c r="AU60" i="4" s="1"/>
  <c r="AT59" i="4"/>
  <c r="AT60" i="4" s="1"/>
  <c r="AS59" i="4"/>
  <c r="AS60" i="4" s="1"/>
  <c r="AR59" i="4"/>
  <c r="AR60" i="4" s="1"/>
  <c r="AQ59" i="4"/>
  <c r="AQ60" i="4" s="1"/>
  <c r="AP59" i="4"/>
  <c r="AP60" i="4" s="1"/>
  <c r="AO59" i="4"/>
  <c r="AO60" i="4" s="1"/>
  <c r="AN59" i="4"/>
  <c r="AN60" i="4" s="1"/>
  <c r="AM59" i="4"/>
  <c r="AM60" i="4" s="1"/>
  <c r="AL59" i="4"/>
  <c r="AK59" i="4"/>
  <c r="AK60" i="4" s="1"/>
  <c r="AJ59" i="4"/>
  <c r="AJ60" i="4" s="1"/>
  <c r="AI59" i="4"/>
  <c r="AI60" i="4" s="1"/>
  <c r="AH59" i="4"/>
  <c r="AH60" i="4" s="1"/>
  <c r="AG59" i="4"/>
  <c r="AG60" i="4" s="1"/>
  <c r="AF59" i="4"/>
  <c r="AF60" i="4" s="1"/>
  <c r="AE59" i="4"/>
  <c r="AE60" i="4" s="1"/>
  <c r="AD59" i="4"/>
  <c r="AC59" i="4"/>
  <c r="AC60" i="4" s="1"/>
  <c r="AB59" i="4"/>
  <c r="AB60" i="4" s="1"/>
  <c r="AA59" i="4"/>
  <c r="AA60" i="4" s="1"/>
  <c r="Z59" i="4"/>
  <c r="Z60" i="4" s="1"/>
  <c r="Y59" i="4"/>
  <c r="Y60" i="4" s="1"/>
  <c r="X59" i="4"/>
  <c r="X60" i="4" s="1"/>
  <c r="W59" i="4"/>
  <c r="W60" i="4" s="1"/>
  <c r="V59" i="4"/>
  <c r="V60" i="4" s="1"/>
  <c r="U59" i="4"/>
  <c r="U60" i="4" s="1"/>
  <c r="T59" i="4"/>
  <c r="T60" i="4" s="1"/>
  <c r="S59" i="4"/>
  <c r="S60" i="4" s="1"/>
  <c r="R59" i="4"/>
  <c r="R60" i="4" s="1"/>
  <c r="Q59" i="4"/>
  <c r="Q60" i="4" s="1"/>
  <c r="P59" i="4"/>
  <c r="P60" i="4" s="1"/>
  <c r="O59" i="4"/>
  <c r="O60" i="4" s="1"/>
  <c r="N59" i="4"/>
  <c r="M59" i="4"/>
  <c r="M60" i="4" s="1"/>
  <c r="L59" i="4"/>
  <c r="L60" i="4" s="1"/>
  <c r="K59" i="4"/>
  <c r="K60" i="4" s="1"/>
  <c r="J59" i="4"/>
  <c r="J60" i="4" s="1"/>
  <c r="I59" i="4"/>
  <c r="H59" i="4"/>
  <c r="G59" i="4"/>
  <c r="G60" i="4" s="1"/>
  <c r="F59" i="4"/>
  <c r="F60" i="4" s="1"/>
  <c r="E59" i="4"/>
  <c r="BB47" i="4"/>
  <c r="BB48" i="4" s="1"/>
  <c r="BA47" i="4"/>
  <c r="BA48" i="4" s="1"/>
  <c r="AZ47" i="4"/>
  <c r="AZ48" i="4" s="1"/>
  <c r="AY47" i="4"/>
  <c r="AY48" i="4" s="1"/>
  <c r="AX47" i="4"/>
  <c r="AX48" i="4" s="1"/>
  <c r="AW47" i="4"/>
  <c r="AW48" i="4" s="1"/>
  <c r="AV47" i="4"/>
  <c r="AV48" i="4" s="1"/>
  <c r="AU47" i="4"/>
  <c r="AU48" i="4" s="1"/>
  <c r="AT47" i="4"/>
  <c r="AT48" i="4" s="1"/>
  <c r="AS47" i="4"/>
  <c r="AS48" i="4" s="1"/>
  <c r="AR47" i="4"/>
  <c r="AR48" i="4" s="1"/>
  <c r="AQ47" i="4"/>
  <c r="AQ48" i="4" s="1"/>
  <c r="AP47" i="4"/>
  <c r="AP48" i="4" s="1"/>
  <c r="AO47" i="4"/>
  <c r="AO48" i="4" s="1"/>
  <c r="AN47" i="4"/>
  <c r="AN48" i="4" s="1"/>
  <c r="AM47" i="4"/>
  <c r="AM48" i="4" s="1"/>
  <c r="AL47" i="4"/>
  <c r="AL48" i="4" s="1"/>
  <c r="AK47" i="4"/>
  <c r="AK48" i="4" s="1"/>
  <c r="AJ47" i="4"/>
  <c r="AJ48" i="4" s="1"/>
  <c r="AI47" i="4"/>
  <c r="AI48" i="4" s="1"/>
  <c r="AH47" i="4"/>
  <c r="AH48" i="4" s="1"/>
  <c r="AG47" i="4"/>
  <c r="AG48" i="4" s="1"/>
  <c r="AF47" i="4"/>
  <c r="AF48" i="4" s="1"/>
  <c r="AE47" i="4"/>
  <c r="AE48" i="4" s="1"/>
  <c r="AD47" i="4"/>
  <c r="AD48" i="4" s="1"/>
  <c r="AC47" i="4"/>
  <c r="AC48" i="4" s="1"/>
  <c r="AB47" i="4"/>
  <c r="AB48" i="4" s="1"/>
  <c r="AA47" i="4"/>
  <c r="AA48" i="4" s="1"/>
  <c r="Z47" i="4"/>
  <c r="Z48" i="4" s="1"/>
  <c r="Y47" i="4"/>
  <c r="Y48" i="4" s="1"/>
  <c r="X47" i="4"/>
  <c r="X48" i="4" s="1"/>
  <c r="W47" i="4"/>
  <c r="W48" i="4" s="1"/>
  <c r="V47" i="4"/>
  <c r="V48" i="4" s="1"/>
  <c r="U47" i="4"/>
  <c r="U48" i="4" s="1"/>
  <c r="T47" i="4"/>
  <c r="T48" i="4" s="1"/>
  <c r="S47" i="4"/>
  <c r="S48" i="4" s="1"/>
  <c r="R47" i="4"/>
  <c r="R48" i="4" s="1"/>
  <c r="Q47" i="4"/>
  <c r="Q48" i="4" s="1"/>
  <c r="P47" i="4"/>
  <c r="P48" i="4" s="1"/>
  <c r="O47" i="4"/>
  <c r="O48" i="4" s="1"/>
  <c r="N47" i="4"/>
  <c r="N48" i="4" s="1"/>
  <c r="M47" i="4"/>
  <c r="M48" i="4" s="1"/>
  <c r="L47" i="4"/>
  <c r="L48" i="4" s="1"/>
  <c r="K47" i="4"/>
  <c r="K48" i="4" s="1"/>
  <c r="J47" i="4"/>
  <c r="J48" i="4" s="1"/>
  <c r="I47" i="4"/>
  <c r="I48" i="4" s="1"/>
  <c r="H47" i="4"/>
  <c r="H48" i="4" s="1"/>
  <c r="G47" i="4"/>
  <c r="G48" i="4" s="1"/>
  <c r="F47" i="4"/>
  <c r="F48" i="4" s="1"/>
  <c r="E47" i="4"/>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AT44" i="4" s="1"/>
  <c r="AU44" i="4" s="1"/>
  <c r="AV44" i="4" s="1"/>
  <c r="AW44" i="4" s="1"/>
  <c r="AX44" i="4" s="1"/>
  <c r="AY44" i="4" s="1"/>
  <c r="AZ44" i="4" s="1"/>
  <c r="BA44" i="4" s="1"/>
  <c r="BB44" i="4" s="1"/>
  <c r="BB37" i="4"/>
  <c r="BB38" i="4" s="1"/>
  <c r="BA37" i="4"/>
  <c r="BA38" i="4" s="1"/>
  <c r="AZ37" i="4"/>
  <c r="AY37" i="4"/>
  <c r="AY38" i="4" s="1"/>
  <c r="AX37" i="4"/>
  <c r="AX38" i="4" s="1"/>
  <c r="AW37" i="4"/>
  <c r="AW38" i="4" s="1"/>
  <c r="AV37" i="4"/>
  <c r="AV38" i="4" s="1"/>
  <c r="AU37" i="4"/>
  <c r="AU38" i="4" s="1"/>
  <c r="AT37" i="4"/>
  <c r="AT38" i="4" s="1"/>
  <c r="AS37" i="4"/>
  <c r="AS38" i="4" s="1"/>
  <c r="AR37" i="4"/>
  <c r="AQ37" i="4"/>
  <c r="AP37" i="4"/>
  <c r="AP38" i="4" s="1"/>
  <c r="AO37" i="4"/>
  <c r="AO38" i="4" s="1"/>
  <c r="AN37" i="4"/>
  <c r="AN38" i="4" s="1"/>
  <c r="AM37" i="4"/>
  <c r="AM38" i="4" s="1"/>
  <c r="AL37" i="4"/>
  <c r="AL38" i="4" s="1"/>
  <c r="AK37" i="4"/>
  <c r="AK38" i="4" s="1"/>
  <c r="AJ37" i="4"/>
  <c r="AI37" i="4"/>
  <c r="AI38" i="4" s="1"/>
  <c r="AH37" i="4"/>
  <c r="AH38" i="4" s="1"/>
  <c r="AG37" i="4"/>
  <c r="AG38" i="4" s="1"/>
  <c r="AF37" i="4"/>
  <c r="AF38" i="4" s="1"/>
  <c r="AE37" i="4"/>
  <c r="AE38" i="4" s="1"/>
  <c r="AD37" i="4"/>
  <c r="AD38" i="4" s="1"/>
  <c r="AC37" i="4"/>
  <c r="AC38" i="4" s="1"/>
  <c r="AB37" i="4"/>
  <c r="AA37" i="4"/>
  <c r="AA38" i="4" s="1"/>
  <c r="Z37" i="4"/>
  <c r="Z38" i="4" s="1"/>
  <c r="Y37" i="4"/>
  <c r="Y38" i="4" s="1"/>
  <c r="X37" i="4"/>
  <c r="X38" i="4" s="1"/>
  <c r="W37" i="4"/>
  <c r="W38" i="4" s="1"/>
  <c r="V37" i="4"/>
  <c r="V38" i="4" s="1"/>
  <c r="U37" i="4"/>
  <c r="U38" i="4" s="1"/>
  <c r="T37" i="4"/>
  <c r="S37" i="4"/>
  <c r="S38" i="4" s="1"/>
  <c r="R37" i="4"/>
  <c r="R38" i="4" s="1"/>
  <c r="Q37" i="4"/>
  <c r="Q38" i="4" s="1"/>
  <c r="P37" i="4"/>
  <c r="P38" i="4" s="1"/>
  <c r="O37" i="4"/>
  <c r="O38" i="4" s="1"/>
  <c r="N37" i="4"/>
  <c r="N38" i="4" s="1"/>
  <c r="M37" i="4"/>
  <c r="M38" i="4" s="1"/>
  <c r="L37" i="4"/>
  <c r="K37" i="4"/>
  <c r="K38" i="4" s="1"/>
  <c r="J37" i="4"/>
  <c r="J38" i="4" s="1"/>
  <c r="I37" i="4"/>
  <c r="I38" i="4" s="1"/>
  <c r="H37" i="4"/>
  <c r="H38" i="4" s="1"/>
  <c r="G37" i="4"/>
  <c r="G38" i="4" s="1"/>
  <c r="F37" i="4"/>
  <c r="F38" i="4" s="1"/>
  <c r="E37" i="4"/>
  <c r="BB33" i="4"/>
  <c r="BB34" i="4" s="1"/>
  <c r="BA33" i="4"/>
  <c r="BA34" i="4" s="1"/>
  <c r="AZ33" i="4"/>
  <c r="AZ34" i="4" s="1"/>
  <c r="AY33" i="4"/>
  <c r="AY34" i="4" s="1"/>
  <c r="AX33" i="4"/>
  <c r="AX34" i="4" s="1"/>
  <c r="AW33" i="4"/>
  <c r="AV33" i="4"/>
  <c r="AV34" i="4" s="1"/>
  <c r="AU33" i="4"/>
  <c r="AT33" i="4"/>
  <c r="AS33" i="4"/>
  <c r="AS34" i="4" s="1"/>
  <c r="AR33" i="4"/>
  <c r="AR34" i="4" s="1"/>
  <c r="AQ33" i="4"/>
  <c r="AQ34" i="4" s="1"/>
  <c r="AP33" i="4"/>
  <c r="AP34" i="4" s="1"/>
  <c r="AO33" i="4"/>
  <c r="AN33" i="4"/>
  <c r="AN34" i="4" s="1"/>
  <c r="AM33" i="4"/>
  <c r="AL33" i="4"/>
  <c r="AK33" i="4"/>
  <c r="AK34" i="4" s="1"/>
  <c r="AJ33" i="4"/>
  <c r="AJ34" i="4" s="1"/>
  <c r="AI33" i="4"/>
  <c r="AI34" i="4" s="1"/>
  <c r="AH33" i="4"/>
  <c r="AH34" i="4" s="1"/>
  <c r="AG33" i="4"/>
  <c r="AG34" i="4" s="1"/>
  <c r="AF33" i="4"/>
  <c r="AF34" i="4" s="1"/>
  <c r="AE33" i="4"/>
  <c r="AD33" i="4"/>
  <c r="AD34" i="4" s="1"/>
  <c r="AC33" i="4"/>
  <c r="AC34" i="4" s="1"/>
  <c r="AB33" i="4"/>
  <c r="AB34" i="4" s="1"/>
  <c r="AA33" i="4"/>
  <c r="AA34" i="4" s="1"/>
  <c r="Z33" i="4"/>
  <c r="Z34" i="4" s="1"/>
  <c r="Y33" i="4"/>
  <c r="Y34" i="4" s="1"/>
  <c r="X33" i="4"/>
  <c r="X34" i="4" s="1"/>
  <c r="W33" i="4"/>
  <c r="V33" i="4"/>
  <c r="V34" i="4" s="1"/>
  <c r="U33" i="4"/>
  <c r="U34" i="4" s="1"/>
  <c r="T33" i="4"/>
  <c r="T34" i="4" s="1"/>
  <c r="S33" i="4"/>
  <c r="S34" i="4" s="1"/>
  <c r="R33" i="4"/>
  <c r="R34" i="4" s="1"/>
  <c r="Q33" i="4"/>
  <c r="Q34" i="4" s="1"/>
  <c r="P33" i="4"/>
  <c r="P34" i="4" s="1"/>
  <c r="O33" i="4"/>
  <c r="N33" i="4"/>
  <c r="N34" i="4" s="1"/>
  <c r="M33" i="4"/>
  <c r="M34" i="4" s="1"/>
  <c r="L33" i="4"/>
  <c r="L34" i="4" s="1"/>
  <c r="K33" i="4"/>
  <c r="K34" i="4" s="1"/>
  <c r="J33" i="4"/>
  <c r="J34" i="4" s="1"/>
  <c r="I33" i="4"/>
  <c r="I34" i="4" s="1"/>
  <c r="H33" i="4"/>
  <c r="H34" i="4" s="1"/>
  <c r="G33" i="4"/>
  <c r="F33" i="4"/>
  <c r="F34" i="4" s="1"/>
  <c r="E33" i="4"/>
  <c r="BB29" i="4"/>
  <c r="BB30" i="4" s="1"/>
  <c r="BA29" i="4"/>
  <c r="BA30" i="4" s="1"/>
  <c r="AZ29" i="4"/>
  <c r="AZ30" i="4" s="1"/>
  <c r="AY29" i="4"/>
  <c r="AY30" i="4" s="1"/>
  <c r="AX29" i="4"/>
  <c r="AW29" i="4"/>
  <c r="AV29" i="4"/>
  <c r="AU29" i="4"/>
  <c r="AU30" i="4" s="1"/>
  <c r="AT29" i="4"/>
  <c r="AT30" i="4" s="1"/>
  <c r="AS29" i="4"/>
  <c r="AS30" i="4" s="1"/>
  <c r="AR29" i="4"/>
  <c r="AR30" i="4" s="1"/>
  <c r="AQ29" i="4"/>
  <c r="AQ30" i="4" s="1"/>
  <c r="AP29" i="4"/>
  <c r="AO29" i="4"/>
  <c r="AN29" i="4"/>
  <c r="AN30" i="4" s="1"/>
  <c r="AM29" i="4"/>
  <c r="AM30" i="4" s="1"/>
  <c r="AL29" i="4"/>
  <c r="AL30" i="4" s="1"/>
  <c r="AK29" i="4"/>
  <c r="AK30" i="4" s="1"/>
  <c r="AJ29" i="4"/>
  <c r="AJ30" i="4" s="1"/>
  <c r="AI29" i="4"/>
  <c r="AI30" i="4" s="1"/>
  <c r="AH29" i="4"/>
  <c r="AH30" i="4" s="1"/>
  <c r="AG29" i="4"/>
  <c r="AF29" i="4"/>
  <c r="AE29" i="4"/>
  <c r="AE30" i="4" s="1"/>
  <c r="AD29" i="4"/>
  <c r="AD30" i="4" s="1"/>
  <c r="AC29" i="4"/>
  <c r="AC30" i="4" s="1"/>
  <c r="AB29" i="4"/>
  <c r="AB30" i="4" s="1"/>
  <c r="AA29" i="4"/>
  <c r="AA30" i="4" s="1"/>
  <c r="Z29" i="4"/>
  <c r="Y29" i="4"/>
  <c r="X29" i="4"/>
  <c r="W29" i="4"/>
  <c r="W30" i="4" s="1"/>
  <c r="V29" i="4"/>
  <c r="V30" i="4" s="1"/>
  <c r="U29" i="4"/>
  <c r="U30" i="4" s="1"/>
  <c r="T29" i="4"/>
  <c r="T30" i="4" s="1"/>
  <c r="S29" i="4"/>
  <c r="S30" i="4" s="1"/>
  <c r="R29" i="4"/>
  <c r="Q29" i="4"/>
  <c r="P29" i="4"/>
  <c r="O29" i="4"/>
  <c r="O30" i="4" s="1"/>
  <c r="N29" i="4"/>
  <c r="N30" i="4" s="1"/>
  <c r="M29" i="4"/>
  <c r="M30" i="4" s="1"/>
  <c r="L29" i="4"/>
  <c r="L30" i="4" s="1"/>
  <c r="K29" i="4"/>
  <c r="K30" i="4" s="1"/>
  <c r="J29" i="4"/>
  <c r="I29" i="4"/>
  <c r="H29" i="4"/>
  <c r="H30" i="4" s="1"/>
  <c r="G29" i="4"/>
  <c r="G30" i="4" s="1"/>
  <c r="F29" i="4"/>
  <c r="F30" i="4" s="1"/>
  <c r="E29" i="4"/>
  <c r="E25" i="4"/>
  <c r="E13" i="4"/>
  <c r="P113" i="4"/>
  <c r="P142" i="4" s="1"/>
  <c r="AH97" i="4"/>
  <c r="AH140" i="4" s="1"/>
  <c r="BA113" i="4"/>
  <c r="BA142" i="4" s="1"/>
  <c r="E32" i="5" l="1"/>
  <c r="E34" i="5" s="1"/>
  <c r="AY105" i="4"/>
  <c r="AY141" i="4" s="1"/>
  <c r="AQ105" i="4"/>
  <c r="AQ141" i="4" s="1"/>
  <c r="AI105" i="4"/>
  <c r="AI141" i="4" s="1"/>
  <c r="AT39" i="4"/>
  <c r="AT135" i="4" s="1"/>
  <c r="C42" i="5"/>
  <c r="E56" i="5" s="1"/>
  <c r="C40" i="5"/>
  <c r="C56" i="5" s="1"/>
  <c r="D62" i="3"/>
  <c r="D64" i="3" s="1"/>
  <c r="C9" i="3" s="1"/>
  <c r="D56" i="5"/>
  <c r="C90" i="5"/>
  <c r="D90" i="5" s="1"/>
  <c r="D41" i="5"/>
  <c r="C45" i="9" s="1"/>
  <c r="E14" i="4"/>
  <c r="E82" i="4"/>
  <c r="E83" i="4" s="1"/>
  <c r="E143" i="4" s="1"/>
  <c r="E34" i="4"/>
  <c r="E105" i="4"/>
  <c r="E141" i="4" s="1"/>
  <c r="E106" i="4"/>
  <c r="E107" i="4" s="1"/>
  <c r="AQ113" i="4"/>
  <c r="AQ142" i="4" s="1"/>
  <c r="AQ38" i="4"/>
  <c r="E26" i="4"/>
  <c r="E90" i="4"/>
  <c r="E91" i="4" s="1"/>
  <c r="E144" i="4" s="1"/>
  <c r="P97" i="4"/>
  <c r="P140" i="4" s="1"/>
  <c r="P30" i="4"/>
  <c r="X97" i="4"/>
  <c r="X140" i="4" s="1"/>
  <c r="X30" i="4"/>
  <c r="AF97" i="4"/>
  <c r="AF140" i="4" s="1"/>
  <c r="AF30" i="4"/>
  <c r="AV97" i="4"/>
  <c r="AV140" i="4" s="1"/>
  <c r="AV30" i="4"/>
  <c r="AL39" i="4"/>
  <c r="AL34" i="4"/>
  <c r="AT105" i="4"/>
  <c r="AT141" i="4" s="1"/>
  <c r="AT34" i="4"/>
  <c r="L113" i="4"/>
  <c r="L142" i="4" s="1"/>
  <c r="L38" i="4"/>
  <c r="T113" i="4"/>
  <c r="T142" i="4" s="1"/>
  <c r="T38" i="4"/>
  <c r="AB113" i="4"/>
  <c r="AB142" i="4" s="1"/>
  <c r="AB38" i="4"/>
  <c r="AJ113" i="4"/>
  <c r="AJ142" i="4" s="1"/>
  <c r="AJ38" i="4"/>
  <c r="AR113" i="4"/>
  <c r="AR142" i="4" s="1"/>
  <c r="AR38" i="4"/>
  <c r="AZ113" i="4"/>
  <c r="AZ142" i="4" s="1"/>
  <c r="AZ38" i="4"/>
  <c r="E30" i="4"/>
  <c r="E98" i="4"/>
  <c r="E99" i="4" s="1"/>
  <c r="E97" i="4"/>
  <c r="E140" i="4" s="1"/>
  <c r="I97" i="4"/>
  <c r="I140" i="4" s="1"/>
  <c r="I30" i="4"/>
  <c r="Q97" i="4"/>
  <c r="Q140" i="4" s="1"/>
  <c r="Q30" i="4"/>
  <c r="Y97" i="4"/>
  <c r="Y140" i="4" s="1"/>
  <c r="Y30" i="4"/>
  <c r="AG97" i="4"/>
  <c r="AG140" i="4" s="1"/>
  <c r="AG30" i="4"/>
  <c r="AO97" i="4"/>
  <c r="AO140" i="4" s="1"/>
  <c r="AO30" i="4"/>
  <c r="AW97" i="4"/>
  <c r="AW140" i="4" s="1"/>
  <c r="AW30" i="4"/>
  <c r="G105" i="4"/>
  <c r="G141" i="4" s="1"/>
  <c r="G34" i="4"/>
  <c r="O105" i="4"/>
  <c r="O141" i="4" s="1"/>
  <c r="O34" i="4"/>
  <c r="W105" i="4"/>
  <c r="W141" i="4" s="1"/>
  <c r="W34" i="4"/>
  <c r="AE105" i="4"/>
  <c r="AE141" i="4" s="1"/>
  <c r="AE34" i="4"/>
  <c r="AM105" i="4"/>
  <c r="AM141" i="4" s="1"/>
  <c r="AM34" i="4"/>
  <c r="AU105" i="4"/>
  <c r="AU141" i="4" s="1"/>
  <c r="AU34" i="4"/>
  <c r="E113" i="4"/>
  <c r="E142" i="4" s="1"/>
  <c r="E38" i="4"/>
  <c r="E114" i="4"/>
  <c r="E115" i="4" s="1"/>
  <c r="E147" i="4" s="1"/>
  <c r="J97" i="4"/>
  <c r="J140" i="4" s="1"/>
  <c r="J30" i="4"/>
  <c r="R97" i="4"/>
  <c r="R140" i="4" s="1"/>
  <c r="R30" i="4"/>
  <c r="Z97" i="4"/>
  <c r="Z140" i="4" s="1"/>
  <c r="Z30" i="4"/>
  <c r="AP97" i="4"/>
  <c r="AP140" i="4" s="1"/>
  <c r="AP30" i="4"/>
  <c r="AX97" i="4"/>
  <c r="AX140" i="4" s="1"/>
  <c r="AX30" i="4"/>
  <c r="AO105" i="4"/>
  <c r="AO141" i="4" s="1"/>
  <c r="AO34" i="4"/>
  <c r="AW105" i="4"/>
  <c r="AW141" i="4" s="1"/>
  <c r="AW34" i="4"/>
  <c r="AK97" i="4"/>
  <c r="AK140" i="4" s="1"/>
  <c r="N89" i="4"/>
  <c r="N139" i="4" s="1"/>
  <c r="N60" i="4"/>
  <c r="AD89" i="4"/>
  <c r="AD139" i="4" s="1"/>
  <c r="AD60" i="4"/>
  <c r="AL89" i="4"/>
  <c r="AL139" i="4" s="1"/>
  <c r="AL60" i="4"/>
  <c r="H89" i="4"/>
  <c r="H139" i="4" s="1"/>
  <c r="H60" i="4"/>
  <c r="AA89" i="4"/>
  <c r="AA139" i="4" s="1"/>
  <c r="I89" i="4"/>
  <c r="I139" i="4" s="1"/>
  <c r="I60" i="4"/>
  <c r="E60" i="4"/>
  <c r="E89" i="4"/>
  <c r="E139" i="4" s="1"/>
  <c r="E48" i="4"/>
  <c r="E73" i="4"/>
  <c r="E81" i="4"/>
  <c r="E138" i="4" s="1"/>
  <c r="BB113" i="4"/>
  <c r="BB142" i="4" s="1"/>
  <c r="AE113" i="4"/>
  <c r="AE142" i="4" s="1"/>
  <c r="X113" i="4"/>
  <c r="X142" i="4" s="1"/>
  <c r="AF113" i="4"/>
  <c r="AF142" i="4" s="1"/>
  <c r="AZ97" i="4"/>
  <c r="AZ140" i="4" s="1"/>
  <c r="AQ73" i="4"/>
  <c r="AQ136" i="4" s="1"/>
  <c r="AF105" i="4"/>
  <c r="AF141" i="4" s="1"/>
  <c r="AV105" i="4"/>
  <c r="AV141" i="4" s="1"/>
  <c r="U113" i="4"/>
  <c r="U142" i="4" s="1"/>
  <c r="AK113" i="4"/>
  <c r="AK142" i="4" s="1"/>
  <c r="K97" i="4"/>
  <c r="K140" i="4" s="1"/>
  <c r="AY97" i="4"/>
  <c r="AY140" i="4" s="1"/>
  <c r="Y105" i="4"/>
  <c r="Y141" i="4" s="1"/>
  <c r="AD113" i="4"/>
  <c r="AD142" i="4" s="1"/>
  <c r="L97" i="4"/>
  <c r="L140" i="4" s="1"/>
  <c r="T97" i="4"/>
  <c r="T140" i="4" s="1"/>
  <c r="AB97" i="4"/>
  <c r="AB140" i="4" s="1"/>
  <c r="AJ97" i="4"/>
  <c r="AJ140" i="4" s="1"/>
  <c r="AR97" i="4"/>
  <c r="AR140" i="4" s="1"/>
  <c r="J105" i="4"/>
  <c r="J141" i="4" s="1"/>
  <c r="R105" i="4"/>
  <c r="R141" i="4" s="1"/>
  <c r="Z105" i="4"/>
  <c r="Z141" i="4" s="1"/>
  <c r="AH105" i="4"/>
  <c r="AH141" i="4" s="1"/>
  <c r="AP105" i="4"/>
  <c r="AP141" i="4" s="1"/>
  <c r="AX105" i="4"/>
  <c r="AX141" i="4" s="1"/>
  <c r="O113" i="4"/>
  <c r="O142" i="4" s="1"/>
  <c r="W113" i="4"/>
  <c r="W142" i="4" s="1"/>
  <c r="AM113" i="4"/>
  <c r="AM142" i="4" s="1"/>
  <c r="AU113" i="4"/>
  <c r="AU142" i="4" s="1"/>
  <c r="J89" i="4"/>
  <c r="J139" i="4" s="1"/>
  <c r="R89" i="4"/>
  <c r="R139" i="4" s="1"/>
  <c r="Z89" i="4"/>
  <c r="Z139" i="4" s="1"/>
  <c r="AH89" i="4"/>
  <c r="AH139" i="4" s="1"/>
  <c r="AJ105" i="4"/>
  <c r="AJ141" i="4" s="1"/>
  <c r="AZ105" i="4"/>
  <c r="AZ141" i="4" s="1"/>
  <c r="AY73" i="4"/>
  <c r="AY136" i="4" s="1"/>
  <c r="P105" i="4"/>
  <c r="P141" i="4" s="1"/>
  <c r="AA97" i="4"/>
  <c r="AA140" i="4" s="1"/>
  <c r="AQ97" i="4"/>
  <c r="AQ140" i="4" s="1"/>
  <c r="Q105" i="4"/>
  <c r="Q141" i="4" s="1"/>
  <c r="V113" i="4"/>
  <c r="V142" i="4" s="1"/>
  <c r="AT113" i="4"/>
  <c r="AT142" i="4" s="1"/>
  <c r="M97" i="4"/>
  <c r="M140" i="4" s="1"/>
  <c r="AC97" i="4"/>
  <c r="AC140" i="4" s="1"/>
  <c r="AS97" i="4"/>
  <c r="AS140" i="4" s="1"/>
  <c r="K105" i="4"/>
  <c r="K141" i="4" s="1"/>
  <c r="AA105" i="4"/>
  <c r="AA141" i="4" s="1"/>
  <c r="F97" i="4"/>
  <c r="F140" i="4" s="1"/>
  <c r="N97" i="4"/>
  <c r="N140" i="4" s="1"/>
  <c r="V97" i="4"/>
  <c r="V140" i="4" s="1"/>
  <c r="AD97" i="4"/>
  <c r="AD140" i="4" s="1"/>
  <c r="AL97" i="4"/>
  <c r="AL140" i="4" s="1"/>
  <c r="AT97" i="4"/>
  <c r="AT140" i="4" s="1"/>
  <c r="BB97" i="4"/>
  <c r="BB140" i="4" s="1"/>
  <c r="H105" i="4"/>
  <c r="H141" i="4" s="1"/>
  <c r="X105" i="4"/>
  <c r="X141" i="4" s="1"/>
  <c r="AN105" i="4"/>
  <c r="AN141" i="4" s="1"/>
  <c r="M113" i="4"/>
  <c r="M142" i="4" s="1"/>
  <c r="AC113" i="4"/>
  <c r="AC142" i="4" s="1"/>
  <c r="AS113" i="4"/>
  <c r="AS142" i="4" s="1"/>
  <c r="S97" i="4"/>
  <c r="S140" i="4" s="1"/>
  <c r="AI97" i="4"/>
  <c r="AI140" i="4" s="1"/>
  <c r="I105" i="4"/>
  <c r="I141" i="4" s="1"/>
  <c r="AG105" i="4"/>
  <c r="AG141" i="4" s="1"/>
  <c r="N113" i="4"/>
  <c r="N142" i="4" s="1"/>
  <c r="AL113" i="4"/>
  <c r="AL142" i="4" s="1"/>
  <c r="U97" i="4"/>
  <c r="U140" i="4" s="1"/>
  <c r="BA97" i="4"/>
  <c r="BA140" i="4" s="1"/>
  <c r="S105" i="4"/>
  <c r="S141" i="4" s="1"/>
  <c r="AO81" i="4"/>
  <c r="AO138" i="4" s="1"/>
  <c r="M89" i="4"/>
  <c r="M139" i="4" s="1"/>
  <c r="AG113" i="4"/>
  <c r="AG142" i="4" s="1"/>
  <c r="AO113" i="4"/>
  <c r="AO142" i="4" s="1"/>
  <c r="AW113" i="4"/>
  <c r="AW142" i="4" s="1"/>
  <c r="L105" i="4"/>
  <c r="L141" i="4" s="1"/>
  <c r="T105" i="4"/>
  <c r="T141" i="4" s="1"/>
  <c r="AB105" i="4"/>
  <c r="AB141" i="4" s="1"/>
  <c r="G97" i="4"/>
  <c r="G140" i="4" s="1"/>
  <c r="O97" i="4"/>
  <c r="O140" i="4" s="1"/>
  <c r="W97" i="4"/>
  <c r="W140" i="4" s="1"/>
  <c r="AE97" i="4"/>
  <c r="AE140" i="4" s="1"/>
  <c r="AM97" i="4"/>
  <c r="AM140" i="4" s="1"/>
  <c r="AU97" i="4"/>
  <c r="AU140" i="4" s="1"/>
  <c r="U89" i="4"/>
  <c r="U139" i="4" s="1"/>
  <c r="AK73" i="4"/>
  <c r="AK136" i="4" s="1"/>
  <c r="V105" i="4"/>
  <c r="V141" i="4" s="1"/>
  <c r="AD105" i="4"/>
  <c r="AD141" i="4" s="1"/>
  <c r="AL105" i="4"/>
  <c r="AL141" i="4" s="1"/>
  <c r="BB105" i="4"/>
  <c r="BB141" i="4" s="1"/>
  <c r="L73" i="4"/>
  <c r="L136" i="4" s="1"/>
  <c r="AN81" i="4"/>
  <c r="AN138" i="4" s="1"/>
  <c r="AK105" i="4"/>
  <c r="AK141" i="4" s="1"/>
  <c r="AN97" i="4"/>
  <c r="AN140" i="4" s="1"/>
  <c r="Q73" i="4"/>
  <c r="Q136" i="4" s="1"/>
  <c r="Y73" i="4"/>
  <c r="Y136" i="4" s="1"/>
  <c r="S113" i="4"/>
  <c r="S142" i="4" s="1"/>
  <c r="AA113" i="4"/>
  <c r="AA142" i="4" s="1"/>
  <c r="AI113" i="4"/>
  <c r="AI142" i="4" s="1"/>
  <c r="AY113" i="4"/>
  <c r="AY142" i="4" s="1"/>
  <c r="AM81" i="4"/>
  <c r="AM138" i="4" s="1"/>
  <c r="AL81" i="4"/>
  <c r="AL138" i="4" s="1"/>
  <c r="AK81" i="4"/>
  <c r="AK138" i="4" s="1"/>
  <c r="AC105" i="4"/>
  <c r="AC141" i="4" s="1"/>
  <c r="AS105" i="4"/>
  <c r="AS141" i="4" s="1"/>
  <c r="AZ89" i="4"/>
  <c r="AZ139" i="4" s="1"/>
  <c r="H97" i="4"/>
  <c r="H140" i="4" s="1"/>
  <c r="AJ81" i="4"/>
  <c r="AJ138" i="4" s="1"/>
  <c r="H113" i="4"/>
  <c r="H142" i="4" s="1"/>
  <c r="AN113" i="4"/>
  <c r="AN142" i="4" s="1"/>
  <c r="AV113" i="4"/>
  <c r="AV142" i="4" s="1"/>
  <c r="AY39" i="4"/>
  <c r="AY40" i="4" s="1"/>
  <c r="AQ81" i="4"/>
  <c r="AQ138" i="4" s="1"/>
  <c r="AI81" i="4"/>
  <c r="AI138" i="4" s="1"/>
  <c r="AA39" i="4"/>
  <c r="S39" i="4"/>
  <c r="K81" i="4"/>
  <c r="K138" i="4" s="1"/>
  <c r="U39" i="4"/>
  <c r="M39" i="4"/>
  <c r="BB89" i="4"/>
  <c r="BB139" i="4" s="1"/>
  <c r="AM89" i="4"/>
  <c r="AM139" i="4" s="1"/>
  <c r="AE89" i="4"/>
  <c r="AE139" i="4" s="1"/>
  <c r="W39" i="4"/>
  <c r="O89" i="4"/>
  <c r="O139" i="4" s="1"/>
  <c r="G89" i="4"/>
  <c r="G139" i="4" s="1"/>
  <c r="J73" i="4"/>
  <c r="J136" i="4" s="1"/>
  <c r="V89" i="4"/>
  <c r="V139" i="4" s="1"/>
  <c r="F89" i="4"/>
  <c r="F139" i="4" s="1"/>
  <c r="I81" i="4"/>
  <c r="I138" i="4" s="1"/>
  <c r="AX81" i="4"/>
  <c r="AX138" i="4" s="1"/>
  <c r="AP39" i="4"/>
  <c r="R39" i="4"/>
  <c r="AQ39" i="4"/>
  <c r="AQ40" i="4" s="1"/>
  <c r="AS89" i="4"/>
  <c r="AS139" i="4" s="1"/>
  <c r="AK89" i="4"/>
  <c r="AK139" i="4" s="1"/>
  <c r="AC89" i="4"/>
  <c r="AC139" i="4" s="1"/>
  <c r="AP73" i="4"/>
  <c r="AP136" i="4" s="1"/>
  <c r="AP81" i="4"/>
  <c r="AP138" i="4" s="1"/>
  <c r="J81" i="4"/>
  <c r="J138" i="4" s="1"/>
  <c r="I73" i="4"/>
  <c r="I136" i="4" s="1"/>
  <c r="Q81" i="4"/>
  <c r="Q138" i="4" s="1"/>
  <c r="W89" i="4"/>
  <c r="W139" i="4" s="1"/>
  <c r="AU39" i="4"/>
  <c r="G39" i="4"/>
  <c r="T73" i="4"/>
  <c r="T136" i="4" s="1"/>
  <c r="AB73" i="4"/>
  <c r="AB136" i="4" s="1"/>
  <c r="AJ73" i="4"/>
  <c r="AJ136" i="4" s="1"/>
  <c r="AR73" i="4"/>
  <c r="AR136" i="4" s="1"/>
  <c r="AZ73" i="4"/>
  <c r="AZ136" i="4" s="1"/>
  <c r="AS73" i="4"/>
  <c r="AS136" i="4" s="1"/>
  <c r="AV81" i="4"/>
  <c r="AV138" i="4" s="1"/>
  <c r="AF81" i="4"/>
  <c r="AF138" i="4" s="1"/>
  <c r="X39" i="4"/>
  <c r="P39" i="4"/>
  <c r="H81" i="4"/>
  <c r="H138" i="4" s="1"/>
  <c r="AW39" i="4"/>
  <c r="AY89" i="4"/>
  <c r="AY139" i="4" s="1"/>
  <c r="AR89" i="4"/>
  <c r="AR139" i="4" s="1"/>
  <c r="AJ89" i="4"/>
  <c r="AJ139" i="4" s="1"/>
  <c r="AB89" i="4"/>
  <c r="AB139" i="4" s="1"/>
  <c r="T89" i="4"/>
  <c r="T139" i="4" s="1"/>
  <c r="L89" i="4"/>
  <c r="L139" i="4" s="1"/>
  <c r="U73" i="4"/>
  <c r="U136" i="4" s="1"/>
  <c r="AC73" i="4"/>
  <c r="AC136" i="4" s="1"/>
  <c r="AG73" i="4"/>
  <c r="AG136" i="4" s="1"/>
  <c r="M73" i="4"/>
  <c r="M136" i="4" s="1"/>
  <c r="N73" i="4"/>
  <c r="N136" i="4" s="1"/>
  <c r="AU81" i="4"/>
  <c r="AU138" i="4" s="1"/>
  <c r="AE81" i="4"/>
  <c r="AE138" i="4" s="1"/>
  <c r="W81" i="4"/>
  <c r="W138" i="4" s="1"/>
  <c r="O81" i="4"/>
  <c r="O138" i="4" s="1"/>
  <c r="G81" i="4"/>
  <c r="G138" i="4" s="1"/>
  <c r="AX89" i="4"/>
  <c r="AX139" i="4" s="1"/>
  <c r="AQ89" i="4"/>
  <c r="AQ139" i="4" s="1"/>
  <c r="AI89" i="4"/>
  <c r="AI139" i="4" s="1"/>
  <c r="S89" i="4"/>
  <c r="S139" i="4" s="1"/>
  <c r="K89" i="4"/>
  <c r="K139" i="4" s="1"/>
  <c r="BA73" i="4"/>
  <c r="BA136" i="4" s="1"/>
  <c r="AH73" i="4"/>
  <c r="AH136" i="4" s="1"/>
  <c r="AH81" i="4"/>
  <c r="AH138" i="4" s="1"/>
  <c r="AY81" i="4"/>
  <c r="AY138" i="4" s="1"/>
  <c r="AZ39" i="4"/>
  <c r="AZ40" i="4" s="1"/>
  <c r="AT89" i="4"/>
  <c r="AT139" i="4" s="1"/>
  <c r="S73" i="4"/>
  <c r="S136" i="4" s="1"/>
  <c r="AO39" i="4"/>
  <c r="AM39" i="4"/>
  <c r="Q39" i="4"/>
  <c r="Q40" i="4" s="1"/>
  <c r="AE39" i="4"/>
  <c r="AE40" i="4" s="1"/>
  <c r="AR105" i="4"/>
  <c r="AR141" i="4" s="1"/>
  <c r="I113" i="4"/>
  <c r="I142" i="4" s="1"/>
  <c r="Q113" i="4"/>
  <c r="Q142" i="4" s="1"/>
  <c r="Y113" i="4"/>
  <c r="Y142" i="4" s="1"/>
  <c r="F73" i="4"/>
  <c r="V73" i="4"/>
  <c r="V136" i="4" s="1"/>
  <c r="AD73" i="4"/>
  <c r="AD136" i="4" s="1"/>
  <c r="AL73" i="4"/>
  <c r="AL136" i="4" s="1"/>
  <c r="AT73" i="4"/>
  <c r="AT136" i="4" s="1"/>
  <c r="BB73" i="4"/>
  <c r="BB136" i="4" s="1"/>
  <c r="G73" i="4"/>
  <c r="G136" i="4" s="1"/>
  <c r="O73" i="4"/>
  <c r="O136" i="4" s="1"/>
  <c r="AU73" i="4"/>
  <c r="AU136" i="4" s="1"/>
  <c r="BB81" i="4"/>
  <c r="BB138" i="4" s="1"/>
  <c r="AT81" i="4"/>
  <c r="AT138" i="4" s="1"/>
  <c r="AD81" i="4"/>
  <c r="AD138" i="4" s="1"/>
  <c r="V81" i="4"/>
  <c r="V138" i="4" s="1"/>
  <c r="N81" i="4"/>
  <c r="N138" i="4" s="1"/>
  <c r="F81" i="4"/>
  <c r="F138" i="4" s="1"/>
  <c r="AV39" i="4"/>
  <c r="AW89" i="4"/>
  <c r="AW139" i="4" s="1"/>
  <c r="AP89" i="4"/>
  <c r="AP139" i="4" s="1"/>
  <c r="Z73" i="4"/>
  <c r="Z136" i="4" s="1"/>
  <c r="Z81" i="4"/>
  <c r="Z138" i="4" s="1"/>
  <c r="V39" i="4"/>
  <c r="AA73" i="4"/>
  <c r="K73" i="4"/>
  <c r="K136" i="4" s="1"/>
  <c r="AG39" i="4"/>
  <c r="M105" i="4"/>
  <c r="M141" i="4" s="1"/>
  <c r="U105" i="4"/>
  <c r="U141" i="4" s="1"/>
  <c r="J39" i="4"/>
  <c r="J40" i="4" s="1"/>
  <c r="R113" i="4"/>
  <c r="R142" i="4" s="1"/>
  <c r="Z113" i="4"/>
  <c r="Z142" i="4" s="1"/>
  <c r="AH113" i="4"/>
  <c r="AH142" i="4" s="1"/>
  <c r="AP113" i="4"/>
  <c r="AP142" i="4" s="1"/>
  <c r="AX113" i="4"/>
  <c r="AX142" i="4" s="1"/>
  <c r="W73" i="4"/>
  <c r="W136" i="4" s="1"/>
  <c r="AE73" i="4"/>
  <c r="AE136" i="4" s="1"/>
  <c r="AM73" i="4"/>
  <c r="AM136" i="4" s="1"/>
  <c r="AI73" i="4"/>
  <c r="AI136" i="4" s="1"/>
  <c r="P73" i="4"/>
  <c r="P136" i="4" s="1"/>
  <c r="BA81" i="4"/>
  <c r="BA138" i="4" s="1"/>
  <c r="AS39" i="4"/>
  <c r="AC39" i="4"/>
  <c r="AC40" i="4" s="1"/>
  <c r="U81" i="4"/>
  <c r="U138" i="4" s="1"/>
  <c r="M81" i="4"/>
  <c r="M138" i="4" s="1"/>
  <c r="BB39" i="4"/>
  <c r="F39" i="4"/>
  <c r="F40" i="4" s="1"/>
  <c r="AV89" i="4"/>
  <c r="AV139" i="4" s="1"/>
  <c r="AO89" i="4"/>
  <c r="AO139" i="4" s="1"/>
  <c r="AG89" i="4"/>
  <c r="AG139" i="4" s="1"/>
  <c r="Y89" i="4"/>
  <c r="Y139" i="4" s="1"/>
  <c r="Q89" i="4"/>
  <c r="Q139" i="4" s="1"/>
  <c r="AO73" i="4"/>
  <c r="AO136" i="4" s="1"/>
  <c r="R73" i="4"/>
  <c r="R136" i="4" s="1"/>
  <c r="AX73" i="4"/>
  <c r="AX136" i="4" s="1"/>
  <c r="R81" i="4"/>
  <c r="R138" i="4" s="1"/>
  <c r="BA89" i="4"/>
  <c r="BA139" i="4" s="1"/>
  <c r="Y39" i="4"/>
  <c r="I39" i="4"/>
  <c r="I40" i="4" s="1"/>
  <c r="O39" i="4"/>
  <c r="O40" i="4" s="1"/>
  <c r="F105" i="4"/>
  <c r="F141" i="4" s="1"/>
  <c r="N105" i="4"/>
  <c r="N141" i="4" s="1"/>
  <c r="K113" i="4"/>
  <c r="K142" i="4" s="1"/>
  <c r="H73" i="4"/>
  <c r="H136" i="4" s="1"/>
  <c r="X73" i="4"/>
  <c r="X136" i="4" s="1"/>
  <c r="AF73" i="4"/>
  <c r="AF136" i="4" s="1"/>
  <c r="AN73" i="4"/>
  <c r="AN136" i="4" s="1"/>
  <c r="AV73" i="4"/>
  <c r="AV136" i="4" s="1"/>
  <c r="E39" i="4"/>
  <c r="E40" i="4" s="1"/>
  <c r="AW73" i="4"/>
  <c r="AW136" i="4" s="1"/>
  <c r="AZ81" i="4"/>
  <c r="AZ138" i="4" s="1"/>
  <c r="AR81" i="4"/>
  <c r="AR138" i="4" s="1"/>
  <c r="AB81" i="4"/>
  <c r="AB138" i="4" s="1"/>
  <c r="T39" i="4"/>
  <c r="L81" i="4"/>
  <c r="L138" i="4" s="1"/>
  <c r="AK39" i="4"/>
  <c r="AK40" i="4" s="1"/>
  <c r="AU89" i="4"/>
  <c r="AU139" i="4" s="1"/>
  <c r="AN89" i="4"/>
  <c r="AN139" i="4" s="1"/>
  <c r="AF89" i="4"/>
  <c r="AF139" i="4" s="1"/>
  <c r="X89" i="4"/>
  <c r="X139" i="4" s="1"/>
  <c r="P89" i="4"/>
  <c r="P139" i="4" s="1"/>
  <c r="BA105" i="4"/>
  <c r="BA141" i="4" s="1"/>
  <c r="S81" i="4"/>
  <c r="S138" i="4" s="1"/>
  <c r="AJ39" i="4"/>
  <c r="AJ40" i="4" s="1"/>
  <c r="AI39" i="4"/>
  <c r="AI40" i="4" s="1"/>
  <c r="AH39" i="4"/>
  <c r="Z39" i="4"/>
  <c r="N39" i="4"/>
  <c r="N40" i="4" s="1"/>
  <c r="C86" i="5"/>
  <c r="AX39" i="4"/>
  <c r="G113" i="4"/>
  <c r="G142" i="4" s="1"/>
  <c r="AD39" i="4"/>
  <c r="AD40" i="4" s="1"/>
  <c r="AF39" i="4"/>
  <c r="AB39" i="4"/>
  <c r="BA39" i="4"/>
  <c r="AW81" i="4"/>
  <c r="AW138" i="4" s="1"/>
  <c r="X81" i="4"/>
  <c r="X138" i="4" s="1"/>
  <c r="AR39" i="4"/>
  <c r="AR40" i="4" s="1"/>
  <c r="L39" i="4"/>
  <c r="J113" i="4"/>
  <c r="J142" i="4" s="1"/>
  <c r="F113" i="4"/>
  <c r="F142" i="4" s="1"/>
  <c r="AG81" i="4"/>
  <c r="AG138" i="4" s="1"/>
  <c r="T81" i="4"/>
  <c r="T138" i="4" s="1"/>
  <c r="P81" i="4"/>
  <c r="P138" i="4" s="1"/>
  <c r="AS81" i="4"/>
  <c r="AS138" i="4" s="1"/>
  <c r="Y81" i="4"/>
  <c r="Y138" i="4" s="1"/>
  <c r="K39" i="4"/>
  <c r="K40" i="4" s="1"/>
  <c r="AC81" i="4"/>
  <c r="AC138" i="4" s="1"/>
  <c r="AA81" i="4"/>
  <c r="AA138" i="4" s="1"/>
  <c r="H39" i="4"/>
  <c r="AN39" i="4"/>
  <c r="F80" i="4"/>
  <c r="C30" i="9"/>
  <c r="C23" i="9" l="1"/>
  <c r="C10" i="3"/>
  <c r="C10" i="9" s="1"/>
  <c r="D42" i="5"/>
  <c r="C46" i="9" s="1"/>
  <c r="D40" i="5"/>
  <c r="C44" i="9" s="1"/>
  <c r="V121" i="4"/>
  <c r="V122" i="4" s="1"/>
  <c r="AT40" i="4"/>
  <c r="AB135" i="4"/>
  <c r="AB40" i="4"/>
  <c r="AH135" i="4"/>
  <c r="AH40" i="4"/>
  <c r="T135" i="4"/>
  <c r="T40" i="4"/>
  <c r="Y135" i="4"/>
  <c r="Y40" i="4"/>
  <c r="AS135" i="4"/>
  <c r="AS40" i="4"/>
  <c r="AU135" i="4"/>
  <c r="AU40" i="4"/>
  <c r="M135" i="4"/>
  <c r="M40" i="4"/>
  <c r="E74" i="4"/>
  <c r="E136" i="4"/>
  <c r="AF135" i="4"/>
  <c r="AF40" i="4"/>
  <c r="AA121" i="4"/>
  <c r="AA122" i="4" s="1"/>
  <c r="AA136" i="4"/>
  <c r="U135" i="4"/>
  <c r="U40" i="4"/>
  <c r="L135" i="4"/>
  <c r="L40" i="4"/>
  <c r="V135" i="4"/>
  <c r="V40" i="4"/>
  <c r="AW135" i="4"/>
  <c r="AW40" i="4"/>
  <c r="R135" i="4"/>
  <c r="R40" i="4"/>
  <c r="S135" i="4"/>
  <c r="S40" i="4"/>
  <c r="C139" i="4"/>
  <c r="C142" i="4"/>
  <c r="E146" i="4"/>
  <c r="E108" i="4"/>
  <c r="AX135" i="4"/>
  <c r="AX40" i="4"/>
  <c r="BB135" i="4"/>
  <c r="BB40" i="4"/>
  <c r="AP135" i="4"/>
  <c r="AP40" i="4"/>
  <c r="W135" i="4"/>
  <c r="W40" i="4"/>
  <c r="AA135" i="4"/>
  <c r="AA40" i="4"/>
  <c r="C140" i="4"/>
  <c r="AM135" i="4"/>
  <c r="AM40" i="4"/>
  <c r="P135" i="4"/>
  <c r="P40" i="4"/>
  <c r="E145" i="4"/>
  <c r="E100" i="4"/>
  <c r="AN135" i="4"/>
  <c r="AN40" i="4"/>
  <c r="BA135" i="4"/>
  <c r="BA40" i="4"/>
  <c r="F74" i="4"/>
  <c r="F136" i="4"/>
  <c r="AO135" i="4"/>
  <c r="AO40" i="4"/>
  <c r="X135" i="4"/>
  <c r="X40" i="4"/>
  <c r="AL135" i="4"/>
  <c r="AL40" i="4"/>
  <c r="F106" i="4"/>
  <c r="F107" i="4" s="1"/>
  <c r="F146" i="4" s="1"/>
  <c r="F98" i="4"/>
  <c r="F99" i="4" s="1"/>
  <c r="F145" i="4" s="1"/>
  <c r="F90" i="4"/>
  <c r="F91" i="4" s="1"/>
  <c r="F114" i="4"/>
  <c r="F115" i="4" s="1"/>
  <c r="F82" i="4"/>
  <c r="F83" i="4" s="1"/>
  <c r="H135" i="4"/>
  <c r="H40" i="4"/>
  <c r="Z135" i="4"/>
  <c r="Z40" i="4"/>
  <c r="C138" i="4"/>
  <c r="AG135" i="4"/>
  <c r="AG40" i="4"/>
  <c r="AV135" i="4"/>
  <c r="AV40" i="4"/>
  <c r="G135" i="4"/>
  <c r="G40" i="4"/>
  <c r="C141" i="4"/>
  <c r="E116" i="4"/>
  <c r="E92" i="4"/>
  <c r="E84" i="4"/>
  <c r="AT74" i="4"/>
  <c r="AX74" i="4"/>
  <c r="AI74" i="4"/>
  <c r="AL74" i="4"/>
  <c r="AC74" i="4"/>
  <c r="AR74" i="4"/>
  <c r="I74" i="4"/>
  <c r="AW74" i="4"/>
  <c r="R74" i="4"/>
  <c r="AM74" i="4"/>
  <c r="Z74" i="4"/>
  <c r="AD74" i="4"/>
  <c r="AH74" i="4"/>
  <c r="U74" i="4"/>
  <c r="AJ74" i="4"/>
  <c r="L74" i="4"/>
  <c r="AZ74" i="4"/>
  <c r="AO74" i="4"/>
  <c r="AE74" i="4"/>
  <c r="V74" i="4"/>
  <c r="BA74" i="4"/>
  <c r="AB74" i="4"/>
  <c r="AV74" i="4"/>
  <c r="W74" i="4"/>
  <c r="AU74" i="4"/>
  <c r="T74" i="4"/>
  <c r="AP74" i="4"/>
  <c r="AY74" i="4"/>
  <c r="AN74" i="4"/>
  <c r="O74" i="4"/>
  <c r="S74" i="4"/>
  <c r="Y74" i="4"/>
  <c r="P74" i="4"/>
  <c r="AG74" i="4"/>
  <c r="AF74" i="4"/>
  <c r="K74" i="4"/>
  <c r="G74" i="4"/>
  <c r="N74" i="4"/>
  <c r="Q74" i="4"/>
  <c r="AQ74" i="4"/>
  <c r="H74" i="4"/>
  <c r="X74" i="4"/>
  <c r="AA74" i="4"/>
  <c r="BA12" i="6"/>
  <c r="BA13" i="6" s="1" a="1"/>
  <c r="BA13" i="6" s="1"/>
  <c r="BB74" i="4"/>
  <c r="M74" i="4"/>
  <c r="AS74" i="4"/>
  <c r="J74" i="4"/>
  <c r="AK74" i="4"/>
  <c r="S121" i="4"/>
  <c r="S122" i="4" s="1"/>
  <c r="X121" i="4"/>
  <c r="X122" i="4" s="1"/>
  <c r="AJ121" i="4"/>
  <c r="AJ122" i="4" s="1"/>
  <c r="AJ135" i="4"/>
  <c r="AZ121" i="4"/>
  <c r="AZ122" i="4" s="1"/>
  <c r="AZ135" i="4"/>
  <c r="N121" i="4"/>
  <c r="N122" i="4" s="1"/>
  <c r="N135" i="4"/>
  <c r="Y121" i="4"/>
  <c r="Y122" i="4" s="1"/>
  <c r="AE135" i="4"/>
  <c r="AY121" i="4"/>
  <c r="AY122" i="4" s="1"/>
  <c r="AY135" i="4"/>
  <c r="I121" i="4"/>
  <c r="I122" i="4" s="1"/>
  <c r="I135" i="4"/>
  <c r="J135" i="4"/>
  <c r="E121" i="4"/>
  <c r="E122" i="4" s="1"/>
  <c r="E135" i="4"/>
  <c r="Q121" i="4"/>
  <c r="Q122" i="4" s="1"/>
  <c r="Q135" i="4"/>
  <c r="AR121" i="4"/>
  <c r="AR122" i="4" s="1"/>
  <c r="AR135" i="4"/>
  <c r="K121" i="4"/>
  <c r="K122" i="4" s="1"/>
  <c r="K135" i="4"/>
  <c r="AD121" i="4"/>
  <c r="AD122" i="4" s="1"/>
  <c r="AD135" i="4"/>
  <c r="AK121" i="4"/>
  <c r="AK122" i="4" s="1"/>
  <c r="AK135" i="4"/>
  <c r="AI121" i="4"/>
  <c r="AI122" i="4" s="1"/>
  <c r="AI135" i="4"/>
  <c r="F121" i="4"/>
  <c r="F122" i="4" s="1"/>
  <c r="F135" i="4"/>
  <c r="AQ121" i="4"/>
  <c r="AQ122" i="4" s="1"/>
  <c r="AQ135" i="4"/>
  <c r="AC121" i="4"/>
  <c r="AC122" i="4" s="1"/>
  <c r="AC135" i="4"/>
  <c r="O121" i="4"/>
  <c r="O122" i="4" s="1"/>
  <c r="O135" i="4"/>
  <c r="G121" i="4"/>
  <c r="G122" i="4" s="1"/>
  <c r="J121" i="4"/>
  <c r="J122" i="4" s="1"/>
  <c r="AM121" i="4"/>
  <c r="AM122" i="4" s="1"/>
  <c r="BB121" i="4"/>
  <c r="BB122" i="4" s="1"/>
  <c r="AN121" i="4"/>
  <c r="AN122" i="4" s="1"/>
  <c r="AB121" i="4"/>
  <c r="AB122" i="4" s="1"/>
  <c r="AF121" i="4"/>
  <c r="AF122" i="4" s="1"/>
  <c r="L121" i="4"/>
  <c r="L122" i="4" s="1"/>
  <c r="W121" i="4"/>
  <c r="W122" i="4" s="1"/>
  <c r="AG121" i="4"/>
  <c r="AG122" i="4" s="1"/>
  <c r="AW121" i="4"/>
  <c r="AW122" i="4" s="1"/>
  <c r="AU121" i="4"/>
  <c r="AU122" i="4" s="1"/>
  <c r="T121" i="4"/>
  <c r="T122" i="4" s="1"/>
  <c r="AV121" i="4"/>
  <c r="AV122" i="4" s="1"/>
  <c r="AS121" i="4"/>
  <c r="AS122" i="4" s="1"/>
  <c r="M121" i="4"/>
  <c r="M122" i="4" s="1"/>
  <c r="AT121" i="4"/>
  <c r="AT122" i="4" s="1"/>
  <c r="AP121" i="4"/>
  <c r="AP122" i="4" s="1"/>
  <c r="Z121" i="4"/>
  <c r="Z122" i="4" s="1"/>
  <c r="AO121" i="4"/>
  <c r="AO122" i="4" s="1"/>
  <c r="AE121" i="4"/>
  <c r="AE122" i="4" s="1"/>
  <c r="AX121" i="4"/>
  <c r="AX122" i="4" s="1"/>
  <c r="H121" i="4"/>
  <c r="H122" i="4" s="1"/>
  <c r="R121" i="4"/>
  <c r="R122" i="4" s="1"/>
  <c r="U121" i="4"/>
  <c r="U122" i="4" s="1"/>
  <c r="P121" i="4"/>
  <c r="P122" i="4" s="1"/>
  <c r="BA121" i="4"/>
  <c r="BA122" i="4" s="1"/>
  <c r="AH121" i="4"/>
  <c r="AH122" i="4" s="1"/>
  <c r="AL121" i="4"/>
  <c r="AL122" i="4" s="1"/>
  <c r="G80" i="4"/>
  <c r="E124" i="4"/>
  <c r="E160" i="4" s="1"/>
  <c r="C136" i="4" l="1"/>
  <c r="G106" i="4"/>
  <c r="G107" i="4" s="1"/>
  <c r="G98" i="4"/>
  <c r="G99" i="4" s="1"/>
  <c r="G90" i="4"/>
  <c r="G91" i="4" s="1"/>
  <c r="G114" i="4"/>
  <c r="G115" i="4" s="1"/>
  <c r="G82" i="4"/>
  <c r="G83" i="4" s="1"/>
  <c r="C135" i="4"/>
  <c r="F84" i="4"/>
  <c r="F143" i="4"/>
  <c r="F92" i="4"/>
  <c r="F144" i="4"/>
  <c r="F116" i="4"/>
  <c r="F147" i="4"/>
  <c r="F108" i="4"/>
  <c r="F100" i="4"/>
  <c r="E125" i="4"/>
  <c r="O12" i="6"/>
  <c r="O13" i="6" s="1" a="1"/>
  <c r="O13" i="6" s="1"/>
  <c r="Z12" i="6"/>
  <c r="Z13" i="6" s="1" a="1"/>
  <c r="Z13" i="6" s="1"/>
  <c r="AJ12" i="6"/>
  <c r="AJ13" i="6" s="1" a="1"/>
  <c r="AJ13" i="6" s="1"/>
  <c r="V12" i="6"/>
  <c r="V13" i="6" s="1" a="1"/>
  <c r="V13" i="6" s="1"/>
  <c r="W12" i="6"/>
  <c r="W13" i="6" s="1" a="1"/>
  <c r="W13" i="6" s="1"/>
  <c r="AQ12" i="6"/>
  <c r="AQ13" i="6" s="1" a="1"/>
  <c r="AQ13" i="6" s="1"/>
  <c r="AK12" i="6"/>
  <c r="AK13" i="6" s="1" a="1"/>
  <c r="AK13" i="6" s="1"/>
  <c r="K12" i="6"/>
  <c r="K13" i="6" s="1" a="1"/>
  <c r="K13" i="6" s="1"/>
  <c r="L12" i="6"/>
  <c r="L13" i="6" s="1" a="1"/>
  <c r="L13" i="6" s="1"/>
  <c r="AO12" i="6"/>
  <c r="AO13" i="6" s="1" a="1"/>
  <c r="AO13" i="6" s="1"/>
  <c r="AX12" i="6"/>
  <c r="AX13" i="6" s="1" a="1"/>
  <c r="AX13" i="6" s="1"/>
  <c r="AM12" i="6"/>
  <c r="AM13" i="6" s="1" a="1"/>
  <c r="AM13" i="6" s="1"/>
  <c r="S12" i="6"/>
  <c r="S13" i="6" s="1" a="1"/>
  <c r="S13" i="6" s="1"/>
  <c r="P12" i="6"/>
  <c r="P13" i="6" s="1" a="1"/>
  <c r="P13" i="6" s="1"/>
  <c r="J12" i="6"/>
  <c r="J13" i="6" s="1" a="1"/>
  <c r="J13" i="6" s="1"/>
  <c r="AC12" i="6"/>
  <c r="AC13" i="6" s="1" a="1"/>
  <c r="AC13" i="6" s="1"/>
  <c r="AD12" i="6"/>
  <c r="AD13" i="6" s="1" a="1"/>
  <c r="AD13" i="6" s="1"/>
  <c r="Q12" i="6"/>
  <c r="Q13" i="6" s="1" a="1"/>
  <c r="Q13" i="6" s="1"/>
  <c r="N12" i="6"/>
  <c r="N13" i="6" s="1" a="1"/>
  <c r="N13" i="6" s="1"/>
  <c r="E12" i="6"/>
  <c r="E13" i="6" s="1" a="1"/>
  <c r="E13" i="6" s="1"/>
  <c r="AU12" i="6"/>
  <c r="AU13" i="6" s="1" a="1"/>
  <c r="AU13" i="6" s="1"/>
  <c r="AB12" i="6"/>
  <c r="AB13" i="6" s="1" a="1"/>
  <c r="AB13" i="6" s="1"/>
  <c r="H12" i="6"/>
  <c r="H13" i="6" s="1" a="1"/>
  <c r="H13" i="6" s="1"/>
  <c r="AG12" i="6"/>
  <c r="AG13" i="6" s="1" a="1"/>
  <c r="AG13" i="6" s="1"/>
  <c r="AT12" i="6"/>
  <c r="AT13" i="6" s="1" a="1"/>
  <c r="AT13" i="6" s="1"/>
  <c r="AY12" i="6"/>
  <c r="AY13" i="6" s="1" a="1"/>
  <c r="AY13" i="6" s="1"/>
  <c r="Y12" i="6"/>
  <c r="Y13" i="6" s="1" a="1"/>
  <c r="Y13" i="6" s="1"/>
  <c r="T12" i="6"/>
  <c r="T13" i="6" s="1" a="1"/>
  <c r="T13" i="6" s="1"/>
  <c r="AZ12" i="6"/>
  <c r="AZ13" i="6" s="1" a="1"/>
  <c r="AZ13" i="6" s="1"/>
  <c r="AW12" i="6"/>
  <c r="AW13" i="6" s="1" a="1"/>
  <c r="AW13" i="6" s="1"/>
  <c r="R12" i="6"/>
  <c r="R13" i="6" s="1" a="1"/>
  <c r="R13" i="6" s="1"/>
  <c r="AI12" i="6"/>
  <c r="AI13" i="6" s="1" a="1"/>
  <c r="AI13" i="6" s="1"/>
  <c r="AE12" i="6"/>
  <c r="AE13" i="6" s="1" a="1"/>
  <c r="AE13" i="6" s="1"/>
  <c r="AS12" i="6"/>
  <c r="AS13" i="6" s="1" a="1"/>
  <c r="AS13" i="6" s="1"/>
  <c r="AF12" i="6"/>
  <c r="AF13" i="6" s="1" a="1"/>
  <c r="AF13" i="6" s="1"/>
  <c r="AH12" i="6"/>
  <c r="AH13" i="6" s="1" a="1"/>
  <c r="AH13" i="6" s="1"/>
  <c r="M12" i="6"/>
  <c r="M13" i="6" s="1" a="1"/>
  <c r="M13" i="6" s="1"/>
  <c r="AA12" i="6"/>
  <c r="AA13" i="6" s="1" a="1"/>
  <c r="AA13" i="6" s="1"/>
  <c r="AP12" i="6"/>
  <c r="AP13" i="6" s="1" a="1"/>
  <c r="AP13" i="6" s="1"/>
  <c r="AN12" i="6"/>
  <c r="AN13" i="6" s="1" a="1"/>
  <c r="AN13" i="6" s="1"/>
  <c r="AL12" i="6"/>
  <c r="AL13" i="6" s="1" a="1"/>
  <c r="AL13" i="6" s="1"/>
  <c r="I12" i="6"/>
  <c r="I13" i="6" s="1" a="1"/>
  <c r="I13" i="6" s="1"/>
  <c r="AR12" i="6"/>
  <c r="AR13" i="6" s="1" a="1"/>
  <c r="AR13" i="6" s="1"/>
  <c r="AV12" i="6"/>
  <c r="AV13" i="6" s="1" a="1"/>
  <c r="AV13" i="6" s="1"/>
  <c r="U12" i="6"/>
  <c r="U13" i="6" s="1" a="1"/>
  <c r="U13" i="6" s="1"/>
  <c r="X12" i="6"/>
  <c r="X13" i="6" s="1" a="1"/>
  <c r="X13" i="6" s="1"/>
  <c r="G12" i="6"/>
  <c r="G13" i="6" s="1" a="1"/>
  <c r="G13" i="6" s="1"/>
  <c r="F12" i="6"/>
  <c r="F13" i="6" s="1" a="1"/>
  <c r="F13" i="6" s="1"/>
  <c r="D12" i="6"/>
  <c r="D13" i="6" s="1" a="1"/>
  <c r="D13" i="6" s="1"/>
  <c r="C123" i="4"/>
  <c r="C48" i="5"/>
  <c r="C50" i="5" s="1"/>
  <c r="F124" i="4"/>
  <c r="F160" i="4" s="1"/>
  <c r="H80" i="4"/>
  <c r="C61" i="5" l="1"/>
  <c r="D61" i="5" s="1"/>
  <c r="E61" i="5" s="1"/>
  <c r="C48" i="9" s="1"/>
  <c r="G56" i="5"/>
  <c r="H98" i="4"/>
  <c r="H99" i="4" s="1"/>
  <c r="H90" i="4"/>
  <c r="H91" i="4" s="1"/>
  <c r="H114" i="4"/>
  <c r="H115" i="4" s="1"/>
  <c r="H82" i="4"/>
  <c r="H83" i="4" s="1"/>
  <c r="H106" i="4"/>
  <c r="H107" i="4" s="1"/>
  <c r="G108" i="4"/>
  <c r="G146" i="4"/>
  <c r="G100" i="4"/>
  <c r="G145" i="4"/>
  <c r="G84" i="4"/>
  <c r="G143" i="4"/>
  <c r="G92" i="4"/>
  <c r="G144" i="4"/>
  <c r="G116" i="4"/>
  <c r="G147" i="4"/>
  <c r="F125" i="4"/>
  <c r="G124" i="4"/>
  <c r="G160" i="4" s="1"/>
  <c r="I80" i="4"/>
  <c r="C91" i="5" l="1"/>
  <c r="C92" i="5" s="1"/>
  <c r="D92" i="5" s="1"/>
  <c r="D5" i="6" s="1"/>
  <c r="I98" i="4"/>
  <c r="I99" i="4" s="1"/>
  <c r="I90" i="4"/>
  <c r="I91" i="4" s="1"/>
  <c r="I114" i="4"/>
  <c r="I115" i="4" s="1"/>
  <c r="I82" i="4"/>
  <c r="I83" i="4" s="1"/>
  <c r="I143" i="4" s="1"/>
  <c r="I106" i="4"/>
  <c r="I107" i="4" s="1"/>
  <c r="H92" i="4"/>
  <c r="H144" i="4"/>
  <c r="H100" i="4"/>
  <c r="H145" i="4"/>
  <c r="H108" i="4"/>
  <c r="H146" i="4"/>
  <c r="H84" i="4"/>
  <c r="H143" i="4"/>
  <c r="H116" i="4"/>
  <c r="H147" i="4"/>
  <c r="G125" i="4"/>
  <c r="H124" i="4"/>
  <c r="H160" i="4" s="1"/>
  <c r="J80" i="4"/>
  <c r="E90" i="5" l="1"/>
  <c r="D18" i="6" s="1"/>
  <c r="D91" i="5"/>
  <c r="E91" i="5" s="1"/>
  <c r="J90" i="4"/>
  <c r="J91" i="4" s="1"/>
  <c r="J114" i="4"/>
  <c r="J115" i="4" s="1"/>
  <c r="J82" i="4"/>
  <c r="J83" i="4" s="1"/>
  <c r="J106" i="4"/>
  <c r="J107" i="4" s="1"/>
  <c r="J98" i="4"/>
  <c r="J99" i="4" s="1"/>
  <c r="I108" i="4"/>
  <c r="I146" i="4"/>
  <c r="I92" i="4"/>
  <c r="I144" i="4"/>
  <c r="I100" i="4"/>
  <c r="I145" i="4"/>
  <c r="I116" i="4"/>
  <c r="I147" i="4"/>
  <c r="I84" i="4"/>
  <c r="I124" i="4"/>
  <c r="H125" i="4"/>
  <c r="K80" i="4"/>
  <c r="I125" i="4" l="1"/>
  <c r="I160" i="4"/>
  <c r="D21" i="6"/>
  <c r="D22" i="6" s="1"/>
  <c r="E92" i="5"/>
  <c r="K90" i="4"/>
  <c r="K91" i="4" s="1"/>
  <c r="K114" i="4"/>
  <c r="K115" i="4" s="1"/>
  <c r="K82" i="4"/>
  <c r="K83" i="4" s="1"/>
  <c r="K143" i="4" s="1"/>
  <c r="K106" i="4"/>
  <c r="K107" i="4" s="1"/>
  <c r="K98" i="4"/>
  <c r="K99" i="4" s="1"/>
  <c r="J84" i="4"/>
  <c r="J143" i="4"/>
  <c r="J116" i="4"/>
  <c r="J147" i="4"/>
  <c r="J92" i="4"/>
  <c r="J144" i="4"/>
  <c r="J108" i="4"/>
  <c r="J146" i="4"/>
  <c r="J100" i="4"/>
  <c r="J145" i="4"/>
  <c r="L80" i="4"/>
  <c r="J124" i="4"/>
  <c r="J160" i="4" s="1"/>
  <c r="I28" i="6"/>
  <c r="AY28" i="6"/>
  <c r="AQ28" i="6"/>
  <c r="S28" i="6"/>
  <c r="AB28" i="6"/>
  <c r="AE28" i="6"/>
  <c r="Q28" i="6"/>
  <c r="AZ28" i="6"/>
  <c r="AK28" i="6"/>
  <c r="AG28" i="6"/>
  <c r="AJ28" i="6"/>
  <c r="AT28" i="6"/>
  <c r="AD28" i="6"/>
  <c r="AS28" i="6"/>
  <c r="AH28" i="6"/>
  <c r="AI28" i="6"/>
  <c r="AA28" i="6"/>
  <c r="AV28" i="6"/>
  <c r="AN28" i="6"/>
  <c r="AW28" i="6"/>
  <c r="O28" i="6"/>
  <c r="X28" i="6"/>
  <c r="T28" i="6"/>
  <c r="Y28" i="6"/>
  <c r="R28" i="6"/>
  <c r="AO28" i="6"/>
  <c r="M28" i="6"/>
  <c r="AF28" i="6"/>
  <c r="U28" i="6"/>
  <c r="AP28" i="6"/>
  <c r="BA28" i="6"/>
  <c r="N28" i="6"/>
  <c r="J28" i="6"/>
  <c r="AM28" i="6"/>
  <c r="AX28" i="6"/>
  <c r="W28" i="6"/>
  <c r="L28" i="6"/>
  <c r="P28" i="6"/>
  <c r="V28" i="6"/>
  <c r="AU28" i="6"/>
  <c r="AC28" i="6"/>
  <c r="K28" i="6"/>
  <c r="Z28" i="6"/>
  <c r="AL28" i="6"/>
  <c r="AR28" i="6"/>
  <c r="AH31" i="6" l="1"/>
  <c r="AH32" i="6" s="1"/>
  <c r="AH34" i="6" s="1"/>
  <c r="AH36" i="6" s="1"/>
  <c r="I31" i="6"/>
  <c r="I32" i="6" s="1"/>
  <c r="I34" i="6" s="1"/>
  <c r="I36" i="6" s="1"/>
  <c r="AY31" i="6"/>
  <c r="AE31" i="6"/>
  <c r="W31" i="6"/>
  <c r="W32" i="6" s="1"/>
  <c r="W34" i="6" s="1"/>
  <c r="W36" i="6" s="1"/>
  <c r="N31" i="6"/>
  <c r="N32" i="6" s="1"/>
  <c r="N34" i="6" s="1"/>
  <c r="N36" i="6" s="1"/>
  <c r="AW31" i="6"/>
  <c r="AW32" i="6" s="1"/>
  <c r="AW34" i="6" s="1"/>
  <c r="AW36" i="6" s="1"/>
  <c r="Q31" i="6"/>
  <c r="Q32" i="6" s="1"/>
  <c r="Q34" i="6" s="1"/>
  <c r="Q36" i="6" s="1"/>
  <c r="AC31" i="6"/>
  <c r="AC32" i="6" s="1"/>
  <c r="AC34" i="6" s="1"/>
  <c r="AC36" i="6" s="1"/>
  <c r="Z31" i="6"/>
  <c r="Z32" i="6" s="1"/>
  <c r="Z34" i="6" s="1"/>
  <c r="Z36" i="6" s="1"/>
  <c r="T31" i="6"/>
  <c r="K31" i="6"/>
  <c r="AL31" i="6"/>
  <c r="AL32" i="6" s="1"/>
  <c r="AL34" i="6" s="1"/>
  <c r="AL36" i="6" s="1"/>
  <c r="AB31" i="6"/>
  <c r="AB32" i="6" s="1"/>
  <c r="AB34" i="6" s="1"/>
  <c r="AB36" i="6" s="1"/>
  <c r="X31" i="6"/>
  <c r="X32" i="6" s="1"/>
  <c r="X34" i="6" s="1"/>
  <c r="X36" i="6" s="1"/>
  <c r="R31" i="6"/>
  <c r="R32" i="6" s="1"/>
  <c r="R34" i="6" s="1"/>
  <c r="R36" i="6" s="1"/>
  <c r="AX31" i="6"/>
  <c r="AX32" i="6" s="1"/>
  <c r="AX34" i="6" s="1"/>
  <c r="AX36" i="6" s="1"/>
  <c r="AG31" i="6"/>
  <c r="AG32" i="6" s="1"/>
  <c r="AG34" i="6" s="1"/>
  <c r="AG36" i="6" s="1"/>
  <c r="U31" i="6"/>
  <c r="U32" i="6" s="1"/>
  <c r="U34" i="6" s="1"/>
  <c r="U36" i="6" s="1"/>
  <c r="O31" i="6"/>
  <c r="O32" i="6" s="1"/>
  <c r="O34" i="6" s="1"/>
  <c r="O36" i="6" s="1"/>
  <c r="AZ31" i="6"/>
  <c r="AZ32" i="6" s="1"/>
  <c r="AZ34" i="6" s="1"/>
  <c r="AZ36" i="6" s="1"/>
  <c r="AS31" i="6"/>
  <c r="AS32" i="6" s="1"/>
  <c r="AS34" i="6" s="1"/>
  <c r="AS36" i="6" s="1"/>
  <c r="AI31" i="6"/>
  <c r="AI32" i="6" s="1"/>
  <c r="AI34" i="6" s="1"/>
  <c r="AI36" i="6" s="1"/>
  <c r="L31" i="6"/>
  <c r="L32" i="6" s="1"/>
  <c r="L34" i="6" s="1"/>
  <c r="L36" i="6" s="1"/>
  <c r="AO31" i="6"/>
  <c r="AP31" i="6"/>
  <c r="AP32" i="6" s="1"/>
  <c r="AP34" i="6" s="1"/>
  <c r="AP36" i="6" s="1"/>
  <c r="AN31" i="6"/>
  <c r="AV31" i="6"/>
  <c r="AV32" i="6" s="1"/>
  <c r="AV34" i="6" s="1"/>
  <c r="AV36" i="6" s="1"/>
  <c r="AR31" i="6"/>
  <c r="S31" i="6"/>
  <c r="S32" i="6" s="1"/>
  <c r="S34" i="6" s="1"/>
  <c r="S36" i="6" s="1"/>
  <c r="AT31" i="6"/>
  <c r="AT32" i="6" s="1"/>
  <c r="AT34" i="6" s="1"/>
  <c r="AT36" i="6" s="1"/>
  <c r="J31" i="6"/>
  <c r="J32" i="6" s="1"/>
  <c r="J34" i="6" s="1"/>
  <c r="J36" i="6" s="1"/>
  <c r="AF31" i="6"/>
  <c r="AF32" i="6" s="1"/>
  <c r="AF34" i="6" s="1"/>
  <c r="AF36" i="6" s="1"/>
  <c r="AM31" i="6"/>
  <c r="AM32" i="6" s="1"/>
  <c r="AM34" i="6" s="1"/>
  <c r="AM36" i="6" s="1"/>
  <c r="V31" i="6"/>
  <c r="V32" i="6" s="1"/>
  <c r="V34" i="6" s="1"/>
  <c r="V36" i="6" s="1"/>
  <c r="Y31" i="6"/>
  <c r="Y32" i="6" s="1"/>
  <c r="Y34" i="6" s="1"/>
  <c r="Y36" i="6" s="1"/>
  <c r="P31" i="6"/>
  <c r="P32" i="6" s="1"/>
  <c r="P34" i="6" s="1"/>
  <c r="P36" i="6" s="1"/>
  <c r="BA31" i="6"/>
  <c r="BA32" i="6" s="1"/>
  <c r="BA34" i="6" s="1"/>
  <c r="BA36" i="6" s="1"/>
  <c r="AQ31" i="6"/>
  <c r="AQ32" i="6" s="1"/>
  <c r="AQ34" i="6" s="1"/>
  <c r="AQ36" i="6" s="1"/>
  <c r="AA31" i="6"/>
  <c r="AA32" i="6" s="1"/>
  <c r="AA34" i="6" s="1"/>
  <c r="AA36" i="6" s="1"/>
  <c r="AD31" i="6"/>
  <c r="AD32" i="6" s="1"/>
  <c r="AD34" i="6" s="1"/>
  <c r="AD36" i="6" s="1"/>
  <c r="M31" i="6"/>
  <c r="M32" i="6" s="1"/>
  <c r="M34" i="6" s="1"/>
  <c r="M36" i="6" s="1"/>
  <c r="AK31" i="6"/>
  <c r="AK32" i="6" s="1"/>
  <c r="AK34" i="6" s="1"/>
  <c r="AK36" i="6" s="1"/>
  <c r="AU31" i="6"/>
  <c r="AU32" i="6" s="1"/>
  <c r="AU34" i="6" s="1"/>
  <c r="AU36" i="6" s="1"/>
  <c r="AJ31" i="6"/>
  <c r="AJ32" i="6" s="1"/>
  <c r="AJ34" i="6" s="1"/>
  <c r="AJ36" i="6" s="1"/>
  <c r="L114" i="4"/>
  <c r="L115" i="4" s="1"/>
  <c r="L82" i="4"/>
  <c r="L83" i="4" s="1"/>
  <c r="L106" i="4"/>
  <c r="L107" i="4" s="1"/>
  <c r="L98" i="4"/>
  <c r="L99" i="4" s="1"/>
  <c r="L90" i="4"/>
  <c r="L91" i="4" s="1"/>
  <c r="K108" i="4"/>
  <c r="K146" i="4"/>
  <c r="K92" i="4"/>
  <c r="K144" i="4"/>
  <c r="K100" i="4"/>
  <c r="K145" i="4"/>
  <c r="K116" i="4"/>
  <c r="K147" i="4"/>
  <c r="J125" i="4"/>
  <c r="K84" i="4"/>
  <c r="M80" i="4"/>
  <c r="K124" i="4"/>
  <c r="K160" i="4" s="1"/>
  <c r="K32" i="6"/>
  <c r="K34" i="6" s="1"/>
  <c r="K36" i="6" s="1"/>
  <c r="AE32" i="6"/>
  <c r="AE34" i="6" s="1"/>
  <c r="AE36" i="6" s="1"/>
  <c r="AO32" i="6"/>
  <c r="AO34" i="6" s="1"/>
  <c r="AO36" i="6" s="1"/>
  <c r="AY32" i="6"/>
  <c r="AY34" i="6" s="1"/>
  <c r="AY36" i="6" s="1"/>
  <c r="T32" i="6"/>
  <c r="T34" i="6" s="1"/>
  <c r="T36" i="6" s="1"/>
  <c r="AN32" i="6"/>
  <c r="AN34" i="6" s="1"/>
  <c r="AN36" i="6" s="1"/>
  <c r="AR32" i="6"/>
  <c r="AR34" i="6" s="1"/>
  <c r="AR36" i="6" s="1"/>
  <c r="M114" i="4" l="1"/>
  <c r="M115" i="4" s="1"/>
  <c r="M82" i="4"/>
  <c r="M83" i="4" s="1"/>
  <c r="M106" i="4"/>
  <c r="M107" i="4" s="1"/>
  <c r="M98" i="4"/>
  <c r="M99" i="4" s="1"/>
  <c r="M90" i="4"/>
  <c r="M91" i="4" s="1"/>
  <c r="L108" i="4"/>
  <c r="L146" i="4"/>
  <c r="L100" i="4"/>
  <c r="L145" i="4"/>
  <c r="L92" i="4"/>
  <c r="L144" i="4"/>
  <c r="L116" i="4"/>
  <c r="L147" i="4"/>
  <c r="L84" i="4"/>
  <c r="L143" i="4"/>
  <c r="K125" i="4"/>
  <c r="N80" i="4"/>
  <c r="L124" i="4"/>
  <c r="L160" i="4" s="1"/>
  <c r="N106" i="4" l="1"/>
  <c r="N107" i="4" s="1"/>
  <c r="N98" i="4"/>
  <c r="N99" i="4" s="1"/>
  <c r="N90" i="4"/>
  <c r="N91" i="4" s="1"/>
  <c r="N114" i="4"/>
  <c r="N115" i="4" s="1"/>
  <c r="N82" i="4"/>
  <c r="N83" i="4" s="1"/>
  <c r="M92" i="4"/>
  <c r="M144" i="4"/>
  <c r="M108" i="4"/>
  <c r="M146" i="4"/>
  <c r="M116" i="4"/>
  <c r="M147" i="4"/>
  <c r="M84" i="4"/>
  <c r="M143" i="4"/>
  <c r="M100" i="4"/>
  <c r="M145" i="4"/>
  <c r="L125" i="4"/>
  <c r="M124" i="4"/>
  <c r="M160" i="4" s="1"/>
  <c r="O80" i="4"/>
  <c r="O106" i="4" l="1"/>
  <c r="O107" i="4" s="1"/>
  <c r="O98" i="4"/>
  <c r="O99" i="4" s="1"/>
  <c r="O90" i="4"/>
  <c r="O91" i="4" s="1"/>
  <c r="O114" i="4"/>
  <c r="O115" i="4" s="1"/>
  <c r="O82" i="4"/>
  <c r="O83" i="4" s="1"/>
  <c r="N100" i="4"/>
  <c r="N145" i="4"/>
  <c r="N84" i="4"/>
  <c r="N143" i="4"/>
  <c r="N108" i="4"/>
  <c r="N146" i="4"/>
  <c r="N92" i="4"/>
  <c r="N144" i="4"/>
  <c r="N116" i="4"/>
  <c r="N147" i="4"/>
  <c r="M125" i="4"/>
  <c r="P80" i="4"/>
  <c r="N124" i="4"/>
  <c r="N160" i="4" s="1"/>
  <c r="P98" i="4" l="1"/>
  <c r="P99" i="4" s="1"/>
  <c r="P90" i="4"/>
  <c r="P91" i="4" s="1"/>
  <c r="P114" i="4"/>
  <c r="P115" i="4" s="1"/>
  <c r="P82" i="4"/>
  <c r="P83" i="4" s="1"/>
  <c r="P106" i="4"/>
  <c r="P107" i="4" s="1"/>
  <c r="O100" i="4"/>
  <c r="O145" i="4"/>
  <c r="O84" i="4"/>
  <c r="O143" i="4"/>
  <c r="O92" i="4"/>
  <c r="O144" i="4"/>
  <c r="O108" i="4"/>
  <c r="O146" i="4"/>
  <c r="O116" i="4"/>
  <c r="O147" i="4"/>
  <c r="N125" i="4"/>
  <c r="Q80" i="4"/>
  <c r="O124" i="4"/>
  <c r="O160" i="4" s="1"/>
  <c r="Q98" i="4" l="1"/>
  <c r="Q99" i="4" s="1"/>
  <c r="Q90" i="4"/>
  <c r="Q91" i="4" s="1"/>
  <c r="Q114" i="4"/>
  <c r="Q115" i="4" s="1"/>
  <c r="Q82" i="4"/>
  <c r="Q83" i="4" s="1"/>
  <c r="Q106" i="4"/>
  <c r="Q107" i="4" s="1"/>
  <c r="P84" i="4"/>
  <c r="P143" i="4"/>
  <c r="P116" i="4"/>
  <c r="P147" i="4"/>
  <c r="P108" i="4"/>
  <c r="P146" i="4"/>
  <c r="P92" i="4"/>
  <c r="P144" i="4"/>
  <c r="P100" i="4"/>
  <c r="P145" i="4"/>
  <c r="O125" i="4"/>
  <c r="R80" i="4"/>
  <c r="P124" i="4"/>
  <c r="P160" i="4" s="1"/>
  <c r="R90" i="4" l="1"/>
  <c r="R91" i="4" s="1"/>
  <c r="R114" i="4"/>
  <c r="R115" i="4" s="1"/>
  <c r="R82" i="4"/>
  <c r="R83" i="4" s="1"/>
  <c r="R106" i="4"/>
  <c r="R107" i="4" s="1"/>
  <c r="R98" i="4"/>
  <c r="R99" i="4" s="1"/>
  <c r="Q100" i="4"/>
  <c r="Q145" i="4"/>
  <c r="Q116" i="4"/>
  <c r="Q147" i="4"/>
  <c r="Q108" i="4"/>
  <c r="Q146" i="4"/>
  <c r="Q84" i="4"/>
  <c r="Q143" i="4"/>
  <c r="Q92" i="4"/>
  <c r="Q144" i="4"/>
  <c r="P125" i="4"/>
  <c r="S80" i="4"/>
  <c r="Q124" i="4"/>
  <c r="Q160" i="4" s="1"/>
  <c r="S90" i="4" l="1"/>
  <c r="S91" i="4" s="1"/>
  <c r="S114" i="4"/>
  <c r="S115" i="4" s="1"/>
  <c r="S82" i="4"/>
  <c r="S83" i="4" s="1"/>
  <c r="S106" i="4"/>
  <c r="S107" i="4" s="1"/>
  <c r="S98" i="4"/>
  <c r="S99" i="4" s="1"/>
  <c r="R84" i="4"/>
  <c r="R143" i="4"/>
  <c r="R92" i="4"/>
  <c r="R144" i="4"/>
  <c r="R108" i="4"/>
  <c r="R146" i="4"/>
  <c r="R100" i="4"/>
  <c r="R145" i="4"/>
  <c r="R116" i="4"/>
  <c r="R147" i="4"/>
  <c r="Q125" i="4"/>
  <c r="R124" i="4"/>
  <c r="R160" i="4" s="1"/>
  <c r="T80" i="4"/>
  <c r="T114" i="4" l="1"/>
  <c r="T115" i="4" s="1"/>
  <c r="T82" i="4"/>
  <c r="T83" i="4" s="1"/>
  <c r="T106" i="4"/>
  <c r="T107" i="4" s="1"/>
  <c r="T98" i="4"/>
  <c r="T99" i="4" s="1"/>
  <c r="T90" i="4"/>
  <c r="T91" i="4" s="1"/>
  <c r="S100" i="4"/>
  <c r="S145" i="4"/>
  <c r="S92" i="4"/>
  <c r="S144" i="4"/>
  <c r="S116" i="4"/>
  <c r="S147" i="4"/>
  <c r="S84" i="4"/>
  <c r="S143" i="4"/>
  <c r="S108" i="4"/>
  <c r="S146" i="4"/>
  <c r="R125" i="4"/>
  <c r="U80" i="4"/>
  <c r="S124" i="4"/>
  <c r="S160" i="4" s="1"/>
  <c r="U114" i="4" l="1"/>
  <c r="U115" i="4" s="1"/>
  <c r="U82" i="4"/>
  <c r="U83" i="4" s="1"/>
  <c r="U106" i="4"/>
  <c r="U107" i="4" s="1"/>
  <c r="U98" i="4"/>
  <c r="U99" i="4" s="1"/>
  <c r="U90" i="4"/>
  <c r="U91" i="4" s="1"/>
  <c r="T92" i="4"/>
  <c r="T144" i="4"/>
  <c r="T100" i="4"/>
  <c r="T145" i="4"/>
  <c r="T116" i="4"/>
  <c r="T147" i="4"/>
  <c r="T108" i="4"/>
  <c r="T146" i="4"/>
  <c r="T84" i="4"/>
  <c r="T143" i="4"/>
  <c r="S125" i="4"/>
  <c r="T124" i="4"/>
  <c r="T160" i="4" s="1"/>
  <c r="V80" i="4"/>
  <c r="V106" i="4" l="1"/>
  <c r="V107" i="4" s="1"/>
  <c r="V98" i="4"/>
  <c r="V99" i="4" s="1"/>
  <c r="V90" i="4"/>
  <c r="V91" i="4" s="1"/>
  <c r="V114" i="4"/>
  <c r="V115" i="4" s="1"/>
  <c r="V82" i="4"/>
  <c r="V83" i="4" s="1"/>
  <c r="U84" i="4"/>
  <c r="U143" i="4"/>
  <c r="U92" i="4"/>
  <c r="U144" i="4"/>
  <c r="U108" i="4"/>
  <c r="U146" i="4"/>
  <c r="U100" i="4"/>
  <c r="U145" i="4"/>
  <c r="U116" i="4"/>
  <c r="U147" i="4"/>
  <c r="T125" i="4"/>
  <c r="W80" i="4"/>
  <c r="U124" i="4"/>
  <c r="U160" i="4" s="1"/>
  <c r="W106" i="4" l="1"/>
  <c r="W107" i="4" s="1"/>
  <c r="W98" i="4"/>
  <c r="W99" i="4" s="1"/>
  <c r="W90" i="4"/>
  <c r="W91" i="4" s="1"/>
  <c r="W114" i="4"/>
  <c r="W115" i="4" s="1"/>
  <c r="W82" i="4"/>
  <c r="W83" i="4" s="1"/>
  <c r="V116" i="4"/>
  <c r="V147" i="4"/>
  <c r="V100" i="4"/>
  <c r="V145" i="4"/>
  <c r="V92" i="4"/>
  <c r="V144" i="4"/>
  <c r="V108" i="4"/>
  <c r="V146" i="4"/>
  <c r="V84" i="4"/>
  <c r="V143" i="4"/>
  <c r="U125" i="4"/>
  <c r="V124" i="4"/>
  <c r="V160" i="4" s="1"/>
  <c r="X80" i="4"/>
  <c r="X98" i="4" l="1"/>
  <c r="X99" i="4" s="1"/>
  <c r="X90" i="4"/>
  <c r="X91" i="4" s="1"/>
  <c r="X114" i="4"/>
  <c r="X115" i="4" s="1"/>
  <c r="X82" i="4"/>
  <c r="X83" i="4" s="1"/>
  <c r="X106" i="4"/>
  <c r="X107" i="4" s="1"/>
  <c r="W92" i="4"/>
  <c r="W144" i="4"/>
  <c r="W116" i="4"/>
  <c r="W147" i="4"/>
  <c r="W84" i="4"/>
  <c r="W143" i="4"/>
  <c r="W100" i="4"/>
  <c r="W145" i="4"/>
  <c r="W108" i="4"/>
  <c r="W146" i="4"/>
  <c r="V125" i="4"/>
  <c r="Y80" i="4"/>
  <c r="W124" i="4"/>
  <c r="W160" i="4" s="1"/>
  <c r="Y98" i="4" l="1"/>
  <c r="Y99" i="4" s="1"/>
  <c r="Y90" i="4"/>
  <c r="Y91" i="4" s="1"/>
  <c r="Y114" i="4"/>
  <c r="Y115" i="4" s="1"/>
  <c r="Y82" i="4"/>
  <c r="Y83" i="4" s="1"/>
  <c r="Y106" i="4"/>
  <c r="Y107" i="4" s="1"/>
  <c r="X116" i="4"/>
  <c r="X147" i="4"/>
  <c r="X100" i="4"/>
  <c r="X145" i="4"/>
  <c r="X92" i="4"/>
  <c r="X144" i="4"/>
  <c r="X84" i="4"/>
  <c r="X143" i="4"/>
  <c r="X108" i="4"/>
  <c r="X146" i="4"/>
  <c r="W125" i="4"/>
  <c r="X124" i="4"/>
  <c r="X160" i="4" s="1"/>
  <c r="Z80" i="4"/>
  <c r="Z90" i="4" l="1"/>
  <c r="Z91" i="4" s="1"/>
  <c r="Z114" i="4"/>
  <c r="Z115" i="4" s="1"/>
  <c r="Z82" i="4"/>
  <c r="Z83" i="4" s="1"/>
  <c r="Z106" i="4"/>
  <c r="Z107" i="4" s="1"/>
  <c r="Z98" i="4"/>
  <c r="Z99" i="4" s="1"/>
  <c r="Y100" i="4"/>
  <c r="Y145" i="4"/>
  <c r="Y116" i="4"/>
  <c r="Y147" i="4"/>
  <c r="Y92" i="4"/>
  <c r="Y144" i="4"/>
  <c r="Y84" i="4"/>
  <c r="Y143" i="4"/>
  <c r="Y108" i="4"/>
  <c r="Y146" i="4"/>
  <c r="X125" i="4"/>
  <c r="AA80" i="4"/>
  <c r="Y124" i="4"/>
  <c r="Y160" i="4" s="1"/>
  <c r="AA90" i="4" l="1"/>
  <c r="AA91" i="4" s="1"/>
  <c r="AA114" i="4"/>
  <c r="AA115" i="4" s="1"/>
  <c r="AA82" i="4"/>
  <c r="AA83" i="4" s="1"/>
  <c r="AA106" i="4"/>
  <c r="AA107" i="4" s="1"/>
  <c r="AA98" i="4"/>
  <c r="AA99" i="4" s="1"/>
  <c r="Z116" i="4"/>
  <c r="Z147" i="4"/>
  <c r="Z100" i="4"/>
  <c r="Z145" i="4"/>
  <c r="Z92" i="4"/>
  <c r="Z144" i="4"/>
  <c r="Z108" i="4"/>
  <c r="Z146" i="4"/>
  <c r="Z84" i="4"/>
  <c r="Z143" i="4"/>
  <c r="Y125" i="4"/>
  <c r="AB80" i="4"/>
  <c r="Z124" i="4"/>
  <c r="Z160" i="4" s="1"/>
  <c r="AB114" i="4" l="1"/>
  <c r="AB115" i="4" s="1"/>
  <c r="AB82" i="4"/>
  <c r="AB83" i="4" s="1"/>
  <c r="AB106" i="4"/>
  <c r="AB107" i="4" s="1"/>
  <c r="AB98" i="4"/>
  <c r="AB99" i="4" s="1"/>
  <c r="AB90" i="4"/>
  <c r="AB91" i="4" s="1"/>
  <c r="AA100" i="4"/>
  <c r="AA145" i="4"/>
  <c r="AA92" i="4"/>
  <c r="AA144" i="4"/>
  <c r="AA84" i="4"/>
  <c r="AA143" i="4"/>
  <c r="AA116" i="4"/>
  <c r="AA147" i="4"/>
  <c r="AA108" i="4"/>
  <c r="AA146" i="4"/>
  <c r="Z125" i="4"/>
  <c r="AC80" i="4"/>
  <c r="AA124" i="4"/>
  <c r="AA160" i="4" s="1"/>
  <c r="AC114" i="4" l="1"/>
  <c r="AC82" i="4"/>
  <c r="AC83" i="4" s="1"/>
  <c r="AC106" i="4"/>
  <c r="AC107" i="4" s="1"/>
  <c r="AC98" i="4"/>
  <c r="AC99" i="4" s="1"/>
  <c r="AC90" i="4"/>
  <c r="AC91" i="4" s="1"/>
  <c r="AB92" i="4"/>
  <c r="AB144" i="4"/>
  <c r="AB84" i="4"/>
  <c r="AB143" i="4"/>
  <c r="AB108" i="4"/>
  <c r="AB146" i="4"/>
  <c r="AB116" i="4"/>
  <c r="AB147" i="4"/>
  <c r="AB100" i="4"/>
  <c r="AB145" i="4"/>
  <c r="AA125" i="4"/>
  <c r="AD80" i="4"/>
  <c r="AC115" i="4"/>
  <c r="AB124" i="4"/>
  <c r="AB160" i="4" s="1"/>
  <c r="AD106" i="4" l="1"/>
  <c r="AD107" i="4" s="1"/>
  <c r="AD98" i="4"/>
  <c r="AD99" i="4" s="1"/>
  <c r="AD90" i="4"/>
  <c r="AD91" i="4" s="1"/>
  <c r="AD114" i="4"/>
  <c r="AD115" i="4" s="1"/>
  <c r="AD82" i="4"/>
  <c r="AD83" i="4" s="1"/>
  <c r="AC92" i="4"/>
  <c r="AC144" i="4"/>
  <c r="AC84" i="4"/>
  <c r="AC143" i="4"/>
  <c r="AC108" i="4"/>
  <c r="AC146" i="4"/>
  <c r="AC100" i="4"/>
  <c r="AC145" i="4"/>
  <c r="AC116" i="4"/>
  <c r="AC147" i="4"/>
  <c r="AB125" i="4"/>
  <c r="AE80" i="4"/>
  <c r="AC124" i="4"/>
  <c r="AC160" i="4" s="1"/>
  <c r="AE106" i="4" l="1"/>
  <c r="AE107" i="4" s="1"/>
  <c r="AE98" i="4"/>
  <c r="AE99" i="4" s="1"/>
  <c r="AE90" i="4"/>
  <c r="AE91" i="4" s="1"/>
  <c r="AE114" i="4"/>
  <c r="AE115" i="4" s="1"/>
  <c r="AE82" i="4"/>
  <c r="AE83" i="4" s="1"/>
  <c r="AD92" i="4"/>
  <c r="AD144" i="4"/>
  <c r="AD116" i="4"/>
  <c r="AD147" i="4"/>
  <c r="AD100" i="4"/>
  <c r="AD145" i="4"/>
  <c r="AD84" i="4"/>
  <c r="AD143" i="4"/>
  <c r="AD108" i="4"/>
  <c r="AD146" i="4"/>
  <c r="AC125" i="4"/>
  <c r="AD124" i="4"/>
  <c r="AD160" i="4" s="1"/>
  <c r="AF80" i="4"/>
  <c r="AF98" i="4" l="1"/>
  <c r="AF99" i="4" s="1"/>
  <c r="AF90" i="4"/>
  <c r="AF91" i="4" s="1"/>
  <c r="AF114" i="4"/>
  <c r="AF115" i="4" s="1"/>
  <c r="AF82" i="4"/>
  <c r="AF83" i="4" s="1"/>
  <c r="AF106" i="4"/>
  <c r="AF107" i="4" s="1"/>
  <c r="AE100" i="4"/>
  <c r="AE145" i="4"/>
  <c r="AE84" i="4"/>
  <c r="AE143" i="4"/>
  <c r="AE92" i="4"/>
  <c r="AE144" i="4"/>
  <c r="AE116" i="4"/>
  <c r="AE147" i="4"/>
  <c r="AE108" i="4"/>
  <c r="AE146" i="4"/>
  <c r="AD125" i="4"/>
  <c r="AG80" i="4"/>
  <c r="AE124" i="4"/>
  <c r="AE160" i="4" s="1"/>
  <c r="AG98" i="4" l="1"/>
  <c r="AG99" i="4" s="1"/>
  <c r="AG90" i="4"/>
  <c r="AG91" i="4" s="1"/>
  <c r="AG114" i="4"/>
  <c r="AG115" i="4" s="1"/>
  <c r="AG82" i="4"/>
  <c r="AG83" i="4" s="1"/>
  <c r="AG106" i="4"/>
  <c r="AG107" i="4" s="1"/>
  <c r="AF100" i="4"/>
  <c r="AF145" i="4"/>
  <c r="AF108" i="4"/>
  <c r="AF146" i="4"/>
  <c r="AF84" i="4"/>
  <c r="AF143" i="4"/>
  <c r="AF116" i="4"/>
  <c r="AF147" i="4"/>
  <c r="AF92" i="4"/>
  <c r="AF144" i="4"/>
  <c r="AE125" i="4"/>
  <c r="AF124" i="4"/>
  <c r="AF160" i="4" s="1"/>
  <c r="AH80" i="4"/>
  <c r="AH90" i="4" l="1"/>
  <c r="AH114" i="4"/>
  <c r="AH115" i="4" s="1"/>
  <c r="AH82" i="4"/>
  <c r="AH83" i="4" s="1"/>
  <c r="AH106" i="4"/>
  <c r="AH107" i="4" s="1"/>
  <c r="AH98" i="4"/>
  <c r="AH99" i="4" s="1"/>
  <c r="AG84" i="4"/>
  <c r="AG143" i="4"/>
  <c r="AG116" i="4"/>
  <c r="AG147" i="4"/>
  <c r="AG100" i="4"/>
  <c r="AG145" i="4"/>
  <c r="AG92" i="4"/>
  <c r="AG144" i="4"/>
  <c r="AG108" i="4"/>
  <c r="AG146" i="4"/>
  <c r="AF125" i="4"/>
  <c r="AI80" i="4"/>
  <c r="AH91" i="4"/>
  <c r="AG124" i="4"/>
  <c r="AG160" i="4" s="1"/>
  <c r="AI90" i="4" l="1"/>
  <c r="AI91" i="4" s="1"/>
  <c r="AI114" i="4"/>
  <c r="AI115" i="4" s="1"/>
  <c r="AI82" i="4"/>
  <c r="AI83" i="4" s="1"/>
  <c r="AI106" i="4"/>
  <c r="AI107" i="4" s="1"/>
  <c r="AI98" i="4"/>
  <c r="AI99" i="4" s="1"/>
  <c r="AH100" i="4"/>
  <c r="AH145" i="4"/>
  <c r="AH108" i="4"/>
  <c r="AH146" i="4"/>
  <c r="AH92" i="4"/>
  <c r="AH144" i="4"/>
  <c r="AH84" i="4"/>
  <c r="AH143" i="4"/>
  <c r="AH116" i="4"/>
  <c r="AH147" i="4"/>
  <c r="AG125" i="4"/>
  <c r="AJ80" i="4"/>
  <c r="AH124" i="4"/>
  <c r="AH160" i="4" s="1"/>
  <c r="AJ114" i="4" l="1"/>
  <c r="AJ115" i="4" s="1"/>
  <c r="AJ82" i="4"/>
  <c r="AJ83" i="4" s="1"/>
  <c r="AJ106" i="4"/>
  <c r="AJ107" i="4" s="1"/>
  <c r="AJ98" i="4"/>
  <c r="AJ99" i="4" s="1"/>
  <c r="AJ90" i="4"/>
  <c r="AJ91" i="4" s="1"/>
  <c r="AI100" i="4"/>
  <c r="AI145" i="4"/>
  <c r="AI116" i="4"/>
  <c r="AI147" i="4"/>
  <c r="AI84" i="4"/>
  <c r="AI143" i="4"/>
  <c r="AI108" i="4"/>
  <c r="AI146" i="4"/>
  <c r="AI92" i="4"/>
  <c r="AI144" i="4"/>
  <c r="AH125" i="4"/>
  <c r="AK80" i="4"/>
  <c r="AI124" i="4"/>
  <c r="AI160" i="4" s="1"/>
  <c r="AK114" i="4" l="1"/>
  <c r="AK115" i="4" s="1"/>
  <c r="AK82" i="4"/>
  <c r="AK83" i="4" s="1"/>
  <c r="AK106" i="4"/>
  <c r="AK107" i="4" s="1"/>
  <c r="AK98" i="4"/>
  <c r="AK99" i="4" s="1"/>
  <c r="AK90" i="4"/>
  <c r="AK91" i="4" s="1"/>
  <c r="AJ116" i="4"/>
  <c r="AJ147" i="4"/>
  <c r="AJ84" i="4"/>
  <c r="AJ143" i="4"/>
  <c r="AJ108" i="4"/>
  <c r="AJ146" i="4"/>
  <c r="AJ92" i="4"/>
  <c r="AJ144" i="4"/>
  <c r="AJ100" i="4"/>
  <c r="AJ145" i="4"/>
  <c r="AI125" i="4"/>
  <c r="AJ124" i="4"/>
  <c r="AJ160" i="4" s="1"/>
  <c r="AL80" i="4"/>
  <c r="AL106" i="4" l="1"/>
  <c r="AL107" i="4" s="1"/>
  <c r="AL98" i="4"/>
  <c r="AL99" i="4" s="1"/>
  <c r="AL90" i="4"/>
  <c r="AL91" i="4" s="1"/>
  <c r="AL114" i="4"/>
  <c r="AL115" i="4" s="1"/>
  <c r="AL82" i="4"/>
  <c r="AL83" i="4" s="1"/>
  <c r="AK116" i="4"/>
  <c r="AK147" i="4"/>
  <c r="AK84" i="4"/>
  <c r="AK143" i="4"/>
  <c r="AK108" i="4"/>
  <c r="AK146" i="4"/>
  <c r="AK100" i="4"/>
  <c r="AK145" i="4"/>
  <c r="AK92" i="4"/>
  <c r="AK144" i="4"/>
  <c r="AJ125" i="4"/>
  <c r="AK124" i="4"/>
  <c r="AK160" i="4" s="1"/>
  <c r="AM80" i="4"/>
  <c r="AM106" i="4" l="1"/>
  <c r="AM107" i="4" s="1"/>
  <c r="AM98" i="4"/>
  <c r="AM99" i="4" s="1"/>
  <c r="AM90" i="4"/>
  <c r="AM91" i="4" s="1"/>
  <c r="AM114" i="4"/>
  <c r="AM115" i="4" s="1"/>
  <c r="AM82" i="4"/>
  <c r="AM83" i="4" s="1"/>
  <c r="AL108" i="4"/>
  <c r="AL146" i="4"/>
  <c r="AL92" i="4"/>
  <c r="AL144" i="4"/>
  <c r="AL84" i="4"/>
  <c r="AL143" i="4"/>
  <c r="AL116" i="4"/>
  <c r="AL147" i="4"/>
  <c r="AL100" i="4"/>
  <c r="AL145" i="4"/>
  <c r="AK125" i="4"/>
  <c r="AN80" i="4"/>
  <c r="AL124" i="4"/>
  <c r="AL160" i="4" s="1"/>
  <c r="AN98" i="4" l="1"/>
  <c r="AN90" i="4"/>
  <c r="AN91" i="4" s="1"/>
  <c r="AN114" i="4"/>
  <c r="AN115" i="4" s="1"/>
  <c r="AN82" i="4"/>
  <c r="AN83" i="4" s="1"/>
  <c r="AN106" i="4"/>
  <c r="AN107" i="4" s="1"/>
  <c r="AM100" i="4"/>
  <c r="AM145" i="4"/>
  <c r="AM84" i="4"/>
  <c r="AM143" i="4"/>
  <c r="AM92" i="4"/>
  <c r="AM144" i="4"/>
  <c r="AM108" i="4"/>
  <c r="AM146" i="4"/>
  <c r="AM116" i="4"/>
  <c r="AM147" i="4"/>
  <c r="AL125" i="4"/>
  <c r="AN99" i="4"/>
  <c r="AO80" i="4"/>
  <c r="AM124" i="4"/>
  <c r="AM160" i="4" s="1"/>
  <c r="AO98" i="4" l="1"/>
  <c r="AO99" i="4" s="1"/>
  <c r="AO90" i="4"/>
  <c r="AO91" i="4" s="1"/>
  <c r="AO114" i="4"/>
  <c r="AO115" i="4" s="1"/>
  <c r="AO82" i="4"/>
  <c r="AO83" i="4" s="1"/>
  <c r="AO106" i="4"/>
  <c r="AO107" i="4" s="1"/>
  <c r="AN100" i="4"/>
  <c r="AN145" i="4"/>
  <c r="AN116" i="4"/>
  <c r="AN147" i="4"/>
  <c r="AN92" i="4"/>
  <c r="AN144" i="4"/>
  <c r="AN84" i="4"/>
  <c r="AN143" i="4"/>
  <c r="AN108" i="4"/>
  <c r="AN146" i="4"/>
  <c r="AM125" i="4"/>
  <c r="AN124" i="4"/>
  <c r="AN160" i="4" s="1"/>
  <c r="AP80" i="4"/>
  <c r="AP90" i="4" l="1"/>
  <c r="AP91" i="4" s="1"/>
  <c r="AP114" i="4"/>
  <c r="AP115" i="4" s="1"/>
  <c r="AP82" i="4"/>
  <c r="AP83" i="4" s="1"/>
  <c r="AP106" i="4"/>
  <c r="AP107" i="4" s="1"/>
  <c r="AP98" i="4"/>
  <c r="AP99" i="4" s="1"/>
  <c r="AO116" i="4"/>
  <c r="AO147" i="4"/>
  <c r="AO108" i="4"/>
  <c r="AO146" i="4"/>
  <c r="AO92" i="4"/>
  <c r="AO144" i="4"/>
  <c r="AO84" i="4"/>
  <c r="AO143" i="4"/>
  <c r="AO100" i="4"/>
  <c r="AO145" i="4"/>
  <c r="AN125" i="4"/>
  <c r="AO124" i="4"/>
  <c r="AO160" i="4" s="1"/>
  <c r="AQ80" i="4"/>
  <c r="AQ90" i="4" l="1"/>
  <c r="AQ91" i="4" s="1"/>
  <c r="AQ114" i="4"/>
  <c r="AQ115" i="4" s="1"/>
  <c r="AQ82" i="4"/>
  <c r="AQ83" i="4" s="1"/>
  <c r="AQ106" i="4"/>
  <c r="AQ107" i="4" s="1"/>
  <c r="AQ98" i="4"/>
  <c r="AQ99" i="4" s="1"/>
  <c r="AP84" i="4"/>
  <c r="AP143" i="4"/>
  <c r="AP92" i="4"/>
  <c r="AP144" i="4"/>
  <c r="AP100" i="4"/>
  <c r="AP145" i="4"/>
  <c r="AP108" i="4"/>
  <c r="AP146" i="4"/>
  <c r="AP116" i="4"/>
  <c r="AP147" i="4"/>
  <c r="AO125" i="4"/>
  <c r="AP124" i="4"/>
  <c r="AP160" i="4" s="1"/>
  <c r="AR80" i="4"/>
  <c r="AR114" i="4" l="1"/>
  <c r="AR115" i="4" s="1"/>
  <c r="AR82" i="4"/>
  <c r="AR83" i="4" s="1"/>
  <c r="AR106" i="4"/>
  <c r="AR107" i="4" s="1"/>
  <c r="AR98" i="4"/>
  <c r="AR99" i="4" s="1"/>
  <c r="AR90" i="4"/>
  <c r="AR91" i="4" s="1"/>
  <c r="AQ92" i="4"/>
  <c r="AQ144" i="4"/>
  <c r="AQ108" i="4"/>
  <c r="AQ146" i="4"/>
  <c r="AQ84" i="4"/>
  <c r="AQ143" i="4"/>
  <c r="AQ116" i="4"/>
  <c r="AQ147" i="4"/>
  <c r="AQ100" i="4"/>
  <c r="AQ145" i="4"/>
  <c r="AP125" i="4"/>
  <c r="AQ124" i="4"/>
  <c r="AQ160" i="4" s="1"/>
  <c r="AS80" i="4"/>
  <c r="AS114" i="4" l="1"/>
  <c r="AS115" i="4" s="1"/>
  <c r="AS82" i="4"/>
  <c r="AS83" i="4" s="1"/>
  <c r="AS106" i="4"/>
  <c r="AS107" i="4" s="1"/>
  <c r="AS98" i="4"/>
  <c r="AS99" i="4" s="1"/>
  <c r="AS90" i="4"/>
  <c r="AS91" i="4" s="1"/>
  <c r="AR100" i="4"/>
  <c r="AR145" i="4"/>
  <c r="AR108" i="4"/>
  <c r="AR146" i="4"/>
  <c r="AR84" i="4"/>
  <c r="AR143" i="4"/>
  <c r="AR92" i="4"/>
  <c r="AR144" i="4"/>
  <c r="AR116" i="4"/>
  <c r="AR147" i="4"/>
  <c r="AQ125" i="4"/>
  <c r="AT80" i="4"/>
  <c r="AR124" i="4"/>
  <c r="AR160" i="4" s="1"/>
  <c r="AT106" i="4" l="1"/>
  <c r="AT107" i="4" s="1"/>
  <c r="AT98" i="4"/>
  <c r="AT99" i="4" s="1"/>
  <c r="AT90" i="4"/>
  <c r="AT91" i="4" s="1"/>
  <c r="AT114" i="4"/>
  <c r="AT115" i="4" s="1"/>
  <c r="AT82" i="4"/>
  <c r="AT83" i="4" s="1"/>
  <c r="AS92" i="4"/>
  <c r="AS144" i="4"/>
  <c r="AS108" i="4"/>
  <c r="AS146" i="4"/>
  <c r="AS100" i="4"/>
  <c r="AS145" i="4"/>
  <c r="AS116" i="4"/>
  <c r="AS147" i="4"/>
  <c r="AS84" i="4"/>
  <c r="AS143" i="4"/>
  <c r="AR125" i="4"/>
  <c r="AU80" i="4"/>
  <c r="AS124" i="4"/>
  <c r="AS160" i="4" s="1"/>
  <c r="AU106" i="4" l="1"/>
  <c r="AU107" i="4" s="1"/>
  <c r="AU98" i="4"/>
  <c r="AU99" i="4" s="1"/>
  <c r="AU90" i="4"/>
  <c r="AU91" i="4" s="1"/>
  <c r="AU114" i="4"/>
  <c r="AU115" i="4" s="1"/>
  <c r="AU82" i="4"/>
  <c r="AU83" i="4" s="1"/>
  <c r="AT100" i="4"/>
  <c r="AT145" i="4"/>
  <c r="AT84" i="4"/>
  <c r="AT143" i="4"/>
  <c r="AT116" i="4"/>
  <c r="AT147" i="4"/>
  <c r="AT92" i="4"/>
  <c r="AT144" i="4"/>
  <c r="AT108" i="4"/>
  <c r="AT146" i="4"/>
  <c r="AS125" i="4"/>
  <c r="AT124" i="4"/>
  <c r="AT160" i="4" s="1"/>
  <c r="AV80" i="4"/>
  <c r="AV98" i="4" l="1"/>
  <c r="AV99" i="4" s="1"/>
  <c r="AV90" i="4"/>
  <c r="AV91" i="4" s="1"/>
  <c r="AV114" i="4"/>
  <c r="AV115" i="4" s="1"/>
  <c r="AV82" i="4"/>
  <c r="AV83" i="4" s="1"/>
  <c r="AV106" i="4"/>
  <c r="AV107" i="4" s="1"/>
  <c r="AU84" i="4"/>
  <c r="AU143" i="4"/>
  <c r="AU116" i="4"/>
  <c r="AU147" i="4"/>
  <c r="AU92" i="4"/>
  <c r="AU144" i="4"/>
  <c r="AU108" i="4"/>
  <c r="AU146" i="4"/>
  <c r="AU100" i="4"/>
  <c r="AU145" i="4"/>
  <c r="AT125" i="4"/>
  <c r="AW80" i="4"/>
  <c r="AU124" i="4"/>
  <c r="AU160" i="4" s="1"/>
  <c r="AW98" i="4" l="1"/>
  <c r="AW90" i="4"/>
  <c r="AW91" i="4" s="1"/>
  <c r="AW114" i="4"/>
  <c r="AW115" i="4" s="1"/>
  <c r="AW82" i="4"/>
  <c r="AW83" i="4" s="1"/>
  <c r="AW106" i="4"/>
  <c r="AW107" i="4" s="1"/>
  <c r="AV116" i="4"/>
  <c r="AV147" i="4"/>
  <c r="AV100" i="4"/>
  <c r="AV145" i="4"/>
  <c r="AV92" i="4"/>
  <c r="AV144" i="4"/>
  <c r="AV108" i="4"/>
  <c r="AV146" i="4"/>
  <c r="AV84" i="4"/>
  <c r="AV143" i="4"/>
  <c r="AU125" i="4"/>
  <c r="AV124" i="4"/>
  <c r="AV160" i="4" s="1"/>
  <c r="AW99" i="4"/>
  <c r="AX80" i="4"/>
  <c r="AX90" i="4" l="1"/>
  <c r="AX91" i="4" s="1"/>
  <c r="AX114" i="4"/>
  <c r="AX115" i="4" s="1"/>
  <c r="AX82" i="4"/>
  <c r="AX83" i="4" s="1"/>
  <c r="AX106" i="4"/>
  <c r="AX107" i="4" s="1"/>
  <c r="AX98" i="4"/>
  <c r="AX99" i="4" s="1"/>
  <c r="AW84" i="4"/>
  <c r="AW143" i="4"/>
  <c r="AW100" i="4"/>
  <c r="AW145" i="4"/>
  <c r="AW116" i="4"/>
  <c r="AW147" i="4"/>
  <c r="AW92" i="4"/>
  <c r="AW144" i="4"/>
  <c r="AW108" i="4"/>
  <c r="AW146" i="4"/>
  <c r="AV125" i="4"/>
  <c r="AY80" i="4"/>
  <c r="AW124" i="4"/>
  <c r="AW160" i="4" s="1"/>
  <c r="AY90" i="4" l="1"/>
  <c r="AY91" i="4" s="1"/>
  <c r="AY114" i="4"/>
  <c r="AY115" i="4" s="1"/>
  <c r="AY82" i="4"/>
  <c r="AY83" i="4" s="1"/>
  <c r="AY106" i="4"/>
  <c r="AY107" i="4" s="1"/>
  <c r="AY98" i="4"/>
  <c r="AY99" i="4" s="1"/>
  <c r="AX108" i="4"/>
  <c r="AX146" i="4"/>
  <c r="AX84" i="4"/>
  <c r="AX143" i="4"/>
  <c r="AX92" i="4"/>
  <c r="AX144" i="4"/>
  <c r="AX116" i="4"/>
  <c r="AX147" i="4"/>
  <c r="AX100" i="4"/>
  <c r="AX145" i="4"/>
  <c r="AW125" i="4"/>
  <c r="AX124" i="4"/>
  <c r="AX160" i="4" s="1"/>
  <c r="AZ80" i="4"/>
  <c r="AZ114" i="4" l="1"/>
  <c r="AZ82" i="4"/>
  <c r="AZ83" i="4" s="1"/>
  <c r="AZ106" i="4"/>
  <c r="AZ107" i="4" s="1"/>
  <c r="AZ98" i="4"/>
  <c r="AZ99" i="4" s="1"/>
  <c r="AZ90" i="4"/>
  <c r="AZ91" i="4" s="1"/>
  <c r="AY100" i="4"/>
  <c r="AY145" i="4"/>
  <c r="AY92" i="4"/>
  <c r="AY144" i="4"/>
  <c r="AY116" i="4"/>
  <c r="AY147" i="4"/>
  <c r="AY108" i="4"/>
  <c r="AY146" i="4"/>
  <c r="AY84" i="4"/>
  <c r="AY143" i="4"/>
  <c r="AX125" i="4"/>
  <c r="BA80" i="4"/>
  <c r="AZ115" i="4"/>
  <c r="AY124" i="4"/>
  <c r="AY160" i="4" s="1"/>
  <c r="BA114" i="4" l="1"/>
  <c r="BA82" i="4"/>
  <c r="BA83" i="4" s="1"/>
  <c r="BA106" i="4"/>
  <c r="BA107" i="4" s="1"/>
  <c r="BA98" i="4"/>
  <c r="BA99" i="4" s="1"/>
  <c r="BA90" i="4"/>
  <c r="BA91" i="4" s="1"/>
  <c r="AZ108" i="4"/>
  <c r="AZ146" i="4"/>
  <c r="AZ100" i="4"/>
  <c r="AZ145" i="4"/>
  <c r="AZ116" i="4"/>
  <c r="AZ147" i="4"/>
  <c r="AZ84" i="4"/>
  <c r="AZ143" i="4"/>
  <c r="AZ92" i="4"/>
  <c r="AZ144" i="4"/>
  <c r="AY125" i="4"/>
  <c r="AZ124" i="4"/>
  <c r="AZ160" i="4" s="1"/>
  <c r="BA115" i="4"/>
  <c r="BB80" i="4"/>
  <c r="BB106" i="4" l="1"/>
  <c r="BB107" i="4" s="1"/>
  <c r="BB146" i="4" s="1"/>
  <c r="BB98" i="4"/>
  <c r="BB99" i="4" s="1"/>
  <c r="BB145" i="4" s="1"/>
  <c r="BB90" i="4"/>
  <c r="BB91" i="4" s="1"/>
  <c r="BB144" i="4" s="1"/>
  <c r="BB114" i="4"/>
  <c r="BB115" i="4" s="1"/>
  <c r="BB147" i="4" s="1"/>
  <c r="BB82" i="4"/>
  <c r="BB83" i="4" s="1"/>
  <c r="BB143" i="4" s="1"/>
  <c r="C143" i="4" s="1"/>
  <c r="BA116" i="4"/>
  <c r="BA147" i="4"/>
  <c r="BA84" i="4"/>
  <c r="BA143" i="4"/>
  <c r="BA108" i="4"/>
  <c r="BA146" i="4"/>
  <c r="BA92" i="4"/>
  <c r="BA144" i="4"/>
  <c r="BA100" i="4"/>
  <c r="BA145" i="4"/>
  <c r="AZ125" i="4"/>
  <c r="BA124" i="4"/>
  <c r="BA160" i="4" s="1"/>
  <c r="C144" i="4" l="1"/>
  <c r="C146" i="4"/>
  <c r="C147" i="4"/>
  <c r="C145" i="4"/>
  <c r="BB84" i="4"/>
  <c r="C85" i="4" s="1"/>
  <c r="BA125" i="4"/>
  <c r="BB116" i="4"/>
  <c r="C117" i="4" s="1"/>
  <c r="BB108" i="4"/>
  <c r="C109" i="4" s="1"/>
  <c r="BB100" i="4"/>
  <c r="C101" i="4" s="1"/>
  <c r="BB92" i="4"/>
  <c r="C93" i="4" s="1"/>
  <c r="BB124" i="4"/>
  <c r="BB160" i="4" s="1"/>
  <c r="BB125" i="4" l="1"/>
  <c r="C160" i="4" s="1"/>
  <c r="C126" i="4" l="1"/>
  <c r="F32" i="5"/>
  <c r="F34" i="5" s="1"/>
  <c r="C43" i="5" s="1"/>
  <c r="C35" i="5" l="1" a="1"/>
  <c r="C35" i="5" s="1"/>
  <c r="C39" i="5" s="1"/>
  <c r="D39" i="5" l="1"/>
  <c r="C60" i="5"/>
  <c r="D60" i="5" s="1"/>
  <c r="E60" i="5" s="1"/>
  <c r="C43" i="9" s="1"/>
  <c r="F56" i="5"/>
  <c r="C62" i="5" s="1" a="1"/>
  <c r="C62" i="5" s="1"/>
  <c r="D43" i="5"/>
  <c r="C47" i="9" s="1"/>
  <c r="D62" i="5" l="1"/>
  <c r="E62" i="5" s="1"/>
  <c r="C5" i="6" s="1"/>
  <c r="C29" i="9"/>
  <c r="C21" i="6" l="1"/>
  <c r="C17" i="6"/>
  <c r="C20" i="6"/>
  <c r="C19" i="6"/>
  <c r="C18" i="6"/>
  <c r="G30" i="6" l="1"/>
  <c r="H30" i="6"/>
  <c r="D30" i="6"/>
  <c r="F30" i="6"/>
  <c r="E30" i="6"/>
  <c r="E29" i="6"/>
  <c r="G29" i="6"/>
  <c r="F29" i="6"/>
  <c r="D29" i="6"/>
  <c r="H29" i="6"/>
  <c r="H27" i="6"/>
  <c r="D27" i="6"/>
  <c r="E27" i="6"/>
  <c r="C22" i="6"/>
  <c r="F27" i="6"/>
  <c r="G27" i="6"/>
  <c r="G28" i="6"/>
  <c r="F28" i="6"/>
  <c r="D28" i="6"/>
  <c r="E28" i="6"/>
  <c r="H28" i="6"/>
  <c r="G31" i="6"/>
  <c r="E31" i="6"/>
  <c r="D31" i="6"/>
  <c r="H31" i="6"/>
  <c r="F31" i="6"/>
  <c r="F32" i="6" l="1"/>
  <c r="F34" i="6" s="1"/>
  <c r="F36" i="6" s="1"/>
  <c r="E32" i="6"/>
  <c r="E34" i="6" s="1"/>
  <c r="E36" i="6" s="1"/>
  <c r="D32" i="6"/>
  <c r="D34" i="6" s="1"/>
  <c r="D36" i="6" s="1"/>
  <c r="H32" i="6"/>
  <c r="H34" i="6" s="1"/>
  <c r="H36" i="6" s="1"/>
  <c r="G32" i="6"/>
  <c r="G34" i="6" s="1"/>
  <c r="G36" i="6" s="1"/>
  <c r="C39" i="6" l="1"/>
  <c r="C12" i="9" s="1"/>
  <c r="C53" i="22"/>
  <c r="B6" i="5" s="1"/>
  <c r="C49" i="22"/>
  <c r="B51" i="22"/>
  <c r="C50" i="22"/>
  <c r="B4" i="28" s="1"/>
  <c r="C52" i="22"/>
  <c r="B7" i="3" s="1"/>
  <c r="B52" i="22"/>
  <c r="B49" i="22"/>
  <c r="B50" i="22"/>
  <c r="C30" i="22"/>
  <c r="C45" i="22"/>
  <c r="B74" i="22"/>
  <c r="C40" i="22"/>
  <c r="B38" i="22"/>
  <c r="B20" i="22"/>
  <c r="C71" i="22"/>
  <c r="B12" i="22"/>
  <c r="B62" i="22"/>
  <c r="B59" i="22"/>
  <c r="D24" i="22"/>
  <c r="E5" i="18"/>
  <c r="B53" i="22"/>
  <c r="B36" i="22"/>
  <c r="F5" i="18"/>
  <c r="D30" i="22"/>
  <c r="B45" i="22"/>
  <c r="B10" i="22"/>
  <c r="D26" i="22"/>
  <c r="D28" i="22"/>
  <c r="B22" i="22"/>
  <c r="B40" i="22"/>
  <c r="G5" i="18"/>
  <c r="C28" i="22"/>
  <c r="C72" i="22"/>
  <c r="B30" i="22"/>
  <c r="B32" i="22"/>
  <c r="D32" i="22"/>
  <c r="B76" i="22"/>
  <c r="B26" i="22"/>
  <c r="C41" i="22"/>
  <c r="B5" i="18"/>
  <c r="B1" i="18"/>
  <c r="C24" i="22"/>
  <c r="C76" i="22"/>
  <c r="B16" i="22"/>
  <c r="B7" i="22"/>
  <c r="B60" i="22"/>
  <c r="B28" i="22"/>
  <c r="B72" i="22"/>
  <c r="C22" i="22"/>
  <c r="B63" i="22"/>
  <c r="B58" i="22"/>
  <c r="C32" i="22"/>
  <c r="D20" i="22"/>
  <c r="B75" i="22"/>
  <c r="B44" i="22"/>
  <c r="C20" i="22"/>
  <c r="B13" i="22"/>
  <c r="B8" i="22"/>
  <c r="B47" i="22"/>
  <c r="B24" i="22"/>
  <c r="C26" i="22"/>
  <c r="C75" i="22"/>
  <c r="B1" i="22"/>
  <c r="C51" i="22"/>
  <c r="C42" i="22"/>
  <c r="D5" i="18"/>
  <c r="B5" i="22"/>
  <c r="B9" i="22"/>
  <c r="B41" i="22"/>
  <c r="B42" i="22"/>
  <c r="B56" i="22"/>
  <c r="D22" i="22"/>
  <c r="B71" i="22"/>
  <c r="C44" i="22"/>
  <c r="B11" i="22"/>
  <c r="B255" i="20" l="1"/>
  <c r="B261" i="20"/>
  <c r="B264" i="20"/>
  <c r="B252" i="20"/>
  <c r="B258" i="20"/>
  <c r="B263" i="20"/>
  <c r="B254" i="20"/>
  <c r="B260" i="20"/>
  <c r="B266" i="20"/>
  <c r="B257" i="20"/>
  <c r="B262" i="20"/>
  <c r="B253" i="20"/>
  <c r="B259" i="20"/>
  <c r="B256" i="20"/>
  <c r="B265" i="20"/>
  <c r="F8" i="49"/>
  <c r="F8" i="48"/>
  <c r="F8" i="47"/>
  <c r="F8" i="45"/>
  <c r="F8" i="46"/>
  <c r="F8" i="43"/>
  <c r="F8" i="44"/>
  <c r="F8" i="42"/>
  <c r="F8" i="40"/>
  <c r="F8" i="41"/>
  <c r="F8" i="39"/>
  <c r="F8" i="38"/>
  <c r="F8" i="37"/>
  <c r="F8" i="36"/>
  <c r="C52" i="3"/>
  <c r="C137" i="32"/>
  <c r="D34" i="3"/>
  <c r="C54" i="32"/>
  <c r="C104" i="32"/>
  <c r="B4" i="32"/>
  <c r="C17" i="32"/>
  <c r="C21" i="32" s="1"/>
  <c r="C15" i="32"/>
  <c r="C23" i="32" s="1"/>
  <c r="C4" i="35"/>
  <c r="C30" i="32"/>
  <c r="C56" i="3"/>
  <c r="B8" i="6"/>
  <c r="C16" i="32"/>
  <c r="C14" i="32"/>
  <c r="F8" i="24"/>
  <c r="C64" i="3"/>
  <c r="C25" i="17"/>
  <c r="C6" i="17"/>
  <c r="C19" i="32" l="1"/>
  <c r="C25" i="32"/>
  <c r="C20" i="32"/>
  <c r="C24" i="32"/>
  <c r="C18" i="32"/>
  <c r="C2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tc={E3ADA961-5117-4FD3-9469-0B0F51D303D0}</author>
  </authors>
  <commentList>
    <comment ref="B15" authorId="0" shapeId="0" xr:uid="{E3ADA961-5117-4FD3-9469-0B0F51D303D0}">
      <text>
        <t>[Threaded comment]
Your version of Excel allows you to read this threaded comment; however, any edits to it will get removed if the file is opened in a newer version of Excel. Learn more: https://go.microsoft.com/fwlink/?linkid=870924
Comment:
    Feuille caché
Blatt versteckt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<sst xmlns="http://schemas.openxmlformats.org/spreadsheetml/2006/main" count="13721" uniqueCount="2148">
  <si>
    <t>Produktegruppen (PG) / Geschlecht</t>
  </si>
  <si>
    <t>Prämien-Cashflows</t>
  </si>
  <si>
    <t>Entwicklungsjahr</t>
  </si>
  <si>
    <t>Stationäre Produkte: Halbprivat, Privat, Flex / M</t>
  </si>
  <si>
    <t>Undiskontierter Cashflow (in CHF)</t>
  </si>
  <si>
    <t>Stationäre Produkte: Halbprivat, Privat, Flex / F</t>
  </si>
  <si>
    <t>Prämien Total:</t>
  </si>
  <si>
    <t>Diskontierter Cashflow (in CHF)</t>
  </si>
  <si>
    <t>Übrige Stationäre Produkte: Allgemein, Spitaltaggeld, etc. / M</t>
  </si>
  <si>
    <t>Übrige Stationäre Produkte: Allgemein, Spitaltaggeld, etc. / F</t>
  </si>
  <si>
    <t>Ambulante Produkte / M</t>
  </si>
  <si>
    <t>Ambulante Produkte / F</t>
  </si>
  <si>
    <t>Langzeitpflege / M</t>
  </si>
  <si>
    <t>Langzeitpflege / F</t>
  </si>
  <si>
    <t>Einzeltagegeld / M</t>
  </si>
  <si>
    <t>Einzeltagegeld / F</t>
  </si>
  <si>
    <t>Prämien - Alle Produktegruppen</t>
  </si>
  <si>
    <t>Leistungs-Cashflows inkl. Verwaltungskosten</t>
  </si>
  <si>
    <t>Leistungen + Verwaltungskosten Total:</t>
  </si>
  <si>
    <t>Leistungen + Verwaltungskosten - Alle Produktegruppen</t>
  </si>
  <si>
    <t>Schaden-Kosten-Satz</t>
  </si>
  <si>
    <t>Jahr bis zum Cap</t>
  </si>
  <si>
    <t>Gesamt ohne Prämien-Cap</t>
  </si>
  <si>
    <t>Prämien inkl. Cap</t>
  </si>
  <si>
    <t>Gesamt inkl. Prämien-Cap</t>
  </si>
  <si>
    <t>PG 2: Übrige Stationäre Produkte: Allgemein, Spitaltaggeld, etc.</t>
  </si>
  <si>
    <t>PG 3: Ambulante Produkte</t>
  </si>
  <si>
    <t>PG 4: Langzeitpflege</t>
  </si>
  <si>
    <t>PG 5: Einzeltagegeld</t>
  </si>
  <si>
    <t>Alle Produktegruppen</t>
  </si>
  <si>
    <t>Alpha</t>
  </si>
  <si>
    <t>CHF</t>
  </si>
  <si>
    <t>Kommentar</t>
  </si>
  <si>
    <t>Konvention: Leistungen ≥ 0</t>
  </si>
  <si>
    <t>Konvention: Prämien ≥ 0</t>
  </si>
  <si>
    <t>LZV (CHF)</t>
  </si>
  <si>
    <t>Best-Estimate der LZV (CHF)</t>
  </si>
  <si>
    <t>LZV (ohne Prämien-Cap) (CHF)</t>
  </si>
  <si>
    <t>Stationäre Produkte: Halbprivat / M</t>
  </si>
  <si>
    <t>Stationäre Produkte: Halbprivat / F</t>
  </si>
  <si>
    <t>Stationäre Produkte: Privat / M</t>
  </si>
  <si>
    <t>Stationäre Produkte: Privat / F</t>
  </si>
  <si>
    <t>Stationäre Produkte: Flex / M</t>
  </si>
  <si>
    <t>Stationäre Produkte: Flex / F</t>
  </si>
  <si>
    <t>CY</t>
  </si>
  <si>
    <t>HE_LZV_CF</t>
  </si>
  <si>
    <t>PG 1: Stationäre Produkte: Halbprivat, Privat, Flex</t>
  </si>
  <si>
    <t>HE_CV_Leistungen</t>
  </si>
  <si>
    <t>Intro_SM_Health</t>
  </si>
  <si>
    <t>PG4 - Soins de longue durée</t>
  </si>
  <si>
    <t>PG5 - Assurance individuelle d'indemnités journalières</t>
  </si>
  <si>
    <t>Introduction</t>
  </si>
  <si>
    <t>Suffixe pour le titre (facultatif, en général blanc)</t>
  </si>
  <si>
    <t>Monnaie du SST</t>
  </si>
  <si>
    <t>Sprache auswählen; Choisir la langue</t>
  </si>
  <si>
    <t>données</t>
  </si>
  <si>
    <t>paramètres</t>
  </si>
  <si>
    <t>entrée</t>
  </si>
  <si>
    <t xml:space="preserve">Seuil de prime par âge d'entrée </t>
  </si>
  <si>
    <t>Seuil de prestations invariantes par âge</t>
  </si>
  <si>
    <t>Seuil de frais invariants par âge</t>
  </si>
  <si>
    <t>Dénomination complémentaire</t>
  </si>
  <si>
    <t>A utiliser si le nom du produit apparait plusieurs fois, sinon facultatif (p.ex. "semi-privé")</t>
  </si>
  <si>
    <t>Feuilles que la société d'assurance doit compléter.</t>
  </si>
  <si>
    <t>Feuilles avec informations, paramètres ou calculs. En principe ces feuilles ne doivent pas être modifiées.</t>
  </si>
  <si>
    <t>Champs d'entrée: dans ces cellules les données spécifiques à la société d'assurance doivent être entrées.</t>
  </si>
  <si>
    <t>lien</t>
  </si>
  <si>
    <t>signe positif pour cash flow entrant</t>
  </si>
  <si>
    <t>prestations</t>
  </si>
  <si>
    <t>primes</t>
  </si>
  <si>
    <t>signe positif pour cash flow sortant</t>
  </si>
  <si>
    <t>frais</t>
  </si>
  <si>
    <t>EVI</t>
  </si>
  <si>
    <t>Etape 1</t>
  </si>
  <si>
    <t>Noms référencés dans les formules</t>
  </si>
  <si>
    <t>échéance (en années)</t>
  </si>
  <si>
    <t xml:space="preserve">Facteurs d'actualisation </t>
  </si>
  <si>
    <t>fonction d'actualisation d(t) = (1+r(t)/100)^(-t)</t>
  </si>
  <si>
    <t>primes - prestations - frais</t>
  </si>
  <si>
    <t>signe positif si profit, négatif si perte</t>
  </si>
  <si>
    <t>Dénomination du CG</t>
  </si>
  <si>
    <t>Groupe de produits (PG)</t>
  </si>
  <si>
    <t>écraser les valeurs par défaut si besoin</t>
  </si>
  <si>
    <t>oui</t>
  </si>
  <si>
    <t>non</t>
  </si>
  <si>
    <t>Champs notables souvent reliés aux informations spécifiques à la société d'assurance pour emploi dans d'autres calculs.</t>
  </si>
  <si>
    <t>config et LZV_Result</t>
  </si>
  <si>
    <t>Selon les 5 groupes de produits standard</t>
  </si>
  <si>
    <t>Groupe de contrats (CG)</t>
  </si>
  <si>
    <t>PG1 - Soins stationnaires semi-privés, privés et flex</t>
  </si>
  <si>
    <t>PG3 - Soins ambulatoires</t>
  </si>
  <si>
    <t>PG2 - Autres produits de soins stationnaires</t>
  </si>
  <si>
    <t>Classe d'âge seuil à partir de laquelle les prestations attendues par âge sont supposées être comme à ce seuil; par défaut 110</t>
  </si>
  <si>
    <t>Classe d'âge seuil à partir de laquelle les frais attendus par âge sont supposés être comme à ce seuil; par défaut 110</t>
  </si>
  <si>
    <t>Table source hommes</t>
  </si>
  <si>
    <t>Table source femmes</t>
  </si>
  <si>
    <t>Table de base résultante</t>
  </si>
  <si>
    <t>Facteur correctif de la mortalité OFS, par sexe</t>
  </si>
  <si>
    <t>Groupes de produits (PG)</t>
  </si>
  <si>
    <t>Année(s) prise(s) en compte</t>
  </si>
  <si>
    <t>hommes</t>
  </si>
  <si>
    <t>femmes</t>
  </si>
  <si>
    <t xml:space="preserve">Mortalité OFS attendue durant CY  </t>
  </si>
  <si>
    <t>Nombre d'années jusqu'à CY</t>
  </si>
  <si>
    <t>Années précédentes (PY) prises en compte pour les estimations des prestations de l'année actuelle (CY)</t>
  </si>
  <si>
    <t>Années retenues</t>
  </si>
  <si>
    <t>Indicateur oui/non</t>
  </si>
  <si>
    <t>Classe d'âge</t>
  </si>
  <si>
    <t>Indice i de la classe d'âge; i=x+1</t>
  </si>
  <si>
    <t>Tables de mortalité périodique de l'Office fédéral de la statistique (OFS)</t>
  </si>
  <si>
    <t xml:space="preserve"> cf. table de mortalité ci-dessous basée sur les données OFS </t>
  </si>
  <si>
    <t>Mortalité CY</t>
  </si>
  <si>
    <t>Mortalité et résiliations CY</t>
  </si>
  <si>
    <t>Facteur de pondération pour l'effectif moyen</t>
  </si>
  <si>
    <t>début de la période</t>
  </si>
  <si>
    <t>fin de la période</t>
  </si>
  <si>
    <t>ShNameSoll</t>
  </si>
  <si>
    <t>Données pour les primes attendues CY</t>
  </si>
  <si>
    <t>Dénomination de l'onglet</t>
  </si>
  <si>
    <t>Dénomination de la cellule A1 de la feuille</t>
  </si>
  <si>
    <t>Données pour les frais attendus CY</t>
  </si>
  <si>
    <t>Données pour l'effectif moyen CY et les effectifs moyens des années postérieures</t>
  </si>
  <si>
    <t>Indice i de la classe d'âge;  i = x+1</t>
  </si>
  <si>
    <t xml:space="preserve">Total </t>
  </si>
  <si>
    <t xml:space="preserve">Données pour ajustements CY </t>
  </si>
  <si>
    <t>CY, facteur pour défaut de primes</t>
  </si>
  <si>
    <t>Classe d'âge seuil à partir de laquelle la prime est supposée  par âge d'entrée; par défaut 110, i.e. prime par âge réel</t>
  </si>
  <si>
    <t>Année PY, inflation annuelle non structurelle des prestations pour ajustement CY</t>
  </si>
  <si>
    <t>Feuille correspondante pour les données par âge et sexe</t>
  </si>
  <si>
    <t>Paramètres pour le plafonnement des primes</t>
  </si>
  <si>
    <t>Taux Combined Ratio minimal</t>
  </si>
  <si>
    <t>Année à partir de laquelle ce taux s'applique</t>
  </si>
  <si>
    <t>Par défaut "oui"; "non" pour  taux sur les années prises ensemble</t>
  </si>
  <si>
    <t>Taux par année</t>
  </si>
  <si>
    <t>Par défaut 90%</t>
  </si>
  <si>
    <t>Nom du produit</t>
  </si>
  <si>
    <t>Dénomination identique à celle visée par la FINMA pour l'approbation des primes dans EHP. Le même nom de produit peut apparaitre à plusieurs lignes si plusieurs CG sont concernés par le même produit</t>
  </si>
  <si>
    <t>Produits déterminants pour le calcul des EVI</t>
  </si>
  <si>
    <t xml:space="preserve">Indication des produits formant les CG </t>
  </si>
  <si>
    <t>Scénario AS</t>
  </si>
  <si>
    <t>Taux de résiliation du scénario anti-sélection (AS)</t>
  </si>
  <si>
    <t>Ecart du taux prévu pour l'année 1 (CY), taux retenu pour les années 2 et suivantes</t>
  </si>
  <si>
    <t>Total</t>
  </si>
  <si>
    <t>PG1</t>
  </si>
  <si>
    <t>PG2</t>
  </si>
  <si>
    <t>PG3</t>
  </si>
  <si>
    <t>PG4</t>
  </si>
  <si>
    <t>PG5</t>
  </si>
  <si>
    <t>Kosten</t>
  </si>
  <si>
    <t xml:space="preserve">Caractéristiques du CG pour le calcul </t>
  </si>
  <si>
    <t>Caractéristiques des groupes de contrats (CG)</t>
  </si>
  <si>
    <t>Caractéristiques selon le groupe d'âge et le sexe</t>
  </si>
  <si>
    <t>Classe d'âge x = âge au 31.12.CY = année CY - année de naissance</t>
  </si>
  <si>
    <t xml:space="preserve">Année de naissance </t>
  </si>
  <si>
    <t>Deutsch</t>
  </si>
  <si>
    <t>Français</t>
  </si>
  <si>
    <t>T.01.01</t>
  </si>
  <si>
    <t>T.01.02</t>
  </si>
  <si>
    <t>T.01.03</t>
  </si>
  <si>
    <t>T.01.04</t>
  </si>
  <si>
    <t>T.01.05</t>
  </si>
  <si>
    <t>T.01.06</t>
  </si>
  <si>
    <t>T.01.07</t>
  </si>
  <si>
    <t>T.01.08</t>
  </si>
  <si>
    <t>T.01.09</t>
  </si>
  <si>
    <t>Personne de contact</t>
  </si>
  <si>
    <t>T.01.10</t>
  </si>
  <si>
    <t>T.01.11</t>
  </si>
  <si>
    <t>T.01.12</t>
  </si>
  <si>
    <t>T.01.13</t>
  </si>
  <si>
    <t>T.01.14</t>
  </si>
  <si>
    <t>T.01.15</t>
  </si>
  <si>
    <t>T.01.16</t>
  </si>
  <si>
    <t>T.01.17</t>
  </si>
  <si>
    <t>T.01.18</t>
  </si>
  <si>
    <t>T.01.19</t>
  </si>
  <si>
    <t>T.01.20</t>
  </si>
  <si>
    <t>T.01.21</t>
  </si>
  <si>
    <t>Allgemeine Begriffe</t>
  </si>
  <si>
    <t>Termes généraux</t>
  </si>
  <si>
    <t>Explications</t>
  </si>
  <si>
    <t>Résultat d'assurance attendu</t>
  </si>
  <si>
    <t>MVM Maladie</t>
  </si>
  <si>
    <t>Coefficient de variation</t>
  </si>
  <si>
    <t>dont mortalité (expected shortfall)</t>
  </si>
  <si>
    <t>dont résiliations (expected shortfall)</t>
  </si>
  <si>
    <t>dont frais d’administration (expected shortfall)</t>
  </si>
  <si>
    <t>dont prestations (expected shortfall)</t>
  </si>
  <si>
    <t xml:space="preserve">Maladie individuelle: nombre d’assurés (décompte des têtes)  </t>
  </si>
  <si>
    <t>Collective indemnités journalières: primes attendues (avant réassurance)</t>
  </si>
  <si>
    <t>Collective Indemnités journalières: prestations attendues (avant réassurance)</t>
  </si>
  <si>
    <t>Mortalité (q)</t>
  </si>
  <si>
    <t>HE_prescribed_parameters</t>
  </si>
  <si>
    <t>HE_update</t>
  </si>
  <si>
    <t>HE_glossary</t>
  </si>
  <si>
    <t>HE_calculation_documentation</t>
  </si>
  <si>
    <t>HE_input_VWK</t>
  </si>
  <si>
    <t>HE_contract_groups</t>
  </si>
  <si>
    <t>HE_ins_risk_EK</t>
  </si>
  <si>
    <t>HE_ins_risk_KTG</t>
  </si>
  <si>
    <t>HE_expected_result</t>
  </si>
  <si>
    <t>Maladie LCA: Introduction</t>
  </si>
  <si>
    <t xml:space="preserve">  - Le modèle de risques d'assurance-maladie (entrées et calculs en partie automatisés)</t>
  </si>
  <si>
    <t xml:space="preserve">  - Les entrées pour le SST-Template issues de l'assurance-maladie</t>
  </si>
  <si>
    <t xml:space="preserve">Les modifications par rapport aux versions précédentes se trouvent à la feuille "HE_update". </t>
  </si>
  <si>
    <t>Nom de la société</t>
  </si>
  <si>
    <t>Année actuelle (CY) du calcul SST</t>
  </si>
  <si>
    <t>Informations relatives au calcul SST actuel</t>
  </si>
  <si>
    <t>E-mail</t>
  </si>
  <si>
    <t>Ce template couvre:</t>
  </si>
  <si>
    <t>Feuilles et leur but</t>
  </si>
  <si>
    <t>Etape 5</t>
  </si>
  <si>
    <t>Conventions</t>
  </si>
  <si>
    <t>Code de couleurs</t>
  </si>
  <si>
    <t>Convention de signes</t>
  </si>
  <si>
    <t>Groupes et sous-groupes de produits</t>
  </si>
  <si>
    <t>PG1.1 - Soins stationnaires semi-privés</t>
  </si>
  <si>
    <t>PG1.2 - Soins stationnaires privés</t>
  </si>
  <si>
    <t>PG1.3 - Soins stationnaires flex</t>
  </si>
  <si>
    <t>Années précédentes prises en compte pour les estimations des taux de frais administratifs</t>
  </si>
  <si>
    <t>Paramètres pour le modèle de risques</t>
  </si>
  <si>
    <t xml:space="preserve">http://www.biomedcentral.com/1471-2288/14/135 </t>
  </si>
  <si>
    <t>Sous-groupes de produits et types de tarification</t>
  </si>
  <si>
    <t>q</t>
  </si>
  <si>
    <t>s</t>
  </si>
  <si>
    <t>k</t>
  </si>
  <si>
    <t>l</t>
  </si>
  <si>
    <t>Sensibliltés delta (risque des années futures FY)</t>
  </si>
  <si>
    <t>Paramètres de risque en assurance collective d'indemnités journalières (CIJ)</t>
  </si>
  <si>
    <t>Scénario CIJ - probabilité de survenance</t>
  </si>
  <si>
    <t>Matrice de corrélation des branches MI et CIJ</t>
  </si>
  <si>
    <t>MI</t>
  </si>
  <si>
    <t>CIJ</t>
  </si>
  <si>
    <t xml:space="preserve">Taux CoC </t>
  </si>
  <si>
    <t>Maladie LCA: paramètres prescrits par la FINMA</t>
  </si>
  <si>
    <t>No</t>
  </si>
  <si>
    <t>Date</t>
  </si>
  <si>
    <t>Feuille</t>
  </si>
  <si>
    <t>Cellules</t>
  </si>
  <si>
    <t>Kranken VVG: Einführung</t>
  </si>
  <si>
    <t>Kranken VVG: Aktualisierungsliste</t>
  </si>
  <si>
    <t>Maladie LCA: Liste des mises à jour</t>
  </si>
  <si>
    <t>Kranken VVG: FINMA vorgegebene Parameter</t>
  </si>
  <si>
    <t>Maladie LCA: Documentation du calcul</t>
  </si>
  <si>
    <t>Feuille anciennement nommée "Update"</t>
  </si>
  <si>
    <t>Nouvelle feuille destinée à présenter le template dans la langue choisie (allemand ou français)</t>
  </si>
  <si>
    <t>Toutes les feuilles</t>
  </si>
  <si>
    <t>Maladie LCA: Taux de frais administratifs</t>
  </si>
  <si>
    <t>Maladie LCA: Groupes de contrats déterminants pour les cash flows</t>
  </si>
  <si>
    <t>Kranken VVG: Langzeitverpflichtungen und Cashflows - Einzelkranken - "Classic 2023"</t>
  </si>
  <si>
    <t>Maladie LCA: Cash flows pour le calcul des engagements viagers</t>
  </si>
  <si>
    <t>HE_LZV_CF_(classic)</t>
  </si>
  <si>
    <t>Maladie LCA: Coefficient de variation des prestations</t>
  </si>
  <si>
    <t>Maladie LCA: Risques d'assurance de la branche assurance-maladie individuelle (MI)</t>
  </si>
  <si>
    <t>Maladie LCA: Risques d'assurance de la branche assurance collective d'indemnités journalières (CIJ)</t>
  </si>
  <si>
    <t xml:space="preserve">Matrice de corrélation des facteurs de risque en assurance-maladie individuelle (MI) </t>
  </si>
  <si>
    <t>Maladie LCA: Résultat d'assurance attendu</t>
  </si>
  <si>
    <t>HE_input_SST_Template</t>
  </si>
  <si>
    <t>HE_MVM</t>
  </si>
  <si>
    <t>Maladie LCA: Montant minimum (MVM)</t>
  </si>
  <si>
    <t>HE_CGx</t>
  </si>
  <si>
    <t>15.x</t>
  </si>
  <si>
    <t>Classe d'âge x = année concernée - année de naissance</t>
  </si>
  <si>
    <t>No pour les feuilles d'inputs par groupe d'âge et sexe</t>
  </si>
  <si>
    <t>Sous-groupe de produits (SPG) et type de tarification (TT)</t>
  </si>
  <si>
    <t>No du PG</t>
  </si>
  <si>
    <t>Spécification complémentaire du CG</t>
  </si>
  <si>
    <t>Identificateur du CG</t>
  </si>
  <si>
    <t>No du SPG</t>
  </si>
  <si>
    <t>No du TT</t>
  </si>
  <si>
    <t>No compl.</t>
  </si>
  <si>
    <t>Sous-groupe  standard de produit cas échéant, et type de tarification</t>
  </si>
  <si>
    <t>Par défaut égal au numéro du groupe de produits.</t>
  </si>
  <si>
    <t>A remplir si les spécifications précédentes ne sont pas suffisantes; ne pas utiliser de charactères spéciaux ni de points</t>
  </si>
  <si>
    <t>Résiliations (s)</t>
  </si>
  <si>
    <t>Frais (k)</t>
  </si>
  <si>
    <t>Prestations (l)</t>
  </si>
  <si>
    <t>Groupes de contrats déterminants pour les cash flows des engagements viagers (EVI)</t>
  </si>
  <si>
    <t>315200100 Frais de gestion</t>
  </si>
  <si>
    <t>Effectif des risques</t>
  </si>
  <si>
    <t>1re étape : Frais de gestion– limités aux cinq groupes de produits (PG)</t>
  </si>
  <si>
    <t>2e étape : Informations sur les risques en portefeuille – limités aux cinq groupes de produits et répartis entre eux</t>
  </si>
  <si>
    <t>Part du total</t>
  </si>
  <si>
    <t>Prestations, en CHF</t>
  </si>
  <si>
    <t>Total des cinq groupes de produit</t>
  </si>
  <si>
    <t>4e étape : Répartition des frais de gestion corrigés sur les cinq groupes de produits</t>
  </si>
  <si>
    <t>3e étape : Informations sur les données de prestations – limitées aux cinq groupes de produits et réparties entre eux</t>
  </si>
  <si>
    <t>Répartition selon l'effectif des risques</t>
  </si>
  <si>
    <t>Répartition selon les prestations</t>
  </si>
  <si>
    <t>Best estimate par groupe de produit</t>
  </si>
  <si>
    <t>5e étape : Taux de frais par groupe de produits</t>
  </si>
  <si>
    <t>Primes par groupe de produit</t>
  </si>
  <si>
    <t>Taux de frais par groupe de produit pour le calcul des EVI</t>
  </si>
  <si>
    <t xml:space="preserve">Taux de frais par groupe de produit par année </t>
  </si>
  <si>
    <t>en CHF</t>
  </si>
  <si>
    <t>PG No.</t>
  </si>
  <si>
    <t>SPG No.</t>
  </si>
  <si>
    <t>TT No.</t>
  </si>
  <si>
    <t>Other No.</t>
  </si>
  <si>
    <t>CG No.</t>
  </si>
  <si>
    <t>CG Id.</t>
  </si>
  <si>
    <t>CG Label</t>
  </si>
  <si>
    <t>Cost Rate</t>
  </si>
  <si>
    <t>Mode d'emploi</t>
  </si>
  <si>
    <t>.0.1 - âge réel</t>
  </si>
  <si>
    <t>.1.1 - semi-privé, âge réel</t>
  </si>
  <si>
    <t>.2.1 - privé, âge réel</t>
  </si>
  <si>
    <t>.3.1 - flex, âge réel</t>
  </si>
  <si>
    <t>.0.2 - âge d'entrée</t>
  </si>
  <si>
    <t>.1.2 - semi-privé, âge d'entrée</t>
  </si>
  <si>
    <t>.2.2 - privé, âge d'entrée</t>
  </si>
  <si>
    <t>.3.2 - flex, âge d'entrée</t>
  </si>
  <si>
    <t>âge réel</t>
  </si>
  <si>
    <t>âge d'entrée</t>
  </si>
  <si>
    <t>Taux de résiliations attendues durant CY, par groupe et sous-groupe de produits (tarification par âge réel)</t>
  </si>
  <si>
    <t>Taux de résiliations attendues durant CY, par groupe et sous-groupe de produits (tarification par âge d'entrée)</t>
  </si>
  <si>
    <t>Année de traitement</t>
  </si>
  <si>
    <t>Frais de gestion corrigés, diminués de 5%</t>
  </si>
  <si>
    <t>PGSPGTT No</t>
  </si>
  <si>
    <t>WeightBesBegin</t>
  </si>
  <si>
    <t>standard</t>
  </si>
  <si>
    <t>alternative</t>
  </si>
  <si>
    <t>retenu</t>
  </si>
  <si>
    <t>Année PY, facteur d'ajustement à CY</t>
  </si>
  <si>
    <t>avant ajustement à CY</t>
  </si>
  <si>
    <t>après ajustement à CY</t>
  </si>
  <si>
    <t>Adj PY1</t>
  </si>
  <si>
    <t>Adj PY2</t>
  </si>
  <si>
    <t>Adj PY3</t>
  </si>
  <si>
    <t>avant lissage</t>
  </si>
  <si>
    <t>Prestations attendues CY</t>
  </si>
  <si>
    <t xml:space="preserve">lissage standard </t>
  </si>
  <si>
    <t>lissage alternatif</t>
  </si>
  <si>
    <t>lissage retenu</t>
  </si>
  <si>
    <t>Cash flows avant plafonnement des primes, par type de cash flow</t>
  </si>
  <si>
    <t>LZV-R-Tool</t>
  </si>
  <si>
    <t xml:space="preserve">Totaux actualisés </t>
  </si>
  <si>
    <t>Cash flows non actualisés par année de liquidation, en CHF</t>
  </si>
  <si>
    <t>Calcul alternatif</t>
  </si>
  <si>
    <t>Part du total, avec signe</t>
  </si>
  <si>
    <t>Facteur d'actualisation</t>
  </si>
  <si>
    <t>Cash flows avant plafonnement des primes, par groupe de produits</t>
  </si>
  <si>
    <t>Effectifs des risques, par groupe de produits</t>
  </si>
  <si>
    <t>Durée moyenne d'un contrat, en années</t>
  </si>
  <si>
    <t>Part du PG au total des contrats</t>
  </si>
  <si>
    <t xml:space="preserve"> Profit best estimate par contrat, en CHF</t>
  </si>
  <si>
    <t>Chiffres-clé par contrat (affaires existantes)</t>
  </si>
  <si>
    <t xml:space="preserve">Cash flows pour le modèle de risques </t>
  </si>
  <si>
    <t>Sensibilités</t>
  </si>
  <si>
    <t xml:space="preserve">Années applicables </t>
  </si>
  <si>
    <t>Facteurs de risques</t>
  </si>
  <si>
    <t>Rapport à la base, avec signe</t>
  </si>
  <si>
    <t>vers le haut</t>
  </si>
  <si>
    <t>vers le bas</t>
  </si>
  <si>
    <t>Base - sans variation</t>
  </si>
  <si>
    <t xml:space="preserve">Übertragungsrange im Blatt "8.2 HE_LZV_CF"  </t>
  </si>
  <si>
    <t>H19:BE19</t>
  </si>
  <si>
    <t>H20:BE20</t>
  </si>
  <si>
    <t>H21:BE21</t>
  </si>
  <si>
    <t>H39:BE39</t>
  </si>
  <si>
    <t>H40:BE40</t>
  </si>
  <si>
    <t>H41:BE41</t>
  </si>
  <si>
    <t>H42:BE42</t>
  </si>
  <si>
    <t>H43:BE43</t>
  </si>
  <si>
    <t>H63:BE63</t>
  </si>
  <si>
    <t>H64:BE64</t>
  </si>
  <si>
    <t>H65:BE65</t>
  </si>
  <si>
    <t>H66:BE66</t>
  </si>
  <si>
    <t>H67:BE67</t>
  </si>
  <si>
    <t xml:space="preserve">Auslenkung 1 (Sterblichkeit) nach oben </t>
  </si>
  <si>
    <t xml:space="preserve">Auslenkung 1 (Sterblichkeit) nach unten </t>
  </si>
  <si>
    <t xml:space="preserve">Auslenkung 2 (Storno) nach oben </t>
  </si>
  <si>
    <t xml:space="preserve">Auslenkung 2 (Storno) nach unten </t>
  </si>
  <si>
    <t xml:space="preserve">Auslenkung 3 (Verwaltungskosten) nach oben </t>
  </si>
  <si>
    <t xml:space="preserve">Auslenkung 3 (Verwaltungskosten) nach unten </t>
  </si>
  <si>
    <t xml:space="preserve">Auslenkung 4 (Leistungen) nach oben </t>
  </si>
  <si>
    <t xml:space="preserve">Auslenkung 4 (Leistungen) nach unten </t>
  </si>
  <si>
    <t>Szenario Antiselektion - Total (Prämien - Leistungen - Verwaltungskosten) nach Ereignis</t>
  </si>
  <si>
    <t>Nouvelle feuille qui fait automatiquement des contrôles de cohérence et permet de documenter les spécificités de calcul propres à l'entreprise</t>
  </si>
  <si>
    <t xml:space="preserve">Template entièrement mis à jour selon les explications ci-après. Les simples mises en forme ne sont toutefois pas explicitement évoquées ci-après. </t>
  </si>
  <si>
    <t>HE_VWK</t>
  </si>
  <si>
    <t>nombre de contrats (deux produits comptent comme deux contrats)</t>
  </si>
  <si>
    <t>Effectif initial (affaires existantes) et effectif moyen par année de liquidation</t>
  </si>
  <si>
    <t xml:space="preserve">Volumes de primes </t>
  </si>
  <si>
    <t xml:space="preserve">HE_CG1 à HE_CG15 </t>
  </si>
  <si>
    <t>Types de tarification</t>
  </si>
  <si>
    <t>Effectif au 31.12</t>
  </si>
  <si>
    <t>Prestations par contrat, en CHF</t>
  </si>
  <si>
    <t>Moyenne</t>
  </si>
  <si>
    <t>Part du PG à l'effectif total</t>
  </si>
  <si>
    <t>Ecart-type des prestations annuelles par contrat</t>
  </si>
  <si>
    <t>Coefficient de variation des prestations annuelles</t>
  </si>
  <si>
    <t>Coefficient de variation des prestations annuelles attendues</t>
  </si>
  <si>
    <t>Vecteur pour calcul</t>
  </si>
  <si>
    <t>Valeurs au bilan SST et au bilan statutaire</t>
  </si>
  <si>
    <t>Best-Estimate des engagements viagers (maladie): bruts</t>
  </si>
  <si>
    <t>Etapes de calcul</t>
  </si>
  <si>
    <t>Avant plafonnement des primes, non actualisé, en CHF</t>
  </si>
  <si>
    <t>Quotient après/avant plafonnement</t>
  </si>
  <si>
    <t>Après plafonnement des primes, non actualisé, en CHF</t>
  </si>
  <si>
    <t>Quotient après/avant actualisation</t>
  </si>
  <si>
    <t>Après plafonnement des primes, actualisé, en CHF</t>
  </si>
  <si>
    <t>Sensibilité delta</t>
  </si>
  <si>
    <t>Coefficient de variation du facteur de risques</t>
  </si>
  <si>
    <t>2) Risque CY</t>
  </si>
  <si>
    <t>Ecart-type des prestations annuelles, en CHF</t>
  </si>
  <si>
    <t>1) et 2) Aperçu des résultats</t>
  </si>
  <si>
    <t>Risque CY</t>
  </si>
  <si>
    <t>Modèle normal multivarié</t>
  </si>
  <si>
    <t>Risque d'assurance des années futures</t>
  </si>
  <si>
    <t>3) Scénario anti-sélection</t>
  </si>
  <si>
    <t>Rapport expected shortfall / quantile</t>
  </si>
  <si>
    <t xml:space="preserve">Espace réduit de facteurs de risques, utilisé pour la MVM dès l'année 6 de projection </t>
  </si>
  <si>
    <t>Part relative au risque</t>
  </si>
  <si>
    <t>Prestations attendues (total annuel) avant réassurance</t>
  </si>
  <si>
    <t>Prestations attendues (total annuel) après réassurance</t>
  </si>
  <si>
    <t>Prestations attendues (total annuel) avant réassurance, en mio CHF</t>
  </si>
  <si>
    <t>Prestations attendues (total annuel) après réassurance, en mio CHF</t>
  </si>
  <si>
    <t>Espérance mathématique</t>
  </si>
  <si>
    <t>Valeur des EVI après survenance de l'événement anti-sélection, en CHF</t>
  </si>
  <si>
    <t>Variabilité (valeurs si la première méthode est utilisée)</t>
  </si>
  <si>
    <t>1) Risque aléatoire</t>
  </si>
  <si>
    <t>Nombre attendu de sinistres</t>
  </si>
  <si>
    <t>Coefficient de variation des sinistres individuels</t>
  </si>
  <si>
    <t>Coefficient de variation du risque aléatoire</t>
  </si>
  <si>
    <t>2) Risque de paramètre</t>
  </si>
  <si>
    <t>Coefficient de variation du risque de paramètre</t>
  </si>
  <si>
    <t>1) + 2) Risque aléatoire et risque de paramètre</t>
  </si>
  <si>
    <t>Ecart-type des prestations annuelles après réassurance, en mio CHF</t>
  </si>
  <si>
    <t>Scénario indemnités journalières</t>
  </si>
  <si>
    <t>Effet de l'événement indemnités journalières</t>
  </si>
  <si>
    <t>signe négatif (perte)</t>
  </si>
  <si>
    <t>Valeur des prestations attendues après survenance de l'événement indemnités journalières, en mio CHF</t>
  </si>
  <si>
    <t xml:space="preserve">Primes attendues (acquises) avant réassurance </t>
  </si>
  <si>
    <t>en mio CHF</t>
  </si>
  <si>
    <t>Primes attendues (acquises) après réassurance</t>
  </si>
  <si>
    <t>Produits (gains) d'assurance (après réassurance)</t>
  </si>
  <si>
    <t>Variations des provisions pour sinistres (best estimate)</t>
  </si>
  <si>
    <t>Variation des autres provisions techniques (best estimate)</t>
  </si>
  <si>
    <t>Charges pour l'exploitation et l'administration</t>
  </si>
  <si>
    <t>Charges d'assurance (après réassurance)</t>
  </si>
  <si>
    <t>Résultat d'assurance (après réassurance)</t>
  </si>
  <si>
    <t>Assurance collective d'indemnités journalières (CIJ)</t>
  </si>
  <si>
    <t xml:space="preserve">Effectif des risques </t>
  </si>
  <si>
    <t>Résultat d'assurance attendu des nouvelles affaires maladie</t>
  </si>
  <si>
    <t>Total assurance-maladie LCA</t>
  </si>
  <si>
    <t>Assurance-maladie individuelle (MI)</t>
  </si>
  <si>
    <t>Effet de l'événement anti-sélection, en CHF</t>
  </si>
  <si>
    <t>Les données prescrites ne sont plus entrées directement dans cette feuille, mais à la feuille "HE_prescribed_parameter" et reliées à elle.</t>
  </si>
  <si>
    <t>C28:F28,C30:F30,
C33:E33,C77:G81</t>
  </si>
  <si>
    <t>Feuille anciennement nommée "HE_Ins_Risk_EK".  Les données prescrites ne sont plus entrées directement dans cette feuille, mais à la feuille "HE_prescribed_parameter" et reliées à elle.</t>
  </si>
  <si>
    <t>C29:F29,C31:F31</t>
  </si>
  <si>
    <t>Les résultats après variation des facteurs de risques ne sont plus entrés dans cette feuille, mais reliés à la feuille "HE_LZV_CF"</t>
  </si>
  <si>
    <t>F5:J13</t>
  </si>
  <si>
    <t>Les étapes de cacul des engagements viagers depuis les valeurs non actualisées avant plafonnement des primes sont nouvellement indiquées, à titre d'information</t>
  </si>
  <si>
    <t>C13,C16</t>
  </si>
  <si>
    <t>HE_expected result</t>
  </si>
  <si>
    <t xml:space="preserve">Feuille anciennement nommée "HE_ExpctdRes_KTG". Introduction de champs qui calculent automatiquement le résultat d'assurance attendu des nouvelles affaires d'assurance-maladie individuelle (elles étaient auparavant inclues dans les EVI, elles en sont dorénavant séparées conformément à  l'étendue du bilan SST).  </t>
  </si>
  <si>
    <t>D45</t>
  </si>
  <si>
    <t>Maladie LCA: Inputs pour le SST-Template</t>
  </si>
  <si>
    <t>Best estimate des engagements viagers (maladie)</t>
  </si>
  <si>
    <t>Maladie CHF</t>
  </si>
  <si>
    <t xml:space="preserve">Sensibilités </t>
  </si>
  <si>
    <t>Scénario CIJ</t>
  </si>
  <si>
    <t>Risque d’assurance-maladie individuelle: risque EVI (expected shortfall)</t>
  </si>
  <si>
    <t>Risque d’assurance-maladie individuelle: risque CY (expected shortfall)</t>
  </si>
  <si>
    <t>Feuille anciennement nommée "HE_input_SST_template", entièrement remaniée selon l'ordre des feuilles du SST-Template</t>
  </si>
  <si>
    <t>Une personne avec plusieurs produits ne compte qu'une fois (décompte des têtes)</t>
  </si>
  <si>
    <t>Année de liquidation</t>
  </si>
  <si>
    <t>Cash flows non actualisés, en CHF</t>
  </si>
  <si>
    <t>Cash flows actualisés, en CHF</t>
  </si>
  <si>
    <t>Cash flows non actualisés, total restant au début de l'année k, en CHF</t>
  </si>
  <si>
    <t>Facteur pour diversification</t>
  </si>
  <si>
    <t>Dès l'année 6</t>
  </si>
  <si>
    <t>Années 1 à 5</t>
  </si>
  <si>
    <t>Somme</t>
  </si>
  <si>
    <t>Risque sur une année, en mio CHF</t>
  </si>
  <si>
    <t>Risque d'assurance maladie individuelle (avant scénario AS)</t>
  </si>
  <si>
    <t>Risque d'assurance MI (avant scénario AS)</t>
  </si>
  <si>
    <t>Coûts du capital annuels pour le risque projeté</t>
  </si>
  <si>
    <t>Valeur actualisée des coûts du capital futurs</t>
  </si>
  <si>
    <t>Mise à jour des liens</t>
  </si>
  <si>
    <t>Etape 7</t>
  </si>
  <si>
    <t>Etape 6</t>
  </si>
  <si>
    <t>Etape 8</t>
  </si>
  <si>
    <t>Copier dans le SST-Template les outputs du modèle standard d'assurance-maladie se trouvant dans la feuille "HE_input_SST_Template". L'ensemble des calculs SST vers la Fundamental Data Sheet (FDS) seront finalisés depuis le SST-Template.</t>
  </si>
  <si>
    <t>Remplir les feuilles "HE_CV_Leistungen" et "HE_ins_risk_EK" pour le risque d'assurance-maladie individuelle (les résultats nécéssaires de calculs des engagements viagers sont déjà liés à la feuille "HE_LZV_CF", cf. supra)</t>
  </si>
  <si>
    <t>Feuille entièrement remaniée. Contient notamment un mode d'emploi du présent template.</t>
  </si>
  <si>
    <t>Etape 3 - SST 2024</t>
  </si>
  <si>
    <t>Le présent "SST-Health-Template" sert au modèle standard SST pour l'assurance-maladie (uniquement l'assurance-maladie régie par la loi sur le contrat d'assurance LCA).</t>
  </si>
  <si>
    <t>Remplir la feuille "HE_ins_risk_KTG" pour le risque d'assurance collective d'indemnités journalières</t>
  </si>
  <si>
    <t>Valeur des EVI en dépendance du facteur de risque, en CHF</t>
  </si>
  <si>
    <t>CETTE VERSION EST UN PROTOTYPE POUR TESTS</t>
  </si>
  <si>
    <t>Dorénavant ce sont les 10 dernières années qui sont prises en compte</t>
  </si>
  <si>
    <t>C6,C7 et C94:G98</t>
  </si>
  <si>
    <t xml:space="preserve">Feuille anciennement nommée "Inputparam", avec intégration des paramètres prescrits se trouvant anciennement dans les autres feuilles, ainsi que des feuilles "qx_m_w", "sx_m_w", "Korrekturvektor_Inflation" du "Berechnungs-Template-LZV.xlsm". 
Remarque: l'annexe A de la description technique du modèle standard SST pour l'assurance-maladie, version du 31 octobre 2022, n'est plus nécéssaire car ses valeurs mises à jour se touvent dorénavant toutes dans la feuille "HE_prescribed_parameters".  </t>
  </si>
  <si>
    <t>Feuille compètement mise à jour. Destinée à recevoir les cash flows calculés par le LZV-R-Tool et/ou par d'autres outils.</t>
  </si>
  <si>
    <t>Label ID</t>
  </si>
  <si>
    <t>Label Text</t>
  </si>
  <si>
    <t>Worksheet Name</t>
  </si>
  <si>
    <t>Titre en français</t>
  </si>
  <si>
    <t>Titel auf Deutsch</t>
  </si>
  <si>
    <t>T.00.01</t>
  </si>
  <si>
    <t>T.00.02</t>
  </si>
  <si>
    <t>T.00.03</t>
  </si>
  <si>
    <t>T.00.04</t>
  </si>
  <si>
    <t>T.00.05</t>
  </si>
  <si>
    <t>T.00.06</t>
  </si>
  <si>
    <t>T.00.07</t>
  </si>
  <si>
    <t>Maladie LCA: Glossaire français - allemand</t>
  </si>
  <si>
    <t>Kranken VVG: Glossar Französisch - Deutsch</t>
  </si>
  <si>
    <t>Suffixe pour le fichier output du calcul des EVI ("LZV_Result_suffix.xlsx")</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</si>
  <si>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</si>
  <si>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</si>
  <si>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</si>
  <si>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</si>
  <si>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</si>
  <si>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</si>
  <si>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</si>
  <si>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</si>
  <si>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</si>
  <si>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</si>
  <si>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</si>
  <si>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</si>
  <si>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</si>
  <si>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</si>
  <si>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</si>
  <si>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</si>
  <si>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</si>
  <si>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</si>
  <si>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</si>
  <si>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</si>
  <si>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</si>
  <si>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</si>
  <si>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</si>
  <si>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</si>
  <si>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</si>
  <si>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</si>
  <si>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</si>
  <si>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</si>
  <si>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T.01.50</t>
  </si>
  <si>
    <t>T.01.21a</t>
  </si>
  <si>
    <t>T.01.22a</t>
  </si>
  <si>
    <t>T.01.23a</t>
  </si>
  <si>
    <t>T.01.24a</t>
  </si>
  <si>
    <t>T.01.25a</t>
  </si>
  <si>
    <t>T.01.27a</t>
  </si>
  <si>
    <t>T.01.28a</t>
  </si>
  <si>
    <t>T.01.29a</t>
  </si>
  <si>
    <t>T.01.30a</t>
  </si>
  <si>
    <t>T.01.31a</t>
  </si>
  <si>
    <t>T.01.36a</t>
  </si>
  <si>
    <t>T.01.37a</t>
  </si>
  <si>
    <t>T.01.38a</t>
  </si>
  <si>
    <t>T.01.39a</t>
  </si>
  <si>
    <t>T.01.40a</t>
  </si>
  <si>
    <t>T.01.41a</t>
  </si>
  <si>
    <t>T.01.42a</t>
  </si>
  <si>
    <t>T.01.44a</t>
  </si>
  <si>
    <t>T.01.45a</t>
  </si>
  <si>
    <t>T.01.46a</t>
  </si>
  <si>
    <t>T.01.48a</t>
  </si>
  <si>
    <t>T.01.49a</t>
  </si>
  <si>
    <t>La liste des feuilles se trouve au début de la feuille "HE_glossary". Les feuilles sont expliquées au chapitre "Description du SST-Health-Template" du document "Description technique du modèle standard SST pour l'assurance-maladie".</t>
  </si>
  <si>
    <t>La feuille "HE_prescribed_parameters" renseigne sur  les paramètres prescrits du modèle standard SST pour l'assurance-maladie.</t>
  </si>
  <si>
    <t>T.02.01</t>
  </si>
  <si>
    <t>T.02.02</t>
  </si>
  <si>
    <t>T.02.03</t>
  </si>
  <si>
    <t>T.02.04</t>
  </si>
  <si>
    <t>T.02.05</t>
  </si>
  <si>
    <t>T.02.06</t>
  </si>
  <si>
    <t>Liste des feuilles</t>
  </si>
  <si>
    <t>Glossaire</t>
  </si>
  <si>
    <t>Here no Label ID to avoid cross reference within the current worksheet</t>
  </si>
  <si>
    <t>T.04.01</t>
  </si>
  <si>
    <t>T.04.02</t>
  </si>
  <si>
    <t>T.04.03</t>
  </si>
  <si>
    <t>T.04.04</t>
  </si>
  <si>
    <t>T.04.05</t>
  </si>
  <si>
    <t>T.04.06</t>
  </si>
  <si>
    <t>T.04.07</t>
  </si>
  <si>
    <t>T.04.08</t>
  </si>
  <si>
    <t>T.04.09</t>
  </si>
  <si>
    <t>T.04.10</t>
  </si>
  <si>
    <t>T.04.11</t>
  </si>
  <si>
    <t>T.04.12</t>
  </si>
  <si>
    <t>T.04.13</t>
  </si>
  <si>
    <t>T.04.14</t>
  </si>
  <si>
    <t>T.04.15</t>
  </si>
  <si>
    <t>T.04.16</t>
  </si>
  <si>
    <t>T.04.17</t>
  </si>
  <si>
    <t>T.04.18</t>
  </si>
  <si>
    <t>T.04.19</t>
  </si>
  <si>
    <t>T.04.20</t>
  </si>
  <si>
    <t>T.04.21</t>
  </si>
  <si>
    <t>en pourcent</t>
  </si>
  <si>
    <t xml:space="preserve">Taux d'intérêt sans risque r(t) </t>
  </si>
  <si>
    <t>T.04.22</t>
  </si>
  <si>
    <t>T.04.23</t>
  </si>
  <si>
    <t>T.04.24</t>
  </si>
  <si>
    <t>T.04.25</t>
  </si>
  <si>
    <t>T.04.26</t>
  </si>
  <si>
    <t>T.04.27</t>
  </si>
  <si>
    <t>T.04.28</t>
  </si>
  <si>
    <t>T.04.29</t>
  </si>
  <si>
    <t>T.04.30</t>
  </si>
  <si>
    <t>T.04.31</t>
  </si>
  <si>
    <t>T.04.32</t>
  </si>
  <si>
    <t>T.04.33</t>
  </si>
  <si>
    <t>T.04.24a</t>
  </si>
  <si>
    <t>T.04.24b</t>
  </si>
  <si>
    <t>T.04.34</t>
  </si>
  <si>
    <t>T.04.35</t>
  </si>
  <si>
    <t>T.04.36</t>
  </si>
  <si>
    <t>T.04.37</t>
  </si>
  <si>
    <t>T.04.38</t>
  </si>
  <si>
    <t>T.04.39</t>
  </si>
  <si>
    <t xml:space="preserve"> - coefficient de variation</t>
  </si>
  <si>
    <t xml:space="preserve"> - nombre d'années, Xi, Eta , source</t>
  </si>
  <si>
    <t xml:space="preserve"> - coefficient de variation, maximum, minimum</t>
  </si>
  <si>
    <t>T.04.40</t>
  </si>
  <si>
    <t>T.04.41</t>
  </si>
  <si>
    <t>T.04.42</t>
  </si>
  <si>
    <t>T.04.43</t>
  </si>
  <si>
    <t>T.04.44</t>
  </si>
  <si>
    <t>T.04.45</t>
  </si>
  <si>
    <t>T.04.46</t>
  </si>
  <si>
    <t>T.04.43a</t>
  </si>
  <si>
    <t>T.04.44a</t>
  </si>
  <si>
    <t>T.04.47</t>
  </si>
  <si>
    <t>T.04.48</t>
  </si>
  <si>
    <t>T.04.49</t>
  </si>
  <si>
    <t>T.04.50</t>
  </si>
  <si>
    <t>T.04.51</t>
  </si>
  <si>
    <t>T.04.52</t>
  </si>
  <si>
    <t>T.04.53</t>
  </si>
  <si>
    <t>T.04.54</t>
  </si>
  <si>
    <t>T.04.55</t>
  </si>
  <si>
    <t>T.04.56</t>
  </si>
  <si>
    <t>T.04.57</t>
  </si>
  <si>
    <t>T.04.58</t>
  </si>
  <si>
    <t>T.04.59</t>
  </si>
  <si>
    <t>T.04.60</t>
  </si>
  <si>
    <t>T.04.61</t>
  </si>
  <si>
    <t>T.04.62</t>
  </si>
  <si>
    <t>T.04.63</t>
  </si>
  <si>
    <t>T.04.64</t>
  </si>
  <si>
    <t>T.04.46a</t>
  </si>
  <si>
    <t>T.04.46b</t>
  </si>
  <si>
    <t>T.04.46c</t>
  </si>
  <si>
    <t>T.04.73</t>
  </si>
  <si>
    <t>T.04.74</t>
  </si>
  <si>
    <t>T.04.75</t>
  </si>
  <si>
    <t>T.04.76</t>
  </si>
  <si>
    <t>T.04.77</t>
  </si>
  <si>
    <t>T.04.78</t>
  </si>
  <si>
    <t>T.04.79</t>
  </si>
  <si>
    <t>T.04.80</t>
  </si>
  <si>
    <t>T.04.81</t>
  </si>
  <si>
    <t>T.04.82</t>
  </si>
  <si>
    <t>T.04.65</t>
  </si>
  <si>
    <t>T.04.66</t>
  </si>
  <si>
    <t>T.04.67</t>
  </si>
  <si>
    <t>T.04.68</t>
  </si>
  <si>
    <t>T.04.69</t>
  </si>
  <si>
    <t>T.04.70</t>
  </si>
  <si>
    <t>T.04.71</t>
  </si>
  <si>
    <t>T.04.72</t>
  </si>
  <si>
    <t>Number</t>
  </si>
  <si>
    <t>T.04.83</t>
  </si>
  <si>
    <t>T.04.84</t>
  </si>
  <si>
    <t>T.04.85</t>
  </si>
  <si>
    <t>T.04.86</t>
  </si>
  <si>
    <t>T.04.87</t>
  </si>
  <si>
    <t>T.04.88</t>
  </si>
  <si>
    <t>T.04.89</t>
  </si>
  <si>
    <t>T.04.90</t>
  </si>
  <si>
    <t>T.04.91</t>
  </si>
  <si>
    <t>T.04.92</t>
  </si>
  <si>
    <t>T.04.93</t>
  </si>
  <si>
    <t>T.04.94</t>
  </si>
  <si>
    <t>T.04.87a</t>
  </si>
  <si>
    <t>T.04.87b</t>
  </si>
  <si>
    <t>T.04.88a</t>
  </si>
  <si>
    <t>T.04.88b</t>
  </si>
  <si>
    <t>T.04.91a</t>
  </si>
  <si>
    <t>Hypothèses d'inflation non structurelle future au 31.12.</t>
  </si>
  <si>
    <t>G87 (Quelle: Blätter HE_Input1, HE_Input2 und HE_Input 3, jeweiligen Zellen C16 und D16)</t>
  </si>
  <si>
    <t>G88 (Quelle: Blatt HE_Input4, Zellen C16 und D16)</t>
  </si>
  <si>
    <t>G89 (Quelle: Blatt HE_Input5, Zellen C16 und D16)</t>
  </si>
  <si>
    <t>G90 (Quelle: Blatt HE_Input6, Zellen C16 und D16)</t>
  </si>
  <si>
    <t>G91 (Quelle: Blatt HE_Input47 Zellen C16 und D16)</t>
  </si>
  <si>
    <t>H146</t>
  </si>
  <si>
    <t xml:space="preserve"> Total actualisé, en CHF</t>
  </si>
  <si>
    <t>Total non actualisé, en CHF</t>
  </si>
  <si>
    <t>BE Tilde Maladie</t>
  </si>
  <si>
    <t xml:space="preserve">Vecteur auxiliaire pour le non hedgeable market risk </t>
  </si>
  <si>
    <t>T.04.30bis</t>
  </si>
  <si>
    <t>T.06.01</t>
  </si>
  <si>
    <t>T.06.02</t>
  </si>
  <si>
    <t>T.06.03</t>
  </si>
  <si>
    <t>T.06.04</t>
  </si>
  <si>
    <t>T.06.05</t>
  </si>
  <si>
    <t>T.06.06</t>
  </si>
  <si>
    <t>T.06.07</t>
  </si>
  <si>
    <t>T.06.08</t>
  </si>
  <si>
    <t>T.06.09</t>
  </si>
  <si>
    <t>T.06.10</t>
  </si>
  <si>
    <t>T.06.11</t>
  </si>
  <si>
    <t>T.06.12</t>
  </si>
  <si>
    <t>T.06.13</t>
  </si>
  <si>
    <t>T.06.14</t>
  </si>
  <si>
    <t>T.06.15</t>
  </si>
  <si>
    <t>T.06.16</t>
  </si>
  <si>
    <t>T.06.17</t>
  </si>
  <si>
    <t>T.06.18</t>
  </si>
  <si>
    <t>T.06.19</t>
  </si>
  <si>
    <t>T.06.20</t>
  </si>
  <si>
    <t>T.06.03a</t>
  </si>
  <si>
    <t>T.06.03b</t>
  </si>
  <si>
    <t>T.06.05a</t>
  </si>
  <si>
    <t>T.06.06a</t>
  </si>
  <si>
    <t>T.06.07a</t>
  </si>
  <si>
    <t>T.06.13a</t>
  </si>
  <si>
    <t>T.06.13b</t>
  </si>
  <si>
    <t>, en CHF</t>
  </si>
  <si>
    <t>, in CHF</t>
  </si>
  <si>
    <t>T.06.22</t>
  </si>
  <si>
    <t>T.06.23</t>
  </si>
  <si>
    <t>T.06.24</t>
  </si>
  <si>
    <t>T.06.25</t>
  </si>
  <si>
    <t>T.06.26</t>
  </si>
  <si>
    <t>T.06.27</t>
  </si>
  <si>
    <t>T.06.14a</t>
  </si>
  <si>
    <t>T.06.15a</t>
  </si>
  <si>
    <t>T.06.16a</t>
  </si>
  <si>
    <t>T.06.17a</t>
  </si>
  <si>
    <t>T.06.18a</t>
  </si>
  <si>
    <t>T.06.19a</t>
  </si>
  <si>
    <t>T.06.21aa</t>
  </si>
  <si>
    <t xml:space="preserve">Primes annuelles totales pour </t>
  </si>
  <si>
    <t>Dont primes déjà encaissées le 31.12.</t>
  </si>
  <si>
    <t>T.06.21ab</t>
  </si>
  <si>
    <t>D11:BA13</t>
  </si>
  <si>
    <t>B5 et B32</t>
  </si>
  <si>
    <t>T.06.28</t>
  </si>
  <si>
    <t>T.06.31</t>
  </si>
  <si>
    <t>T.06.32</t>
  </si>
  <si>
    <t>T.06.25a</t>
  </si>
  <si>
    <t>T.06.26a</t>
  </si>
  <si>
    <t>T.06.33</t>
  </si>
  <si>
    <t>T.06.34</t>
  </si>
  <si>
    <t>T.06.35</t>
  </si>
  <si>
    <t>T.06.36</t>
  </si>
  <si>
    <t>T.06.37</t>
  </si>
  <si>
    <t>Groupe pour le plafonnement des primes (PC-G)</t>
  </si>
  <si>
    <t>Groupe de plafonnement des primes ("premium cap" PC-G)</t>
  </si>
  <si>
    <t>PC-G</t>
  </si>
  <si>
    <t>T.06.34a</t>
  </si>
  <si>
    <t>T.06.35a</t>
  </si>
  <si>
    <t>T.06.36a</t>
  </si>
  <si>
    <t>T.06.37a</t>
  </si>
  <si>
    <t>T.07.01</t>
  </si>
  <si>
    <t>T.07.02</t>
  </si>
  <si>
    <t>T.07.03</t>
  </si>
  <si>
    <t>T.07.04</t>
  </si>
  <si>
    <t>T.07.05</t>
  </si>
  <si>
    <t>T.07.06</t>
  </si>
  <si>
    <t>T.07.07</t>
  </si>
  <si>
    <t>T.07.08</t>
  </si>
  <si>
    <t>T.07.09</t>
  </si>
  <si>
    <t>T.07.10</t>
  </si>
  <si>
    <t>T.07.11</t>
  </si>
  <si>
    <t>T.07.12</t>
  </si>
  <si>
    <t>T.07.13</t>
  </si>
  <si>
    <t>T.00.02a</t>
  </si>
  <si>
    <t>in CHF</t>
  </si>
  <si>
    <t>Prestations</t>
  </si>
  <si>
    <t>T.07.14</t>
  </si>
  <si>
    <t>T.07.15</t>
  </si>
  <si>
    <t>T.07.16</t>
  </si>
  <si>
    <t>Frais de gestion corrigés</t>
  </si>
  <si>
    <t>T.07.17</t>
  </si>
  <si>
    <t>T.07.18</t>
  </si>
  <si>
    <t>T.07.19</t>
  </si>
  <si>
    <t>T.07.20</t>
  </si>
  <si>
    <t>Volume de primes</t>
  </si>
  <si>
    <t>T.08.01</t>
  </si>
  <si>
    <t>T.08.02</t>
  </si>
  <si>
    <t>T.08.03</t>
  </si>
  <si>
    <t>T.08.04</t>
  </si>
  <si>
    <t>T.08.05</t>
  </si>
  <si>
    <t>T.08.06</t>
  </si>
  <si>
    <t>T.08.07</t>
  </si>
  <si>
    <t>T.08.08</t>
  </si>
  <si>
    <t>T.08.09</t>
  </si>
  <si>
    <t>T.08.10</t>
  </si>
  <si>
    <t>T.08.11</t>
  </si>
  <si>
    <t>T.08.12</t>
  </si>
  <si>
    <t>T.08.13</t>
  </si>
  <si>
    <t>T.08.14</t>
  </si>
  <si>
    <t>T.08.15</t>
  </si>
  <si>
    <t>T.08.16</t>
  </si>
  <si>
    <t>T.08.17</t>
  </si>
  <si>
    <t>T.08.18</t>
  </si>
  <si>
    <t>T.08.19</t>
  </si>
  <si>
    <t>T.08.20</t>
  </si>
  <si>
    <t xml:space="preserve">Cette feuille contient des cash flows </t>
  </si>
  <si>
    <t>Cash flows pour les EVI dans le bilan SST au 31.12.</t>
  </si>
  <si>
    <t>T.08.07a</t>
  </si>
  <si>
    <t>T.08.07b</t>
  </si>
  <si>
    <t>T.08.07c</t>
  </si>
  <si>
    <t>Total, en CHF</t>
  </si>
  <si>
    <t>T.08.08a</t>
  </si>
  <si>
    <t>,  après plafonnement</t>
  </si>
  <si>
    <t>T.08.16a</t>
  </si>
  <si>
    <t>T.08.16b</t>
  </si>
  <si>
    <t>T.08.16c</t>
  </si>
  <si>
    <t>Alternative</t>
  </si>
  <si>
    <t>Retenus (pour les EVI)</t>
  </si>
  <si>
    <t>T.04.07a</t>
  </si>
  <si>
    <t>T.04.07b</t>
  </si>
  <si>
    <t>Niveau de protection</t>
  </si>
  <si>
    <t>Cash flows après plafonnement des primes, par groupe de produits</t>
  </si>
  <si>
    <t>T.08.21</t>
  </si>
  <si>
    <t>T.08.20a</t>
  </si>
  <si>
    <t>T.08.20b</t>
  </si>
  <si>
    <t>T.08.20c</t>
  </si>
  <si>
    <t>T.08.22</t>
  </si>
  <si>
    <t>T.09.01</t>
  </si>
  <si>
    <t>T.09.02</t>
  </si>
  <si>
    <t>T.09.03</t>
  </si>
  <si>
    <t>T.09.04</t>
  </si>
  <si>
    <t>T.09.05</t>
  </si>
  <si>
    <t>T.09.06</t>
  </si>
  <si>
    <t>T.09.07</t>
  </si>
  <si>
    <t>T.09.08</t>
  </si>
  <si>
    <t>T.09.09</t>
  </si>
  <si>
    <t>T.09.10</t>
  </si>
  <si>
    <t>T.09.11</t>
  </si>
  <si>
    <t>T.09.12</t>
  </si>
  <si>
    <t>T.09.13</t>
  </si>
  <si>
    <t xml:space="preserve">Prestations attendues par contrat pour </t>
  </si>
  <si>
    <t>Effectif au 01.01.</t>
  </si>
  <si>
    <t>Matrice de corrélation</t>
  </si>
  <si>
    <t>Matrice de corrélation des prestations</t>
  </si>
  <si>
    <t>T.10.01</t>
  </si>
  <si>
    <t>T.10.02</t>
  </si>
  <si>
    <t>T.10.03</t>
  </si>
  <si>
    <t>T.10.04</t>
  </si>
  <si>
    <t>T.10.05</t>
  </si>
  <si>
    <t>T.10.06</t>
  </si>
  <si>
    <t>T.10.07</t>
  </si>
  <si>
    <t>T.10.08</t>
  </si>
  <si>
    <t>T.10.09</t>
  </si>
  <si>
    <t>T.10.10</t>
  </si>
  <si>
    <t>T.10.11</t>
  </si>
  <si>
    <t>T.10.12</t>
  </si>
  <si>
    <t>T.10.13</t>
  </si>
  <si>
    <t>T.10.14</t>
  </si>
  <si>
    <t>T.10.15</t>
  </si>
  <si>
    <t>T.10.03a</t>
  </si>
  <si>
    <t>T.10.03b</t>
  </si>
  <si>
    <t>T.10.03c</t>
  </si>
  <si>
    <t>T.10.03d</t>
  </si>
  <si>
    <t>T.10.03e</t>
  </si>
  <si>
    <t xml:space="preserve">Variation </t>
  </si>
  <si>
    <t xml:space="preserve">Variation relative du facteur de risque, </t>
  </si>
  <si>
    <t>T.00.02b</t>
  </si>
  <si>
    <t>T.00.02c</t>
  </si>
  <si>
    <t>, en mio CHF</t>
  </si>
  <si>
    <t>, in Mio. CHF</t>
  </si>
  <si>
    <t>in Mio. CHF</t>
  </si>
  <si>
    <t>Value at risk</t>
  </si>
  <si>
    <t>Expected shortfall</t>
  </si>
  <si>
    <t>T.10.16</t>
  </si>
  <si>
    <t>T.10.17</t>
  </si>
  <si>
    <t>T.10.18</t>
  </si>
  <si>
    <t>T.10.19</t>
  </si>
  <si>
    <t>T.10.20</t>
  </si>
  <si>
    <t>T.10.21</t>
  </si>
  <si>
    <t>T.10.22</t>
  </si>
  <si>
    <t>T.10.23</t>
  </si>
  <si>
    <t>Prestations attendues pour l'année de traitement CY des affaires existantes au 31.12.</t>
  </si>
  <si>
    <t>Ecart-type</t>
  </si>
  <si>
    <t>1) Dépendance des engagements viagers (EVI) aux facteurs de risque pour le risque des années futures</t>
  </si>
  <si>
    <t>Facteurs de risque (plafonnement des primes pris en compte)</t>
  </si>
  <si>
    <t>Ecart-type des EVI dû à la variation du facteur de risque, en CHF</t>
  </si>
  <si>
    <t>Ecart-type TOTAL des EVI dû à la variation des facteurs de risque, en CHF</t>
  </si>
  <si>
    <t xml:space="preserve">Facteurs de risque </t>
  </si>
  <si>
    <t>T.10.24</t>
  </si>
  <si>
    <t>T.10.25</t>
  </si>
  <si>
    <t>T.10.26</t>
  </si>
  <si>
    <t>T.10.27</t>
  </si>
  <si>
    <t>T.10.28</t>
  </si>
  <si>
    <t>T.10.29</t>
  </si>
  <si>
    <t>T.10.30</t>
  </si>
  <si>
    <t>T.10.31</t>
  </si>
  <si>
    <t>T.10.32</t>
  </si>
  <si>
    <t>Quantile 1% de la distribution normale standard</t>
  </si>
  <si>
    <t>Expected shortfall 1% de la distribution normale standard</t>
  </si>
  <si>
    <t>T.11.01</t>
  </si>
  <si>
    <t>T.11.02</t>
  </si>
  <si>
    <t>T.11.03</t>
  </si>
  <si>
    <t>T.11.04</t>
  </si>
  <si>
    <t>T.11.05</t>
  </si>
  <si>
    <t>T.11.06</t>
  </si>
  <si>
    <t>T.11.07</t>
  </si>
  <si>
    <t>T.11.08</t>
  </si>
  <si>
    <t>T.11.09</t>
  </si>
  <si>
    <t>T.11.10</t>
  </si>
  <si>
    <t>T.11.11</t>
  </si>
  <si>
    <t>T.11.12</t>
  </si>
  <si>
    <t>T.11.13</t>
  </si>
  <si>
    <t>T.11.14</t>
  </si>
  <si>
    <t>T.11.15</t>
  </si>
  <si>
    <t>T.11.16</t>
  </si>
  <si>
    <t>T.11.08a</t>
  </si>
  <si>
    <t xml:space="preserve">justifier si déviation de la valeur standard de </t>
  </si>
  <si>
    <t>T.11.17</t>
  </si>
  <si>
    <t>T.11.17a</t>
  </si>
  <si>
    <t>T.12.01</t>
  </si>
  <si>
    <t>T.12.02</t>
  </si>
  <si>
    <t>T.12.03</t>
  </si>
  <si>
    <t>T.12.04</t>
  </si>
  <si>
    <t>T.12.05</t>
  </si>
  <si>
    <t>T.12.06</t>
  </si>
  <si>
    <t>T.12.07</t>
  </si>
  <si>
    <t>T.12.08</t>
  </si>
  <si>
    <t>T.12.09</t>
  </si>
  <si>
    <t>T.12.10</t>
  </si>
  <si>
    <t>T.12.11</t>
  </si>
  <si>
    <t>T.12.12</t>
  </si>
  <si>
    <t>T.12.13</t>
  </si>
  <si>
    <t>T.12.14</t>
  </si>
  <si>
    <t>T.13.01</t>
  </si>
  <si>
    <t>T.13.02</t>
  </si>
  <si>
    <t>T.13.03</t>
  </si>
  <si>
    <t>T.13.04</t>
  </si>
  <si>
    <t>T.13.05</t>
  </si>
  <si>
    <t>T.13.06</t>
  </si>
  <si>
    <t>T.13.07</t>
  </si>
  <si>
    <t>T.13.08</t>
  </si>
  <si>
    <t>T.13.08a</t>
  </si>
  <si>
    <t>T.13.08b</t>
  </si>
  <si>
    <t>T.13.09</t>
  </si>
  <si>
    <t>T.13.10</t>
  </si>
  <si>
    <t>T.13.11</t>
  </si>
  <si>
    <t>T.13.12</t>
  </si>
  <si>
    <t>T.13.13</t>
  </si>
  <si>
    <t>T.13.14</t>
  </si>
  <si>
    <t>Données sur le nombre de nouveaux contrats le 01.01.</t>
  </si>
  <si>
    <t xml:space="preserve"> excepté les immigrations dues</t>
  </si>
  <si>
    <t>T.12.06a</t>
  </si>
  <si>
    <t>T.12.06b</t>
  </si>
  <si>
    <t>T.12.06c</t>
  </si>
  <si>
    <t>Cash flows totaux attendus des nouveaux contrats le 01.01.</t>
  </si>
  <si>
    <t>Nombre de nouveaux contrats le 01.01.</t>
  </si>
  <si>
    <t xml:space="preserve">Desquels </t>
  </si>
  <si>
    <t>T.12.15</t>
  </si>
  <si>
    <t>T.12.16</t>
  </si>
  <si>
    <t>T.12.17</t>
  </si>
  <si>
    <t>T.12.18</t>
  </si>
  <si>
    <t xml:space="preserve"> sur toute leur durée de liquidation</t>
  </si>
  <si>
    <t>Personnes assurées le 01.01.</t>
  </si>
  <si>
    <t>Nombre de personnes assurées le 01.01.</t>
  </si>
  <si>
    <t xml:space="preserve"> (y compris celles déjà assurées le 31.12.</t>
  </si>
  <si>
    <t>T.12.15a</t>
  </si>
  <si>
    <t>T.12.19</t>
  </si>
  <si>
    <t>T.12.20</t>
  </si>
  <si>
    <t>T.12.21</t>
  </si>
  <si>
    <t>T.12.22</t>
  </si>
  <si>
    <t>T.12.23</t>
  </si>
  <si>
    <t>T.12.24</t>
  </si>
  <si>
    <t>T.12.25</t>
  </si>
  <si>
    <t>T.12.26</t>
  </si>
  <si>
    <t>T.12.27</t>
  </si>
  <si>
    <t>T.14.01</t>
  </si>
  <si>
    <t>T.14.02</t>
  </si>
  <si>
    <t>T.14.03</t>
  </si>
  <si>
    <t>T.14.04</t>
  </si>
  <si>
    <t>T.14.05</t>
  </si>
  <si>
    <t>T.14.06</t>
  </si>
  <si>
    <t>T.14.07</t>
  </si>
  <si>
    <t>T.14.08</t>
  </si>
  <si>
    <t>T.14.09</t>
  </si>
  <si>
    <t>T.14.10</t>
  </si>
  <si>
    <t>T.14.11</t>
  </si>
  <si>
    <t>T.14.12</t>
  </si>
  <si>
    <t>T.14.13</t>
  </si>
  <si>
    <t>T.14.14</t>
  </si>
  <si>
    <t>T.14.15</t>
  </si>
  <si>
    <t>T.14.16</t>
  </si>
  <si>
    <t>écart-type</t>
  </si>
  <si>
    <t>T.00.04a</t>
  </si>
  <si>
    <t>Scénario d'anti-sélection (AS) - probabilité de survenance</t>
  </si>
  <si>
    <t>Maladie individuelle</t>
  </si>
  <si>
    <t>Collective indemnités journalières</t>
  </si>
  <si>
    <t>T.14.17</t>
  </si>
  <si>
    <t>T.14.18</t>
  </si>
  <si>
    <t>T.14.19</t>
  </si>
  <si>
    <t>T.14.20</t>
  </si>
  <si>
    <t>T.14.21</t>
  </si>
  <si>
    <t>T.14.22</t>
  </si>
  <si>
    <t>T.14.23</t>
  </si>
  <si>
    <t>T.14.24</t>
  </si>
  <si>
    <t>T.14.25</t>
  </si>
  <si>
    <t>T.14.26</t>
  </si>
  <si>
    <t>T.14.27</t>
  </si>
  <si>
    <t>T.14.07bis</t>
  </si>
  <si>
    <t>T.15.01</t>
  </si>
  <si>
    <t>T.15.02</t>
  </si>
  <si>
    <t>T.15.03</t>
  </si>
  <si>
    <t>T.15.04</t>
  </si>
  <si>
    <t>T.15.05</t>
  </si>
  <si>
    <t>T.15.07</t>
  </si>
  <si>
    <t>T.15.10</t>
  </si>
  <si>
    <t>T.15.11</t>
  </si>
  <si>
    <t>T.15.12</t>
  </si>
  <si>
    <t>T.15.13</t>
  </si>
  <si>
    <t>T.15.14</t>
  </si>
  <si>
    <t>T.15.18</t>
  </si>
  <si>
    <t>T.15.03a</t>
  </si>
  <si>
    <t>T.15.03b</t>
  </si>
  <si>
    <t>Nombre de contrats au 01.01.</t>
  </si>
  <si>
    <t>Dont nouveaux contrats le 01.01.</t>
  </si>
  <si>
    <t>T.15.08a</t>
  </si>
  <si>
    <t>T.15.08b</t>
  </si>
  <si>
    <t>T.15.09a</t>
  </si>
  <si>
    <t>T.15.09b</t>
  </si>
  <si>
    <t xml:space="preserve"> des affaires existantes au 31.12.</t>
  </si>
  <si>
    <t xml:space="preserve">Facteur pour l'effectif moyen </t>
  </si>
  <si>
    <t xml:space="preserve">Entrées de données de la société </t>
  </si>
  <si>
    <t>Etape 4 - SST 2024</t>
  </si>
  <si>
    <t>Remplir les feuilles "Intro_SM_Health" et  "HE_contract_groups"</t>
  </si>
  <si>
    <t>T.01.44bis</t>
  </si>
  <si>
    <t>T.01.43a</t>
  </si>
  <si>
    <t>T.01.43bis</t>
  </si>
  <si>
    <t>Remplir les feuilles du fichier séparé avec macros " Berechnungs-Template-LZV.xlsm"</t>
  </si>
  <si>
    <t>T.01.38b</t>
  </si>
  <si>
    <t>T.01.38bis</t>
  </si>
  <si>
    <t>Etape 2b - SST 2024</t>
  </si>
  <si>
    <t>Etape 2a - SST 2024</t>
  </si>
  <si>
    <t>Exécuter les macros du " Berechnungs-Template-LZV.xlsm"</t>
  </si>
  <si>
    <t>Remplir la feuille "HE_LZV_CF_(classic)" à partir des résultats du "Berechnungs-Template-LZV.xlsm", puis suivre les instructions au bas de cette feuille pour remplir la feuille "HE_LZV_CF" selon l'étape 5.</t>
  </si>
  <si>
    <t xml:space="preserve">Remplir la feuille"HE_VWK", ainsi que les feuilles "HE_CGx" (une feuille par groupe de contrats) situées à la fin de ce classeur.  </t>
  </si>
  <si>
    <t xml:space="preserve">Etapes 6 à 8: Calcul du risque d'assurance-maladie </t>
  </si>
  <si>
    <t>T.01.44b</t>
  </si>
  <si>
    <t>Etapes 9 et 10: Documentation et finalisation des calculs</t>
  </si>
  <si>
    <t>Etape 10</t>
  </si>
  <si>
    <t>Primes pour 12 mois de tous les contrats au 01.01.</t>
  </si>
  <si>
    <t>T.15.15a</t>
  </si>
  <si>
    <t>T.15.15b</t>
  </si>
  <si>
    <t>, de tous les contrats au 01.01.</t>
  </si>
  <si>
    <t xml:space="preserve">Prime par contrat attendue pour </t>
  </si>
  <si>
    <t>T.15.16a</t>
  </si>
  <si>
    <t>T.15.16b</t>
  </si>
  <si>
    <t xml:space="preserve"> (sans les défauts de paiement), de tous les contrats au 01.01.</t>
  </si>
  <si>
    <t>T.15.17a</t>
  </si>
  <si>
    <t>T.15.17b</t>
  </si>
  <si>
    <t>T.15.17c</t>
  </si>
  <si>
    <t>T.15.25</t>
  </si>
  <si>
    <t>T.15.26</t>
  </si>
  <si>
    <t xml:space="preserve">Frais par contrat attendus pour </t>
  </si>
  <si>
    <t>T.15.19a</t>
  </si>
  <si>
    <t>T.15.19b</t>
  </si>
  <si>
    <t>PY1</t>
  </si>
  <si>
    <t>PY2</t>
  </si>
  <si>
    <t>PY3</t>
  </si>
  <si>
    <t>VK PY1</t>
  </si>
  <si>
    <t>VK PY2</t>
  </si>
  <si>
    <t>VK PY3</t>
  </si>
  <si>
    <t>T.15.20a</t>
  </si>
  <si>
    <t>T.15.20b</t>
  </si>
  <si>
    <t xml:space="preserve">Données de l'année </t>
  </si>
  <si>
    <t xml:space="preserve"> pour les prestations attendues CY</t>
  </si>
  <si>
    <t>T.15.21a</t>
  </si>
  <si>
    <t>T.15.21b</t>
  </si>
  <si>
    <t>Nombre de contrats au 31.12.</t>
  </si>
  <si>
    <t>T.15.22a</t>
  </si>
  <si>
    <t>T.15.22b</t>
  </si>
  <si>
    <t>Dont contrats au 31.12.</t>
  </si>
  <si>
    <t xml:space="preserve"> sans couverture le 01.01.</t>
  </si>
  <si>
    <t>T.15.23a</t>
  </si>
  <si>
    <t>T.15.23b</t>
  </si>
  <si>
    <t xml:space="preserve">Prestations pour l'année de traitement </t>
  </si>
  <si>
    <t>, y compris IBNR, de tous les contrats</t>
  </si>
  <si>
    <t xml:space="preserve">Prestations par contrat pour l'année de traitement </t>
  </si>
  <si>
    <t>T.15.23c</t>
  </si>
  <si>
    <t>T.15.24a</t>
  </si>
  <si>
    <t>T.15.24b</t>
  </si>
  <si>
    <t>T.15.27</t>
  </si>
  <si>
    <t xml:space="preserve"> depuis l'effectif au 01.01.</t>
  </si>
  <si>
    <t>, cohérent avec le facteur pour CY</t>
  </si>
  <si>
    <t>T.15.28</t>
  </si>
  <si>
    <t>T.15.30</t>
  </si>
  <si>
    <t>T.15.31</t>
  </si>
  <si>
    <t xml:space="preserve">Prestations par contrat attendues pour </t>
  </si>
  <si>
    <t>T.15.29a</t>
  </si>
  <si>
    <t>T.15.29b</t>
  </si>
  <si>
    <t>T.15.32</t>
  </si>
  <si>
    <t>T.15.33</t>
  </si>
  <si>
    <t>T.05.01</t>
  </si>
  <si>
    <t>T.05.02</t>
  </si>
  <si>
    <t>T.05.03</t>
  </si>
  <si>
    <t>T.01.38c</t>
  </si>
  <si>
    <t>Cette étape 2b est facultative pour le SST 2024.</t>
  </si>
  <si>
    <t>Kranken VVG: Berechnungsdokumentation</t>
  </si>
  <si>
    <t>Kranken VVG: Variationskoeffizient der Leistungen</t>
  </si>
  <si>
    <t>Kranken VVG: Versicherungsrisiko der Branche Einzelkrankenversicherung (EK)</t>
  </si>
  <si>
    <t>Kranken VVG: Versicherungsrisiko der Branche Kollektivtaggeldversicherung (KTG)</t>
  </si>
  <si>
    <t>Kranken VVG: Erwartetes Versicherungsergebnis</t>
  </si>
  <si>
    <t>Kranken VVG: Mindestbetrag (MVM)</t>
  </si>
  <si>
    <t>Kranken VVG: Inputs für das SST-Template</t>
  </si>
  <si>
    <t>Paramètres généraux au 31.12.</t>
  </si>
  <si>
    <t xml:space="preserve">valeurs mises à jour en janvier </t>
  </si>
  <si>
    <t>Kranken VVG: Verwaltungskosten-Sätze</t>
  </si>
  <si>
    <t>Kranken VVG: Cashflows für die Ermittlung der Langzeitverpflichtungen</t>
  </si>
  <si>
    <t>Kranken VVG: Massgebliche Vertragsgruppen für die Cashflows</t>
  </si>
  <si>
    <t>Remplir la feuille "HE_expected_result" pour le résultat d'assurance attendu et le nombre de personnes assurées (décompte des têtes)</t>
  </si>
  <si>
    <t>La rubrique "Mode d'emploi" ci-dessous donne de plus amples détails, notamment sur la procédure de calcul des EVI.</t>
  </si>
  <si>
    <t>T.01.51</t>
  </si>
  <si>
    <t>Pour mettre à jour utiliser: "Formulas / Defined Names / Use in Formula / Paste Names / Paste List"</t>
  </si>
  <si>
    <t>H116:BE116 (Quelle: Blatt HE_Cashflow_Auslenkung_1o, Zeile 147)</t>
  </si>
  <si>
    <t>H117:BE117 (Quelle: Blatt HE_Cashflow_Auslenkung_1u, Zeile 147)</t>
  </si>
  <si>
    <t>H118:BE118 (Quelle: Blatt HE_Cashflow_Auslenkung_2o, Zeile 147)</t>
  </si>
  <si>
    <t>H119:BE119 (Quelle: Blatt HE_Cashflow_Auslenkung_2u, Zeile 147)</t>
  </si>
  <si>
    <t>H120:BE120 (Quelle: Blatt HE_Cashflow_Auslenkung_3o, Zeile 147)</t>
  </si>
  <si>
    <t>H121:BE121 (Quelle: Blatt HE_Cashflow_Auslenkung_3u, Zeile 147)</t>
  </si>
  <si>
    <t>H122:BE122 (Quelle: Blatt HE_Cashflow_Auslenkung_4o, Zeile 147)</t>
  </si>
  <si>
    <t>H123:BE123 (Quelle: Blatt HE_Cashflow_Auslenkung_4u, Zeile 147)</t>
  </si>
  <si>
    <t xml:space="preserve">Etapes 1 à 5: Calcul des engagements viagers (EVI) </t>
  </si>
  <si>
    <t>Feuille anciennement nommée "HE_RiskMargin". Mise à jour des dénominations.</t>
  </si>
  <si>
    <t>C26,C40,C54,C68,C82</t>
  </si>
  <si>
    <t>31.10.2023</t>
  </si>
  <si>
    <t>Feuille anciennement nommée "HE_input_VWK" au  "Berechnungs-Template-LZV.xlsm"</t>
  </si>
  <si>
    <t>C'est l'ancienne feuille "HE_LZV_CF" exactement dans le même format que pour le SST 2023, renommée "HE_LZV_CF_(classic)". Permet de continuer à utiliser, pour le SST 2024 officiel, le "Berechnungs-Template-LZV.xlsm" et/ou ses propres outils. Les résultats doivent être transférés dans la nouvelle feuille "HE_LZV_CF", selon les instructions qui se trouvent au bas de la feuille "HE_LZV_CF_(classic)".</t>
  </si>
  <si>
    <t>Feuille anciennement nommée "HE_Ins_Risk_KTG". Les valeurs standard prescrites proviennent dorénavant de la feuille "HE_prescribed_parameters"</t>
  </si>
  <si>
    <t>L'entrée de cette cellule se faisait auparavant à la feuille HE_input_SST_template</t>
  </si>
  <si>
    <t xml:space="preserve">Maladie LCA: Données par âge et sexe du groupe de contrats </t>
  </si>
  <si>
    <t xml:space="preserve">Kranken VVG: Daten nach Alter und Vertragsgruppe </t>
  </si>
  <si>
    <t>Korrelationsmatrix</t>
  </si>
  <si>
    <t>Standardabweichung</t>
  </si>
  <si>
    <t>Variationskoeffizient</t>
  </si>
  <si>
    <t>Value at Risk</t>
  </si>
  <si>
    <t>Expected Shortfall</t>
  </si>
  <si>
    <t>Einführung</t>
  </si>
  <si>
    <t>DIESE VERSION IST EIN PROTOTYP FÜR TESTS</t>
  </si>
  <si>
    <t>Dieses «SST-Health-Template» dient dem SST-Standardmodell für Krankenversicherungen (ausschliesslich Krankenversicherungen nach Versicherungsvertragsgesetz [VVG]).</t>
  </si>
  <si>
    <t>Dieses Template deckt Folgendes ab:</t>
  </si>
  <si>
    <t xml:space="preserve">  - Das Risikomodell der Krankenversicherung (Eingaben und Berechnungen zum Teil automatisiert)</t>
  </si>
  <si>
    <t xml:space="preserve">  - Die Eingaben der Krankenversicherung für das SST-Template</t>
  </si>
  <si>
    <t>Weitere Details sind in der Rubrik «Benutzerhandbuch» unten zu finden, insbesondere zum Verfahren zur Ermittlung der LZV.</t>
  </si>
  <si>
    <t xml:space="preserve">Änderungen in Bezug auf frühere Versionen sind im Tabellenblatt « HE_update» aufgeführt. </t>
  </si>
  <si>
    <t>Name der Gesellschaft</t>
  </si>
  <si>
    <t>Suffix für den Titel (optional, in der Regel leer)</t>
  </si>
  <si>
    <t>Kontaktperson</t>
  </si>
  <si>
    <t>E-Mail</t>
  </si>
  <si>
    <t>SST-Währung</t>
  </si>
  <si>
    <t>Suffix für die Output-Datei der Ermittlung der LZV («LZV_Result_suffix.xlsx»)</t>
  </si>
  <si>
    <t>Konventionen</t>
  </si>
  <si>
    <t>Daten</t>
  </si>
  <si>
    <t>Parameter</t>
  </si>
  <si>
    <t>Konfig und LZV_Result</t>
  </si>
  <si>
    <t>Eingabe</t>
  </si>
  <si>
    <t>Link</t>
  </si>
  <si>
    <t>Tabellenblätter, die vom Versicherungsunternehmen auszufüllen sind.</t>
  </si>
  <si>
    <t>Vorzeichenkonvention</t>
  </si>
  <si>
    <t>Prämien</t>
  </si>
  <si>
    <t>Leistungen</t>
  </si>
  <si>
    <t>Prämien - Leistungen - Kosten</t>
  </si>
  <si>
    <t>LZV</t>
  </si>
  <si>
    <t>Benutzerhandbuch</t>
  </si>
  <si>
    <t>Tabellenblätter und jeweiliger Zweck</t>
  </si>
  <si>
    <t>Die Liste der Tabellenblätter befindet sich am Anfang des Tabellenblatts «HE_glossary». Die Tabellenblätter werden im Kapitel «Beschreibung des SST-Health-Templates» des Dokuments «Technische Beschreibung für das SST-Standardmodell Kranken» erklärt.</t>
  </si>
  <si>
    <t>Das Tabellenblatt «HE_prescribed_parameters» enthält Informationen über die vorgeschriebenen Parameter des SST-Standardmodells Kranken.</t>
  </si>
  <si>
    <t xml:space="preserve">Schritte 1 bis 5: Ermittlung der Langzeitverpflichtungen (LZV) </t>
  </si>
  <si>
    <t>Schritt 1</t>
  </si>
  <si>
    <t>Schritt 2a - SST 2024</t>
  </si>
  <si>
    <t>Schritt 2b - SST 2024</t>
  </si>
  <si>
    <t>Schritt 3 - SST 2024</t>
  </si>
  <si>
    <t>Schritt 4 - SST 2024</t>
  </si>
  <si>
    <t>Schritt 5</t>
  </si>
  <si>
    <t>Tabellenblätter «Intro_SM_Health» und «HE_contract_groups» ausfüllen</t>
  </si>
  <si>
    <t xml:space="preserve">Tabellenblatt «HE_VWK» sowie Tabellenblätter «HE_CGx» (ein Tabellenblatt pro Vertragsgruppe) am Ende dieser Mappe ausfüllen.  </t>
  </si>
  <si>
    <t>Dieser Schritt 2b ist freiwillig für den SST 2024.</t>
  </si>
  <si>
    <t>Makros des «Berechnungs-Template-LZV.xlsm» ausführen</t>
  </si>
  <si>
    <t>Tabellenblatt «HE_LZV_CF_(classic)» auf Grundlage der Ergebnisse des «Berechnungs-Template-LZV.xlsm» ausfüllen, dann Anweisungen unten auf diesem Blatt folgen, um «HE_LZV_CF» gemäss Schritt 5 auszufüllen.</t>
  </si>
  <si>
    <t>Schritt 6</t>
  </si>
  <si>
    <t>Schritt 7</t>
  </si>
  <si>
    <t>Schritt 8</t>
  </si>
  <si>
    <t>Tabellenblatt «HE_ins_risk_KTG» für Versicherungsrisiko Kollektivtaggeld ausfüllen</t>
  </si>
  <si>
    <t>Schritte 9 und 10: Dokumentation und Finalisierung der Berechnungen</t>
  </si>
  <si>
    <t>Schritt 10</t>
  </si>
  <si>
    <t>Outputs des Standardmodells Kranken, die sich im Tabellenblatt «HE_input_SST_Template» befinden, ins SST-Template kopieren. Alle SST-Berechnungen für das Fundamental Data Sheet (FDS) werden im SST-Template finalisiert.</t>
  </si>
  <si>
    <t>Zur Aktualisierung Folgendes verwenden: «Formulas / Defined Names / Use in Formula / Paste Names / Paste List»</t>
  </si>
  <si>
    <t xml:space="preserve">  - Die Parameter und die Eingaben für die Ermittlung der Langzeitverpflichtungen (LZV) </t>
  </si>
  <si>
    <t xml:space="preserve">  - Les paramètres et les entrées pour le calcul des engagements viagers en assurance-maladie (EVI; en allemand  "Langzeitverpflichtungen" LZV) </t>
  </si>
  <si>
    <t>Nr.</t>
  </si>
  <si>
    <t>Datum</t>
  </si>
  <si>
    <t>Tabellenblatt</t>
  </si>
  <si>
    <t>Zellen</t>
  </si>
  <si>
    <t>Erklärungen</t>
  </si>
  <si>
    <t>Liste der Tabellenblätter</t>
  </si>
  <si>
    <t>Glossar</t>
  </si>
  <si>
    <t>Allgemeine Parameter per 31.12.</t>
  </si>
  <si>
    <t xml:space="preserve">Aktualisierung der Werte im Januar </t>
  </si>
  <si>
    <t xml:space="preserve">Risikoloser Zinssatz r(t) </t>
  </si>
  <si>
    <t>in Prozent</t>
  </si>
  <si>
    <t>Fälligkeit (in Jahren)</t>
  </si>
  <si>
    <t xml:space="preserve">Diskontfaktoren </t>
  </si>
  <si>
    <t>Diskontfunktion d(t) = (1+r(t)/100)^(-t)</t>
  </si>
  <si>
    <t>Periodensterbetafeln des Bundesamts für Statistik (BFS)</t>
  </si>
  <si>
    <t>Berücksichtigte(s) Jahr(e)</t>
  </si>
  <si>
    <t>Anzahl Jahre bis CY</t>
  </si>
  <si>
    <t xml:space="preserve">CoC-Satz </t>
  </si>
  <si>
    <t>Schutzniveau</t>
  </si>
  <si>
    <t>Parameter für das Risikomodell</t>
  </si>
  <si>
    <t>Delta-Sensitivität (Risiko der zukünftigen Jahre FY)</t>
  </si>
  <si>
    <t>Sensitivität</t>
  </si>
  <si>
    <t>nach oben</t>
  </si>
  <si>
    <t>nach unten</t>
  </si>
  <si>
    <t>Risikofaktoren</t>
  </si>
  <si>
    <t>Sterblichkeit (q)</t>
  </si>
  <si>
    <t>Storno (s)</t>
  </si>
  <si>
    <t>Kosten (k)</t>
  </si>
  <si>
    <t>Leistungen (l)</t>
  </si>
  <si>
    <t xml:space="preserve">Hilfsvektor für das nicht-hedgbare Marktrisiko </t>
  </si>
  <si>
    <t xml:space="preserve"> - Variationskoeffizient</t>
  </si>
  <si>
    <t xml:space="preserve"> - Anzahl Jahre, Xi, Eta, Quelle</t>
  </si>
  <si>
    <t xml:space="preserve"> - Variationskoeffizient, Maximum, Minimum</t>
  </si>
  <si>
    <t>Szenario Antiselektion (AS) - Eintrittwahrscheinlichkeit</t>
  </si>
  <si>
    <t xml:space="preserve">Korrelationsmatrix der Risikofaktoren für die Einzelkrankenversicherung (EK) </t>
  </si>
  <si>
    <t>CY-Risiko</t>
  </si>
  <si>
    <t>Risikofaktoren für die Kollektivtaggeldversicherung (KTG)</t>
  </si>
  <si>
    <t>Szenario KTG - Eintrittwahrscheinlichkeit</t>
  </si>
  <si>
    <t>Korrelationsmatrix der Branchen EK und KTG</t>
  </si>
  <si>
    <t>Einzelkranken</t>
  </si>
  <si>
    <t>Kollektivtaggeld</t>
  </si>
  <si>
    <t>EK</t>
  </si>
  <si>
    <t>KTG</t>
  </si>
  <si>
    <t>Merkmale der Vertragsgruppen (CG)</t>
  </si>
  <si>
    <t xml:space="preserve">Daten für CY-Anpassungen </t>
  </si>
  <si>
    <t>CY, Faktor für fehlende Prämien</t>
  </si>
  <si>
    <t>Jahr PY, jährliche nicht-strukturelle Teuerung der Leistungen für CY-Anpassung</t>
  </si>
  <si>
    <t>Jahr PY, CY-Anpassungsfaktor</t>
  </si>
  <si>
    <t>Korrelationsmatrix der Leistungen</t>
  </si>
  <si>
    <t>Produktegruppen (PG)</t>
  </si>
  <si>
    <t>PG1 - Stationäre Produkte Halbprivat, Privat und Flex</t>
  </si>
  <si>
    <t>PG2 - Übrige stationäre Produkte</t>
  </si>
  <si>
    <t>PG3 - Ambulante Produkte</t>
  </si>
  <si>
    <t>PG4 - Langzeitpflege</t>
  </si>
  <si>
    <t>PG5 - Einzeltaggeld</t>
  </si>
  <si>
    <t>Total fünf Produktegruppen</t>
  </si>
  <si>
    <t>Produktegruppen und -untergruppen</t>
  </si>
  <si>
    <t>PG1.1 - Stationäre Produkte Halbprivat</t>
  </si>
  <si>
    <t>PG1.2 - Stationäre Produkte Privat</t>
  </si>
  <si>
    <t>PG1.3 - Stationäre Produkte Flex</t>
  </si>
  <si>
    <t>Arten der Tarifierung</t>
  </si>
  <si>
    <t>Effektivalter</t>
  </si>
  <si>
    <t>Eintrittsalter</t>
  </si>
  <si>
    <t>Produkteuntergruppen und Arten der Tarifierung</t>
  </si>
  <si>
    <t>.0.1 - Effektivalter</t>
  </si>
  <si>
    <t>.1.1 - Halbprivat, Effektivalter</t>
  </si>
  <si>
    <t>.2.1 - Privat, Effektivalter</t>
  </si>
  <si>
    <t>.3.1 - Flex, Effektivalter</t>
  </si>
  <si>
    <t>.0.2 - Eintrittsalter</t>
  </si>
  <si>
    <t>.1.2 - Halbprivat, Eintrittsalter</t>
  </si>
  <si>
    <t>.2.2 - Privat, Eintrittsalter</t>
  </si>
  <si>
    <t>.3.2 - Flex, Eintrittsalter</t>
  </si>
  <si>
    <t>Indikator ja/nein</t>
  </si>
  <si>
    <t>ja</t>
  </si>
  <si>
    <t>nein</t>
  </si>
  <si>
    <t>Merkmale gemäss Altersgruppe und Geschlecht</t>
  </si>
  <si>
    <t>Nr. für Input-Tabellenblätter pro Altersgruppe und Geschlecht</t>
  </si>
  <si>
    <t>Männer</t>
  </si>
  <si>
    <t>Frauen</t>
  </si>
  <si>
    <t>Gewichtungsfaktor für Durchschnittsbestand</t>
  </si>
  <si>
    <t>Beginn der Periode</t>
  </si>
  <si>
    <t>Ende der Periode</t>
  </si>
  <si>
    <t>Sterblichkeit und Storno CY</t>
  </si>
  <si>
    <t>Altersklasse</t>
  </si>
  <si>
    <t>Altersklasse x = Alter am 31.12.CY = Jahr CY - Geburtsjahr</t>
  </si>
  <si>
    <t>Indiz i der Altersklasse; i=x+1</t>
  </si>
  <si>
    <t xml:space="preserve">Erwartete Sterblichkeit BFS während CY  </t>
  </si>
  <si>
    <t>Szenario AS</t>
  </si>
  <si>
    <t>Stornoquoten des Szenarios Antiselektion (AS)</t>
  </si>
  <si>
    <t>Annahmen zukünftiger nicht-struktureller Teuerung per 31.12.</t>
  </si>
  <si>
    <t>Behandlungsjahr</t>
  </si>
  <si>
    <t>vor der Aktualisierung rot markiert</t>
  </si>
  <si>
    <t>marquées en rouge avant la mise à jour</t>
  </si>
  <si>
    <t>T.04.03a</t>
  </si>
  <si>
    <t>Massgebliche Vertragsgruppen für die Cashflows der Langzeitverpflichtungen (LZV)</t>
  </si>
  <si>
    <t>Vertragsgruppe (CG)</t>
  </si>
  <si>
    <t>Identifikator der CG</t>
  </si>
  <si>
    <t>Produktegruppe (PG)</t>
  </si>
  <si>
    <t>Produkteuntergruppe (SPG) und Art der Tarifierung (TT)</t>
  </si>
  <si>
    <t>Zusätzliche Spezifikation der CG</t>
  </si>
  <si>
    <t>Nr. der PG</t>
  </si>
  <si>
    <t>Nr. der SPG</t>
  </si>
  <si>
    <t>Nr. der TT</t>
  </si>
  <si>
    <t>Entsprechendes Tabellenblatt für die Daten nach Alter und Geschlecht</t>
  </si>
  <si>
    <t>Gemäss den 5 Standardproduktegruppen</t>
  </si>
  <si>
    <t>Gegebenenfalls Standardprodukteuntergruppe und Art der Tarifierung</t>
  </si>
  <si>
    <t xml:space="preserve">Merkmale der CG für die Berechnung </t>
  </si>
  <si>
    <t xml:space="preserve">Schwelle Prämie pro Eintrittsalter </t>
  </si>
  <si>
    <t>Schwelle invariante Leistungen pro Alter</t>
  </si>
  <si>
    <t>Schwelle invariante Kosten pro Alter</t>
  </si>
  <si>
    <t>Gruppe für Prämien-Cap (PC-G)</t>
  </si>
  <si>
    <t>Entspricht standardmässig Nummer der Produktegruppe.</t>
  </si>
  <si>
    <t xml:space="preserve">Prämienvolumen </t>
  </si>
  <si>
    <t xml:space="preserve">Total jährliche Prämien für </t>
  </si>
  <si>
    <t>Davon bereits erhaltene Prämien per 31.12.</t>
  </si>
  <si>
    <t xml:space="preserve">Angabe der Produkte der CG </t>
  </si>
  <si>
    <t>Massgebende Produkte für die Ermittlung der LZV</t>
  </si>
  <si>
    <t>Name des Produkts</t>
  </si>
  <si>
    <t>Zusätzliche Benennung</t>
  </si>
  <si>
    <t>Zu verwenden wenn Name des Produkts mehrmals erscheint, ansonsten optional (z. B. «Halbprivat»)</t>
  </si>
  <si>
    <t>Parameter für Prämien-Cap</t>
  </si>
  <si>
    <t>Minimaler Schaden-Kosten-Satz</t>
  </si>
  <si>
    <t>Jahr, ab dem dieser Satz angewendet wird</t>
  </si>
  <si>
    <t>Satz pro Jahr</t>
  </si>
  <si>
    <t>Nur die in der oben stehenden Tabelle definierten PC-G werden verwendet</t>
  </si>
  <si>
    <t>Standardmässig 90%</t>
  </si>
  <si>
    <t>Standardmässig 6; 110 falls kein Cap</t>
  </si>
  <si>
    <t>Seuls les PC-G définis dans la table ci-dessus seront utilisés</t>
  </si>
  <si>
    <t>Par défaut 6; 110 si pas de plafonnement</t>
  </si>
  <si>
    <t>Remplir les feuilles HE_CGx avant HE_LZV_CF</t>
  </si>
  <si>
    <t>Tabellenblätter HE_CGx vor HE_LZV_CF ausfüllen</t>
  </si>
  <si>
    <t>Prämien-Cap-Gruppe («Premium Cap», PC-G)</t>
  </si>
  <si>
    <t>Schritt 1: Verwaltungsaufwendungen – auf die fünf Produktegruppen (PG) abgegrenzt</t>
  </si>
  <si>
    <t>315200100 Verwaltungsaufwendungen</t>
  </si>
  <si>
    <t>Schritt 2: Informationen zum Risikobestand – auf die fünf Produktegruppen abgegrenzt und gegliedert</t>
  </si>
  <si>
    <t>Risikobestand</t>
  </si>
  <si>
    <t>Anteil am Total</t>
  </si>
  <si>
    <t>Schritt 3: Informationen zu den Leistungsdaten – auf die fünf Produktegruppen abgegrenzt und gegliedert</t>
  </si>
  <si>
    <t>Schritt 4: Herunterbrechen der bereinigten Verwaltungsaufwendungen auf die fünf Produktegruppen</t>
  </si>
  <si>
    <t>Aufteilung gemäss Risikobestand</t>
  </si>
  <si>
    <t>Bereinigte Verwaltungsaufwendungen</t>
  </si>
  <si>
    <t>Aufteilung gemäss Leistungen</t>
  </si>
  <si>
    <t>Best-Estimate pro Produktegruppe</t>
  </si>
  <si>
    <t>Schritt 5: Kostensatz pro Produktegruppe</t>
  </si>
  <si>
    <t>Prämien pro Produktegruppe</t>
  </si>
  <si>
    <t>Prämienvolumen</t>
  </si>
  <si>
    <t xml:space="preserve">Kostensatz pro Produktegruppe pro Jahr </t>
  </si>
  <si>
    <t>Kostensatz pro Produktegruppe für die Ermittlung der LZV</t>
  </si>
  <si>
    <t xml:space="preserve">Dieses Tabellenblatt enthält Cashflows </t>
  </si>
  <si>
    <t>Cashflows für die LZV in der SST-Bilanz per 31.12.</t>
  </si>
  <si>
    <t xml:space="preserve">Diskontierte Totale </t>
  </si>
  <si>
    <t>Total, in CHF</t>
  </si>
  <si>
    <t>Anteil am Total, mit Vorzeichen</t>
  </si>
  <si>
    <t>Undiskontierte Cashflows pro Abwicklungsjahr, in CHF</t>
  </si>
  <si>
    <t>Alternative Berechnung</t>
  </si>
  <si>
    <t>Cashflows vor Prämien-Cap, pro Produktegruppe</t>
  </si>
  <si>
    <t>Cashflows nach Prämien-Cap, pro Produktegruppe</t>
  </si>
  <si>
    <t>, nach Cap</t>
  </si>
  <si>
    <t>Risikobestand, pro Produktegruppe</t>
  </si>
  <si>
    <t>Anzahl Verträge (zwei Produkte zählen als zwei Verträge)</t>
  </si>
  <si>
    <t>Kennzahlen pro Vertrag (bestehendes Geschäft)</t>
  </si>
  <si>
    <t xml:space="preserve"> Best-Estimate-Gewinn pro Vertrag, in CHF</t>
  </si>
  <si>
    <t>Durchschnittsdauer eines Vertrages, in Jahren</t>
  </si>
  <si>
    <t>Anteil der PG an Total Verträge</t>
  </si>
  <si>
    <t>Anfangsbestand (bestehendes Geschäft) und Durchschnittsbestand pro Abwicklungsjahr</t>
  </si>
  <si>
    <t xml:space="preserve">Cashflows für das Risikomodell </t>
  </si>
  <si>
    <t xml:space="preserve"> Diskontiertes Total, in CHF</t>
  </si>
  <si>
    <t>Undiskontiertes Total, in CHF</t>
  </si>
  <si>
    <t>Cashflows vor Prämien-Cap, pro Cashflowtyp</t>
  </si>
  <si>
    <t xml:space="preserve">Erwartete Leistungen pro Vertrag für </t>
  </si>
  <si>
    <t>Standardabweichung der jährlichen Leistungen pro Vertrag</t>
  </si>
  <si>
    <t>Variationskoeffizient der jährlichen Leistungen</t>
  </si>
  <si>
    <t>Variationskoeffizient der jährlichen erwarteten Leistungen</t>
  </si>
  <si>
    <t>Leistungen, in CHF</t>
  </si>
  <si>
    <t>Bestand per 31.12.</t>
  </si>
  <si>
    <t>Leistungen pro Vertrag, in CHF</t>
  </si>
  <si>
    <t>Bestand per 01.01.</t>
  </si>
  <si>
    <t>Anteil der PG an Total Bestand</t>
  </si>
  <si>
    <t>Vektor für Berechnung</t>
  </si>
  <si>
    <t>Werte in SST-Bilanz und in statutarischer Bilanz</t>
  </si>
  <si>
    <t>Berechnungsschritte</t>
  </si>
  <si>
    <t>Vor Prämien-Cap, undiskontiert, in CHF</t>
  </si>
  <si>
    <t>Quotient vor/nach Cap</t>
  </si>
  <si>
    <t>Nach Prämien-Cap, undiskontiert, in CHF</t>
  </si>
  <si>
    <t>Quotient vor/nach Diskontierung</t>
  </si>
  <si>
    <t>Nach Prämien-Cap, diskontiert, in CHF</t>
  </si>
  <si>
    <t>Best-Estimate der Langzeitverpflichtungen (Kranken): Brutto</t>
  </si>
  <si>
    <t>1) Abhängigkeit der Langzeitverpflichtungen (LZV) von den Risikofaktoren für das Risiko der zukünftigen Jahre</t>
  </si>
  <si>
    <t>Risikofaktoren (inkl. Prämien-Cap)</t>
  </si>
  <si>
    <t xml:space="preserve">Auslenkung </t>
  </si>
  <si>
    <t xml:space="preserve">Relative Auslenkung des Risikofaktors, </t>
  </si>
  <si>
    <t>Wert der LZV abhängig vom Risikofaktor, in CHF</t>
  </si>
  <si>
    <t>Delta-Sensitivität</t>
  </si>
  <si>
    <t>Variationskoeffizient des Risikofaktors</t>
  </si>
  <si>
    <t>Multivariates Normal-Modell</t>
  </si>
  <si>
    <t>2) CY-Risiko</t>
  </si>
  <si>
    <t>Erwartete Leistungen für das Behandlungsjahr CY des bestehenden Geschäfts per 31.12.</t>
  </si>
  <si>
    <t>Standardabweichung der jährlichen Leistungen, in CHF</t>
  </si>
  <si>
    <t>1) und 2) Übersicht der Ergebnisse</t>
  </si>
  <si>
    <t xml:space="preserve">Risikofaktoren </t>
  </si>
  <si>
    <t>Versicherungsrisiko der zukünftigen Jahre</t>
  </si>
  <si>
    <t>Versicherungsrisiko Einzelkranken (vor Szenario AS)</t>
  </si>
  <si>
    <t>3) Szenario Antiselektion</t>
  </si>
  <si>
    <t>Wert der LZV nach Ereignis Antiselektion, in CHF</t>
  </si>
  <si>
    <t>Auswirkung des Ereignisses Antiselektion, in CHF</t>
  </si>
  <si>
    <t>Verhältnis Expected Shortfall / Quantil</t>
  </si>
  <si>
    <t xml:space="preserve">Verkleinerter Raum an Risikofaktoren, wird verwendet für MVM ab Jahr 6 der Projektion </t>
  </si>
  <si>
    <t>Relativer Anteil am Risiko</t>
  </si>
  <si>
    <t>PG5 - Einzeltaggeldversicherung</t>
  </si>
  <si>
    <t>Standardabweichung der LZV aufgrund der Auslenkung des Risikofaktors, in CHF</t>
  </si>
  <si>
    <t>Provisions de viellissement statutaires</t>
  </si>
  <si>
    <t>Statutarische Alterungsrückstellungen</t>
  </si>
  <si>
    <t>T.10.18a</t>
  </si>
  <si>
    <t xml:space="preserve"> (signe positif)</t>
  </si>
  <si>
    <t>TOTAL Standardabweichung der LZV aufgrund der Auslenkungen der Risikofaktoren, in CHF</t>
  </si>
  <si>
    <t>Erwartete Leistungen (Jahressumme) vor Rückversicherung, in Mio. CHF</t>
  </si>
  <si>
    <t>Erwartete Leistungen (Jahressumme) nach Rückversicherung, in Mio. CHF</t>
  </si>
  <si>
    <t>Variabilität (Werte, falls die erste Methode verwendet wird)</t>
  </si>
  <si>
    <t>1) Zufallsrisiko</t>
  </si>
  <si>
    <t>Erwartete Anzahl Schadenfälle</t>
  </si>
  <si>
    <t>Variationskoeffizient des Einzelschadens</t>
  </si>
  <si>
    <t>Variationskoeffizient des Zufallsrisikos</t>
  </si>
  <si>
    <t>2) Parameterrisiko</t>
  </si>
  <si>
    <t>Variationskoeffizient des Parameterrisikos</t>
  </si>
  <si>
    <t>1) + 2) Zufallsrisiko und Parameterrisiko</t>
  </si>
  <si>
    <t>Standardabweichung der jährlichen Leistungen nach Rückversicherung, in Mio. CHF</t>
  </si>
  <si>
    <t>Wert der erwarteten Leistungen nach Ereignis Krankentaggeld, in Mio. CHF</t>
  </si>
  <si>
    <t>Auswirkung des Ereignisses Krankentaggeld</t>
  </si>
  <si>
    <t>Szenario Krankentaggeld</t>
  </si>
  <si>
    <t>Erwartetes Versicherungsergebnis des Neugeschäfts Kranken</t>
  </si>
  <si>
    <t>Total Krankenversicherung VVG</t>
  </si>
  <si>
    <t>Einzelkrankenversicherung (EK)</t>
  </si>
  <si>
    <t>Daten über Anzahl neuer Verträge per 01.01.</t>
  </si>
  <si>
    <t xml:space="preserve">Risikobestand </t>
  </si>
  <si>
    <t>Totale erwartete Cashflows der neuen Verträge per 01.01.</t>
  </si>
  <si>
    <t>Anzahl neuer Verträge per 01.01.</t>
  </si>
  <si>
    <t>Versicherte Personen per 01.01.</t>
  </si>
  <si>
    <t>Anzahl versicherter Personen per 01.01.</t>
  </si>
  <si>
    <t>Kollektivtaggeldversicherung (KTG)</t>
  </si>
  <si>
    <t xml:space="preserve">Erwartete Prämien (verdiente) vor Rückversicherung </t>
  </si>
  <si>
    <t>Erwartete Prämien (verdiente) nach Rückversicherung</t>
  </si>
  <si>
    <t>Erwartete Leistungen (Jahressumme) vor Rückversicherung</t>
  </si>
  <si>
    <t>Erwartete Leistungen (Jahressumme) nach Rückversicherung</t>
  </si>
  <si>
    <t>Versicherungsergebnis (nach Rückversicherung)</t>
  </si>
  <si>
    <t>Autres charges (évaluées conformément au marché)</t>
  </si>
  <si>
    <t>Andere Aufwendungen (marktkonform bewertet)</t>
  </si>
  <si>
    <t>Eine Person mit mehreren Produkten zählt nur einmal (Kopfzählung)</t>
  </si>
  <si>
    <t>Betriebs- und Verwaltungsaufwendungen</t>
  </si>
  <si>
    <t>Veränderung der Schadenrückstellungen (Best-Estimate)</t>
  </si>
  <si>
    <t>Veränderung der sonstigen Versicherungsrückstellungen (Best-Estimate)</t>
  </si>
  <si>
    <t xml:space="preserve"> (einschliesslich Personen, die schon versichert waren per 31.12.</t>
  </si>
  <si>
    <t>T.12.02a</t>
  </si>
  <si>
    <t>Abwicklungsjahr</t>
  </si>
  <si>
    <t>Undiskontierte Cashflows, in CHF</t>
  </si>
  <si>
    <t>Diskontierte Cashflows, in CHF</t>
  </si>
  <si>
    <t>Diskontierte Cashflows (SST-Stichtag diskontiert), verbleibendes Total zu Beginn des Jahres k, in CHF</t>
  </si>
  <si>
    <t>Undiskontierte Cashflows, verbleibendes Total zu Beginn des Jahres k, in CHF</t>
  </si>
  <si>
    <t>Faktor für Diversifikation</t>
  </si>
  <si>
    <t>Jahre 1 bis 5</t>
  </si>
  <si>
    <t>Ab Jahr 6</t>
  </si>
  <si>
    <t>Summe</t>
  </si>
  <si>
    <t>Einjahresrisiko, in Mio. CHF</t>
  </si>
  <si>
    <t>Versicherungsrisiko EK (vor Szenario AS)</t>
  </si>
  <si>
    <t>Jährliche Kapitalkosten für das projizierte Risiko</t>
  </si>
  <si>
    <t>Diskontierter Wert der zukünftigen Kapitalkosten</t>
  </si>
  <si>
    <t>Erwartetes Versicherungsergebnis</t>
  </si>
  <si>
    <t>BE Tilde Kranken</t>
  </si>
  <si>
    <t>MVM Kranken</t>
  </si>
  <si>
    <t>Best-Estimate der Langzeitverpflichtungen (Kranken)</t>
  </si>
  <si>
    <t>Kranken CHF</t>
  </si>
  <si>
    <t xml:space="preserve">Sensitivität </t>
  </si>
  <si>
    <t>Versicherungsrisiko Einzelkranken: LZV-Risiko (Expected Shortfall)</t>
  </si>
  <si>
    <t>davon Sterblichkeit (Expected Shortfall)</t>
  </si>
  <si>
    <t>davon Storno (Expected Shortfall)</t>
  </si>
  <si>
    <t>davon Verwaltungskosten (Expected Shortfall)</t>
  </si>
  <si>
    <t>davon Leistungen (Expected Shortfall)</t>
  </si>
  <si>
    <t>Versicherungsrisiko Einzelkranken: CY-Risiko (Expected Shortfall)</t>
  </si>
  <si>
    <t xml:space="preserve">Einzelkranken: Anzahl Versicherte (Kopfzählung)  </t>
  </si>
  <si>
    <t>Kollektivtaggeld: Erwartete Prämien (vor Rückversicherung)</t>
  </si>
  <si>
    <t>Kollektivtaggeld: Erwartete Leistungen (vor Rückversicherung)</t>
  </si>
  <si>
    <t>Cash flows actualisés (au jour de référence du SST) , total restant au début de l'année k, en CHF</t>
  </si>
  <si>
    <t>Jeder Abschnitt dieses Tabellenblatts entspricht einem Tabellenblatt des SST-Templates.</t>
  </si>
  <si>
    <t>Les champs de cette feuille sont des outputs du modèle standard maladie qui doivent être recopiés aux entrées correspondantes du SST-Template. Les montants monétaires sont en millions de CHF comme requis par le SST-Template.</t>
  </si>
  <si>
    <t>Outputs du modèle standard maladie pour la feuille "SST Balance Sheet" du SST-Template</t>
  </si>
  <si>
    <t>Outputs des Standardmodels Kranken für das Tabellenblatt «SST Balance Sheet» des SST-Templates</t>
  </si>
  <si>
    <t>Outputs du modèle standard maladie pour la feuille "Insurance Cashflows" du SST-Template</t>
  </si>
  <si>
    <t>Outputs des Standardmodells Kranken für das Tabellenblatt «Insurance Cashflows» des SST-Templates</t>
  </si>
  <si>
    <t>Outputs du modèle standard maladie pour la feuille "Health" du SST-Template</t>
  </si>
  <si>
    <t>Outputs des Standardmodells Kranken für das Tabellenblatt «Health» des SST-Templates</t>
  </si>
  <si>
    <t>Probabilités de survenance des scénarios du modèle standard maladie</t>
  </si>
  <si>
    <t>Eintrittswahrscheinlichkeiten der Szenarien des Standardmodells Kranken</t>
  </si>
  <si>
    <t>Outputs du modèle standard maladie pour la feuille "Other Data" du SST-Template</t>
  </si>
  <si>
    <t>Outputs des Standardmodells Kranken für das Tabellenblatt «Other Data» des SST-Templates</t>
  </si>
  <si>
    <t>Outputs des Standardmodells Kranken für das Tabellenblatt «General Inputs» des SST-Templates</t>
  </si>
  <si>
    <t>Auswirkungen der Szenarien des Standardmodells Kranken</t>
  </si>
  <si>
    <t>Effets des scénarios du modèle standard maladie</t>
  </si>
  <si>
    <t xml:space="preserve">Eingabe der Daten der Gesellschaft </t>
  </si>
  <si>
    <t>Indiz i der Altersklasse;  i = x+1</t>
  </si>
  <si>
    <t xml:space="preserve">Geburtsjahr </t>
  </si>
  <si>
    <t>Anzahl Verträge per 01.01.</t>
  </si>
  <si>
    <t xml:space="preserve"> des bestehenden Geschäfts per 31.12.</t>
  </si>
  <si>
    <t>Sterblichkeit CY</t>
  </si>
  <si>
    <t xml:space="preserve">Faktor für Durchschnittsbestand </t>
  </si>
  <si>
    <t>Daten für die erwarteten Prämien CY</t>
  </si>
  <si>
    <t>Prämien für 12 Monate aller Verträge per 01.01.</t>
  </si>
  <si>
    <t>, von allen Verträgen per 01.01.</t>
  </si>
  <si>
    <t xml:space="preserve">Erwartete Prämie pro Vertrag für </t>
  </si>
  <si>
    <t>Standard</t>
  </si>
  <si>
    <t>Daten für die erwarteten Kosten CY</t>
  </si>
  <si>
    <t xml:space="preserve">Erwartete Kosten pro Vertrag für </t>
  </si>
  <si>
    <t xml:space="preserve">Jahresdaten </t>
  </si>
  <si>
    <t xml:space="preserve"> für die erwarteten Leistungen CY</t>
  </si>
  <si>
    <t>Anzahl Verträge per 31.12.</t>
  </si>
  <si>
    <t>Davon Verträge per 31.12.</t>
  </si>
  <si>
    <t xml:space="preserve"> ohne Deckung am 01.01.</t>
  </si>
  <si>
    <t>, kohärent mit dem Faktor für CY</t>
  </si>
  <si>
    <t xml:space="preserve">Leistungen für das Behandlungsjahr </t>
  </si>
  <si>
    <t>, einschliesslich IBNR, von allen Verträgen</t>
  </si>
  <si>
    <t xml:space="preserve">Leistungen pro Vertrag für das Behandlungsjahr </t>
  </si>
  <si>
    <t>vor Anpassung an CY</t>
  </si>
  <si>
    <t>nach Anpassung an CY</t>
  </si>
  <si>
    <t>Erwartete Leistungen CY</t>
  </si>
  <si>
    <t>vor Glättung</t>
  </si>
  <si>
    <t xml:space="preserve">Standardglättung </t>
  </si>
  <si>
    <t>alternative Glättung</t>
  </si>
  <si>
    <t>Altersklasse x = betroffenes Jahr - Geburtsjahr</t>
  </si>
  <si>
    <t>Daten für Durchschnittsbestand CY und Durchschnittsbestände der folgende Jahre</t>
  </si>
  <si>
    <t>Davon neue Verträge am 01.01.</t>
  </si>
  <si>
    <t xml:space="preserve"> attendue, de tous les contrats au 01.01.</t>
  </si>
  <si>
    <t xml:space="preserve"> aus dem Bestand per 01.01.</t>
  </si>
  <si>
    <t>Farbcode</t>
  </si>
  <si>
    <t>Tabellenblätter mit Informationen, Parametern oder Berechnungen. Diese Tabellenblätter sollten in der Regel nicht geändert werden.</t>
  </si>
  <si>
    <t>Eingabefelder: In diesen Feldern sind versicherungsspezifische Eingaben vorzunehmen.</t>
  </si>
  <si>
    <t>Tabellenblätter der separaten Datei mit Makros «Berechnungs-Template-LZV.xlsm» ausfüllen</t>
  </si>
  <si>
    <t>Tabellenblätter «HE_CV_Leistungen» und «HE_ins_risk_EK» für Versicherungsrisiko Einzelkranken ausfüllen (die benötigten Ergebnisse der Ermittlung der Langzeitverpflichtungen sind bereits im Tabellenblatt «HE_LZV_CF», siehe oben)</t>
  </si>
  <si>
    <t>Tabellenblatt «HE_expected_result» für erwartetes Versicherungsergebnis und Anzahl versicherte Personen (Kopfzählung) ausfüllen</t>
  </si>
  <si>
    <t>Namen, auf die in Formeln verwiesen wird.</t>
  </si>
  <si>
    <t>Verwendet (für die LZV)</t>
  </si>
  <si>
    <t>Quelle für Sterbetafeln: Männer</t>
  </si>
  <si>
    <t>Quelle für Sterbetafeln: Frauen</t>
  </si>
  <si>
    <t>Berücksichtigte Jahre</t>
  </si>
  <si>
    <t>Cost of Capital-Satz zur Berechnung des Mindestbetrages</t>
  </si>
  <si>
    <t>Für Schätzung der Leistungen des aktuellen Jahres (CY) berücksichtigte Vorjahre (PY)</t>
  </si>
  <si>
    <t>Für Schätzung der Verwaltungskostensätze berücksichtigte Vorjahre</t>
  </si>
  <si>
    <t>Zu berücksichtigende Jahre</t>
  </si>
  <si>
    <t>Korrekturfaktor Sterblichkeit BFS, nach Geschlecht</t>
  </si>
  <si>
    <t>Erwartete Stornoquoten während CY, pro Produktegruppe und -untergruppe (Tarifierung nach Effektivalter)</t>
  </si>
  <si>
    <t>Erwartete Stornoquoten während CY, pro Produktegruppe und -untergruppe (Tarifierung nach Eintrittsalter)</t>
  </si>
  <si>
    <t>Abweichung der vorgesehenen Quote für Jahr 1 (CY), verwendete Quoten für Jahr 2 und folgende</t>
  </si>
  <si>
    <t>zusätzl. Nr.</t>
  </si>
  <si>
    <t>Auszufüllen, wenn die vorangehenden Spezifikationen nicht ausreichen. Bitte keine Sonderzeichen oder Punkte verwenden</t>
  </si>
  <si>
    <t>falls nötig vorausgefüllte Werte manuell überschreiben</t>
  </si>
  <si>
    <t xml:space="preserve">Standardmässig «ja»; «nein» für Satz für zusammengezogene Jahre </t>
  </si>
  <si>
    <t>Verwaltungsaufwendungen, die nicht PG1 bis PG5 zuzuordnen sind</t>
  </si>
  <si>
    <t>Bereinigte Verwaltungsaufwendungen der PG1 bis PG5, vermindert um 5%</t>
  </si>
  <si>
    <t>Dieses Sheet ist, bis zur Zeile 129, gegenüber dem SST 2023 unverändert. Ab Zeile 130 gibt es Hinweise, wie Sie mit den Berechnungen aus diesem Sheet vorgehen sollten. Ausserdem ist der Titel neu. (Cette feuille n'existe pas en version française.)</t>
  </si>
  <si>
    <t>Im Sheet "HE_LZV_CF" gibt es keine Links zu dem vorliegenden Sheet, weil es ab dem SST 2025 voraussichtlich nicht mehr im Template sein wird.</t>
  </si>
  <si>
    <t>Basisfall - ohne Auslenkung</t>
  </si>
  <si>
    <t>Zusammenzug</t>
  </si>
  <si>
    <t>Verhältnis zum Basisfall, mit Vorzeichen</t>
  </si>
  <si>
    <t>Totale (mit Auslenkung nur für die vorgegebenen Jahre, verbleibende Jahre ohne Auslenkung)</t>
  </si>
  <si>
    <t>Mittelwert</t>
  </si>
  <si>
    <t>Positives Vorzeichen für eingehenden Cashflow</t>
  </si>
  <si>
    <t>Positives Vorzeichen für ausgehenden Cashflow</t>
  </si>
  <si>
    <t>Positives Vorzeichen wenn Gewinn, negatives Vorzeichen wenn Verlust</t>
  </si>
  <si>
    <t xml:space="preserve"> (positives Vorzeichen)</t>
  </si>
  <si>
    <t>Expected Shortfall 1% der Standardnormalverteilung</t>
  </si>
  <si>
    <t>1%-Quantil der Standardnormalverteilung</t>
  </si>
  <si>
    <t>Erwartungswerte</t>
  </si>
  <si>
    <t xml:space="preserve">Bitte begründen, falls Abweichung vom Standardwert </t>
  </si>
  <si>
    <t>Negatives Vorzeichen (Verlust)</t>
  </si>
  <si>
    <t xml:space="preserve"> (ausgenommen garantierte Eintritte)</t>
  </si>
  <si>
    <t xml:space="preserve"> auf ihrer gesamten Abwicklungsdauer</t>
  </si>
  <si>
    <t>Versicherungstechnische Erträge (nach Rückversicherung)</t>
  </si>
  <si>
    <t>Versicherungstechnische Aufwendungen (nach Rückversicherung)</t>
  </si>
  <si>
    <t>Versicherungsrisiko EK (vor Szenario AS) dividiert durch den Barwert der Leistungen und Verwaltungskosten</t>
  </si>
  <si>
    <t>Mindestbetrag (Summe der diskontierten Kapitalkosten), in Mio. CHF</t>
  </si>
  <si>
    <t>Szenario KTG</t>
  </si>
  <si>
    <t>Die Inhalte dieses Tabellenblatts sind Outputs des Standardmodells Kranken, die in die entsprechenden Eingabefelder des SST-Templates zu übertragen sind. Die monetären Beträge sind in Millionen CHF, wie vom SST-Template verlangt.</t>
  </si>
  <si>
    <t>CY-Storni (ausgenommen garantierte Wechsel)</t>
  </si>
  <si>
    <t xml:space="preserve"> (ohne Ausfall von Zahlungen), von allen Verträgen per 01.01.</t>
  </si>
  <si>
    <t>T.04.13a</t>
  </si>
  <si>
    <t>siehe Sterbetafel unten, berechnet aus den BFS Daten</t>
  </si>
  <si>
    <t>Bezeichnung des Tabs</t>
  </si>
  <si>
    <t>Bezeichnung in Zelle A1 des Tabellenblatts</t>
  </si>
  <si>
    <t>Altersklassen-Schwelle, ab der angenommen wird, dass die erwarteten Kosten pro Alter konstant bleiben; standardmässig 110</t>
  </si>
  <si>
    <t>Altersklassen-Schwelle, ab der angenommen wird, dass die erwarteten Leistungen pro Alter konstant bleiben; standardmässig 110</t>
  </si>
  <si>
    <t>Diskontierungsfaktor</t>
  </si>
  <si>
    <t>Verwendet</t>
  </si>
  <si>
    <t>verwendete Glättung</t>
  </si>
  <si>
    <t xml:space="preserve">Ancienne feuille "HE_Input_Produkte" du "Berechnungs-Template-LZV.xlsm", remodelée et étendue </t>
  </si>
  <si>
    <t>Anciennes feuilles "HE_Input_1" à "HE_Input_7" du "Berechnungs-Template-LZV.xlsm" (saisies par âge et par sexe), remodelées et étendues</t>
  </si>
  <si>
    <t>Taux des couts du capital pour le calcul du montant minimum</t>
  </si>
  <si>
    <t>Frais de gestion qui ne sont pas attribuables à l'un des cinq PG</t>
  </si>
  <si>
    <t>Au final</t>
  </si>
  <si>
    <t xml:space="preserve">Cashflows nach Delta-Sensitivität Auslenkung mit Prämien-Cap, pro Risikofaktor </t>
  </si>
  <si>
    <t xml:space="preserve">Cash flows après variation de sensibilité delta avec plafonnement des primes, par facteur de risque </t>
  </si>
  <si>
    <t xml:space="preserve">Totaux (avec variation seulement les années prescrites, années restantes sans variation) </t>
  </si>
  <si>
    <t>Cash flows après résiliations selon le scénario anti-sélection avec plafonnement des primes, par groupe de produits</t>
  </si>
  <si>
    <t>Cashflows nach Storni gemäss Szenario Antiselektion mit Prämien-Cap, pro Produktegruppe</t>
  </si>
  <si>
    <t>, avec plafonnement des primes et actualisés</t>
  </si>
  <si>
    <t>, mit Prämien-Cap und diskontiert</t>
  </si>
  <si>
    <t>Risque d'assurance MI (avant scénario AS) divisé par les prestations et coûts actualisés</t>
  </si>
  <si>
    <t>Montant minimum (somme des couts du capital actualisés), en mio CHF</t>
  </si>
  <si>
    <t xml:space="preserve"> (excepté les immigrations dues)</t>
  </si>
  <si>
    <t>Résiliations CY (excepté les émigrations dues)</t>
  </si>
  <si>
    <t xml:space="preserve">Prämien für die in </t>
  </si>
  <si>
    <t>signe positif si engagement (perte), négatif si avoir (profit)</t>
  </si>
  <si>
    <t>Positives Vorzeichen wenn Bedarf (Verlust), negatives Vorzeichen wenn Guthaben (Gewinn)</t>
  </si>
  <si>
    <t>Chaque section de cette feuille correspond à une feuille du SST-Template.</t>
  </si>
  <si>
    <t>Zugrundeliegende Sterbetafel</t>
  </si>
  <si>
    <t>Bezeichnung der CG</t>
  </si>
  <si>
    <t>Altersklassen-Schwelle, ab der die Prämie pro Eintrittsalter angenommen wird: standardmässig 110, d. h. Prämie nach Effektivalter</t>
  </si>
  <si>
    <t xml:space="preserve">Ihre  </t>
  </si>
  <si>
    <t xml:space="preserve"> erwartete versicherte Dauer, von allen Verträgen per 01.01.</t>
  </si>
  <si>
    <t xml:space="preserve">Primes pour la durée assurée en </t>
  </si>
  <si>
    <t>Bezeichnung entspricht jener der FINMA für die Genehmigung der Prämien in der EHP. Derselbe Produktname kann auf mehreren Zeilen aufgeführt werden, wenn mehrere CG vom selben Produkt betroffen sind</t>
  </si>
  <si>
    <t xml:space="preserve"> aller Verträge per 01.01.</t>
  </si>
  <si>
    <t xml:space="preserve"> de tous les contrats au 01.01.</t>
  </si>
  <si>
    <t>Informationen zur aktuellen SST-Ermittlung</t>
  </si>
  <si>
    <t>Aktuelles Jahr (CY) der SST-Ermittlung</t>
  </si>
  <si>
    <t xml:space="preserve">Schritte 6 bis 8: Ermittlung des Versicherungsrisikos </t>
  </si>
  <si>
    <t>name</t>
  </si>
  <si>
    <t>col</t>
  </si>
  <si>
    <t>type</t>
  </si>
  <si>
    <t>isValueRequired</t>
  </si>
  <si>
    <t>isReplacementZero</t>
  </si>
  <si>
    <t>excludeNA</t>
  </si>
  <si>
    <t>characteristic</t>
  </si>
  <si>
    <t>dataSelection</t>
  </si>
  <si>
    <t>filterValue</t>
  </si>
  <si>
    <t>Warning</t>
  </si>
  <si>
    <t>Error</t>
  </si>
  <si>
    <t>keyword</t>
  </si>
  <si>
    <t>description</t>
  </si>
  <si>
    <t>sheet</t>
  </si>
  <si>
    <t>row</t>
  </si>
  <si>
    <t>endRow</t>
  </si>
  <si>
    <t>isValue</t>
  </si>
  <si>
    <t>isEmptyAllowed</t>
  </si>
  <si>
    <t>isDropEmptyRows</t>
  </si>
  <si>
    <t>isCorrelation</t>
  </si>
  <si>
    <t>Y1</t>
  </si>
  <si>
    <t>3</t>
  </si>
  <si>
    <t>Numeric</t>
  </si>
  <si>
    <t>TRUE</t>
  </si>
  <si>
    <t>FALSE</t>
  </si>
  <si>
    <t/>
  </si>
  <si>
    <t>discountFactors</t>
  </si>
  <si>
    <t>Zinssaetze</t>
  </si>
  <si>
    <t>15</t>
  </si>
  <si>
    <t>Y2</t>
  </si>
  <si>
    <t>4</t>
  </si>
  <si>
    <t>Y3</t>
  </si>
  <si>
    <t>5</t>
  </si>
  <si>
    <t>Y4</t>
  </si>
  <si>
    <t>6</t>
  </si>
  <si>
    <t>Y5</t>
  </si>
  <si>
    <t>7</t>
  </si>
  <si>
    <t>Y6</t>
  </si>
  <si>
    <t>8</t>
  </si>
  <si>
    <t>Y7</t>
  </si>
  <si>
    <t>9</t>
  </si>
  <si>
    <t>Y8</t>
  </si>
  <si>
    <t>10</t>
  </si>
  <si>
    <t>Y9</t>
  </si>
  <si>
    <t>11</t>
  </si>
  <si>
    <t>Y10</t>
  </si>
  <si>
    <t>12</t>
  </si>
  <si>
    <t>Y11</t>
  </si>
  <si>
    <t>13</t>
  </si>
  <si>
    <t>Y12</t>
  </si>
  <si>
    <t>14</t>
  </si>
  <si>
    <t>Y13</t>
  </si>
  <si>
    <t>Y14</t>
  </si>
  <si>
    <t>16</t>
  </si>
  <si>
    <t>Y15</t>
  </si>
  <si>
    <t>17</t>
  </si>
  <si>
    <t>Y16</t>
  </si>
  <si>
    <t>18</t>
  </si>
  <si>
    <t>Y17</t>
  </si>
  <si>
    <t>19</t>
  </si>
  <si>
    <t>Y18</t>
  </si>
  <si>
    <t>20</t>
  </si>
  <si>
    <t>Y19</t>
  </si>
  <si>
    <t>21</t>
  </si>
  <si>
    <t>Y20</t>
  </si>
  <si>
    <t>22</t>
  </si>
  <si>
    <t>Y21</t>
  </si>
  <si>
    <t>23</t>
  </si>
  <si>
    <t>Y22</t>
  </si>
  <si>
    <t>24</t>
  </si>
  <si>
    <t>Y23</t>
  </si>
  <si>
    <t>25</t>
  </si>
  <si>
    <t>Y24</t>
  </si>
  <si>
    <t>26</t>
  </si>
  <si>
    <t>Y25</t>
  </si>
  <si>
    <t>27</t>
  </si>
  <si>
    <t>Y26</t>
  </si>
  <si>
    <t>28</t>
  </si>
  <si>
    <t>Y27</t>
  </si>
  <si>
    <t>29</t>
  </si>
  <si>
    <t>Y28</t>
  </si>
  <si>
    <t>30</t>
  </si>
  <si>
    <t>Y29</t>
  </si>
  <si>
    <t>31</t>
  </si>
  <si>
    <t>Y30</t>
  </si>
  <si>
    <t>32</t>
  </si>
  <si>
    <t>Y31</t>
  </si>
  <si>
    <t>33</t>
  </si>
  <si>
    <t>Y32</t>
  </si>
  <si>
    <t>34</t>
  </si>
  <si>
    <t>Y33</t>
  </si>
  <si>
    <t>35</t>
  </si>
  <si>
    <t>Y34</t>
  </si>
  <si>
    <t>36</t>
  </si>
  <si>
    <t>Y35</t>
  </si>
  <si>
    <t>37</t>
  </si>
  <si>
    <t>Y36</t>
  </si>
  <si>
    <t>38</t>
  </si>
  <si>
    <t>Y37</t>
  </si>
  <si>
    <t>39</t>
  </si>
  <si>
    <t>Y38</t>
  </si>
  <si>
    <t>40</t>
  </si>
  <si>
    <t>Y39</t>
  </si>
  <si>
    <t>41</t>
  </si>
  <si>
    <t>Y40</t>
  </si>
  <si>
    <t>42</t>
  </si>
  <si>
    <t>Y41</t>
  </si>
  <si>
    <t>43</t>
  </si>
  <si>
    <t>Y42</t>
  </si>
  <si>
    <t>44</t>
  </si>
  <si>
    <t>Y43</t>
  </si>
  <si>
    <t>45</t>
  </si>
  <si>
    <t>Y44</t>
  </si>
  <si>
    <t>46</t>
  </si>
  <si>
    <t>Y45</t>
  </si>
  <si>
    <t>47</t>
  </si>
  <si>
    <t>Y46</t>
  </si>
  <si>
    <t>48</t>
  </si>
  <si>
    <t>Y47</t>
  </si>
  <si>
    <t>49</t>
  </si>
  <si>
    <t>Y48</t>
  </si>
  <si>
    <t>50</t>
  </si>
  <si>
    <t>Y49</t>
  </si>
  <si>
    <t>51</t>
  </si>
  <si>
    <t>Y50</t>
  </si>
  <si>
    <t>52</t>
  </si>
  <si>
    <t>Integer</t>
  </si>
  <si>
    <t>PYyears</t>
  </si>
  <si>
    <t>PY Jahre</t>
  </si>
  <si>
    <t>2</t>
  </si>
  <si>
    <t>Text</t>
  </si>
  <si>
    <t>Primary key</t>
  </si>
  <si>
    <t>CYdefault</t>
  </si>
  <si>
    <t>CY ausfall faktor</t>
  </si>
  <si>
    <t>83</t>
  </si>
  <si>
    <t>87</t>
  </si>
  <si>
    <t>factor</t>
  </si>
  <si>
    <t>inflation</t>
  </si>
  <si>
    <t>strukturelle inflation</t>
  </si>
  <si>
    <t>deltas</t>
  </si>
  <si>
    <t>delta sentitivitaeten fuer risikomodell</t>
  </si>
  <si>
    <t>up</t>
  </si>
  <si>
    <t>down</t>
  </si>
  <si>
    <t>shiftYears</t>
  </si>
  <si>
    <t>Table indicating, whether the shift applies to a year or not</t>
  </si>
  <si>
    <t>1</t>
  </si>
  <si>
    <t>53</t>
  </si>
  <si>
    <t>54</t>
  </si>
  <si>
    <t>sex</t>
  </si>
  <si>
    <t>mortalityCorrection</t>
  </si>
  <si>
    <t>korrektur fur sterblichkeit</t>
  </si>
  <si>
    <t>123</t>
  </si>
  <si>
    <t>124</t>
  </si>
  <si>
    <t>age</t>
  </si>
  <si>
    <t>stornoprofile</t>
  </si>
  <si>
    <t>134</t>
  </si>
  <si>
    <t>244</t>
  </si>
  <si>
    <t>M</t>
  </si>
  <si>
    <t>W</t>
  </si>
  <si>
    <t>mortality</t>
  </si>
  <si>
    <t>sterblichkeiten</t>
  </si>
  <si>
    <t>antiselection</t>
  </si>
  <si>
    <t>antiselektion szenario</t>
  </si>
  <si>
    <t>PGinflation</t>
  </si>
  <si>
    <t>inflation fuer produktgruppen</t>
  </si>
  <si>
    <t>252</t>
  </si>
  <si>
    <t>266</t>
  </si>
  <si>
    <t>param</t>
  </si>
  <si>
    <t>alphaOne</t>
  </si>
  <si>
    <t>parameter fuer mittelung Bestand</t>
  </si>
  <si>
    <t>127</t>
  </si>
  <si>
    <t>VWK</t>
  </si>
  <si>
    <t>verwaltungskosten der CG</t>
  </si>
  <si>
    <t>80</t>
  </si>
  <si>
    <t>84</t>
  </si>
  <si>
    <t>CG1_noContracts</t>
  </si>
  <si>
    <t>bestand CG1</t>
  </si>
  <si>
    <t>HE_CG1</t>
  </si>
  <si>
    <t>newM</t>
  </si>
  <si>
    <t>newW</t>
  </si>
  <si>
    <t>CG1_premium</t>
  </si>
  <si>
    <t>CG1 preamien per kontrakt</t>
  </si>
  <si>
    <t>CG1_benefits</t>
  </si>
  <si>
    <t>CG1 verbindlichkeiten</t>
  </si>
  <si>
    <t>CG2_noContracts</t>
  </si>
  <si>
    <t>bestand CG2</t>
  </si>
  <si>
    <t>HE_CG2</t>
  </si>
  <si>
    <t>CG2_premium</t>
  </si>
  <si>
    <t>CG2 preamien per kontrakt</t>
  </si>
  <si>
    <t>CG2_benefits</t>
  </si>
  <si>
    <t>CG2 verbindlichkeiten</t>
  </si>
  <si>
    <t>CG3_noContracts</t>
  </si>
  <si>
    <t>bestand CG3</t>
  </si>
  <si>
    <t>HE_CG3</t>
  </si>
  <si>
    <t>CG3_premium</t>
  </si>
  <si>
    <t>CG3 preamien per kontrakt</t>
  </si>
  <si>
    <t>CG3_benefits</t>
  </si>
  <si>
    <t>CG3 verbindlichkeiten</t>
  </si>
  <si>
    <t>CG4_noContracts</t>
  </si>
  <si>
    <t>bestand CG4</t>
  </si>
  <si>
    <t>HE_CG4</t>
  </si>
  <si>
    <t>CG4_premium</t>
  </si>
  <si>
    <t>CG4 preamien per kontrakt</t>
  </si>
  <si>
    <t>CG4_benefits</t>
  </si>
  <si>
    <t>CG4 verbindlichkeiten</t>
  </si>
  <si>
    <t>CG5_noContracts</t>
  </si>
  <si>
    <t>bestand CG5</t>
  </si>
  <si>
    <t>HE_CG5</t>
  </si>
  <si>
    <t>CG5_premium</t>
  </si>
  <si>
    <t>CG5 preamien per kontrakt</t>
  </si>
  <si>
    <t>CG5_benefits</t>
  </si>
  <si>
    <t>CG5 verbindlichkeiten</t>
  </si>
  <si>
    <t>CG6_noContracts</t>
  </si>
  <si>
    <t>bestand CG6</t>
  </si>
  <si>
    <t>HE_CG6</t>
  </si>
  <si>
    <t>CG6_premium</t>
  </si>
  <si>
    <t>CG6 preamien per kontrakt</t>
  </si>
  <si>
    <t>CG6_benefits</t>
  </si>
  <si>
    <t>CG6 verbindlichkeiten</t>
  </si>
  <si>
    <t>CG7_noContracts</t>
  </si>
  <si>
    <t>bestand CG7</t>
  </si>
  <si>
    <t>HE_CG7</t>
  </si>
  <si>
    <t>CG7_premium</t>
  </si>
  <si>
    <t>CG7 preamien per kontrakt</t>
  </si>
  <si>
    <t>CG7_benefits</t>
  </si>
  <si>
    <t>CG7 verbindlichkeiten</t>
  </si>
  <si>
    <t>CG8_noContracts</t>
  </si>
  <si>
    <t>bestand CG8</t>
  </si>
  <si>
    <t>HE_CG8</t>
  </si>
  <si>
    <t>CG8_premium</t>
  </si>
  <si>
    <t>CG8 preamien per kontrakt</t>
  </si>
  <si>
    <t>CG8_benefits</t>
  </si>
  <si>
    <t>CG8 verbindlichkeiten</t>
  </si>
  <si>
    <t>CG9_noContracts</t>
  </si>
  <si>
    <t>bestand CG9</t>
  </si>
  <si>
    <t>HE_CG9</t>
  </si>
  <si>
    <t>CG9_premium</t>
  </si>
  <si>
    <t>CG9 preamien per kontrakt</t>
  </si>
  <si>
    <t>CG9_benefits</t>
  </si>
  <si>
    <t>CG9 verbindlichkeiten</t>
  </si>
  <si>
    <t>CG10_noContracts</t>
  </si>
  <si>
    <t>bestand CG10</t>
  </si>
  <si>
    <t>HE_CG10</t>
  </si>
  <si>
    <t>CG10_premium</t>
  </si>
  <si>
    <t>CG10 preamien per kontrakt</t>
  </si>
  <si>
    <t>CG10_benefits</t>
  </si>
  <si>
    <t>CG10 verbindlichkeiten</t>
  </si>
  <si>
    <t>CG11_noContracts</t>
  </si>
  <si>
    <t>bestand CG11</t>
  </si>
  <si>
    <t>HE_CG11</t>
  </si>
  <si>
    <t>CG11_premium</t>
  </si>
  <si>
    <t>CG11 preamien per kontrakt</t>
  </si>
  <si>
    <t>CG11_benefits</t>
  </si>
  <si>
    <t>CG11 verbindlichkeiten</t>
  </si>
  <si>
    <t>CG12_noContracts</t>
  </si>
  <si>
    <t>bestand CG12</t>
  </si>
  <si>
    <t>HE_CG12</t>
  </si>
  <si>
    <t>CG12_premium</t>
  </si>
  <si>
    <t>CG12 preamien per kontrakt</t>
  </si>
  <si>
    <t>CG12_benefits</t>
  </si>
  <si>
    <t>CG12 verbindlichkeiten</t>
  </si>
  <si>
    <t>CG13_noContracts</t>
  </si>
  <si>
    <t>bestand CG13</t>
  </si>
  <si>
    <t>HE_CG13</t>
  </si>
  <si>
    <t>CG13_premium</t>
  </si>
  <si>
    <t>CG13 preamien per kontrakt</t>
  </si>
  <si>
    <t>CG13_benefits</t>
  </si>
  <si>
    <t>CG13 verbindlichkeiten</t>
  </si>
  <si>
    <t>CG14_noContracts</t>
  </si>
  <si>
    <t>bestand CG14</t>
  </si>
  <si>
    <t>HE_CG14</t>
  </si>
  <si>
    <t>CG14_premium</t>
  </si>
  <si>
    <t>CG14 preamien per kontrakt</t>
  </si>
  <si>
    <t>CG14_benefits</t>
  </si>
  <si>
    <t>CG14 verbindlichkeiten</t>
  </si>
  <si>
    <t>CG15_noContracts</t>
  </si>
  <si>
    <t>bestand CG15</t>
  </si>
  <si>
    <t>HE_CG15</t>
  </si>
  <si>
    <t>CG15_premium</t>
  </si>
  <si>
    <t>CG15 preamien per kontrakt</t>
  </si>
  <si>
    <t>CG15_benefits</t>
  </si>
  <si>
    <t>CG15 verbindlichkeiten</t>
  </si>
  <si>
    <t>cgName</t>
  </si>
  <si>
    <t>contractGroups</t>
  </si>
  <si>
    <t>produktgruppen</t>
  </si>
  <si>
    <t>useRTool</t>
  </si>
  <si>
    <t>Logical</t>
  </si>
  <si>
    <t>pgCapGroup</t>
  </si>
  <si>
    <t>pgName</t>
  </si>
  <si>
    <t>cgCaps</t>
  </si>
  <si>
    <t>produktgruppen caps</t>
  </si>
  <si>
    <t>cap</t>
  </si>
  <si>
    <t>capAge</t>
  </si>
  <si>
    <t>perYear</t>
  </si>
  <si>
    <t>Configuration</t>
  </si>
  <si>
    <t>Ajout de la feuille de configuration pour l'outil R</t>
  </si>
  <si>
    <t>Correction de l'erreur #VALUE en ajoutant une valeur par défaut</t>
  </si>
  <si>
    <t>AC14 et AD14</t>
  </si>
  <si>
    <t>Suppression des formules erronées</t>
  </si>
  <si>
    <t>P4:P7 et L7</t>
  </si>
  <si>
    <t>pgLabel</t>
  </si>
  <si>
    <t>Options for names of PGs</t>
  </si>
  <si>
    <t>pgspgLabel</t>
  </si>
  <si>
    <t>Options for the SPG</t>
  </si>
  <si>
    <t>91</t>
  </si>
  <si>
    <t>97</t>
  </si>
  <si>
    <t>ttLabel</t>
  </si>
  <si>
    <t>Options for the TT</t>
  </si>
  <si>
    <t>100</t>
  </si>
  <si>
    <t>101</t>
  </si>
  <si>
    <t>spgttLabel</t>
  </si>
  <si>
    <t>Options for the TT and SPG</t>
  </si>
  <si>
    <t>104</t>
  </si>
  <si>
    <t>111</t>
  </si>
  <si>
    <t>lapsesCG111</t>
  </si>
  <si>
    <t>lapsesCG121</t>
  </si>
  <si>
    <t>lapsesCG131</t>
  </si>
  <si>
    <t>lapsesCG201</t>
  </si>
  <si>
    <t>lapsesCG301</t>
  </si>
  <si>
    <t>lapsesCG401</t>
  </si>
  <si>
    <t>lapsesCG501</t>
  </si>
  <si>
    <t>lapsesCG112</t>
  </si>
  <si>
    <t>lapsesCG122</t>
  </si>
  <si>
    <t>lapsesCG132</t>
  </si>
  <si>
    <t>lapsesCG202</t>
  </si>
  <si>
    <t>lapsesCG302</t>
  </si>
  <si>
    <t>lapsesCG402</t>
  </si>
  <si>
    <t>lapsesCG502</t>
  </si>
  <si>
    <t>CG1_costs</t>
  </si>
  <si>
    <t>CG1 kosten</t>
  </si>
  <si>
    <t>CG1_mortality</t>
  </si>
  <si>
    <t>CG1 sterblichkeit</t>
  </si>
  <si>
    <t>CG1_lapses</t>
  </si>
  <si>
    <t>CG1 storno</t>
  </si>
  <si>
    <t>CG2_costs</t>
  </si>
  <si>
    <t>CG2 kosten</t>
  </si>
  <si>
    <t>CG2_mortality</t>
  </si>
  <si>
    <t>CG2 sterblichkeit</t>
  </si>
  <si>
    <t>CG2_lapses</t>
  </si>
  <si>
    <t>CG2 storno</t>
  </si>
  <si>
    <t>CG3_costs</t>
  </si>
  <si>
    <t>CG3 kosten</t>
  </si>
  <si>
    <t>CG3_mortality</t>
  </si>
  <si>
    <t>CG3 sterblichkeit</t>
  </si>
  <si>
    <t>CG3_lapses</t>
  </si>
  <si>
    <t>CG3 storno</t>
  </si>
  <si>
    <t>CG4_costs</t>
  </si>
  <si>
    <t>CG4 kosten</t>
  </si>
  <si>
    <t>CG4_mortality</t>
  </si>
  <si>
    <t>CG4 sterblichkeit</t>
  </si>
  <si>
    <t>CG4_lapses</t>
  </si>
  <si>
    <t>CG4 storno</t>
  </si>
  <si>
    <t>CG5_costs</t>
  </si>
  <si>
    <t>CG5 kosten</t>
  </si>
  <si>
    <t>CG5_mortality</t>
  </si>
  <si>
    <t>CG5 sterblichkeit</t>
  </si>
  <si>
    <t>CG5_lapses</t>
  </si>
  <si>
    <t>CG5 storno</t>
  </si>
  <si>
    <t>CG6_costs</t>
  </si>
  <si>
    <t>CG6 kosten</t>
  </si>
  <si>
    <t>CG6_mortality</t>
  </si>
  <si>
    <t>CG6 sterblichkeit</t>
  </si>
  <si>
    <t>CG6_lapses</t>
  </si>
  <si>
    <t>CG6 storno</t>
  </si>
  <si>
    <t>CG7_costs</t>
  </si>
  <si>
    <t>CG7 kosten</t>
  </si>
  <si>
    <t>CG7_mortality</t>
  </si>
  <si>
    <t>CG7 sterblichkeit</t>
  </si>
  <si>
    <t>CG7_lapses</t>
  </si>
  <si>
    <t>CG7 storno</t>
  </si>
  <si>
    <t>CG8_costs</t>
  </si>
  <si>
    <t>CG8 kosten</t>
  </si>
  <si>
    <t>CG8_mortality</t>
  </si>
  <si>
    <t>CG8 sterblichkeit</t>
  </si>
  <si>
    <t>CG8_lapses</t>
  </si>
  <si>
    <t>CG8 storno</t>
  </si>
  <si>
    <t>CG9_costs</t>
  </si>
  <si>
    <t>CG9 kosten</t>
  </si>
  <si>
    <t>CG9_mortality</t>
  </si>
  <si>
    <t>CG9 sterblichkeit</t>
  </si>
  <si>
    <t>CG9_lapses</t>
  </si>
  <si>
    <t>CG9 storno</t>
  </si>
  <si>
    <t>CG10_costs</t>
  </si>
  <si>
    <t>CG10 kosten</t>
  </si>
  <si>
    <t>CG10_mortality</t>
  </si>
  <si>
    <t>CG10 sterblichkeit</t>
  </si>
  <si>
    <t>CG10_lapses</t>
  </si>
  <si>
    <t>CG10 storno</t>
  </si>
  <si>
    <t>CG11_costs</t>
  </si>
  <si>
    <t>CG11 kosten</t>
  </si>
  <si>
    <t>CG11_mortality</t>
  </si>
  <si>
    <t>CG11 sterblichkeit</t>
  </si>
  <si>
    <t>CG11_lapses</t>
  </si>
  <si>
    <t>CG11 storno</t>
  </si>
  <si>
    <t>CG12_costs</t>
  </si>
  <si>
    <t>CG12 kosten</t>
  </si>
  <si>
    <t>CG12_mortality</t>
  </si>
  <si>
    <t>CG12 sterblichkeit</t>
  </si>
  <si>
    <t>CG12_lapses</t>
  </si>
  <si>
    <t>CG12 storno</t>
  </si>
  <si>
    <t>CG13_costs</t>
  </si>
  <si>
    <t>CG13 kosten</t>
  </si>
  <si>
    <t>CG13_mortality</t>
  </si>
  <si>
    <t>CG13 sterblichkeit</t>
  </si>
  <si>
    <t>CG13_lapses</t>
  </si>
  <si>
    <t>CG13 storno</t>
  </si>
  <si>
    <t>CG14_costs</t>
  </si>
  <si>
    <t>CG14 kosten</t>
  </si>
  <si>
    <t>CG14_mortality</t>
  </si>
  <si>
    <t>CG14 sterblichkeit</t>
  </si>
  <si>
    <t>CG14_lapses</t>
  </si>
  <si>
    <t>CG14 storno</t>
  </si>
  <si>
    <t>CG15_costs</t>
  </si>
  <si>
    <t>CG15 kosten</t>
  </si>
  <si>
    <t>CG15_mortality</t>
  </si>
  <si>
    <t>CG15 sterblichkeit</t>
  </si>
  <si>
    <t>CG15_lapses</t>
  </si>
  <si>
    <t>CG15 storno</t>
  </si>
  <si>
    <t>othLabel</t>
  </si>
  <si>
    <t>cgLabel</t>
  </si>
  <si>
    <t>pgKey</t>
  </si>
  <si>
    <t>spgKey</t>
  </si>
  <si>
    <t>ttKey</t>
  </si>
  <si>
    <t>othKey</t>
  </si>
  <si>
    <t>premiumAgeThres</t>
  </si>
  <si>
    <t>benefitsAgeThres</t>
  </si>
  <si>
    <t>costAgeThres</t>
  </si>
  <si>
    <t>productName</t>
  </si>
  <si>
    <t>cgProducts</t>
  </si>
  <si>
    <t>produkte in CGs</t>
  </si>
  <si>
    <t>132</t>
  </si>
  <si>
    <t>nameAddOn</t>
  </si>
  <si>
    <t>productCG</t>
  </si>
  <si>
    <t>year</t>
  </si>
  <si>
    <t>aktuelles jahr</t>
  </si>
  <si>
    <t>companyName</t>
  </si>
  <si>
    <t>gesellschaft name</t>
  </si>
  <si>
    <t>suffix</t>
  </si>
  <si>
    <t>nachsilbe fuer das Excel</t>
  </si>
  <si>
    <t>suffixTitle</t>
  </si>
  <si>
    <t>nachsilbe fuer den titel</t>
  </si>
  <si>
    <t>T14:T125 et U14:U125</t>
  </si>
  <si>
    <t>85</t>
  </si>
  <si>
    <t>86</t>
  </si>
  <si>
    <t>Correction du calcul des primes par contrat</t>
  </si>
  <si>
    <t>Feuilles ou champs pour le pilotage des autres feuilles et de l'outil LZV-Tool. En principe ne doit pas être modifié.</t>
  </si>
  <si>
    <t>Tabellenblätter oder Eingabefelder für die Steuerung der anderen Tabellenblätter und des Hilfsmittels LZV-Tool. Sollten in der Regel nicht geändert werden.</t>
  </si>
  <si>
    <t>Pour le SST 2024, même procédure de calcul des EVI qu'au SST 2023. Par ailleurs et séparément, calcul à blanc facultatif pour l'emploi du LZV-Tool.</t>
  </si>
  <si>
    <t>Für den SST 2024, gleiches Verfahren zur Ermittlung der LZV wie beim SST 2023. Zudem und separat, freiwillige Schattenrechnung für Verwendung des  LZV-Tools.</t>
  </si>
  <si>
    <t>Le dénomination "LZV-R-Tool" a été remplacée par "LZV-Tool" en français et en allemand</t>
  </si>
  <si>
    <t>C9:AZ9</t>
  </si>
  <si>
    <t>Aktualisierung der risikofreien Zero-Coupon-Raten per 31.12.2023</t>
  </si>
  <si>
    <t>D85:F85</t>
  </si>
  <si>
    <t>Aktualisierung der Inflationsannahmen</t>
  </si>
  <si>
    <t>E135:F234</t>
  </si>
  <si>
    <t>Aktualisierung der Sterblichkeiten</t>
  </si>
  <si>
    <t>DE</t>
  </si>
  <si>
    <t>C14:AZ14</t>
  </si>
  <si>
    <t>(Calcul à blanc SR2) Suppression de l'alternative</t>
  </si>
  <si>
    <t>(Calcul à blanc SR2) Changement du paramètre alpha pour le nombre de contrats moyens</t>
  </si>
  <si>
    <t>E134:E234 et F135:F234</t>
  </si>
  <si>
    <t>(Calcul à blanc SR2) Ajustement des mortalités et résiliations par rapport à la nouvelle définition</t>
  </si>
  <si>
    <t>Age au 31.12.CY-1  = x-1</t>
  </si>
  <si>
    <t>Alter am 31.12.CY-1  = x-1</t>
  </si>
  <si>
    <t>q(i,1)=[Q(x-1)+Q(x)]/2 wobei Q gemäss BFS definiert wird</t>
  </si>
  <si>
    <t>G134 à AF134</t>
  </si>
  <si>
    <t>(Calcul à blanc SR3) Mise-à-jour des paramètres de résiliations</t>
  </si>
  <si>
    <t>C127</t>
  </si>
  <si>
    <t>q(i,1)=[Q(x-1)+Q(x)]/2 où Q est défini selon l'OFS</t>
  </si>
  <si>
    <t>La formule à été corrigée</t>
  </si>
  <si>
    <t>D31 et E31</t>
  </si>
  <si>
    <t>versionNumber</t>
  </si>
  <si>
    <t>1591500000</t>
  </si>
  <si>
    <t>Besondere Felder, die oft mit versicherungsspezifischen Informationen zur Verwendung in anderen Berechnungen verbunden sind.</t>
  </si>
  <si>
    <t>CC106 à CD125</t>
  </si>
  <si>
    <t>Colonnes AH-AI, AW-AX et BL-BM</t>
  </si>
  <si>
    <t xml:space="preserve">(Calcul à blanc SR4) Insertion de la formule pour copier les valeurs au 31.12 et ajout des hachures </t>
  </si>
  <si>
    <t>Colonnes AL-AM, BA-BB et BL-BM</t>
  </si>
  <si>
    <t xml:space="preserve">(Calcul à blanc SR4) Insertion de la valeur 0 et ajout des hachures </t>
  </si>
  <si>
    <t>D34 à F41 ainsi que C8</t>
  </si>
  <si>
    <t>Changement de la configuration pour autoriser une duplication des entrées dans la colonne C (Nom du produit) de la feuille HE_contract_group</t>
  </si>
  <si>
    <t>02.09.2024</t>
  </si>
  <si>
    <t>03.09.2024</t>
  </si>
  <si>
    <t>(Calcul à blanc SR4) Correction du lissage</t>
  </si>
  <si>
    <t>(Calcul à blanc SR4) Ajout de l'alternative pour le résultat attendu</t>
  </si>
  <si>
    <t>Suppression du suffix "SR4" et ajustement de l'année</t>
  </si>
  <si>
    <t>C25:E25 et C30:E30</t>
  </si>
  <si>
    <t>Adaptation des années précédentes (PY)</t>
  </si>
  <si>
    <t>Colonnes G et H</t>
  </si>
  <si>
    <t xml:space="preserve">Insertion de la valeur 0 et ajout des hachures </t>
  </si>
  <si>
    <t>Etape 2</t>
  </si>
  <si>
    <t>Etape 3</t>
  </si>
  <si>
    <t>Etape 4</t>
  </si>
  <si>
    <t>Schritt 2</t>
  </si>
  <si>
    <t>Schritt 3</t>
  </si>
  <si>
    <t>Schritt 4</t>
  </si>
  <si>
    <t>LZV-Tool ausführen (für die Produktegruppen, die nicht durch das LZV-Tool berechnet werden, muss «nein» in der Spalte L «Berechnung durch LZV-Tool» im Tabellenblatt «HE_contract_groups» angegeben werden).</t>
  </si>
  <si>
    <t xml:space="preserve">Ergebnisse der Ermittlung der LZV, die sich in der durch Ausführung des R- Codes generierten Datei namens «LZV_Result_suffix.xlsx» befinden, in das Tabellenblatt «HE_LZV_CF» (hellgrüne Eingabefelder) kopieren. </t>
  </si>
  <si>
    <t>Exécuter le LZV-Tool (pour les groupes de produits qui ne sont pas calculés par le LZV-Tool, il faut indiquer "non" à la colonne L "Calcul effectué par le LZV-Tool" de la feuille "HE_contract_groups").</t>
  </si>
  <si>
    <t xml:space="preserve">Copier dans la feuille "HE_LZV_CF" (champs vert clair) les résultats du calcul des EVI qui se trouvent dans le fichier dénommé "LZV_Result_suffix.xlsx" produit par l'exécution du code R. </t>
  </si>
  <si>
    <t>Si des groupes de produits ne sont pas calculés par le LZV-Tool (emploi de son propre outil de calcul), remplir les champs d'entrée (orange clair) de la feuille  "HE_LZV_CF"</t>
  </si>
  <si>
    <t>Falls Produktegruppen nicht durch das LZV-Tool berechnet werden (Verwendung eines eigenen Berechnungstools), Eingabefelder (hellorange) im Tabellenblatt « HE_LZV_CF» ausfüllen</t>
  </si>
  <si>
    <t>Renseigner sur les calculs en remplissant au fur et à mesure la feuille "HE_calculation_documentation".</t>
  </si>
  <si>
    <t>Auskunft über die Berechnungen durch schrittweises Ausfüllen des Tabellenblatts «HE_calculation_documentation» geben.</t>
  </si>
  <si>
    <t>Etape 9</t>
  </si>
  <si>
    <t>Schritt 9</t>
  </si>
  <si>
    <t xml:space="preserve">Les champs en vert clair sont des entrées à recopier depuis l'output du LZV-Tool, cas échéant. </t>
  </si>
  <si>
    <t xml:space="preserve">Die hellgrünen Eingabefelder sind Eingaben, die gegebenenfalls vom Output des LZV-Tools zu kopieren sind. </t>
  </si>
  <si>
    <t>Si des cash flows ne sont pas calculés par le LZV-Tool (emploi d'un outil propre), ils doivent être indiqués dans les champs d'entrée en  orange clair.</t>
  </si>
  <si>
    <t>Falls Cashflows nicht durch das LZV-Tool berechnet werden (Verwendung eines eigenen Tools), sind sie in den hellorangen Eingabefeldern einzugeben.</t>
  </si>
  <si>
    <t>Caché la feuille</t>
  </si>
  <si>
    <t>Fakultativ für den SST 2025</t>
  </si>
  <si>
    <t>Facultative pour le SST 2025.</t>
  </si>
  <si>
    <t xml:space="preserve"> </t>
  </si>
  <si>
    <t>y compris les groupes de contrats dont le calcul n'est pas effectué par le LZV-Tool</t>
  </si>
  <si>
    <t>einschliesslich Vertragsgruppen, deren Berechnung nicht durch das LZV-Tool durchgeführt wird</t>
  </si>
  <si>
    <t>Im SST 2025 sind neue Geschäfte, deren Deckung am 01.01.2025 beginnt, Teil der LZV in der SST-Bilanz, und hier wird ein Nullwert ausgewiesen.</t>
  </si>
  <si>
    <t>Dans le SST 2025, les nouvelles affaires dont la couverture commence le 01.01.2025 font partie des EVI au bilan SST et ici une valeur nulle est indiquée.</t>
  </si>
  <si>
    <t xml:space="preserve">Calcul effectué par le LZV-Tool </t>
  </si>
  <si>
    <t xml:space="preserve">Berechnung durch LZV-Tool </t>
  </si>
  <si>
    <t>Par défaut "oui"; "non" signifie que le LZV-Tool ignore le CG</t>
  </si>
  <si>
    <t>Standardmässig «ja»; «nein» bedeutet, dass das LZV-Tool die CG ignoriert</t>
  </si>
  <si>
    <t>https://www.bfs.admin.ch/asset/de/su-d-01.04.02.02.04</t>
  </si>
  <si>
    <t>https://www.bfs.admin.ch/asset/de/su-d-01.04.02.02.05</t>
  </si>
  <si>
    <t xml:space="preserve">Aktualisierung: Zinskurve CHF, nicht-strukturelle Teuerung der Leistungen, Sterblichkeiten </t>
  </si>
  <si>
    <t>Zeile 9; Zellen D83:F87; Zellen E134:F233</t>
  </si>
  <si>
    <t>Paramètres de risque</t>
  </si>
  <si>
    <t>Risikoparameter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</si>
</sst>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
    <numFmt numFmtId="166" formatCode="#,##0.0"/>
    <numFmt numFmtId="167" formatCode="0.0"/>
    <numFmt numFmtId="168" formatCode="0.000%"/>
    <numFmt numFmtId="169" formatCode="0.000"/>
    <numFmt numFmtId="170" formatCode="_(* #,##0.00_);_(* \(#,##0.00\);_(* &quot;-&quot;??_);_(@_)"/>
    <numFmt numFmtId="171" formatCode="d/mm/yy;@"/>
    <numFmt numFmtId="172" formatCode="_ * #,##0.000_ ;_ * \-#,##0.000_ ;_ * &quot;-&quot;???_ ;_ @_ "/>
    <numFmt numFmtId="173" formatCode="#,##0.000"/>
    <numFmt numFmtId="174" formatCode="0.000000"/>
    <numFmt numFmtId="175" formatCode="#,##0.000000"/>
    <numFmt numFmtId="176" formatCode="dd\.mm\.yyyy;@"/>
    <numFmt numFmtId="177" formatCode="0.00000"/>
  </numFmts>
  <fonts count="73" x14ac:knownFonts="1">
    <font>
      <sz val="10"/>
      <color theme="1"/>
      <name val="Arial"/>
      <family val="2"/>
    </font>
    <font>
      <sz val="10"/>
      <color theme="1"/>
      <name val="Arial"/>
      <family val="2"/>
    </font>
    <font>
      <b/>
      <sz val="10"/>
      <color theme="1"/>
      <name val="Arial"/>
      <family val="2"/>
    </font>
    <font>
      <sz val="10"/>
      <name val="Arial"/>
      <family val="2"/>
    </font>
    <font>
      <sz val="10"/>
      <name val="Arial"/>
      <family val="2"/>
    </font>
    <font>
      <sz val="12"/>
      <name val="Arial"/>
      <family val="2"/>
    </font>
    <font>
      <b/>
      <sz val="10"/>
      <name val="Arial"/>
      <family val="2"/>
    </font>
    <font>
      <b/>
      <sz val="12"/>
      <name val="Arial"/>
      <family val="2"/>
    </font>
    <font>
      <b/>
      <sz val="10"/>
      <color indexed="12"/>
      <name val="Arial"/>
      <family val="2"/>
    </font>
    <font>
      <sz val="8"/>
      <name val="Arial"/>
      <family val="2"/>
    </font>
    <font>
      <sz val="10"/>
      <color indexed="9"/>
      <name val="Arial"/>
      <family val="2"/>
    </font>
    <font>
      <b/>
      <sz val="11"/>
      <name val="Arial"/>
      <family val="2"/>
    </font>
    <font>
      <b/>
      <sz val="11"/>
      <color theme="1"/>
      <name val="Arial"/>
      <family val="2"/>
    </font>
    <font>
      <i/>
      <sz val="10"/>
      <name val="Arial"/>
      <family val="2"/>
    </font>
    <font>
      <sz val="11"/>
      <color theme="1"/>
      <name val="Calibri"/>
      <family val="2"/>
      <scheme val="minor"/>
    </font>
    <font>
      <b/>
      <sz val="10"/>
      <color rgb="FFFF0000"/>
      <name val="Arial"/>
      <family val="2"/>
    </font>
    <font>
      <sz val="10"/>
      <color theme="0"/>
      <name val="Arial"/>
      <family val="2"/>
    </font>
    <font>
      <b/>
      <sz val="16"/>
      <color indexed="9"/>
      <name val="Arial"/>
      <family val="2"/>
    </font>
    <font>
      <sz val="12"/>
      <name val="Times New Roman"/>
      <family val="1"/>
    </font>
    <font>
      <u/>
      <sz val="10"/>
      <color theme="10"/>
      <name val="Arial"/>
      <family val="2"/>
    </font>
    <font>
      <u/>
      <sz val="10"/>
      <name val="Arial"/>
      <family val="2"/>
    </font>
    <font>
      <b/>
      <sz val="16"/>
      <color rgb="FF002D64"/>
      <name val="Arial"/>
      <family val="2"/>
    </font>
    <font>
      <sz val="11"/>
      <name val="Arial"/>
      <family val="2"/>
    </font>
    <font>
      <i/>
      <sz val="10"/>
      <color theme="1"/>
      <name val="Arial"/>
      <family val="2"/>
    </font>
    <font>
      <sz val="11"/>
      <color theme="1"/>
      <name val="Arial"/>
      <family val="2"/>
    </font>
    <font>
      <sz val="10"/>
      <color rgb="FF3F3F76"/>
      <name val="Arial"/>
      <family val="2"/>
    </font>
    <font>
      <sz val="10"/>
      <color indexed="8"/>
      <name val="Arial"/>
      <family val="2"/>
    </font>
    <font>
      <sz val="10"/>
      <color theme="3"/>
      <name val="Arial"/>
      <family val="2"/>
    </font>
    <font>
      <sz val="10"/>
      <color theme="2" tint="-0.499984740745262"/>
      <name val="Arial"/>
      <family val="2"/>
    </font>
    <font>
      <b/>
      <sz val="12"/>
      <color rgb="FF002D64"/>
      <name val="Arial"/>
      <family val="2"/>
    </font>
    <font>
      <b/>
      <sz val="10"/>
      <color rgb="FF002D64"/>
      <name val="Arial"/>
      <family val="2"/>
    </font>
    <font>
      <b/>
      <sz val="12"/>
      <color theme="3"/>
      <name val="Arial"/>
      <family val="2"/>
    </font>
    <font>
      <b/>
      <sz val="12"/>
      <color theme="3" tint="-0.249977111117893"/>
      <name val="Arial"/>
      <family val="2"/>
    </font>
    <font>
      <b/>
      <sz val="10"/>
      <color theme="3" tint="-0.249977111117893"/>
      <name val="Arial"/>
      <family val="2"/>
    </font>
    <font>
      <sz val="11"/>
      <name val="Calibri"/>
      <family val="2"/>
    </font>
    <font>
      <sz val="11"/>
      <color rgb="FFFFFFFF"/>
      <name val="Calibri"/>
      <family val="2"/>
    </font>
    <font>
      <b/>
      <sz val="10"/>
      <color theme="0"/>
      <name val="Arial"/>
      <family val="2"/>
    </font>
    <font>
      <b/>
      <sz val="12"/>
      <color theme="5" tint="-0.249977111117893"/>
      <name val="Arial"/>
      <family val="2"/>
    </font>
    <font>
      <b/>
      <sz val="12"/>
      <color theme="0"/>
      <name val="Arial"/>
      <family val="2"/>
    </font>
    <font>
      <b/>
      <sz val="10"/>
      <color theme="5" tint="-0.499984740745262"/>
      <name val="Arial"/>
      <family val="2"/>
    </font>
    <font>
      <b/>
      <sz val="12"/>
      <color theme="5" tint="-0.499984740745262"/>
      <name val="Arial"/>
      <family val="2"/>
    </font>
    <font>
      <sz val="10"/>
      <color rgb="FF000000"/>
      <name val="Arial"/>
      <family val="2"/>
    </font>
    <font>
      <sz val="10"/>
      <color rgb="FF002D64"/>
      <name val="Arial"/>
      <family val="2"/>
    </font>
    <font>
      <sz val="8"/>
      <color theme="0" tint="-0.499984740745262"/>
      <name val="Arial"/>
      <family val="2"/>
    </font>
    <font>
      <sz val="11"/>
      <color rgb="FF000000"/>
      <name val="Calibri"/>
      <family val="2"/>
    </font>
    <font>
      <b/>
      <sz val="12"/>
      <color theme="8" tint="-0.499984740745262"/>
      <name val="Arial"/>
      <family val="2"/>
    </font>
    <font>
      <sz val="10"/>
      <color theme="0" tint="-0.34998626667073579"/>
      <name val="Arial"/>
      <family val="2"/>
    </font>
    <font>
      <i/>
      <sz val="10"/>
      <color rgb="FF006100"/>
      <name val="Arial"/>
      <family val="2"/>
    </font>
    <font>
      <sz val="10"/>
      <color theme="0" tint="-0.499984740745262"/>
      <name val="Arial"/>
      <family val="2"/>
    </font>
    <font>
      <b/>
      <sz val="12"/>
      <color theme="1"/>
      <name val="Arial"/>
      <family val="2"/>
    </font>
    <font>
      <sz val="8"/>
      <color rgb="FFFFFFFF"/>
      <name val="Calibri"/>
      <family val="2"/>
    </font>
    <font>
      <sz val="8"/>
      <name val="Calibri"/>
      <family val="2"/>
    </font>
    <font>
      <sz val="10"/>
      <color rgb="FF1E1E1E"/>
      <name val="Arial"/>
      <family val="2"/>
    </font>
    <font>
      <b/>
      <sz val="10"/>
      <color indexed="8"/>
      <name val="Arial"/>
      <family val="2"/>
    </font>
    <font>
      <sz val="10"/>
      <color indexed="44"/>
      <name val="Arial"/>
      <family val="2"/>
    </font>
    <font>
      <sz val="8"/>
      <color theme="1"/>
      <name val="Arial"/>
      <family val="2"/>
    </font>
    <font>
      <sz val="10"/>
      <color rgb="FFFF0000"/>
      <name val="Arial"/>
      <family val="2"/>
    </font>
    <font>
      <sz val="12"/>
      <color rgb="FFFF0000"/>
      <name val="Arial"/>
      <family val="2"/>
    </font>
    <font>
      <b/>
      <sz val="10"/>
      <color theme="5" tint="-0.249977111117893"/>
      <name val="Arial"/>
      <family val="2"/>
    </font>
    <font>
      <sz val="10"/>
      <color theme="5" tint="-0.249977111117893"/>
      <name val="Arial"/>
      <family val="2"/>
    </font>
    <font>
      <b/>
      <sz val="10"/>
      <color theme="0" tint="-0.499984740745262"/>
      <name val="Arial"/>
      <family val="2"/>
    </font>
    <font>
      <sz val="10"/>
      <color rgb="FFFFFFFF"/>
      <name val="Arial"/>
      <family val="2"/>
    </font>
    <font>
      <b/>
      <sz val="11"/>
      <color theme="5" tint="-0.249977111117893"/>
      <name val="Arial"/>
      <family val="2"/>
    </font>
    <font>
      <b/>
      <i/>
      <sz val="11"/>
      <color theme="5" tint="-0.249977111117893"/>
      <name val="Arial"/>
      <family val="2"/>
    </font>
    <font>
      <sz val="11"/>
      <color theme="5" tint="-0.249977111117893"/>
      <name val="Arial"/>
      <family val="2"/>
    </font>
    <font>
      <sz val="8"/>
      <color theme="5" tint="-0.249977111117893"/>
      <name val="Arial"/>
      <family val="2"/>
    </font>
    <font>
      <b/>
      <sz val="8"/>
      <color theme="5" tint="-0.249977111117893"/>
      <name val="Arial"/>
      <family val="2"/>
    </font>
    <font>
      <b/>
      <sz val="16"/>
      <color theme="0" tint="-0.499984740745262"/>
      <name val="Arial"/>
      <family val="2"/>
    </font>
    <font>
      <sz val="11"/>
      <color theme="0" tint="-0.499984740745262"/>
      <name val="Arial"/>
      <family val="2"/>
    </font>
    <font>
      <sz val="10"/>
      <color theme="1"/>
      <name val="Calibri"/>
      <family val="2"/>
      <scheme val="minor"/>
    </font>
    <font>
      <u/>
      <sz val="8"/>
      <color theme="10"/>
      <name val="Arial"/>
      <family val="2"/>
    </font>
    <font>
      <b/>
      <sz val="14"/>
      <color rgb="FF002D64"/>
      <name val="Arial"/>
      <family val="2"/>
    </font>
    <font>
      <sz val="10"/>
      <color theme="2"/>
      <name val="Arial"/>
      <family val="2"/>
    </font>
  </fonts>
  <fills count="25">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rgb="FFD4ECF9"/>
        <bgColor indexed="64"/>
      </patternFill>
    </fill>
    <fill>
      <patternFill patternType="solid">
        <fgColor rgb="FF00539E"/>
        <bgColor indexed="64"/>
      </patternFill>
    </fill>
    <fill>
      <patternFill patternType="solid">
        <fgColor rgb="FFFDE2CE"/>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CC99"/>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patternFill>
    </fill>
    <fill>
      <patternFill patternType="solid">
        <fgColor rgb="FF00539E"/>
        <bgColor rgb="FF000000"/>
      </patternFill>
    </fill>
    <fill>
      <patternFill patternType="solid">
        <fgColor rgb="FFFDE2CE"/>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C6EFCE"/>
      </patternFill>
    </fill>
    <fill>
      <patternFill patternType="solid">
        <fgColor rgb="FFEBF6FC"/>
        <bgColor indexed="64"/>
      </patternFill>
    </fill>
    <fill>
      <patternFill patternType="solid">
        <fgColor theme="4" tint="0.79998168889431442"/>
        <bgColor indexed="64"/>
      </patternFill>
    </fill>
    <fill>
      <patternFill patternType="solid">
        <fgColor rgb="FF002D64"/>
        <bgColor indexed="64"/>
      </patternFill>
    </fill>
    <fill>
      <patternFill patternType="solid">
        <fgColor rgb="FFA2D3EE"/>
        <bgColor indexed="64"/>
      </patternFill>
    </fill>
    <fill>
      <patternFill patternType="lightDown">
        <bgColor rgb="FFD4ECF9"/>
      </patternFill>
    </fill>
    <fill>
      <patternFill patternType="lightDown">
        <bgColor rgb="FFEBF6FC"/>
      </patternFill>
    </fill>
    <fill>
      <patternFill patternType="lightDown">
        <bgColor rgb="FFFDE2CE"/>
      </patternFill>
    </fill>
  </fills>
  <borders count="2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left>
      <right style="thin">
        <color theme="0"/>
      </right>
      <top/>
      <bottom/>
      <diagonal/>
    </border>
    <border>
      <left/>
      <right/>
      <top style="hair">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auto="1"/>
      </bottom>
      <diagonal/>
    </border>
    <border>
      <left/>
      <right/>
      <top/>
      <bottom style="thin">
        <color theme="0"/>
      </bottom>
      <diagonal/>
    </border>
    <border>
      <left style="thin">
        <color theme="0"/>
      </left>
      <right/>
      <top style="thin">
        <color theme="0"/>
      </top>
      <bottom/>
      <diagonal/>
    </border>
    <border>
      <left/>
      <right/>
      <top style="thin">
        <color theme="0" tint="-0.24994659260841701"/>
      </top>
      <bottom style="thin">
        <color theme="0"/>
      </bottom>
      <diagonal/>
    </border>
    <border>
      <left/>
      <right style="hair">
        <color theme="0"/>
      </right>
      <top style="hair">
        <color theme="0"/>
      </top>
      <bottom style="hair">
        <color theme="0"/>
      </bottom>
      <diagonal/>
    </border>
    <border>
      <left/>
      <right style="hair">
        <color theme="0"/>
      </right>
      <top style="hair">
        <color theme="0"/>
      </top>
      <bottom style="thin">
        <color theme="0" tint="-0.24994659260841701"/>
      </bottom>
      <diagonal/>
    </border>
    <border>
      <left style="hair">
        <color theme="0"/>
      </left>
      <right style="hair">
        <color theme="0"/>
      </right>
      <top style="hair">
        <color theme="0"/>
      </top>
      <bottom style="thin">
        <color theme="0" tint="-0.24994659260841701"/>
      </bottom>
      <diagonal/>
    </border>
    <border>
      <left/>
      <right style="hair">
        <color theme="0"/>
      </right>
      <top style="thin">
        <color theme="0" tint="-0.24994659260841701"/>
      </top>
      <bottom style="thin">
        <color theme="0" tint="-0.24994659260841701"/>
      </bottom>
      <diagonal/>
    </border>
    <border>
      <left style="hair">
        <color theme="0"/>
      </left>
      <right style="hair">
        <color theme="0"/>
      </right>
      <top style="thin">
        <color theme="0" tint="-0.24994659260841701"/>
      </top>
      <bottom style="thin">
        <color theme="0" tint="-0.24994659260841701"/>
      </bottom>
      <diagonal/>
    </border>
    <border>
      <left style="hair">
        <color theme="0"/>
      </left>
      <right/>
      <top style="thin">
        <color theme="0" tint="-0.24994659260841701"/>
      </top>
      <bottom style="thin">
        <color theme="0" tint="-0.24994659260841701"/>
      </bottom>
      <diagonal/>
    </border>
    <border>
      <left/>
      <right style="hair">
        <color theme="0"/>
      </right>
      <top style="thin">
        <color theme="0" tint="-0.24994659260841701"/>
      </top>
      <bottom style="thin">
        <color indexed="64"/>
      </bottom>
      <diagonal/>
    </border>
    <border>
      <left style="hair">
        <color theme="0"/>
      </left>
      <right style="hair">
        <color theme="0"/>
      </right>
      <top style="thin">
        <color theme="0" tint="-0.24994659260841701"/>
      </top>
      <bottom style="thin">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bottom style="hair">
        <color theme="0"/>
      </bottom>
      <diagonal/>
    </border>
    <border>
      <left/>
      <right style="thin">
        <color theme="0"/>
      </right>
      <top style="thin">
        <color theme="0"/>
      </top>
      <bottom style="thin">
        <color auto="1"/>
      </bottom>
      <diagonal/>
    </border>
    <border>
      <left style="thin">
        <color theme="0"/>
      </left>
      <right style="thin">
        <color theme="0"/>
      </right>
      <top/>
      <bottom style="thin">
        <color theme="0" tint="-0.24994659260841701"/>
      </bottom>
      <diagonal/>
    </border>
    <border>
      <left style="thin">
        <color theme="0"/>
      </left>
      <right style="thin">
        <color theme="0"/>
      </right>
      <top style="thin">
        <color theme="0" tint="-0.24994659260841701"/>
      </top>
      <bottom style="thin">
        <color auto="1"/>
      </bottom>
      <diagonal/>
    </border>
    <border>
      <left style="thin">
        <color theme="0"/>
      </left>
      <right style="thin">
        <color theme="0"/>
      </right>
      <top/>
      <bottom style="thin">
        <color auto="1"/>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theme="0"/>
      </bottom>
      <diagonal/>
    </border>
    <border>
      <left style="thin">
        <color theme="0"/>
      </left>
      <right/>
      <top style="thin">
        <color theme="0" tint="-0.24994659260841701"/>
      </top>
      <bottom style="thin">
        <color theme="0" tint="-0.24994659260841701"/>
      </bottom>
      <diagonal/>
    </border>
    <border>
      <left/>
      <right/>
      <top style="thin">
        <color rgb="FFFFFFFF"/>
      </top>
      <bottom style="thin">
        <color rgb="FFFFFFFF"/>
      </bottom>
      <diagonal/>
    </border>
    <border>
      <left/>
      <right/>
      <top style="thin">
        <color theme="0"/>
      </top>
      <bottom/>
      <diagonal/>
    </border>
    <border>
      <left/>
      <right/>
      <top/>
      <bottom style="thick">
        <color theme="0"/>
      </bottom>
      <diagonal/>
    </border>
    <border>
      <left/>
      <right/>
      <top style="thick">
        <color theme="0"/>
      </top>
      <bottom style="thin">
        <color theme="0"/>
      </bottom>
      <diagonal/>
    </border>
    <border>
      <left/>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style="thin">
        <color theme="0"/>
      </left>
      <right style="thick">
        <color theme="0"/>
      </right>
      <top/>
      <bottom style="thin">
        <color theme="0"/>
      </bottom>
      <diagonal/>
    </border>
    <border>
      <left style="thick">
        <color theme="0"/>
      </left>
      <right/>
      <top/>
      <bottom style="thick">
        <color theme="0"/>
      </bottom>
      <diagonal/>
    </border>
    <border>
      <left style="thick">
        <color theme="0"/>
      </left>
      <right/>
      <top style="thick">
        <color theme="0"/>
      </top>
      <bottom style="thin">
        <color theme="0"/>
      </bottom>
      <diagonal/>
    </border>
    <border>
      <left style="thick">
        <color theme="0"/>
      </left>
      <right/>
      <top style="thin">
        <color theme="0"/>
      </top>
      <bottom/>
      <diagonal/>
    </border>
    <border>
      <left/>
      <right style="thick">
        <color theme="0"/>
      </right>
      <top/>
      <bottom style="thick">
        <color theme="0"/>
      </bottom>
      <diagonal/>
    </border>
    <border>
      <left/>
      <right style="thick">
        <color theme="0"/>
      </right>
      <top style="thick">
        <color theme="0"/>
      </top>
      <bottom style="thin">
        <color theme="0"/>
      </bottom>
      <diagonal/>
    </border>
    <border>
      <left/>
      <right style="thick">
        <color theme="0"/>
      </right>
      <top style="thin">
        <color theme="0"/>
      </top>
      <bottom/>
      <diagonal/>
    </border>
    <border>
      <left/>
      <right style="thick">
        <color theme="0"/>
      </right>
      <top/>
      <bottom/>
      <diagonal/>
    </border>
    <border>
      <left/>
      <right/>
      <top style="thick">
        <color theme="0"/>
      </top>
      <bottom/>
      <diagonal/>
    </border>
    <border>
      <left/>
      <right style="thick">
        <color theme="0"/>
      </right>
      <top/>
      <bottom style="thin">
        <color theme="0"/>
      </bottom>
      <diagonal/>
    </border>
    <border>
      <left/>
      <right style="thin">
        <color theme="0"/>
      </right>
      <top style="thick">
        <color theme="0"/>
      </top>
      <bottom/>
      <diagonal/>
    </border>
    <border>
      <left/>
      <right style="thick">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ck">
        <color theme="0" tint="-0.24994659260841701"/>
      </right>
      <top/>
      <bottom style="thin">
        <color theme="0" tint="-0.24994659260841701"/>
      </bottom>
      <diagonal/>
    </border>
    <border>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n">
        <color theme="0" tint="-0.24994659260841701"/>
      </left>
      <right/>
      <top style="thin">
        <color theme="0" tint="-0.24994659260841701"/>
      </top>
      <bottom style="thick">
        <color theme="0" tint="-0.24994659260841701"/>
      </bottom>
      <diagonal/>
    </border>
    <border>
      <left/>
      <right style="thin">
        <color theme="0"/>
      </right>
      <top style="thin">
        <color theme="0"/>
      </top>
      <bottom style="thick">
        <color theme="0"/>
      </bottom>
      <diagonal/>
    </border>
    <border>
      <left style="thin">
        <color theme="0"/>
      </left>
      <right style="thick">
        <color theme="0"/>
      </right>
      <top style="thin">
        <color theme="0"/>
      </top>
      <bottom style="thin">
        <color theme="0" tint="-0.24994659260841701"/>
      </bottom>
      <diagonal/>
    </border>
    <border>
      <left style="thin">
        <color theme="0"/>
      </left>
      <right style="thick">
        <color theme="0"/>
      </right>
      <top style="thin">
        <color theme="0" tint="-0.24994659260841701"/>
      </top>
      <bottom style="thin">
        <color theme="0" tint="-0.24994659260841701"/>
      </bottom>
      <diagonal/>
    </border>
    <border>
      <left style="thin">
        <color theme="0"/>
      </left>
      <right style="thick">
        <color theme="0"/>
      </right>
      <top style="thin">
        <color theme="0" tint="-0.24994659260841701"/>
      </top>
      <bottom style="thick">
        <color theme="0" tint="-0.24994659260841701"/>
      </bottom>
      <diagonal/>
    </border>
    <border>
      <left style="thin">
        <color theme="0"/>
      </left>
      <right style="thick">
        <color theme="0"/>
      </right>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style="double">
        <color theme="0" tint="-0.24994659260841701"/>
      </right>
      <top style="thin">
        <color theme="0" tint="-0.24994659260841701"/>
      </top>
      <bottom style="thick">
        <color theme="0" tint="-0.24994659260841701"/>
      </bottom>
      <diagonal/>
    </border>
    <border>
      <left/>
      <right style="double">
        <color theme="0" tint="-0.24994659260841701"/>
      </right>
      <top/>
      <bottom style="thin">
        <color theme="0" tint="-0.24994659260841701"/>
      </bottom>
      <diagonal/>
    </border>
    <border>
      <left/>
      <right style="double">
        <color theme="0"/>
      </right>
      <top style="thick">
        <color theme="0"/>
      </top>
      <bottom style="thin">
        <color theme="0"/>
      </bottom>
      <diagonal/>
    </border>
    <border>
      <left style="thick">
        <color theme="0"/>
      </left>
      <right style="thin">
        <color theme="0"/>
      </right>
      <top style="thick">
        <color theme="0"/>
      </top>
      <bottom/>
      <diagonal/>
    </border>
    <border>
      <left style="thick">
        <color theme="0"/>
      </left>
      <right style="thin">
        <color theme="0"/>
      </right>
      <top/>
      <bottom style="thin">
        <color theme="0"/>
      </bottom>
      <diagonal/>
    </border>
    <border>
      <left style="thin">
        <color theme="0"/>
      </left>
      <right style="double">
        <color theme="0"/>
      </right>
      <top style="thin">
        <color theme="0"/>
      </top>
      <bottom/>
      <diagonal/>
    </border>
    <border>
      <left style="thin">
        <color theme="0"/>
      </left>
      <right style="double">
        <color theme="0"/>
      </right>
      <top/>
      <bottom style="thin">
        <color theme="0"/>
      </bottom>
      <diagonal/>
    </border>
    <border>
      <left style="thin">
        <color theme="0"/>
      </left>
      <right/>
      <top style="thin">
        <color theme="0"/>
      </top>
      <bottom style="thin">
        <color indexed="64"/>
      </bottom>
      <diagonal/>
    </border>
    <border>
      <left/>
      <right style="thin">
        <color theme="0"/>
      </right>
      <top/>
      <bottom style="thin">
        <color theme="0" tint="-0.34998626667073579"/>
      </bottom>
      <diagonal/>
    </border>
    <border>
      <left style="double">
        <color theme="0"/>
      </left>
      <right/>
      <top style="thick">
        <color theme="0"/>
      </top>
      <bottom style="thin">
        <color theme="0"/>
      </bottom>
      <diagonal/>
    </border>
    <border>
      <left style="double">
        <color theme="0" tint="-0.24994659260841701"/>
      </left>
      <right/>
      <top style="thin">
        <color theme="0" tint="-0.24994659260841701"/>
      </top>
      <bottom style="thin">
        <color theme="0" tint="-0.24994659260841701"/>
      </bottom>
      <diagonal/>
    </border>
    <border>
      <left style="double">
        <color theme="0" tint="-0.24994659260841701"/>
      </left>
      <right/>
      <top style="thin">
        <color theme="0" tint="-0.24994659260841701"/>
      </top>
      <bottom style="thick">
        <color theme="0" tint="-0.24994659260841701"/>
      </bottom>
      <diagonal/>
    </border>
    <border>
      <left style="double">
        <color theme="0" tint="-0.24994659260841701"/>
      </left>
      <right/>
      <top/>
      <bottom style="thin">
        <color theme="0" tint="-0.24994659260841701"/>
      </bottom>
      <diagonal/>
    </border>
    <border>
      <left style="thin">
        <color theme="0"/>
      </left>
      <right style="double">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double">
        <color theme="0"/>
      </right>
      <top style="thin">
        <color theme="0"/>
      </top>
      <bottom style="thick">
        <color theme="0"/>
      </bottom>
      <diagonal/>
    </border>
    <border>
      <left style="thin">
        <color theme="0"/>
      </left>
      <right style="double">
        <color theme="0" tint="-0.24994659260841701"/>
      </right>
      <top style="thin">
        <color theme="0"/>
      </top>
      <bottom style="thick">
        <color theme="0"/>
      </bottom>
      <diagonal/>
    </border>
    <border>
      <left style="double">
        <color theme="0"/>
      </left>
      <right/>
      <top style="thin">
        <color theme="0"/>
      </top>
      <bottom/>
      <diagonal/>
    </border>
    <border>
      <left style="double">
        <color theme="0"/>
      </left>
      <right style="thin">
        <color theme="0"/>
      </right>
      <top style="thin">
        <color theme="0"/>
      </top>
      <bottom/>
      <diagonal/>
    </border>
    <border>
      <left/>
      <right style="thick">
        <color theme="0"/>
      </right>
      <top/>
      <bottom style="thin">
        <color theme="0" tint="-0.24994659260841701"/>
      </bottom>
      <diagonal/>
    </border>
    <border>
      <left/>
      <right style="thick">
        <color theme="0"/>
      </right>
      <top style="thin">
        <color theme="0" tint="-0.24994659260841701"/>
      </top>
      <bottom style="thin">
        <color theme="0" tint="-0.24994659260841701"/>
      </bottom>
      <diagonal/>
    </border>
    <border>
      <left/>
      <right style="thick">
        <color theme="0"/>
      </right>
      <top style="thin">
        <color theme="0" tint="-0.24994659260841701"/>
      </top>
      <bottom style="thick">
        <color theme="0" tint="-0.24994659260841701"/>
      </bottom>
      <diagonal/>
    </border>
    <border>
      <left style="thin">
        <color theme="0"/>
      </left>
      <right style="thick">
        <color theme="0"/>
      </right>
      <top style="thin">
        <color theme="0"/>
      </top>
      <bottom/>
      <diagonal/>
    </border>
    <border>
      <left/>
      <right style="double">
        <color theme="0"/>
      </right>
      <top style="thin">
        <color theme="0" tint="-0.24994659260841701"/>
      </top>
      <bottom style="thin">
        <color theme="0" tint="-0.24994659260841701"/>
      </bottom>
      <diagonal/>
    </border>
    <border>
      <left/>
      <right style="double">
        <color theme="0"/>
      </right>
      <top style="thin">
        <color theme="0" tint="-0.24994659260841701"/>
      </top>
      <bottom style="thick">
        <color theme="0" tint="-0.24994659260841701"/>
      </bottom>
      <diagonal/>
    </border>
    <border>
      <left/>
      <right style="double">
        <color theme="0"/>
      </right>
      <top/>
      <bottom style="thin">
        <color theme="0" tint="-0.24994659260841701"/>
      </bottom>
      <diagonal/>
    </border>
    <border>
      <left/>
      <right style="thick">
        <color theme="0"/>
      </right>
      <top style="thin">
        <color theme="0"/>
      </top>
      <bottom style="thin">
        <color theme="0" tint="-0.24994659260841701"/>
      </bottom>
      <diagonal/>
    </border>
    <border>
      <left/>
      <right style="thick">
        <color theme="0"/>
      </right>
      <top/>
      <bottom style="thin">
        <color indexed="64"/>
      </bottom>
      <diagonal/>
    </border>
    <border>
      <left style="thin">
        <color theme="0"/>
      </left>
      <right style="thick">
        <color theme="0"/>
      </right>
      <top style="thin">
        <color theme="0" tint="-0.24994659260841701"/>
      </top>
      <bottom style="thin">
        <color indexed="64"/>
      </bottom>
      <diagonal/>
    </border>
    <border>
      <left style="thin">
        <color theme="0"/>
      </left>
      <right style="double">
        <color theme="0"/>
      </right>
      <top style="thin">
        <color theme="0"/>
      </top>
      <bottom style="thin">
        <color indexed="64"/>
      </bottom>
      <diagonal/>
    </border>
    <border>
      <left style="thin">
        <color theme="0"/>
      </left>
      <right/>
      <top/>
      <bottom style="thin">
        <color indexed="64"/>
      </bottom>
      <diagonal/>
    </border>
    <border>
      <left style="double">
        <color theme="0" tint="-0.24994659260841701"/>
      </left>
      <right/>
      <top style="thin">
        <color theme="0" tint="-0.24994659260841701"/>
      </top>
      <bottom style="thin">
        <color indexed="64"/>
      </bottom>
      <diagonal/>
    </border>
    <border>
      <left/>
      <right style="double">
        <color theme="0" tint="-0.24994659260841701"/>
      </right>
      <top style="thin">
        <color theme="0" tint="-0.24994659260841701"/>
      </top>
      <bottom style="thin">
        <color indexed="64"/>
      </bottom>
      <diagonal/>
    </border>
    <border>
      <left/>
      <right style="thick">
        <color theme="0"/>
      </right>
      <top style="thin">
        <color theme="0" tint="-0.24994659260841701"/>
      </top>
      <bottom style="thin">
        <color indexed="64"/>
      </bottom>
      <diagonal/>
    </border>
    <border>
      <left/>
      <right style="double">
        <color theme="0"/>
      </right>
      <top style="thin">
        <color theme="0" tint="-0.24994659260841701"/>
      </top>
      <bottom style="thin">
        <color indexed="64"/>
      </bottom>
      <diagonal/>
    </border>
    <border>
      <left/>
      <right style="thick">
        <color theme="0" tint="-0.24994659260841701"/>
      </right>
      <top style="thin">
        <color theme="0"/>
      </top>
      <bottom style="thin">
        <color theme="0" tint="-0.34998626667073579"/>
      </bottom>
      <diagonal/>
    </border>
    <border>
      <left/>
      <right style="thick">
        <color theme="0" tint="-0.24994659260841701"/>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int="-0.24994659260841701"/>
      </top>
      <bottom style="thin">
        <color indexed="64"/>
      </bottom>
      <diagonal/>
    </border>
    <border>
      <left style="thin">
        <color theme="0"/>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left>
      <right/>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top style="thick">
        <color theme="0"/>
      </top>
      <bottom style="thin">
        <color theme="0" tint="-0.24994659260841701"/>
      </bottom>
      <diagonal/>
    </border>
    <border>
      <left style="thin">
        <color theme="0"/>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left>
      <right style="thick">
        <color theme="0"/>
      </right>
      <top style="thick">
        <color theme="0"/>
      </top>
      <bottom style="thin">
        <color theme="0"/>
      </bottom>
      <diagonal/>
    </border>
    <border>
      <left style="thin">
        <color theme="0" tint="-0.24994659260841701"/>
      </left>
      <right style="thick">
        <color theme="0"/>
      </right>
      <top style="thin">
        <color theme="0"/>
      </top>
      <bottom style="thin">
        <color theme="0" tint="-0.24994659260841701"/>
      </bottom>
      <diagonal/>
    </border>
    <border>
      <left/>
      <right style="thick">
        <color theme="0"/>
      </right>
      <top style="thin">
        <color theme="0"/>
      </top>
      <bottom style="thin">
        <color theme="0"/>
      </bottom>
      <diagonal/>
    </border>
    <border>
      <left style="thick">
        <color theme="0"/>
      </left>
      <right/>
      <top style="thin">
        <color theme="0"/>
      </top>
      <bottom style="thin">
        <color theme="0"/>
      </bottom>
      <diagonal/>
    </border>
    <border>
      <left style="thin">
        <color theme="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ck">
        <color theme="0"/>
      </right>
      <top/>
      <bottom style="thin">
        <color theme="0" tint="-0.24994659260841701"/>
      </bottom>
      <diagonal/>
    </border>
    <border>
      <left style="thin">
        <color theme="0" tint="-0.24994659260841701"/>
      </left>
      <right style="thick">
        <color theme="0"/>
      </right>
      <top style="thin">
        <color theme="0"/>
      </top>
      <bottom style="thin">
        <color indexed="64"/>
      </bottom>
      <diagonal/>
    </border>
    <border>
      <left style="thin">
        <color theme="0"/>
      </left>
      <right style="thick">
        <color theme="0"/>
      </right>
      <top style="thick">
        <color theme="0"/>
      </top>
      <bottom/>
      <diagonal/>
    </border>
    <border>
      <left style="thin">
        <color theme="0"/>
      </left>
      <right style="thick">
        <color theme="0"/>
      </right>
      <top/>
      <bottom/>
      <diagonal/>
    </border>
    <border>
      <left style="thin">
        <color theme="0"/>
      </left>
      <right style="thick">
        <color theme="0"/>
      </right>
      <top style="thin">
        <color theme="0"/>
      </top>
      <bottom style="thin">
        <color theme="0"/>
      </bottom>
      <diagonal/>
    </border>
    <border>
      <left style="thick">
        <color theme="0"/>
      </left>
      <right style="thin">
        <color theme="0"/>
      </right>
      <top/>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style="thin">
        <color theme="0"/>
      </top>
      <bottom style="thin">
        <color auto="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14996795556505021"/>
      </right>
      <top style="thin">
        <color theme="0"/>
      </top>
      <bottom style="thin">
        <color theme="0" tint="-0.24994659260841701"/>
      </bottom>
      <diagonal/>
    </border>
    <border>
      <left style="thin">
        <color theme="0" tint="-0.14996795556505021"/>
      </left>
      <right style="thin">
        <color theme="0" tint="-0.14996795556505021"/>
      </right>
      <top style="thin">
        <color theme="0"/>
      </top>
      <bottom style="thin">
        <color theme="0" tint="-0.24994659260841701"/>
      </bottom>
      <diagonal/>
    </border>
    <border>
      <left style="thin">
        <color theme="0" tint="-0.14996795556505021"/>
      </left>
      <right/>
      <top style="thin">
        <color theme="0"/>
      </top>
      <bottom style="thin">
        <color theme="0" tint="-0.24994659260841701"/>
      </bottom>
      <diagonal/>
    </border>
    <border>
      <left style="thin">
        <color theme="0"/>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top style="thin">
        <color theme="0" tint="-0.24994659260841701"/>
      </top>
      <bottom style="thin">
        <color auto="1"/>
      </bottom>
      <diagonal/>
    </border>
    <border>
      <left/>
      <right style="double">
        <color theme="0"/>
      </right>
      <top/>
      <bottom/>
      <diagonal/>
    </border>
    <border>
      <left style="double">
        <color theme="0"/>
      </left>
      <right/>
      <top/>
      <bottom/>
      <diagonal/>
    </border>
    <border>
      <left style="thick">
        <color theme="0"/>
      </left>
      <right/>
      <top/>
      <bottom/>
      <diagonal/>
    </border>
    <border>
      <left style="thin">
        <color theme="0"/>
      </left>
      <right/>
      <top style="thick">
        <color theme="0"/>
      </top>
      <bottom/>
      <diagonal/>
    </border>
    <border>
      <left/>
      <right style="double">
        <color theme="0"/>
      </right>
      <top style="thick">
        <color theme="0"/>
      </top>
      <bottom/>
      <diagonal/>
    </border>
    <border>
      <left style="double">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double">
        <color theme="0"/>
      </left>
      <right/>
      <top/>
      <bottom style="thin">
        <color theme="0"/>
      </bottom>
      <diagonal/>
    </border>
    <border>
      <left/>
      <right style="double">
        <color theme="0"/>
      </right>
      <top/>
      <bottom style="thin">
        <color theme="0"/>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top style="thick">
        <color theme="0"/>
      </top>
      <bottom style="thin">
        <color theme="0"/>
      </bottom>
      <diagonal/>
    </border>
    <border>
      <left style="thick">
        <color theme="0"/>
      </left>
      <right/>
      <top/>
      <bottom style="thin">
        <color theme="0"/>
      </bottom>
      <diagonal/>
    </border>
    <border>
      <left/>
      <right style="thick">
        <color theme="0"/>
      </right>
      <top style="thin">
        <color theme="0"/>
      </top>
      <bottom style="thin">
        <color indexed="64"/>
      </bottom>
      <diagonal/>
    </border>
    <border>
      <left style="thin">
        <color theme="0"/>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style="thick">
        <color theme="0"/>
      </left>
      <right style="thin">
        <color theme="0" tint="-0.24994659260841701"/>
      </right>
      <top style="thin">
        <color theme="0"/>
      </top>
      <bottom style="thin">
        <color theme="0" tint="-0.24994659260841701"/>
      </bottom>
      <diagonal/>
    </border>
    <border>
      <left style="thick">
        <color theme="0"/>
      </left>
      <right style="thin">
        <color theme="0" tint="-0.24994659260841701"/>
      </right>
      <top style="thin">
        <color theme="0" tint="-0.24994659260841701"/>
      </top>
      <bottom style="thin">
        <color theme="0" tint="-0.24994659260841701"/>
      </bottom>
      <diagonal/>
    </border>
    <border>
      <left style="thick">
        <color theme="0"/>
      </left>
      <right style="thin">
        <color theme="0" tint="-0.24994659260841701"/>
      </right>
      <top style="thin">
        <color theme="0" tint="-0.24994659260841701"/>
      </top>
      <bottom style="thin">
        <color indexed="64"/>
      </bottom>
      <diagonal/>
    </border>
    <border>
      <left style="thick">
        <color theme="0"/>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auto="1"/>
      </bottom>
      <diagonal/>
    </border>
    <border>
      <left/>
      <right style="thin">
        <color theme="0"/>
      </right>
      <top style="thin">
        <color indexed="64"/>
      </top>
      <bottom style="thin">
        <color theme="0" tint="-0.24994659260841701"/>
      </bottom>
      <diagonal/>
    </border>
    <border>
      <left style="thin">
        <color theme="0" tint="-0.24994659260841701"/>
      </left>
      <right style="thick">
        <color theme="0" tint="-0.24994659260841701"/>
      </right>
      <top style="thin">
        <color theme="0"/>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indexed="64"/>
      </bottom>
      <diagonal/>
    </border>
    <border>
      <left style="thin">
        <color theme="0" tint="-0.24994659260841701"/>
      </left>
      <right style="thick">
        <color theme="0" tint="-0.24994659260841701"/>
      </right>
      <top style="thin">
        <color indexed="64"/>
      </top>
      <bottom style="thin">
        <color theme="0" tint="-0.24994659260841701"/>
      </bottom>
      <diagonal/>
    </border>
    <border>
      <left style="thin">
        <color theme="0"/>
      </left>
      <right style="thin">
        <color theme="0"/>
      </right>
      <top style="thick">
        <color theme="0"/>
      </top>
      <bottom/>
      <diagonal/>
    </border>
    <border>
      <left style="thick">
        <color theme="0" tint="-0.24994659260841701"/>
      </left>
      <right style="thin">
        <color theme="0" tint="-0.24994659260841701"/>
      </right>
      <top style="thin">
        <color theme="0"/>
      </top>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auto="1"/>
      </bottom>
      <diagonal/>
    </border>
    <border>
      <left style="thick">
        <color theme="0" tint="-0.24994659260841701"/>
      </left>
      <right style="thin">
        <color theme="0" tint="-0.24994659260841701"/>
      </right>
      <top/>
      <bottom/>
      <diagonal/>
    </border>
    <border>
      <left style="thick">
        <color theme="0" tint="-0.24994659260841701"/>
      </left>
      <right style="thin">
        <color theme="0" tint="-0.24994659260841701"/>
      </right>
      <top style="thin">
        <color indexed="64"/>
      </top>
      <bottom style="thin">
        <color theme="0" tint="-0.24994659260841701"/>
      </bottom>
      <diagonal/>
    </border>
    <border>
      <left style="thick">
        <color theme="0"/>
      </left>
      <right style="thin">
        <color theme="0" tint="-0.24994659260841701"/>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thin">
        <color theme="0" tint="-0.24994659260841701"/>
      </right>
      <top/>
      <bottom style="thin">
        <color theme="0"/>
      </bottom>
      <diagonal/>
    </border>
    <border>
      <left style="thick">
        <color theme="0" tint="-0.24994659260841701"/>
      </left>
      <right style="thin">
        <color theme="0" tint="-0.24994659260841701"/>
      </right>
      <top/>
      <bottom style="thin">
        <color indexed="64"/>
      </bottom>
      <diagonal/>
    </border>
    <border>
      <left/>
      <right style="thin">
        <color theme="0"/>
      </right>
      <top/>
      <bottom style="thin">
        <color theme="0" tint="-0.24994659260841701"/>
      </bottom>
      <diagonal/>
    </border>
    <border>
      <left/>
      <right style="thick">
        <color theme="0" tint="-0.34998626667073579"/>
      </right>
      <top style="thin">
        <color theme="0" tint="-0.34998626667073579"/>
      </top>
      <bottom style="thin">
        <color theme="0" tint="-0.34998626667073579"/>
      </bottom>
      <diagonal/>
    </border>
    <border>
      <left style="thin">
        <color theme="0"/>
      </left>
      <right style="thick">
        <color theme="0"/>
      </right>
      <top/>
      <bottom style="thin">
        <color theme="0" tint="-0.34998626667073579"/>
      </bottom>
      <diagonal/>
    </border>
    <border>
      <left style="thin">
        <color theme="0"/>
      </left>
      <right style="thick">
        <color theme="0"/>
      </right>
      <top style="thin">
        <color theme="0"/>
      </top>
      <bottom style="thin">
        <color indexed="64"/>
      </bottom>
      <diagonal/>
    </border>
    <border>
      <left style="thick">
        <color theme="0" tint="-0.24994659260841701"/>
      </left>
      <right style="thin">
        <color theme="0" tint="-0.24994659260841701"/>
      </right>
      <top/>
      <bottom style="thin">
        <color theme="0" tint="-0.24994659260841701"/>
      </bottom>
      <diagonal/>
    </border>
    <border>
      <left/>
      <right/>
      <top style="thin">
        <color auto="1"/>
      </top>
      <bottom style="thin">
        <color auto="1"/>
      </bottom>
      <diagonal/>
    </border>
    <border>
      <left/>
      <right/>
      <top style="thin">
        <color auto="1"/>
      </top>
      <bottom style="thin">
        <color theme="0" tint="-0.24994659260841701"/>
      </bottom>
      <diagonal/>
    </border>
    <border>
      <left style="thin">
        <color theme="0"/>
      </left>
      <right/>
      <top/>
      <bottom style="thick">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int="-0.24994659260841701"/>
      </top>
      <bottom style="thin">
        <color theme="0"/>
      </bottom>
      <diagonal/>
    </border>
    <border>
      <left style="hair">
        <color theme="0"/>
      </left>
      <right style="hair">
        <color theme="0"/>
      </right>
      <top/>
      <bottom style="thin">
        <color theme="0" tint="-0.24994659260841701"/>
      </bottom>
      <diagonal/>
    </border>
    <border>
      <left/>
      <right/>
      <top style="thin">
        <color theme="0" tint="-0.14996795556505021"/>
      </top>
      <bottom style="thin">
        <color indexed="64"/>
      </bottom>
      <diagonal/>
    </border>
    <border>
      <left/>
      <right/>
      <top/>
      <bottom style="hair">
        <color theme="0"/>
      </bottom>
      <diagonal/>
    </border>
    <border>
      <left style="hair">
        <color theme="0"/>
      </left>
      <right style="hair">
        <color theme="0"/>
      </right>
      <top/>
      <bottom/>
      <diagonal/>
    </border>
    <border>
      <left/>
      <right/>
      <top/>
      <bottom style="thin">
        <color theme="0" tint="-0.34998626667073579"/>
      </bottom>
      <diagonal/>
    </border>
    <border>
      <left style="thick">
        <color theme="0"/>
      </left>
      <right style="thin">
        <color theme="0" tint="-0.14996795556505021"/>
      </right>
      <top style="thin">
        <color theme="0"/>
      </top>
      <bottom style="thin">
        <color theme="0" tint="-0.24994659260841701"/>
      </bottom>
      <diagonal/>
    </border>
    <border>
      <left style="thick">
        <color theme="0"/>
      </left>
      <right style="thin">
        <color theme="0" tint="-0.14996795556505021"/>
      </right>
      <top style="thin">
        <color theme="0" tint="-0.24994659260841701"/>
      </top>
      <bottom style="thin">
        <color theme="0" tint="-0.24994659260841701"/>
      </bottom>
      <diagonal/>
    </border>
    <border>
      <left style="thick">
        <color theme="0"/>
      </left>
      <right style="thin">
        <color theme="0" tint="-0.14996795556505021"/>
      </right>
      <top style="thin">
        <color theme="0" tint="-0.24994659260841701"/>
      </top>
      <bottom style="thin">
        <color indexed="64"/>
      </bottom>
      <diagonal/>
    </border>
    <border>
      <left style="thick">
        <color theme="0"/>
      </left>
      <right style="thin">
        <color theme="0" tint="-0.14996795556505021"/>
      </right>
      <top style="thin">
        <color indexed="64"/>
      </top>
      <bottom style="thin">
        <color theme="0" tint="-0.24994659260841701"/>
      </bottom>
      <diagonal/>
    </border>
    <border>
      <left style="thick">
        <color theme="0"/>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ck">
        <color theme="0" tint="-0.24994659260841701"/>
      </right>
      <top style="thin">
        <color theme="0"/>
      </top>
      <bottom style="thin">
        <color theme="0" tint="-0.24994659260841701"/>
      </bottom>
      <diagonal/>
    </border>
    <border>
      <left style="thin">
        <color theme="0" tint="-0.14996795556505021"/>
      </left>
      <right style="thick">
        <color theme="0" tint="-0.24994659260841701"/>
      </right>
      <top style="thin">
        <color indexed="64"/>
      </top>
      <bottom style="thin">
        <color theme="0" tint="-0.24994659260841701"/>
      </bottom>
      <diagonal/>
    </border>
    <border>
      <left style="thin">
        <color theme="0" tint="-0.14996795556505021"/>
      </left>
      <right style="thick">
        <color theme="0" tint="-0.24994659260841701"/>
      </right>
      <top style="thin">
        <color indexed="64"/>
      </top>
      <bottom style="thin">
        <color theme="0" tint="-0.14996795556505021"/>
      </bottom>
      <diagonal/>
    </border>
    <border>
      <left/>
      <right style="thick">
        <color theme="0"/>
      </right>
      <top style="thin">
        <color theme="0"/>
      </top>
      <bottom style="thin">
        <color theme="0" tint="-0.34998626667073579"/>
      </bottom>
      <diagonal/>
    </border>
    <border>
      <left/>
      <right style="thick">
        <color theme="0"/>
      </right>
      <top style="thin">
        <color theme="0" tint="-0.34998626667073579"/>
      </top>
      <bottom style="thin">
        <color theme="0" tint="-0.34998626667073579"/>
      </bottom>
      <diagonal/>
    </border>
    <border>
      <left style="double">
        <color theme="0"/>
      </left>
      <right style="thin">
        <color theme="0"/>
      </right>
      <top style="thin">
        <color theme="0"/>
      </top>
      <bottom style="thin">
        <color indexed="64"/>
      </bottom>
      <diagonal/>
    </border>
  </borders>
  <cellStyleXfs count="30">
    <xf numFmtId="0" fontId="0" fillId="0" borderId="0"/>
    <xf numFmtId="0" fontId="1" fillId="2" borderId="0" applyNumberFormat="0" applyBorder="0" applyAlignment="0" applyProtection="0"/>
    <xf numFmtId="0" fontId="3" fillId="0" borderId="0"/>
    <xf numFmtId="0" fontId="4"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2" borderId="0" applyNumberFormat="0" applyBorder="0" applyAlignment="0" applyProtection="0"/>
    <xf numFmtId="0" fontId="14" fillId="0" borderId="0"/>
    <xf numFmtId="0" fontId="14" fillId="0" borderId="0"/>
    <xf numFmtId="0" fontId="18" fillId="0" borderId="0"/>
    <xf numFmtId="0" fontId="18" fillId="0" borderId="0"/>
    <xf numFmtId="9" fontId="18" fillId="0" borderId="0" applyFont="0" applyFill="0" applyBorder="0" applyAlignment="0" applyProtection="0"/>
    <xf numFmtId="170" fontId="18" fillId="0" borderId="0" applyFont="0" applyFill="0" applyBorder="0" applyAlignment="0" applyProtection="0"/>
    <xf numFmtId="0" fontId="1" fillId="0" borderId="0"/>
    <xf numFmtId="0" fontId="19" fillId="0" borderId="0" applyNumberFormat="0" applyFill="0" applyBorder="0" applyAlignment="0" applyProtection="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172" fontId="3" fillId="7" borderId="1">
      <protection locked="0"/>
    </xf>
    <xf numFmtId="172" fontId="1" fillId="0" borderId="1" applyNumberFormat="0" applyFont="0" applyAlignment="0">
      <alignment wrapText="1"/>
    </xf>
    <xf numFmtId="0" fontId="1" fillId="8" borderId="1">
      <alignment wrapText="1"/>
    </xf>
    <xf numFmtId="0" fontId="25" fillId="9" borderId="44" applyNumberFormat="0" applyAlignment="0" applyProtection="0"/>
    <xf numFmtId="0" fontId="16" fillId="12" borderId="0" applyNumberFormat="0" applyBorder="0" applyAlignment="0" applyProtection="0"/>
    <xf numFmtId="0" fontId="1" fillId="0" borderId="0"/>
    <xf numFmtId="0" fontId="44" fillId="0" borderId="0" applyNumberFormat="0" applyBorder="0" applyAlignment="0"/>
    <xf numFmtId="9" fontId="3" fillId="0" borderId="0" applyFont="0" applyFill="0" applyBorder="0" applyAlignment="0" applyProtection="0"/>
    <xf numFmtId="173" fontId="47" fillId="17" borderId="1" applyNumberFormat="0" applyProtection="0">
      <protection locked="0"/>
    </xf>
  </cellStyleXfs>
  <cellXfs count="1401">
    <xf numFmtId="0" fontId="0" fillId="0" borderId="0" xfId="0"/>
    <xf numFmtId="0" fontId="4" fillId="0" borderId="0" xfId="3" applyFill="1" applyBorder="1"/>
    <xf numFmtId="0" fontId="3" fillId="0" borderId="0" xfId="3" applyFont="1" applyFill="1" applyBorder="1"/>
    <xf numFmtId="0" fontId="5" fillId="0" borderId="0" xfId="3" applyFont="1" applyFill="1" applyBorder="1" applyAlignment="1">
      <alignment horizontal="center" vertical="center"/>
    </xf>
    <xf numFmtId="0" fontId="6" fillId="0" borderId="0" xfId="3" applyFont="1" applyFill="1" applyAlignment="1">
      <alignment horizontal="left" vertical="center"/>
    </xf>
    <xf numFmtId="0" fontId="5" fillId="0" borderId="0" xfId="3" applyFont="1" applyFill="1" applyAlignment="1">
      <alignment vertical="center"/>
    </xf>
    <xf numFmtId="0" fontId="4" fillId="0" borderId="0" xfId="3"/>
    <xf numFmtId="0" fontId="4" fillId="0" borderId="0" xfId="3" applyBorder="1"/>
    <xf numFmtId="0" fontId="4" fillId="0" borderId="0" xfId="3" applyFill="1"/>
    <xf numFmtId="0" fontId="8" fillId="0" borderId="0" xfId="3" applyFont="1" applyFill="1" applyBorder="1" applyAlignment="1">
      <alignment horizontal="left" vertical="center" wrapText="1"/>
    </xf>
    <xf numFmtId="0" fontId="6" fillId="0" borderId="0" xfId="3" applyFont="1" applyFill="1" applyAlignment="1">
      <alignment vertical="center" wrapText="1"/>
    </xf>
    <xf numFmtId="2" fontId="4" fillId="0" borderId="0" xfId="3" applyNumberFormat="1" applyBorder="1"/>
    <xf numFmtId="0" fontId="3" fillId="0" borderId="0" xfId="3" applyFont="1"/>
    <xf numFmtId="0" fontId="4" fillId="0" borderId="0" xfId="3" applyFill="1" applyBorder="1" applyAlignment="1">
      <alignment horizontal="center"/>
    </xf>
    <xf numFmtId="0" fontId="10" fillId="0" borderId="0" xfId="5" applyFont="1" applyFill="1" applyBorder="1"/>
    <xf numFmtId="0" fontId="5" fillId="0" borderId="0" xfId="5" applyFont="1" applyFill="1" applyBorder="1" applyAlignment="1">
      <alignment horizontal="center" vertical="center"/>
    </xf>
    <xf numFmtId="0" fontId="6" fillId="0" borderId="0" xfId="3" applyFont="1" applyFill="1" applyBorder="1" applyAlignment="1">
      <alignment horizontal="left" vertical="center"/>
    </xf>
    <xf numFmtId="0" fontId="3" fillId="0" borderId="0" xfId="5"/>
    <xf numFmtId="0" fontId="5" fillId="0" borderId="0" xfId="5" applyFont="1" applyFill="1" applyAlignment="1">
      <alignment vertical="center"/>
    </xf>
    <xf numFmtId="0" fontId="5" fillId="0" borderId="0" xfId="5" applyFont="1" applyFill="1" applyBorder="1" applyAlignment="1">
      <alignment vertical="center"/>
    </xf>
    <xf numFmtId="0" fontId="5" fillId="0" borderId="0" xfId="5" applyFont="1" applyFill="1" applyAlignment="1">
      <alignment vertical="center" wrapText="1"/>
    </xf>
    <xf numFmtId="0" fontId="3" fillId="0" borderId="0" xfId="5" applyFont="1"/>
    <xf numFmtId="0" fontId="4" fillId="0" borderId="0" xfId="3" applyFont="1"/>
    <xf numFmtId="0" fontId="3" fillId="0" borderId="0" xfId="5" applyFill="1"/>
    <xf numFmtId="0" fontId="3" fillId="0" borderId="0" xfId="5" applyAlignment="1">
      <alignment horizontal="center" vertical="center" wrapText="1"/>
    </xf>
    <xf numFmtId="0" fontId="13" fillId="0" borderId="0" xfId="5" applyFont="1" applyAlignment="1">
      <alignment horizontal="center" vertical="center" wrapText="1"/>
    </xf>
    <xf numFmtId="0" fontId="3" fillId="0" borderId="0" xfId="5" applyFill="1" applyBorder="1"/>
    <xf numFmtId="3" fontId="5" fillId="0" borderId="0" xfId="5" applyNumberFormat="1" applyFont="1" applyFill="1" applyBorder="1" applyAlignment="1">
      <alignment vertical="center"/>
    </xf>
    <xf numFmtId="165" fontId="3" fillId="0" borderId="0" xfId="5" applyNumberFormat="1" applyFill="1" applyBorder="1"/>
    <xf numFmtId="165" fontId="13" fillId="0" borderId="0" xfId="5" applyNumberFormat="1" applyFont="1" applyAlignment="1">
      <alignment horizontal="center" vertical="center" wrapText="1"/>
    </xf>
    <xf numFmtId="0" fontId="3" fillId="0" borderId="0" xfId="5" applyFont="1" applyFill="1" applyBorder="1"/>
    <xf numFmtId="0" fontId="3" fillId="0" borderId="0" xfId="5" applyBorder="1"/>
    <xf numFmtId="0" fontId="3" fillId="0" borderId="0" xfId="5" applyAlignment="1">
      <alignment horizontal="left"/>
    </xf>
    <xf numFmtId="0" fontId="3" fillId="0" borderId="0" xfId="5" applyAlignment="1">
      <alignment horizontal="center"/>
    </xf>
    <xf numFmtId="0" fontId="3" fillId="0" borderId="0" xfId="5" applyAlignment="1">
      <alignment vertical="center"/>
    </xf>
    <xf numFmtId="0" fontId="15" fillId="0" borderId="0" xfId="5" applyFont="1"/>
    <xf numFmtId="0" fontId="15" fillId="0" borderId="0" xfId="5" applyFont="1" applyAlignment="1">
      <alignment horizontal="center"/>
    </xf>
    <xf numFmtId="3" fontId="3" fillId="0" borderId="0" xfId="5" applyNumberFormat="1"/>
    <xf numFmtId="169" fontId="3" fillId="0" borderId="0" xfId="5" applyNumberFormat="1"/>
    <xf numFmtId="0" fontId="10" fillId="0" borderId="0" xfId="2" applyFont="1" applyFill="1" applyBorder="1" applyAlignment="1">
      <alignment vertical="center"/>
    </xf>
    <xf numFmtId="0" fontId="3" fillId="0" borderId="0" xfId="5" applyAlignment="1">
      <alignment horizontal="right"/>
    </xf>
    <xf numFmtId="0" fontId="3" fillId="0" borderId="0" xfId="5" applyFont="1" applyFill="1" applyAlignment="1">
      <alignment vertical="center"/>
    </xf>
    <xf numFmtId="0" fontId="6" fillId="0" borderId="0" xfId="3" applyFont="1" applyAlignment="1">
      <alignment vertical="center"/>
    </xf>
    <xf numFmtId="0" fontId="6" fillId="0" borderId="0" xfId="5" applyFont="1" applyAlignment="1">
      <alignment horizontal="left" vertical="center"/>
    </xf>
    <xf numFmtId="0" fontId="2" fillId="0" borderId="0" xfId="0" applyFont="1" applyAlignment="1">
      <alignment vertical="center"/>
    </xf>
    <xf numFmtId="0" fontId="6" fillId="0" borderId="0" xfId="0" applyFont="1" applyFill="1" applyBorder="1" applyAlignment="1">
      <alignment horizontal="left" vertical="center"/>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Alignment="1">
      <alignment horizontal="center"/>
    </xf>
    <xf numFmtId="0" fontId="3" fillId="0" borderId="0" xfId="5" applyBorder="1" applyAlignment="1">
      <alignment horizontal="center"/>
    </xf>
    <xf numFmtId="0" fontId="2" fillId="0" borderId="0" xfId="0" applyFont="1"/>
    <xf numFmtId="3" fontId="0" fillId="0" borderId="0" xfId="0" applyNumberFormat="1"/>
    <xf numFmtId="0" fontId="21" fillId="0" borderId="0" xfId="0" applyFont="1" applyAlignment="1">
      <alignment horizontal="center" vertical="center"/>
    </xf>
    <xf numFmtId="0" fontId="21" fillId="0" borderId="0" xfId="0" applyFont="1" applyAlignment="1">
      <alignment horizontal="left" vertical="center"/>
    </xf>
    <xf numFmtId="0" fontId="17" fillId="0" borderId="0" xfId="5" applyFont="1" applyFill="1" applyBorder="1" applyAlignment="1">
      <alignment vertical="center"/>
    </xf>
    <xf numFmtId="1" fontId="21" fillId="0" borderId="0" xfId="0" applyNumberFormat="1" applyFont="1" applyAlignment="1">
      <alignment horizontal="center" vertical="center"/>
    </xf>
    <xf numFmtId="0" fontId="0" fillId="0" borderId="4" xfId="0" applyFill="1" applyBorder="1"/>
    <xf numFmtId="0" fontId="1" fillId="0" borderId="0" xfId="0" applyFont="1"/>
    <xf numFmtId="0" fontId="3" fillId="0" borderId="0" xfId="2" applyFont="1" applyFill="1" applyBorder="1" applyAlignment="1">
      <alignment horizontal="center" vertical="center"/>
    </xf>
    <xf numFmtId="0" fontId="4" fillId="0" borderId="5" xfId="3" applyBorder="1"/>
    <xf numFmtId="0" fontId="1" fillId="0" borderId="0" xfId="23" applyFill="1" applyBorder="1">
      <alignment wrapText="1"/>
    </xf>
    <xf numFmtId="165" fontId="4" fillId="6" borderId="20" xfId="17" applyNumberFormat="1" applyFont="1" applyFill="1" applyBorder="1"/>
    <xf numFmtId="167" fontId="4" fillId="6" borderId="20" xfId="3" applyNumberFormat="1" applyFill="1" applyBorder="1"/>
    <xf numFmtId="168" fontId="6" fillId="0" borderId="9" xfId="4" applyNumberFormat="1" applyFont="1" applyFill="1" applyBorder="1"/>
    <xf numFmtId="166" fontId="3" fillId="0" borderId="5" xfId="6" applyNumberFormat="1" applyFont="1" applyFill="1" applyBorder="1"/>
    <xf numFmtId="0" fontId="3" fillId="0" borderId="19" xfId="5" applyFont="1" applyBorder="1"/>
    <xf numFmtId="0" fontId="0" fillId="0" borderId="3" xfId="0" applyBorder="1"/>
    <xf numFmtId="0" fontId="0" fillId="0" borderId="0" xfId="0" applyAlignment="1">
      <alignment vertical="center"/>
    </xf>
    <xf numFmtId="0" fontId="6" fillId="0" borderId="5" xfId="3" applyFont="1" applyFill="1" applyBorder="1"/>
    <xf numFmtId="0" fontId="3" fillId="4" borderId="0" xfId="5" applyFont="1" applyFill="1" applyBorder="1"/>
    <xf numFmtId="0" fontId="3" fillId="0" borderId="0" xfId="5" applyFill="1" applyBorder="1" applyAlignment="1">
      <alignment horizontal="right"/>
    </xf>
    <xf numFmtId="0" fontId="3" fillId="0" borderId="4" xfId="5" applyFill="1" applyBorder="1" applyAlignment="1">
      <alignment horizontal="right"/>
    </xf>
    <xf numFmtId="0" fontId="3" fillId="0" borderId="4" xfId="5" applyFont="1" applyFill="1" applyBorder="1"/>
    <xf numFmtId="0" fontId="3" fillId="0" borderId="4" xfId="5" applyFill="1" applyBorder="1"/>
    <xf numFmtId="0" fontId="6" fillId="0" borderId="4" xfId="5" applyFont="1" applyFill="1" applyBorder="1" applyAlignment="1">
      <alignment horizontal="left" wrapText="1"/>
    </xf>
    <xf numFmtId="3" fontId="3" fillId="6" borderId="11" xfId="5" applyNumberFormat="1" applyFill="1" applyBorder="1"/>
    <xf numFmtId="3" fontId="6" fillId="0" borderId="0" xfId="3" applyNumberFormat="1" applyFont="1" applyFill="1" applyBorder="1"/>
    <xf numFmtId="3" fontId="6" fillId="0" borderId="4" xfId="3" applyNumberFormat="1" applyFont="1" applyFill="1" applyBorder="1"/>
    <xf numFmtId="3" fontId="6" fillId="0" borderId="5" xfId="3" applyNumberFormat="1" applyFont="1" applyFill="1" applyBorder="1"/>
    <xf numFmtId="0" fontId="6" fillId="0" borderId="5" xfId="5" applyFont="1" applyFill="1" applyBorder="1" applyAlignment="1">
      <alignment horizontal="left" wrapText="1"/>
    </xf>
    <xf numFmtId="0" fontId="3" fillId="0" borderId="5" xfId="5" applyFill="1" applyBorder="1" applyAlignment="1">
      <alignment horizontal="right"/>
    </xf>
    <xf numFmtId="0" fontId="3" fillId="0" borderId="9" xfId="5" applyFill="1" applyBorder="1"/>
    <xf numFmtId="0" fontId="3" fillId="0" borderId="9" xfId="5" applyFill="1" applyBorder="1" applyAlignment="1">
      <alignment horizontal="right"/>
    </xf>
    <xf numFmtId="0" fontId="11" fillId="4" borderId="0" xfId="3" applyFont="1" applyFill="1" applyBorder="1" applyAlignment="1">
      <alignment horizontal="center" vertical="center"/>
    </xf>
    <xf numFmtId="0" fontId="22" fillId="4" borderId="12" xfId="3" applyFont="1" applyFill="1" applyBorder="1" applyAlignment="1">
      <alignment horizontal="center" vertical="center"/>
    </xf>
    <xf numFmtId="0" fontId="12" fillId="4" borderId="11" xfId="7" applyFont="1" applyFill="1" applyBorder="1" applyAlignment="1"/>
    <xf numFmtId="0" fontId="12" fillId="4" borderId="11" xfId="1" applyFont="1" applyFill="1" applyBorder="1" applyAlignment="1">
      <alignment horizontal="center"/>
    </xf>
    <xf numFmtId="0" fontId="1" fillId="0" borderId="15" xfId="3" applyFont="1" applyFill="1" applyBorder="1" applyAlignment="1">
      <alignment wrapText="1"/>
    </xf>
    <xf numFmtId="0" fontId="3" fillId="0" borderId="15" xfId="5" applyFont="1" applyFill="1" applyBorder="1" applyAlignment="1">
      <alignment horizontal="right"/>
    </xf>
    <xf numFmtId="3" fontId="3" fillId="3" borderId="15" xfId="3" applyNumberFormat="1" applyFont="1" applyFill="1" applyBorder="1"/>
    <xf numFmtId="0" fontId="3" fillId="0" borderId="4" xfId="5" applyFont="1" applyFill="1" applyBorder="1" applyAlignment="1">
      <alignment horizontal="left" wrapText="1"/>
    </xf>
    <xf numFmtId="0" fontId="3" fillId="0" borderId="4" xfId="5" applyFont="1" applyFill="1" applyBorder="1" applyAlignment="1">
      <alignment horizontal="right"/>
    </xf>
    <xf numFmtId="3" fontId="3" fillId="0" borderId="4" xfId="3" applyNumberFormat="1" applyFont="1" applyFill="1" applyBorder="1"/>
    <xf numFmtId="0" fontId="1" fillId="0" borderId="4" xfId="3" applyFont="1" applyFill="1" applyBorder="1" applyAlignment="1">
      <alignment wrapText="1"/>
    </xf>
    <xf numFmtId="0" fontId="2" fillId="0" borderId="5" xfId="3" applyFont="1" applyFill="1" applyBorder="1" applyAlignment="1">
      <alignment wrapText="1"/>
    </xf>
    <xf numFmtId="0" fontId="2" fillId="0" borderId="4" xfId="3" applyFont="1" applyFill="1" applyBorder="1" applyAlignment="1">
      <alignment wrapText="1"/>
    </xf>
    <xf numFmtId="0" fontId="6" fillId="0" borderId="0" xfId="5" applyFont="1" applyFill="1" applyBorder="1" applyAlignment="1">
      <alignment horizontal="left" wrapText="1"/>
    </xf>
    <xf numFmtId="3" fontId="3" fillId="0" borderId="9" xfId="5" applyNumberFormat="1" applyFill="1" applyBorder="1"/>
    <xf numFmtId="3" fontId="3" fillId="0" borderId="4" xfId="5" applyNumberFormat="1" applyFill="1" applyBorder="1"/>
    <xf numFmtId="0" fontId="3" fillId="4" borderId="13" xfId="5" applyFont="1" applyFill="1" applyBorder="1" applyAlignment="1">
      <alignment horizontal="center" vertical="center" wrapText="1"/>
    </xf>
    <xf numFmtId="0" fontId="3" fillId="4" borderId="14" xfId="5" applyFont="1" applyFill="1" applyBorder="1" applyAlignment="1">
      <alignment horizontal="center" vertical="center" wrapText="1"/>
    </xf>
    <xf numFmtId="166" fontId="3" fillId="0" borderId="4" xfId="5" applyNumberFormat="1" applyBorder="1" applyAlignment="1">
      <alignment horizontal="center" vertical="center"/>
    </xf>
    <xf numFmtId="166" fontId="3" fillId="0" borderId="4" xfId="5" applyNumberFormat="1" applyFill="1" applyBorder="1" applyAlignment="1">
      <alignment horizontal="center" vertical="center"/>
    </xf>
    <xf numFmtId="0" fontId="0" fillId="4" borderId="12" xfId="0" applyFill="1" applyBorder="1"/>
    <xf numFmtId="3" fontId="3" fillId="3" borderId="0" xfId="5" applyNumberFormat="1" applyFill="1" applyBorder="1"/>
    <xf numFmtId="165" fontId="13" fillId="0" borderId="0" xfId="5" applyNumberFormat="1" applyFont="1" applyBorder="1" applyAlignment="1">
      <alignment horizontal="center" vertical="center" wrapText="1"/>
    </xf>
    <xf numFmtId="0" fontId="3" fillId="0" borderId="0" xfId="5" applyBorder="1" applyAlignment="1">
      <alignment horizontal="center" vertical="center" wrapText="1"/>
    </xf>
    <xf numFmtId="0" fontId="3" fillId="4" borderId="0" xfId="3" applyFont="1" applyFill="1" applyBorder="1"/>
    <xf numFmtId="2" fontId="6" fillId="0" borderId="0" xfId="5" applyNumberFormat="1" applyFont="1" applyFill="1" applyBorder="1" applyAlignment="1">
      <alignment horizontal="center" vertical="center"/>
    </xf>
    <xf numFmtId="0" fontId="6" fillId="0" borderId="0" xfId="5" applyFont="1" applyFill="1" applyBorder="1"/>
    <xf numFmtId="0" fontId="3" fillId="4" borderId="20" xfId="3" applyFont="1" applyFill="1" applyBorder="1"/>
    <xf numFmtId="0" fontId="6" fillId="0" borderId="0" xfId="5" applyFont="1" applyFill="1" applyBorder="1" applyAlignment="1">
      <alignment horizontal="left"/>
    </xf>
    <xf numFmtId="0" fontId="3" fillId="0" borderId="4" xfId="5" applyFont="1" applyFill="1" applyBorder="1" applyAlignment="1">
      <alignment horizontal="left"/>
    </xf>
    <xf numFmtId="0" fontId="3" fillId="0" borderId="5" xfId="5" applyFont="1" applyFill="1" applyBorder="1" applyAlignment="1">
      <alignment horizontal="left"/>
    </xf>
    <xf numFmtId="3" fontId="3" fillId="0" borderId="5" xfId="5" applyNumberFormat="1" applyFill="1" applyBorder="1"/>
    <xf numFmtId="0" fontId="3" fillId="0" borderId="9" xfId="5" applyFont="1" applyFill="1" applyBorder="1" applyAlignment="1">
      <alignment horizontal="left"/>
    </xf>
    <xf numFmtId="0" fontId="3" fillId="0" borderId="0" xfId="5" applyBorder="1" applyAlignment="1">
      <alignment horizontal="left"/>
    </xf>
    <xf numFmtId="0" fontId="3" fillId="0" borderId="0" xfId="5" applyFill="1" applyBorder="1" applyAlignment="1">
      <alignment horizontal="left"/>
    </xf>
    <xf numFmtId="165" fontId="3" fillId="0" borderId="28" xfId="5" applyNumberFormat="1" applyBorder="1" applyAlignment="1">
      <alignment vertical="center"/>
    </xf>
    <xf numFmtId="166" fontId="3" fillId="0" borderId="30" xfId="5" applyNumberFormat="1" applyFill="1" applyBorder="1"/>
    <xf numFmtId="0" fontId="3" fillId="0" borderId="29" xfId="5" applyFill="1" applyBorder="1" applyAlignment="1">
      <alignment horizontal="left"/>
    </xf>
    <xf numFmtId="0" fontId="3" fillId="0" borderId="30" xfId="5" applyFill="1" applyBorder="1"/>
    <xf numFmtId="0" fontId="3" fillId="0" borderId="30" xfId="5" applyFill="1" applyBorder="1" applyAlignment="1">
      <alignment horizontal="center"/>
    </xf>
    <xf numFmtId="0" fontId="3" fillId="4" borderId="35" xfId="5" applyFill="1" applyBorder="1"/>
    <xf numFmtId="0" fontId="3" fillId="4" borderId="26" xfId="5" applyFill="1" applyBorder="1"/>
    <xf numFmtId="0" fontId="3" fillId="4" borderId="34" xfId="5" applyFont="1" applyFill="1" applyBorder="1" applyAlignment="1">
      <alignment horizontal="left"/>
    </xf>
    <xf numFmtId="0" fontId="6" fillId="0" borderId="29" xfId="5" applyFont="1" applyFill="1" applyBorder="1" applyAlignment="1">
      <alignment horizontal="left"/>
    </xf>
    <xf numFmtId="0" fontId="6" fillId="0" borderId="32" xfId="5" applyFont="1" applyFill="1" applyBorder="1" applyAlignment="1">
      <alignment horizontal="left"/>
    </xf>
    <xf numFmtId="0" fontId="3" fillId="0" borderId="0" xfId="5" applyFont="1" applyFill="1" applyBorder="1" applyAlignment="1">
      <alignment horizontal="left"/>
    </xf>
    <xf numFmtId="165" fontId="3" fillId="0" borderId="0" xfId="4" applyNumberFormat="1" applyFill="1" applyBorder="1"/>
    <xf numFmtId="167" fontId="3" fillId="0" borderId="30" xfId="5" applyNumberFormat="1" applyFill="1" applyBorder="1"/>
    <xf numFmtId="167" fontId="3" fillId="0" borderId="31" xfId="5" applyNumberFormat="1" applyFill="1" applyBorder="1"/>
    <xf numFmtId="166" fontId="3" fillId="0" borderId="33" xfId="5" applyNumberFormat="1" applyFont="1" applyFill="1" applyBorder="1"/>
    <xf numFmtId="0" fontId="20" fillId="0" borderId="0" xfId="2" applyFont="1" applyFill="1" applyBorder="1" applyAlignment="1">
      <alignment horizontal="center" vertical="center"/>
    </xf>
    <xf numFmtId="169" fontId="3" fillId="0" borderId="22" xfId="18" applyNumberFormat="1" applyFont="1" applyFill="1" applyBorder="1"/>
    <xf numFmtId="0" fontId="0" fillId="0" borderId="0" xfId="0" applyFont="1" applyBorder="1" applyAlignment="1">
      <alignment horizontal="center" vertical="center"/>
    </xf>
    <xf numFmtId="169" fontId="0" fillId="0" borderId="9" xfId="18" applyNumberFormat="1" applyFont="1" applyFill="1" applyBorder="1"/>
    <xf numFmtId="169" fontId="0" fillId="0" borderId="5" xfId="18" applyNumberFormat="1" applyFont="1" applyFill="1" applyBorder="1"/>
    <xf numFmtId="0" fontId="0" fillId="4" borderId="23" xfId="0" applyFont="1" applyFill="1" applyBorder="1"/>
    <xf numFmtId="0" fontId="0" fillId="4" borderId="23" xfId="0" applyFont="1" applyFill="1" applyBorder="1" applyAlignment="1">
      <alignment wrapText="1"/>
    </xf>
    <xf numFmtId="169" fontId="0" fillId="0" borderId="4" xfId="18" applyNumberFormat="1" applyFont="1" applyFill="1" applyBorder="1"/>
    <xf numFmtId="0" fontId="23" fillId="0" borderId="0" xfId="0" applyFont="1"/>
    <xf numFmtId="0" fontId="3" fillId="4" borderId="14" xfId="5" applyFont="1" applyFill="1" applyBorder="1"/>
    <xf numFmtId="0" fontId="3" fillId="4" borderId="23" xfId="5" applyFont="1" applyFill="1" applyBorder="1"/>
    <xf numFmtId="0" fontId="24" fillId="4" borderId="0" xfId="1" applyFont="1" applyFill="1" applyBorder="1" applyAlignment="1">
      <alignment horizontal="left"/>
    </xf>
    <xf numFmtId="0" fontId="3" fillId="4" borderId="17" xfId="3" applyFont="1" applyFill="1" applyBorder="1"/>
    <xf numFmtId="0" fontId="3" fillId="4" borderId="11" xfId="3" applyFont="1" applyFill="1" applyBorder="1"/>
    <xf numFmtId="0" fontId="3" fillId="4" borderId="21" xfId="3" applyFont="1" applyFill="1" applyBorder="1"/>
    <xf numFmtId="3" fontId="3" fillId="6" borderId="11" xfId="5" applyNumberFormat="1" applyFont="1" applyFill="1" applyBorder="1"/>
    <xf numFmtId="3" fontId="3" fillId="6" borderId="17" xfId="5" applyNumberFormat="1" applyFont="1" applyFill="1" applyBorder="1"/>
    <xf numFmtId="3" fontId="3" fillId="0" borderId="15" xfId="5" applyNumberFormat="1" applyFont="1" applyFill="1" applyBorder="1"/>
    <xf numFmtId="3" fontId="3" fillId="0" borderId="25" xfId="5" applyNumberFormat="1" applyFont="1" applyFill="1" applyBorder="1"/>
    <xf numFmtId="3" fontId="3" fillId="0" borderId="8" xfId="5" applyNumberFormat="1" applyFont="1" applyFill="1" applyBorder="1"/>
    <xf numFmtId="0" fontId="2" fillId="0" borderId="0" xfId="3" applyFont="1" applyFill="1" applyBorder="1" applyAlignment="1">
      <alignment wrapText="1"/>
    </xf>
    <xf numFmtId="0" fontId="3" fillId="0" borderId="0" xfId="0" applyFont="1" applyFill="1" applyBorder="1" applyAlignment="1">
      <alignment wrapText="1"/>
    </xf>
    <xf numFmtId="0" fontId="3" fillId="0" borderId="3" xfId="5" applyFont="1" applyBorder="1"/>
    <xf numFmtId="2" fontId="0" fillId="0" borderId="8" xfId="0" applyNumberFormat="1" applyFill="1" applyBorder="1"/>
    <xf numFmtId="166" fontId="3" fillId="0" borderId="0" xfId="6" applyNumberFormat="1" applyFont="1" applyFill="1" applyBorder="1"/>
    <xf numFmtId="0" fontId="3" fillId="4" borderId="20" xfId="5" applyFont="1" applyFill="1" applyBorder="1" applyAlignment="1">
      <alignment horizontal="left" vertical="center"/>
    </xf>
    <xf numFmtId="9" fontId="0" fillId="0" borderId="9" xfId="4" applyFont="1" applyFill="1" applyBorder="1" applyAlignment="1">
      <alignment vertical="center"/>
    </xf>
    <xf numFmtId="0" fontId="3" fillId="4" borderId="22" xfId="5" applyFont="1" applyFill="1" applyBorder="1" applyAlignment="1">
      <alignment horizontal="left" vertical="center"/>
    </xf>
    <xf numFmtId="0" fontId="4" fillId="0" borderId="5" xfId="3" applyFill="1" applyBorder="1" applyAlignment="1">
      <alignment vertical="center"/>
    </xf>
    <xf numFmtId="0" fontId="0" fillId="4" borderId="22" xfId="0" applyFont="1" applyFill="1" applyBorder="1"/>
    <xf numFmtId="2" fontId="0" fillId="0" borderId="0" xfId="0" applyNumberFormat="1" applyFill="1" applyBorder="1"/>
    <xf numFmtId="165" fontId="4" fillId="0" borderId="20" xfId="17" applyNumberFormat="1" applyFont="1" applyFill="1" applyBorder="1"/>
    <xf numFmtId="0" fontId="0" fillId="0" borderId="4" xfId="3" applyFont="1" applyFill="1" applyBorder="1" applyAlignment="1">
      <alignment wrapText="1"/>
    </xf>
    <xf numFmtId="3" fontId="6" fillId="0" borderId="4" xfId="3" applyNumberFormat="1" applyFont="1" applyFill="1" applyBorder="1" applyAlignment="1">
      <alignment horizontal="right"/>
    </xf>
    <xf numFmtId="3" fontId="3" fillId="0" borderId="4" xfId="5" applyNumberFormat="1" applyFont="1" applyFill="1" applyBorder="1" applyAlignment="1">
      <alignment horizontal="right"/>
    </xf>
    <xf numFmtId="166" fontId="4" fillId="0" borderId="4" xfId="3" applyNumberFormat="1" applyFill="1" applyBorder="1"/>
    <xf numFmtId="166" fontId="4" fillId="0" borderId="8" xfId="3" applyNumberFormat="1" applyFill="1" applyBorder="1"/>
    <xf numFmtId="166" fontId="6" fillId="0" borderId="5" xfId="3" applyNumberFormat="1" applyFont="1" applyBorder="1"/>
    <xf numFmtId="0" fontId="2" fillId="0" borderId="5" xfId="7" applyFont="1" applyFill="1" applyBorder="1" applyAlignment="1"/>
    <xf numFmtId="166" fontId="3" fillId="0" borderId="4" xfId="6" applyNumberFormat="1" applyFont="1" applyFill="1" applyBorder="1"/>
    <xf numFmtId="166" fontId="6" fillId="0" borderId="9" xfId="3" applyNumberFormat="1" applyFont="1" applyFill="1" applyBorder="1"/>
    <xf numFmtId="3" fontId="3" fillId="6" borderId="20" xfId="18" applyNumberFormat="1" applyFont="1" applyFill="1" applyBorder="1"/>
    <xf numFmtId="165" fontId="3" fillId="0" borderId="4" xfId="17" applyNumberFormat="1" applyFont="1" applyFill="1" applyBorder="1" applyAlignment="1">
      <alignment vertical="center" wrapText="1"/>
    </xf>
    <xf numFmtId="3" fontId="6" fillId="0" borderId="4" xfId="3" applyNumberFormat="1" applyFont="1" applyBorder="1"/>
    <xf numFmtId="3" fontId="3" fillId="6" borderId="42" xfId="5" applyNumberFormat="1" applyFill="1" applyBorder="1"/>
    <xf numFmtId="166" fontId="3" fillId="4" borderId="6" xfId="5" applyNumberFormat="1" applyFill="1" applyBorder="1" applyAlignment="1">
      <alignment horizontal="center" vertical="center" wrapText="1"/>
    </xf>
    <xf numFmtId="166" fontId="6" fillId="0" borderId="5" xfId="5" applyNumberFormat="1" applyFont="1" applyBorder="1" applyAlignment="1">
      <alignment horizontal="center" vertical="center"/>
    </xf>
    <xf numFmtId="9" fontId="3" fillId="4" borderId="16" xfId="17" applyFont="1" applyFill="1" applyBorder="1" applyAlignment="1">
      <alignment vertical="center" wrapText="1"/>
    </xf>
    <xf numFmtId="9" fontId="27" fillId="4" borderId="16" xfId="17" applyFont="1" applyFill="1" applyBorder="1" applyAlignment="1">
      <alignment vertical="center" wrapText="1"/>
    </xf>
    <xf numFmtId="9" fontId="6" fillId="4" borderId="16" xfId="17" applyFont="1" applyFill="1" applyBorder="1" applyAlignment="1">
      <alignment vertical="center" wrapText="1"/>
    </xf>
    <xf numFmtId="0" fontId="21" fillId="0" borderId="0" xfId="0" applyFont="1" applyFill="1" applyAlignment="1">
      <alignment horizontal="left" vertical="center"/>
    </xf>
    <xf numFmtId="165" fontId="3" fillId="10" borderId="4" xfId="17" applyNumberFormat="1" applyFont="1" applyFill="1" applyBorder="1" applyAlignment="1">
      <alignment horizontal="center"/>
    </xf>
    <xf numFmtId="3" fontId="2" fillId="0" borderId="5" xfId="1" applyNumberFormat="1" applyFont="1" applyFill="1" applyBorder="1" applyAlignment="1">
      <alignment horizontal="right"/>
    </xf>
    <xf numFmtId="0" fontId="3" fillId="3" borderId="27" xfId="5" applyFill="1" applyBorder="1" applyAlignment="1">
      <alignment horizontal="left" vertical="center"/>
    </xf>
    <xf numFmtId="165" fontId="3" fillId="3" borderId="28" xfId="5" applyNumberFormat="1" applyFill="1" applyBorder="1" applyAlignment="1">
      <alignment vertical="center"/>
    </xf>
    <xf numFmtId="166" fontId="3" fillId="3" borderId="28" xfId="5" applyNumberFormat="1" applyFill="1" applyBorder="1"/>
    <xf numFmtId="0" fontId="3" fillId="3" borderId="29" xfId="5" applyFill="1" applyBorder="1" applyAlignment="1">
      <alignment horizontal="left" vertical="center"/>
    </xf>
    <xf numFmtId="165" fontId="3" fillId="3" borderId="30" xfId="5" applyNumberFormat="1" applyFill="1" applyBorder="1" applyAlignment="1">
      <alignment vertical="center"/>
    </xf>
    <xf numFmtId="166" fontId="3" fillId="3" borderId="30" xfId="5" applyNumberFormat="1" applyFill="1" applyBorder="1"/>
    <xf numFmtId="0" fontId="3" fillId="3" borderId="29" xfId="5" applyFont="1" applyFill="1" applyBorder="1" applyAlignment="1">
      <alignment vertical="center" wrapText="1"/>
    </xf>
    <xf numFmtId="166" fontId="3" fillId="0" borderId="0" xfId="5" applyNumberFormat="1" applyFill="1" applyBorder="1" applyAlignment="1">
      <alignment vertical="center"/>
    </xf>
    <xf numFmtId="166" fontId="28" fillId="3" borderId="28" xfId="5" applyNumberFormat="1" applyFont="1" applyFill="1" applyBorder="1"/>
    <xf numFmtId="165" fontId="28" fillId="3" borderId="28" xfId="5" applyNumberFormat="1" applyFont="1" applyFill="1" applyBorder="1" applyAlignment="1">
      <alignment vertical="center"/>
    </xf>
    <xf numFmtId="0" fontId="3" fillId="3" borderId="4" xfId="5" applyFont="1" applyFill="1" applyBorder="1" applyAlignment="1">
      <alignment horizontal="left"/>
    </xf>
    <xf numFmtId="166" fontId="3" fillId="10" borderId="30" xfId="5" applyNumberFormat="1" applyFill="1" applyBorder="1"/>
    <xf numFmtId="165" fontId="3" fillId="10" borderId="30" xfId="5" applyNumberFormat="1" applyFill="1" applyBorder="1" applyAlignment="1">
      <alignment vertical="center"/>
    </xf>
    <xf numFmtId="166" fontId="6" fillId="0" borderId="5" xfId="5" applyNumberFormat="1" applyFont="1" applyFill="1" applyBorder="1" applyAlignment="1">
      <alignment horizontal="center" vertical="center"/>
    </xf>
    <xf numFmtId="0" fontId="6" fillId="4" borderId="23" xfId="5" applyFont="1" applyFill="1" applyBorder="1" applyAlignment="1">
      <alignment horizontal="center" vertical="center" wrapText="1"/>
    </xf>
    <xf numFmtId="165" fontId="3" fillId="3" borderId="30" xfId="5" applyNumberFormat="1" applyFill="1" applyBorder="1" applyAlignment="1">
      <alignment horizontal="right" vertical="center"/>
    </xf>
    <xf numFmtId="3" fontId="3" fillId="0" borderId="0" xfId="5" applyNumberFormat="1" applyFill="1" applyBorder="1"/>
    <xf numFmtId="0" fontId="3" fillId="0" borderId="33" xfId="5" applyFont="1" applyFill="1" applyBorder="1" applyAlignment="1">
      <alignment horizontal="left"/>
    </xf>
    <xf numFmtId="0" fontId="6" fillId="0" borderId="9" xfId="5" applyFont="1" applyFill="1" applyBorder="1" applyAlignment="1">
      <alignment horizontal="left"/>
    </xf>
    <xf numFmtId="0" fontId="3" fillId="3" borderId="9" xfId="5" applyFont="1" applyFill="1" applyBorder="1" applyAlignment="1">
      <alignment horizontal="left"/>
    </xf>
    <xf numFmtId="165" fontId="6" fillId="0" borderId="33" xfId="5" applyNumberFormat="1" applyFont="1" applyBorder="1" applyAlignment="1">
      <alignment vertical="center"/>
    </xf>
    <xf numFmtId="166" fontId="3" fillId="0" borderId="28" xfId="5" applyNumberFormat="1" applyFill="1" applyBorder="1"/>
    <xf numFmtId="0" fontId="3" fillId="0" borderId="0" xfId="5" applyFont="1" applyBorder="1" applyAlignment="1">
      <alignment horizontal="right" vertical="center" wrapText="1"/>
    </xf>
    <xf numFmtId="3" fontId="3" fillId="0" borderId="0" xfId="5" applyNumberFormat="1" applyFill="1" applyBorder="1" applyAlignment="1">
      <alignment horizontal="center" vertical="center"/>
    </xf>
    <xf numFmtId="165" fontId="3" fillId="10" borderId="30" xfId="5" applyNumberFormat="1" applyFill="1" applyBorder="1" applyAlignment="1">
      <alignment horizontal="right" vertical="center"/>
    </xf>
    <xf numFmtId="0" fontId="0" fillId="4" borderId="2" xfId="0" applyFont="1" applyFill="1" applyBorder="1" applyAlignment="1">
      <alignment wrapText="1"/>
    </xf>
    <xf numFmtId="169" fontId="0" fillId="0" borderId="2" xfId="18" applyNumberFormat="1" applyFont="1" applyFill="1" applyBorder="1"/>
    <xf numFmtId="0" fontId="6" fillId="4" borderId="2" xfId="5" applyFont="1" applyFill="1" applyBorder="1" applyAlignment="1">
      <alignment horizontal="left" vertical="center" wrapText="1"/>
    </xf>
    <xf numFmtId="0" fontId="0" fillId="4" borderId="22" xfId="0" applyFont="1" applyFill="1" applyBorder="1" applyAlignment="1">
      <alignment wrapText="1"/>
    </xf>
    <xf numFmtId="0" fontId="23" fillId="4" borderId="23" xfId="0" applyFont="1" applyFill="1" applyBorder="1" applyAlignment="1">
      <alignment wrapText="1"/>
    </xf>
    <xf numFmtId="165" fontId="3" fillId="3" borderId="46" xfId="17" applyNumberFormat="1" applyFont="1" applyFill="1" applyBorder="1"/>
    <xf numFmtId="4" fontId="3" fillId="3" borderId="46" xfId="0" applyNumberFormat="1" applyFont="1" applyFill="1" applyBorder="1"/>
    <xf numFmtId="3" fontId="3" fillId="3" borderId="4" xfId="17" applyNumberFormat="1" applyFont="1" applyFill="1" applyBorder="1" applyAlignment="1">
      <alignment horizontal="center"/>
    </xf>
    <xf numFmtId="165" fontId="3" fillId="3" borderId="4" xfId="17" applyNumberFormat="1" applyFont="1" applyFill="1" applyBorder="1" applyAlignment="1">
      <alignment horizontal="center"/>
    </xf>
    <xf numFmtId="169" fontId="3" fillId="3" borderId="4" xfId="17" applyNumberFormat="1" applyFont="1" applyFill="1" applyBorder="1" applyAlignment="1">
      <alignment horizontal="center"/>
    </xf>
    <xf numFmtId="0" fontId="29" fillId="0" borderId="0" xfId="0" applyFont="1" applyAlignment="1">
      <alignment vertical="center"/>
    </xf>
    <xf numFmtId="0" fontId="30" fillId="0" borderId="0" xfId="0" applyFont="1" applyAlignment="1">
      <alignment horizontal="left" vertical="center"/>
    </xf>
    <xf numFmtId="0" fontId="3" fillId="4" borderId="14" xfId="0" applyFont="1" applyFill="1" applyBorder="1" applyAlignment="1">
      <alignment horizontal="left" vertical="center"/>
    </xf>
    <xf numFmtId="0" fontId="0" fillId="0" borderId="0" xfId="0" applyAlignment="1">
      <alignment wrapText="1"/>
    </xf>
    <xf numFmtId="0" fontId="31" fillId="0" borderId="0" xfId="0" applyFont="1"/>
    <xf numFmtId="0" fontId="11" fillId="0" borderId="0" xfId="0" applyFont="1"/>
    <xf numFmtId="0" fontId="30" fillId="0" borderId="0" xfId="0" applyFont="1"/>
    <xf numFmtId="0" fontId="30" fillId="0" borderId="0" xfId="0" applyFont="1" applyAlignment="1">
      <alignment vertical="center"/>
    </xf>
    <xf numFmtId="0" fontId="3" fillId="0" borderId="0" xfId="0" applyFont="1"/>
    <xf numFmtId="0" fontId="29" fillId="0" borderId="0" xfId="0" applyFont="1"/>
    <xf numFmtId="0" fontId="1" fillId="10" borderId="11" xfId="0" applyFont="1" applyFill="1" applyBorder="1" applyAlignment="1">
      <alignment horizontal="left" vertical="center"/>
    </xf>
    <xf numFmtId="0" fontId="3" fillId="6" borderId="11" xfId="0" applyFont="1" applyFill="1" applyBorder="1" applyAlignment="1">
      <alignment vertical="center"/>
    </xf>
    <xf numFmtId="0" fontId="0" fillId="6" borderId="11" xfId="0" applyFill="1" applyBorder="1" applyAlignment="1">
      <alignment vertical="center"/>
    </xf>
    <xf numFmtId="0" fontId="0" fillId="0" borderId="0" xfId="0" applyAlignment="1">
      <alignment horizontal="left" vertical="center" wrapText="1"/>
    </xf>
    <xf numFmtId="0" fontId="33" fillId="0" borderId="0" xfId="0" applyFont="1"/>
    <xf numFmtId="0" fontId="0" fillId="0" borderId="0" xfId="0" applyAlignment="1">
      <alignment horizontal="left" indent="1"/>
    </xf>
    <xf numFmtId="0" fontId="35" fillId="13" borderId="47" xfId="0" applyFont="1" applyFill="1" applyBorder="1" applyAlignment="1">
      <alignment horizontal="center" vertical="center"/>
    </xf>
    <xf numFmtId="0" fontId="0" fillId="14" borderId="23" xfId="0" applyFill="1" applyBorder="1" applyAlignment="1">
      <alignment horizontal="center" vertical="center"/>
    </xf>
    <xf numFmtId="4" fontId="0" fillId="10" borderId="48" xfId="0" applyNumberFormat="1" applyFill="1" applyBorder="1" applyAlignment="1">
      <alignment horizontal="center"/>
    </xf>
    <xf numFmtId="0" fontId="0" fillId="0" borderId="0" xfId="0" applyAlignment="1">
      <alignment horizontal="left" vertical="center" indent="1"/>
    </xf>
    <xf numFmtId="0" fontId="0" fillId="4" borderId="47" xfId="0" applyFill="1" applyBorder="1" applyAlignment="1">
      <alignment horizontal="left"/>
    </xf>
    <xf numFmtId="0" fontId="32" fillId="0" borderId="0" xfId="0" applyFont="1" applyFill="1"/>
    <xf numFmtId="0" fontId="1" fillId="10" borderId="11" xfId="0" applyFont="1" applyFill="1" applyBorder="1" applyAlignment="1">
      <alignment vertical="center"/>
    </xf>
    <xf numFmtId="0" fontId="3" fillId="4" borderId="12" xfId="0" applyFont="1" applyFill="1" applyBorder="1" applyAlignment="1">
      <alignment horizontal="left" vertical="center"/>
    </xf>
    <xf numFmtId="0" fontId="3" fillId="4" borderId="13" xfId="0" applyFont="1" applyFill="1" applyBorder="1" applyAlignment="1">
      <alignment horizontal="center" vertical="center"/>
    </xf>
    <xf numFmtId="0" fontId="0" fillId="0" borderId="0" xfId="0" applyAlignment="1">
      <alignment horizontal="left" vertical="center"/>
    </xf>
    <xf numFmtId="0" fontId="37" fillId="0" borderId="0" xfId="0" applyFont="1"/>
    <xf numFmtId="0" fontId="38" fillId="0" borderId="0" xfId="0" applyFont="1"/>
    <xf numFmtId="0" fontId="36" fillId="0" borderId="0" xfId="0" applyFont="1"/>
    <xf numFmtId="0" fontId="3" fillId="4" borderId="14" xfId="0" applyFont="1" applyFill="1" applyBorder="1" applyAlignment="1">
      <alignment horizontal="center" vertical="center"/>
    </xf>
    <xf numFmtId="0" fontId="3" fillId="4" borderId="22" xfId="21" applyNumberFormat="1" applyFill="1" applyBorder="1">
      <protection locked="0"/>
    </xf>
    <xf numFmtId="0" fontId="40" fillId="0" borderId="0" xfId="0" applyFont="1"/>
    <xf numFmtId="0" fontId="6" fillId="0" borderId="0" xfId="0" applyFont="1" applyFill="1"/>
    <xf numFmtId="0" fontId="3" fillId="4" borderId="23" xfId="21" applyNumberFormat="1" applyFill="1" applyBorder="1">
      <protection locked="0"/>
    </xf>
    <xf numFmtId="0" fontId="3" fillId="4" borderId="20" xfId="21" applyNumberFormat="1" applyFill="1" applyBorder="1">
      <protection locked="0"/>
    </xf>
    <xf numFmtId="0" fontId="0" fillId="4" borderId="48" xfId="23" applyFont="1" applyFill="1" applyBorder="1">
      <alignment wrapText="1"/>
    </xf>
    <xf numFmtId="0" fontId="0" fillId="0" borderId="4" xfId="0" applyBorder="1"/>
    <xf numFmtId="0" fontId="3" fillId="4" borderId="23" xfId="0" applyFont="1" applyFill="1" applyBorder="1" applyAlignment="1">
      <alignment horizontal="left" vertical="center"/>
    </xf>
    <xf numFmtId="0" fontId="3" fillId="4" borderId="48" xfId="0" applyFont="1" applyFill="1" applyBorder="1" applyAlignment="1">
      <alignment horizontal="left" vertical="center"/>
    </xf>
    <xf numFmtId="0" fontId="36" fillId="0" borderId="0" xfId="0" applyFont="1" applyFill="1"/>
    <xf numFmtId="0" fontId="35" fillId="15" borderId="0" xfId="0" applyFont="1" applyFill="1" applyBorder="1" applyAlignment="1">
      <alignment horizontal="center" vertical="center"/>
    </xf>
    <xf numFmtId="0" fontId="6" fillId="0" borderId="0" xfId="0" applyFont="1"/>
    <xf numFmtId="0" fontId="3" fillId="0" borderId="0" xfId="0" applyFont="1" applyAlignment="1">
      <alignment wrapText="1"/>
    </xf>
    <xf numFmtId="1" fontId="3" fillId="0" borderId="0" xfId="0" applyNumberFormat="1" applyFont="1" applyAlignment="1">
      <alignment horizontal="center"/>
    </xf>
    <xf numFmtId="1" fontId="3" fillId="0" borderId="0" xfId="0" applyNumberFormat="1" applyFont="1"/>
    <xf numFmtId="0" fontId="0" fillId="4" borderId="0" xfId="0" applyFill="1"/>
    <xf numFmtId="0" fontId="34" fillId="16" borderId="47" xfId="0" applyFont="1" applyFill="1" applyBorder="1" applyAlignment="1">
      <alignment horizontal="center" vertical="center"/>
    </xf>
    <xf numFmtId="0" fontId="45" fillId="0" borderId="0" xfId="0" applyFont="1"/>
    <xf numFmtId="0" fontId="1" fillId="6" borderId="12" xfId="23" applyFill="1" applyBorder="1">
      <alignment wrapText="1"/>
    </xf>
    <xf numFmtId="0" fontId="1" fillId="6" borderId="17" xfId="23" applyFill="1" applyBorder="1">
      <alignment wrapText="1"/>
    </xf>
    <xf numFmtId="0" fontId="0" fillId="6" borderId="12" xfId="23" applyFont="1" applyFill="1" applyBorder="1">
      <alignment wrapText="1"/>
    </xf>
    <xf numFmtId="0" fontId="46" fillId="0" borderId="0" xfId="0" applyFont="1"/>
    <xf numFmtId="0" fontId="2" fillId="4" borderId="48" xfId="0" applyFont="1" applyFill="1" applyBorder="1" applyAlignment="1">
      <alignment vertical="center"/>
    </xf>
    <xf numFmtId="0" fontId="0" fillId="4" borderId="49" xfId="0" applyFill="1" applyBorder="1" applyAlignment="1">
      <alignment vertical="center"/>
    </xf>
    <xf numFmtId="0" fontId="3" fillId="4" borderId="48" xfId="0" applyFont="1" applyFill="1" applyBorder="1" applyAlignment="1">
      <alignment horizontal="center" vertical="center"/>
    </xf>
    <xf numFmtId="0" fontId="3" fillId="0" borderId="0" xfId="0" applyFont="1" applyFill="1" applyBorder="1" applyAlignment="1">
      <alignment horizontal="left" vertical="center"/>
    </xf>
    <xf numFmtId="0" fontId="3" fillId="4" borderId="0" xfId="0" applyFont="1" applyFill="1" applyBorder="1" applyAlignment="1">
      <alignment horizontal="left" vertical="center"/>
    </xf>
    <xf numFmtId="0" fontId="0" fillId="0" borderId="0" xfId="0" applyBorder="1"/>
    <xf numFmtId="165" fontId="3" fillId="10" borderId="46" xfId="5" applyNumberFormat="1" applyFill="1" applyBorder="1" applyAlignment="1">
      <alignment horizontal="center"/>
    </xf>
    <xf numFmtId="0" fontId="30" fillId="0" borderId="0" xfId="0" applyFont="1" applyFill="1" applyBorder="1" applyAlignment="1">
      <alignment horizontal="left" vertical="center"/>
    </xf>
    <xf numFmtId="0" fontId="0" fillId="0" borderId="52" xfId="0" applyBorder="1"/>
    <xf numFmtId="0" fontId="41" fillId="0" borderId="52" xfId="0" applyFont="1" applyBorder="1" applyAlignment="1">
      <alignment vertical="center"/>
    </xf>
    <xf numFmtId="0" fontId="3" fillId="4" borderId="18" xfId="0" applyFont="1" applyFill="1" applyBorder="1" applyAlignment="1">
      <alignment horizontal="left" vertical="center"/>
    </xf>
    <xf numFmtId="1" fontId="3" fillId="4" borderId="13" xfId="0" applyNumberFormat="1" applyFont="1" applyFill="1" applyBorder="1" applyAlignment="1">
      <alignment horizontal="center" vertical="center"/>
    </xf>
    <xf numFmtId="1" fontId="3" fillId="10" borderId="53" xfId="22" applyNumberFormat="1" applyFont="1" applyFill="1" applyBorder="1" applyAlignment="1">
      <alignment horizontal="center"/>
    </xf>
    <xf numFmtId="1" fontId="3" fillId="10" borderId="54" xfId="22" applyNumberFormat="1" applyFont="1" applyFill="1" applyBorder="1" applyAlignment="1">
      <alignment horizontal="center"/>
    </xf>
    <xf numFmtId="1" fontId="3" fillId="10" borderId="55" xfId="22" applyNumberFormat="1" applyFont="1" applyFill="1" applyBorder="1" applyAlignment="1">
      <alignment horizontal="center"/>
    </xf>
    <xf numFmtId="1" fontId="3" fillId="0" borderId="56" xfId="22" applyNumberFormat="1" applyFont="1" applyFill="1" applyBorder="1" applyAlignment="1">
      <alignment horizontal="center"/>
    </xf>
    <xf numFmtId="1" fontId="3" fillId="0" borderId="57" xfId="22" applyNumberFormat="1" applyFont="1" applyFill="1" applyBorder="1" applyAlignment="1">
      <alignment horizontal="center"/>
    </xf>
    <xf numFmtId="165" fontId="0" fillId="0" borderId="52" xfId="0" applyNumberFormat="1" applyBorder="1" applyAlignment="1">
      <alignment horizontal="center"/>
    </xf>
    <xf numFmtId="0" fontId="0" fillId="0" borderId="52" xfId="0" applyBorder="1" applyAlignment="1">
      <alignment horizontal="center"/>
    </xf>
    <xf numFmtId="0" fontId="3" fillId="4" borderId="49" xfId="0" applyFont="1" applyFill="1" applyBorder="1" applyAlignment="1">
      <alignment horizontal="left" vertical="center"/>
    </xf>
    <xf numFmtId="0" fontId="3" fillId="4" borderId="62" xfId="0" applyFont="1" applyFill="1" applyBorder="1" applyAlignment="1">
      <alignment horizontal="left" vertical="center"/>
    </xf>
    <xf numFmtId="0" fontId="3" fillId="4" borderId="66" xfId="0" applyFont="1" applyFill="1" applyBorder="1" applyAlignment="1">
      <alignment horizontal="left" vertical="center" wrapText="1"/>
    </xf>
    <xf numFmtId="0" fontId="3" fillId="4" borderId="65" xfId="0" applyFont="1" applyFill="1" applyBorder="1" applyAlignment="1">
      <alignment horizontal="left" vertical="center"/>
    </xf>
    <xf numFmtId="0" fontId="6" fillId="4" borderId="49" xfId="0" applyFont="1" applyFill="1" applyBorder="1" applyAlignment="1">
      <alignment horizontal="left" vertical="center"/>
    </xf>
    <xf numFmtId="0" fontId="6" fillId="4" borderId="59" xfId="0" applyFont="1" applyFill="1" applyBorder="1" applyAlignment="1">
      <alignment horizontal="left" vertical="center"/>
    </xf>
    <xf numFmtId="0" fontId="3" fillId="4" borderId="68" xfId="0" applyFont="1" applyFill="1" applyBorder="1" applyAlignment="1">
      <alignment horizontal="left" vertical="center" wrapText="1"/>
    </xf>
    <xf numFmtId="0" fontId="3" fillId="4" borderId="10" xfId="0" applyFont="1" applyFill="1" applyBorder="1" applyAlignment="1">
      <alignment horizontal="left" vertical="center"/>
    </xf>
    <xf numFmtId="174" fontId="48" fillId="0" borderId="4" xfId="0" applyNumberFormat="1" applyFont="1" applyBorder="1"/>
    <xf numFmtId="174" fontId="48" fillId="0" borderId="69" xfId="0" applyNumberFormat="1" applyFont="1" applyBorder="1"/>
    <xf numFmtId="165" fontId="0" fillId="0" borderId="9" xfId="0" applyNumberFormat="1" applyBorder="1" applyAlignment="1">
      <alignment horizontal="center"/>
    </xf>
    <xf numFmtId="165" fontId="0" fillId="0" borderId="4" xfId="0" applyNumberFormat="1" applyBorder="1" applyAlignment="1">
      <alignment horizontal="center"/>
    </xf>
    <xf numFmtId="165" fontId="0" fillId="0" borderId="70" xfId="0" applyNumberFormat="1" applyBorder="1" applyAlignment="1">
      <alignment horizontal="center"/>
    </xf>
    <xf numFmtId="165" fontId="48" fillId="0" borderId="4" xfId="0" applyNumberFormat="1" applyFont="1" applyBorder="1" applyAlignment="1">
      <alignment horizontal="center"/>
    </xf>
    <xf numFmtId="165" fontId="48" fillId="0" borderId="70" xfId="0" applyNumberFormat="1" applyFont="1" applyBorder="1" applyAlignment="1">
      <alignment horizontal="center"/>
    </xf>
    <xf numFmtId="165" fontId="48" fillId="0" borderId="9" xfId="0" applyNumberFormat="1" applyFont="1" applyBorder="1" applyAlignment="1">
      <alignment horizontal="center"/>
    </xf>
    <xf numFmtId="165" fontId="0" fillId="0" borderId="71" xfId="0" applyNumberFormat="1" applyBorder="1" applyAlignment="1">
      <alignment horizontal="center"/>
    </xf>
    <xf numFmtId="165" fontId="0" fillId="0" borderId="73" xfId="0" applyNumberFormat="1" applyBorder="1" applyAlignment="1">
      <alignment horizontal="center"/>
    </xf>
    <xf numFmtId="165" fontId="0" fillId="0" borderId="75" xfId="0" applyNumberFormat="1" applyBorder="1" applyAlignment="1">
      <alignment horizontal="center"/>
    </xf>
    <xf numFmtId="0" fontId="3" fillId="4" borderId="0"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17" xfId="0" applyFont="1" applyFill="1" applyBorder="1" applyAlignment="1">
      <alignment horizontal="center" vertical="center"/>
    </xf>
    <xf numFmtId="0" fontId="0" fillId="0" borderId="9" xfId="0" applyBorder="1" applyAlignment="1">
      <alignment horizontal="center"/>
    </xf>
    <xf numFmtId="0" fontId="0" fillId="0" borderId="73" xfId="0" applyBorder="1" applyAlignment="1">
      <alignment horizontal="center"/>
    </xf>
    <xf numFmtId="0" fontId="0" fillId="0" borderId="4" xfId="0" applyBorder="1" applyAlignment="1">
      <alignment horizontal="center"/>
    </xf>
    <xf numFmtId="0" fontId="48" fillId="0" borderId="9" xfId="0" applyFont="1" applyBorder="1" applyAlignment="1">
      <alignment horizontal="center"/>
    </xf>
    <xf numFmtId="1" fontId="3" fillId="10" borderId="77" xfId="5" applyNumberFormat="1" applyFill="1" applyBorder="1" applyAlignment="1">
      <alignment horizontal="center"/>
    </xf>
    <xf numFmtId="1" fontId="3" fillId="10" borderId="78" xfId="5" applyNumberFormat="1" applyFill="1" applyBorder="1" applyAlignment="1">
      <alignment horizontal="center"/>
    </xf>
    <xf numFmtId="1" fontId="3" fillId="10" borderId="79" xfId="5" applyNumberFormat="1" applyFill="1" applyBorder="1" applyAlignment="1">
      <alignment horizontal="center"/>
    </xf>
    <xf numFmtId="1" fontId="3" fillId="10" borderId="80" xfId="5" applyNumberFormat="1" applyFill="1" applyBorder="1" applyAlignment="1">
      <alignment horizontal="center"/>
    </xf>
    <xf numFmtId="165" fontId="48" fillId="0" borderId="81" xfId="0" applyNumberFormat="1" applyFont="1" applyBorder="1" applyAlignment="1">
      <alignment horizontal="center"/>
    </xf>
    <xf numFmtId="165" fontId="0" fillId="0" borderId="81" xfId="0" applyNumberFormat="1" applyBorder="1" applyAlignment="1">
      <alignment horizontal="center"/>
    </xf>
    <xf numFmtId="165" fontId="0" fillId="0" borderId="82" xfId="0" applyNumberFormat="1" applyBorder="1" applyAlignment="1">
      <alignment horizontal="center"/>
    </xf>
    <xf numFmtId="165" fontId="0" fillId="0" borderId="83" xfId="0" applyNumberFormat="1" applyBorder="1" applyAlignment="1">
      <alignment horizontal="center"/>
    </xf>
    <xf numFmtId="0" fontId="3" fillId="4" borderId="85" xfId="0" applyFont="1" applyFill="1" applyBorder="1" applyAlignment="1">
      <alignment horizontal="left" vertical="center" wrapText="1"/>
    </xf>
    <xf numFmtId="0" fontId="3" fillId="4" borderId="86" xfId="0" applyFont="1" applyFill="1" applyBorder="1" applyAlignment="1">
      <alignment horizontal="left" vertical="center"/>
    </xf>
    <xf numFmtId="0" fontId="3" fillId="4" borderId="61" xfId="0" applyFont="1" applyFill="1" applyBorder="1" applyAlignment="1">
      <alignment horizontal="center" vertical="center"/>
    </xf>
    <xf numFmtId="0" fontId="3" fillId="4" borderId="87" xfId="0" applyFont="1" applyFill="1" applyBorder="1" applyAlignment="1">
      <alignment horizontal="center" vertical="center"/>
    </xf>
    <xf numFmtId="0" fontId="29" fillId="0" borderId="0" xfId="0" applyFont="1" applyAlignment="1">
      <alignment horizontal="left" vertical="center"/>
    </xf>
    <xf numFmtId="0" fontId="49" fillId="0" borderId="0" xfId="0" applyFont="1" applyBorder="1"/>
    <xf numFmtId="169" fontId="3" fillId="10" borderId="37" xfId="22" applyNumberFormat="1" applyFont="1" applyFill="1" applyBorder="1" applyAlignment="1"/>
    <xf numFmtId="169" fontId="3" fillId="10" borderId="42" xfId="22" applyNumberFormat="1" applyFont="1" applyFill="1" applyBorder="1" applyAlignment="1"/>
    <xf numFmtId="169" fontId="3" fillId="10" borderId="89" xfId="22" applyNumberFormat="1" applyFont="1" applyFill="1" applyBorder="1" applyAlignment="1"/>
    <xf numFmtId="1" fontId="3" fillId="0" borderId="90" xfId="22" applyNumberFormat="1" applyFont="1" applyFill="1" applyBorder="1" applyAlignment="1">
      <alignment horizontal="center"/>
    </xf>
    <xf numFmtId="3" fontId="1" fillId="6" borderId="12" xfId="23" applyNumberFormat="1" applyFill="1" applyBorder="1">
      <alignment wrapText="1"/>
    </xf>
    <xf numFmtId="3" fontId="1" fillId="6" borderId="95" xfId="23" applyNumberFormat="1" applyFill="1" applyBorder="1">
      <alignment wrapText="1"/>
    </xf>
    <xf numFmtId="3" fontId="1" fillId="6" borderId="88" xfId="23" applyNumberFormat="1" applyFill="1" applyBorder="1">
      <alignment wrapText="1"/>
    </xf>
    <xf numFmtId="3" fontId="1" fillId="6" borderId="97" xfId="23" applyNumberFormat="1" applyFill="1" applyBorder="1">
      <alignment wrapText="1"/>
    </xf>
    <xf numFmtId="3" fontId="1" fillId="6" borderId="76" xfId="23" applyNumberFormat="1" applyFill="1" applyBorder="1">
      <alignment wrapText="1"/>
    </xf>
    <xf numFmtId="0" fontId="9" fillId="0" borderId="23" xfId="21" applyNumberFormat="1" applyFont="1" applyFill="1" applyBorder="1" applyAlignment="1">
      <alignment horizontal="center"/>
      <protection locked="0"/>
    </xf>
    <xf numFmtId="0" fontId="51" fillId="0" borderId="0" xfId="0" applyFont="1" applyFill="1" applyBorder="1" applyAlignment="1">
      <alignment horizontal="center" vertical="center"/>
    </xf>
    <xf numFmtId="0" fontId="3" fillId="0" borderId="0" xfId="0" applyFont="1" applyFill="1"/>
    <xf numFmtId="0" fontId="50" fillId="15" borderId="20" xfId="0" applyFont="1" applyFill="1" applyBorder="1" applyAlignment="1">
      <alignment horizontal="center" vertical="center"/>
    </xf>
    <xf numFmtId="0" fontId="9" fillId="0" borderId="0" xfId="21" applyNumberFormat="1" applyFont="1" applyFill="1" applyBorder="1" applyAlignment="1">
      <alignment horizontal="center"/>
      <protection locked="0"/>
    </xf>
    <xf numFmtId="0" fontId="43" fillId="4" borderId="12" xfId="21" applyNumberFormat="1" applyFont="1" applyFill="1" applyBorder="1" applyAlignment="1">
      <alignment horizontal="center"/>
      <protection locked="0"/>
    </xf>
    <xf numFmtId="0" fontId="43" fillId="4" borderId="17" xfId="21" applyNumberFormat="1" applyFont="1" applyFill="1" applyBorder="1" applyAlignment="1">
      <alignment horizontal="center"/>
      <protection locked="0"/>
    </xf>
    <xf numFmtId="165" fontId="3" fillId="0" borderId="9" xfId="0" applyNumberFormat="1" applyFont="1" applyBorder="1" applyAlignment="1">
      <alignment horizontal="center"/>
    </xf>
    <xf numFmtId="165" fontId="3" fillId="0" borderId="4" xfId="0" applyNumberFormat="1" applyFont="1" applyBorder="1" applyAlignment="1">
      <alignment horizontal="center"/>
    </xf>
    <xf numFmtId="165" fontId="3" fillId="0" borderId="73" xfId="0" applyNumberFormat="1" applyFont="1" applyBorder="1" applyAlignment="1">
      <alignment horizontal="center"/>
    </xf>
    <xf numFmtId="165" fontId="48" fillId="0" borderId="73" xfId="0" applyNumberFormat="1" applyFont="1" applyBorder="1" applyAlignment="1">
      <alignment horizontal="center"/>
    </xf>
    <xf numFmtId="165" fontId="3" fillId="0" borderId="0" xfId="5" applyNumberFormat="1" applyFill="1" applyBorder="1" applyAlignment="1">
      <alignment horizontal="center"/>
    </xf>
    <xf numFmtId="165" fontId="3" fillId="0" borderId="46" xfId="5" applyNumberFormat="1" applyFill="1" applyBorder="1" applyAlignment="1">
      <alignment horizontal="center"/>
    </xf>
    <xf numFmtId="0" fontId="3" fillId="4" borderId="9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00" xfId="0" applyFont="1" applyFill="1" applyBorder="1" applyAlignment="1">
      <alignment horizontal="center" vertical="center"/>
    </xf>
    <xf numFmtId="0" fontId="48" fillId="0" borderId="0" xfId="0" applyFont="1"/>
    <xf numFmtId="0" fontId="6" fillId="19" borderId="49" xfId="0" applyFont="1" applyFill="1" applyBorder="1" applyAlignment="1">
      <alignment horizontal="left" vertical="center"/>
    </xf>
    <xf numFmtId="0" fontId="0" fillId="0" borderId="0" xfId="0" applyAlignment="1">
      <alignment horizontal="left"/>
    </xf>
    <xf numFmtId="0" fontId="2" fillId="4" borderId="48" xfId="0" applyFont="1" applyFill="1" applyBorder="1" applyAlignment="1">
      <alignment horizontal="center" vertical="center"/>
    </xf>
    <xf numFmtId="0" fontId="0" fillId="4" borderId="49" xfId="0" applyFill="1" applyBorder="1" applyAlignment="1">
      <alignment horizontal="center" vertical="center"/>
    </xf>
    <xf numFmtId="0" fontId="52" fillId="0" borderId="0" xfId="0" applyFont="1"/>
    <xf numFmtId="0" fontId="21" fillId="0" borderId="0" xfId="5" applyFont="1" applyAlignment="1">
      <alignment horizontal="center" vertical="center"/>
    </xf>
    <xf numFmtId="0" fontId="21" fillId="0" borderId="0" xfId="5" applyFont="1" applyAlignment="1">
      <alignment horizontal="left" vertical="center"/>
    </xf>
    <xf numFmtId="0" fontId="10" fillId="0" borderId="0" xfId="2" applyFont="1" applyAlignment="1">
      <alignment vertical="center"/>
    </xf>
    <xf numFmtId="0" fontId="26" fillId="0" borderId="0" xfId="8" applyFont="1" applyAlignment="1">
      <alignment horizontal="center" vertical="center"/>
    </xf>
    <xf numFmtId="0" fontId="53" fillId="0" borderId="0" xfId="8" applyFont="1"/>
    <xf numFmtId="0" fontId="6" fillId="0" borderId="0" xfId="8" applyFont="1" applyAlignment="1">
      <alignment horizontal="right"/>
    </xf>
    <xf numFmtId="0" fontId="54" fillId="0" borderId="0" xfId="8" applyFont="1"/>
    <xf numFmtId="0" fontId="6" fillId="4" borderId="12" xfId="5" applyFont="1" applyFill="1" applyBorder="1" applyAlignment="1">
      <alignment horizontal="left" vertical="center" wrapText="1"/>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3" fillId="4" borderId="12" xfId="5" applyFill="1" applyBorder="1" applyAlignment="1">
      <alignment horizontal="left" vertical="center" wrapText="1"/>
    </xf>
    <xf numFmtId="165" fontId="3" fillId="0" borderId="4" xfId="28" applyNumberFormat="1" applyFont="1" applyFill="1" applyBorder="1" applyAlignment="1">
      <alignment horizontal="center"/>
    </xf>
    <xf numFmtId="165" fontId="3" fillId="0" borderId="5" xfId="28" applyNumberFormat="1" applyFont="1" applyFill="1" applyBorder="1" applyAlignment="1">
      <alignment horizontal="center"/>
    </xf>
    <xf numFmtId="165" fontId="6" fillId="10" borderId="4" xfId="28" applyNumberFormat="1" applyFont="1" applyFill="1" applyBorder="1" applyAlignment="1">
      <alignment horizontal="center"/>
    </xf>
    <xf numFmtId="165" fontId="6" fillId="10" borderId="5" xfId="28" applyNumberFormat="1" applyFont="1" applyFill="1" applyBorder="1" applyAlignment="1">
      <alignment horizontal="center"/>
    </xf>
    <xf numFmtId="0" fontId="48" fillId="0" borderId="0" xfId="5" applyFont="1"/>
    <xf numFmtId="165" fontId="50" fillId="15" borderId="20" xfId="0" applyNumberFormat="1" applyFont="1" applyFill="1" applyBorder="1" applyAlignment="1">
      <alignment horizontal="center" vertical="center"/>
    </xf>
    <xf numFmtId="0" fontId="3" fillId="4" borderId="104" xfId="0" applyFont="1" applyFill="1" applyBorder="1" applyAlignment="1">
      <alignment horizontal="center" vertical="center"/>
    </xf>
    <xf numFmtId="3" fontId="3" fillId="10" borderId="9" xfId="0"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73" xfId="0" applyNumberFormat="1" applyFont="1" applyFill="1" applyBorder="1" applyAlignment="1">
      <alignment horizontal="right"/>
    </xf>
    <xf numFmtId="3" fontId="3" fillId="10" borderId="101" xfId="0" applyNumberFormat="1" applyFont="1" applyFill="1" applyBorder="1" applyAlignment="1">
      <alignment horizontal="right"/>
    </xf>
    <xf numFmtId="3" fontId="3" fillId="10" borderId="102" xfId="0" applyNumberFormat="1" applyFont="1" applyFill="1" applyBorder="1" applyAlignment="1">
      <alignment horizontal="right"/>
    </xf>
    <xf numFmtId="3" fontId="3" fillId="10" borderId="103" xfId="0" applyNumberFormat="1" applyFont="1" applyFill="1" applyBorder="1" applyAlignment="1">
      <alignment horizontal="right"/>
    </xf>
    <xf numFmtId="3" fontId="3" fillId="18" borderId="11" xfId="0" applyNumberFormat="1" applyFont="1" applyFill="1" applyBorder="1" applyProtection="1">
      <protection locked="0"/>
    </xf>
    <xf numFmtId="3" fontId="3" fillId="18" borderId="17" xfId="0" applyNumberFormat="1" applyFont="1" applyFill="1" applyBorder="1" applyProtection="1">
      <protection locked="0"/>
    </xf>
    <xf numFmtId="174" fontId="3" fillId="0" borderId="9" xfId="0" applyNumberFormat="1" applyFont="1" applyBorder="1" applyAlignment="1">
      <alignment horizontal="right"/>
    </xf>
    <xf numFmtId="174" fontId="3" fillId="0" borderId="4" xfId="0" applyNumberFormat="1" applyFont="1" applyBorder="1" applyAlignment="1">
      <alignment horizontal="right"/>
    </xf>
    <xf numFmtId="174" fontId="3" fillId="0" borderId="73" xfId="0" applyNumberFormat="1" applyFont="1" applyBorder="1" applyAlignment="1">
      <alignment horizontal="right"/>
    </xf>
    <xf numFmtId="175" fontId="3" fillId="0" borderId="9" xfId="0" applyNumberFormat="1" applyFont="1" applyFill="1" applyBorder="1" applyAlignment="1">
      <alignment horizontal="right"/>
    </xf>
    <xf numFmtId="3" fontId="3" fillId="10" borderId="94" xfId="0" applyNumberFormat="1" applyFont="1" applyFill="1" applyBorder="1" applyAlignment="1">
      <alignment horizontal="right"/>
    </xf>
    <xf numFmtId="3" fontId="3" fillId="10" borderId="83" xfId="0" applyNumberFormat="1" applyFont="1" applyFill="1" applyBorder="1" applyAlignment="1">
      <alignment horizontal="right"/>
    </xf>
    <xf numFmtId="174" fontId="3" fillId="10" borderId="9" xfId="0" applyNumberFormat="1" applyFont="1" applyFill="1" applyBorder="1" applyAlignment="1">
      <alignment horizontal="center"/>
    </xf>
    <xf numFmtId="174" fontId="3" fillId="10" borderId="83" xfId="0" applyNumberFormat="1" applyFont="1" applyFill="1" applyBorder="1" applyAlignment="1">
      <alignment horizontal="center"/>
    </xf>
    <xf numFmtId="165" fontId="3" fillId="10" borderId="9" xfId="0" applyNumberFormat="1" applyFont="1" applyFill="1" applyBorder="1" applyAlignment="1">
      <alignment horizontal="center"/>
    </xf>
    <xf numFmtId="165" fontId="3" fillId="10" borderId="83" xfId="0" applyNumberFormat="1" applyFont="1" applyFill="1" applyBorder="1" applyAlignment="1">
      <alignment horizontal="center"/>
    </xf>
    <xf numFmtId="3" fontId="3" fillId="10" borderId="92" xfId="0" applyNumberFormat="1" applyFont="1" applyFill="1" applyBorder="1" applyAlignment="1">
      <alignment horizontal="right"/>
    </xf>
    <xf numFmtId="3" fontId="3" fillId="10" borderId="81" xfId="0" applyNumberFormat="1" applyFont="1" applyFill="1" applyBorder="1" applyAlignment="1">
      <alignment horizontal="right"/>
    </xf>
    <xf numFmtId="174" fontId="3" fillId="10" borderId="4" xfId="0" applyNumberFormat="1" applyFont="1" applyFill="1" applyBorder="1" applyAlignment="1">
      <alignment horizontal="center"/>
    </xf>
    <xf numFmtId="174" fontId="3" fillId="10" borderId="81" xfId="0" applyNumberFormat="1" applyFont="1" applyFill="1" applyBorder="1" applyAlignment="1">
      <alignment horizontal="center"/>
    </xf>
    <xf numFmtId="165" fontId="3" fillId="10" borderId="4" xfId="0" applyNumberFormat="1" applyFont="1" applyFill="1" applyBorder="1" applyAlignment="1">
      <alignment horizontal="center"/>
    </xf>
    <xf numFmtId="165" fontId="3" fillId="10" borderId="81" xfId="0" applyNumberFormat="1" applyFont="1" applyFill="1" applyBorder="1" applyAlignment="1">
      <alignment horizontal="center"/>
    </xf>
    <xf numFmtId="3" fontId="3" fillId="10" borderId="93" xfId="0" applyNumberFormat="1" applyFont="1" applyFill="1" applyBorder="1" applyAlignment="1">
      <alignment horizontal="right"/>
    </xf>
    <xf numFmtId="3" fontId="3" fillId="10" borderId="82" xfId="0" applyNumberFormat="1" applyFont="1" applyFill="1" applyBorder="1" applyAlignment="1">
      <alignment horizontal="right"/>
    </xf>
    <xf numFmtId="174" fontId="3" fillId="10" borderId="73" xfId="0" applyNumberFormat="1" applyFont="1" applyFill="1" applyBorder="1" applyAlignment="1">
      <alignment horizontal="center"/>
    </xf>
    <xf numFmtId="174" fontId="3" fillId="10" borderId="82" xfId="0" applyNumberFormat="1" applyFont="1" applyFill="1" applyBorder="1" applyAlignment="1">
      <alignment horizontal="center"/>
    </xf>
    <xf numFmtId="165" fontId="3" fillId="10" borderId="73" xfId="0" applyNumberFormat="1" applyFont="1" applyFill="1" applyBorder="1" applyAlignment="1">
      <alignment horizontal="center"/>
    </xf>
    <xf numFmtId="165" fontId="3" fillId="10" borderId="82" xfId="0" applyNumberFormat="1" applyFont="1" applyFill="1" applyBorder="1" applyAlignment="1">
      <alignment horizontal="center"/>
    </xf>
    <xf numFmtId="174" fontId="3" fillId="0" borderId="9" xfId="0" applyNumberFormat="1" applyFont="1" applyFill="1" applyBorder="1" applyAlignment="1">
      <alignment horizontal="right"/>
    </xf>
    <xf numFmtId="174" fontId="3" fillId="0" borderId="105" xfId="0" applyNumberFormat="1" applyFont="1" applyFill="1" applyBorder="1" applyAlignment="1">
      <alignment horizontal="right"/>
    </xf>
    <xf numFmtId="174" fontId="3" fillId="0" borderId="4" xfId="0" applyNumberFormat="1" applyFont="1" applyFill="1" applyBorder="1" applyAlignment="1">
      <alignment horizontal="right"/>
    </xf>
    <xf numFmtId="174" fontId="3" fillId="0" borderId="73" xfId="0" applyNumberFormat="1" applyFont="1" applyFill="1" applyBorder="1" applyAlignment="1">
      <alignment horizontal="right"/>
    </xf>
    <xf numFmtId="174" fontId="3" fillId="0" borderId="106" xfId="0" applyNumberFormat="1" applyFont="1" applyFill="1" applyBorder="1" applyAlignment="1">
      <alignment horizontal="right"/>
    </xf>
    <xf numFmtId="174" fontId="3" fillId="0" borderId="107" xfId="0" applyNumberFormat="1" applyFont="1" applyFill="1" applyBorder="1" applyAlignment="1">
      <alignment horizontal="right"/>
    </xf>
    <xf numFmtId="0" fontId="3" fillId="4" borderId="22" xfId="0" applyFont="1" applyFill="1" applyBorder="1" applyAlignment="1">
      <alignment horizontal="center" vertical="center"/>
    </xf>
    <xf numFmtId="1" fontId="3" fillId="10" borderId="110" xfId="5" applyNumberFormat="1" applyFill="1" applyBorder="1" applyAlignment="1">
      <alignment horizontal="center"/>
    </xf>
    <xf numFmtId="3" fontId="1" fillId="6" borderId="41" xfId="23" applyNumberFormat="1" applyFill="1" applyBorder="1">
      <alignment wrapText="1"/>
    </xf>
    <xf numFmtId="3" fontId="1" fillId="6" borderId="111" xfId="23" applyNumberFormat="1" applyFill="1" applyBorder="1">
      <alignment wrapText="1"/>
    </xf>
    <xf numFmtId="3" fontId="3" fillId="10" borderId="113" xfId="0" applyNumberFormat="1" applyFont="1" applyFill="1" applyBorder="1" applyAlignment="1">
      <alignment horizontal="right"/>
    </xf>
    <xf numFmtId="3" fontId="3" fillId="10" borderId="114" xfId="0" applyNumberFormat="1" applyFont="1" applyFill="1" applyBorder="1" applyAlignment="1">
      <alignment horizontal="right"/>
    </xf>
    <xf numFmtId="165" fontId="3" fillId="10" borderId="5" xfId="0" applyNumberFormat="1" applyFont="1" applyFill="1" applyBorder="1" applyAlignment="1">
      <alignment horizontal="center"/>
    </xf>
    <xf numFmtId="165" fontId="3" fillId="10" borderId="114" xfId="0" applyNumberFormat="1" applyFont="1" applyFill="1" applyBorder="1" applyAlignment="1">
      <alignment horizontal="center"/>
    </xf>
    <xf numFmtId="174" fontId="3" fillId="0" borderId="5" xfId="0" applyNumberFormat="1" applyFont="1" applyBorder="1" applyAlignment="1">
      <alignment horizontal="right"/>
    </xf>
    <xf numFmtId="3" fontId="3" fillId="10" borderId="5" xfId="0" applyNumberFormat="1" applyFont="1" applyFill="1" applyBorder="1" applyAlignment="1">
      <alignment horizontal="right"/>
    </xf>
    <xf numFmtId="3" fontId="3" fillId="10" borderId="115" xfId="0" applyNumberFormat="1" applyFont="1" applyFill="1" applyBorder="1" applyAlignment="1">
      <alignment horizontal="right"/>
    </xf>
    <xf numFmtId="174" fontId="3" fillId="0" borderId="5" xfId="0" applyNumberFormat="1" applyFont="1" applyFill="1" applyBorder="1" applyAlignment="1">
      <alignment horizontal="right"/>
    </xf>
    <xf numFmtId="174" fontId="3" fillId="0" borderId="116" xfId="0" applyNumberFormat="1" applyFont="1" applyFill="1" applyBorder="1" applyAlignment="1">
      <alignment horizontal="right"/>
    </xf>
    <xf numFmtId="1" fontId="3" fillId="4" borderId="14" xfId="0" applyNumberFormat="1" applyFont="1" applyFill="1" applyBorder="1" applyAlignment="1">
      <alignment horizontal="center" vertical="center"/>
    </xf>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69" fontId="3" fillId="0" borderId="0" xfId="0" applyNumberFormat="1" applyFont="1" applyFill="1" applyBorder="1"/>
    <xf numFmtId="1" fontId="3" fillId="4" borderId="12" xfId="0" applyNumberFormat="1" applyFont="1" applyFill="1" applyBorder="1" applyAlignment="1">
      <alignment horizontal="center" vertical="center"/>
    </xf>
    <xf numFmtId="1" fontId="3" fillId="4" borderId="67" xfId="0" applyNumberFormat="1" applyFont="1" applyFill="1" applyBorder="1" applyAlignment="1">
      <alignment horizontal="left" vertical="center" wrapText="1"/>
    </xf>
    <xf numFmtId="1" fontId="3" fillId="4" borderId="67" xfId="0" applyNumberFormat="1" applyFont="1" applyFill="1" applyBorder="1" applyAlignment="1">
      <alignment horizontal="center" vertical="center"/>
    </xf>
    <xf numFmtId="174" fontId="0" fillId="0" borderId="117" xfId="0" applyNumberFormat="1" applyBorder="1" applyAlignment="1">
      <alignment horizontal="center"/>
    </xf>
    <xf numFmtId="174" fontId="0" fillId="0" borderId="118" xfId="0" applyNumberFormat="1" applyBorder="1" applyAlignment="1">
      <alignment horizontal="center"/>
    </xf>
    <xf numFmtId="0" fontId="0" fillId="0" borderId="65" xfId="0" applyBorder="1"/>
    <xf numFmtId="0" fontId="30" fillId="0" borderId="65" xfId="0" applyFont="1" applyBorder="1" applyAlignment="1">
      <alignment horizontal="left" vertical="center"/>
    </xf>
    <xf numFmtId="0" fontId="3" fillId="4" borderId="58" xfId="0" applyFont="1" applyFill="1" applyBorder="1" applyAlignment="1">
      <alignment horizontal="left" vertical="center"/>
    </xf>
    <xf numFmtId="0" fontId="55" fillId="0" borderId="0" xfId="0" applyFont="1"/>
    <xf numFmtId="0" fontId="1" fillId="10" borderId="108" xfId="23" applyNumberFormat="1" applyFill="1" applyBorder="1" applyAlignment="1">
      <alignment horizontal="center" wrapText="1"/>
    </xf>
    <xf numFmtId="0" fontId="1" fillId="10" borderId="102" xfId="23" applyNumberFormat="1" applyFill="1" applyBorder="1" applyAlignment="1">
      <alignment horizontal="center" wrapText="1"/>
    </xf>
    <xf numFmtId="0" fontId="0" fillId="0" borderId="119" xfId="0" applyBorder="1" applyAlignment="1">
      <alignment horizontal="center"/>
    </xf>
    <xf numFmtId="0" fontId="50" fillId="15" borderId="67" xfId="0" applyFont="1" applyFill="1" applyBorder="1" applyAlignment="1">
      <alignment horizontal="center" vertical="center"/>
    </xf>
    <xf numFmtId="0" fontId="0" fillId="4" borderId="63" xfId="0" applyFont="1" applyFill="1" applyBorder="1" applyAlignment="1">
      <alignment vertical="center" wrapText="1"/>
    </xf>
    <xf numFmtId="0" fontId="0" fillId="4" borderId="121" xfId="0" applyFont="1" applyFill="1" applyBorder="1" applyAlignment="1">
      <alignment vertical="center" wrapText="1"/>
    </xf>
    <xf numFmtId="0" fontId="0" fillId="4" borderId="122" xfId="0" applyFont="1" applyFill="1" applyBorder="1" applyAlignment="1">
      <alignment horizontal="center" vertical="center" wrapText="1"/>
    </xf>
    <xf numFmtId="0" fontId="0" fillId="4" borderId="122" xfId="0" applyFont="1" applyFill="1" applyBorder="1" applyAlignment="1">
      <alignment vertical="center" wrapText="1"/>
    </xf>
    <xf numFmtId="0" fontId="0" fillId="4" borderId="50" xfId="0" applyFont="1" applyFill="1" applyBorder="1" applyAlignment="1">
      <alignment horizontal="left" vertical="center" wrapText="1"/>
    </xf>
    <xf numFmtId="0" fontId="50" fillId="15" borderId="12" xfId="0" applyFont="1" applyFill="1" applyBorder="1" applyAlignment="1">
      <alignment horizontal="center" vertical="center"/>
    </xf>
    <xf numFmtId="0" fontId="0" fillId="0" borderId="123"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1" fillId="10" borderId="115" xfId="23" applyNumberFormat="1" applyFill="1" applyBorder="1" applyAlignment="1">
      <alignment horizontal="center" wrapText="1"/>
    </xf>
    <xf numFmtId="0" fontId="1" fillId="6" borderId="37" xfId="23" applyFill="1" applyBorder="1">
      <alignment wrapText="1"/>
    </xf>
    <xf numFmtId="0" fontId="50" fillId="15" borderId="41" xfId="0" applyFont="1" applyFill="1" applyBorder="1" applyAlignment="1">
      <alignment horizontal="center" vertical="center"/>
    </xf>
    <xf numFmtId="0" fontId="50" fillId="15" borderId="109" xfId="0" applyFont="1" applyFill="1" applyBorder="1" applyAlignment="1">
      <alignment horizontal="center" vertical="center"/>
    </xf>
    <xf numFmtId="0" fontId="0" fillId="0" borderId="128" xfId="0" applyBorder="1" applyAlignment="1">
      <alignment horizontal="center"/>
    </xf>
    <xf numFmtId="0" fontId="0" fillId="0" borderId="129" xfId="0" applyBorder="1" applyAlignment="1">
      <alignment horizontal="center"/>
    </xf>
    <xf numFmtId="0" fontId="9" fillId="18" borderId="10" xfId="29" applyNumberFormat="1" applyFont="1" applyFill="1" applyBorder="1" applyAlignment="1">
      <alignment wrapText="1"/>
      <protection locked="0"/>
    </xf>
    <xf numFmtId="165" fontId="0" fillId="0" borderId="15" xfId="0" applyNumberFormat="1" applyBorder="1" applyAlignment="1">
      <alignment horizontal="center"/>
    </xf>
    <xf numFmtId="0" fontId="6" fillId="0" borderId="48" xfId="0" applyFont="1" applyFill="1" applyBorder="1" applyAlignment="1">
      <alignment vertical="center"/>
    </xf>
    <xf numFmtId="0" fontId="3" fillId="0" borderId="49" xfId="0" applyFont="1" applyFill="1" applyBorder="1" applyAlignment="1">
      <alignment vertical="center"/>
    </xf>
    <xf numFmtId="0" fontId="3" fillId="0" borderId="63" xfId="0" applyFont="1" applyFill="1" applyBorder="1" applyAlignment="1">
      <alignment vertical="center" wrapText="1"/>
    </xf>
    <xf numFmtId="0" fontId="3" fillId="0" borderId="65" xfId="0" applyFont="1" applyFill="1" applyBorder="1" applyAlignment="1">
      <alignment vertical="center" wrapText="1"/>
    </xf>
    <xf numFmtId="0" fontId="0" fillId="4" borderId="50" xfId="0" applyFont="1" applyFill="1" applyBorder="1" applyAlignment="1">
      <alignment vertical="center" wrapText="1"/>
    </xf>
    <xf numFmtId="0" fontId="9" fillId="18" borderId="0" xfId="29" applyNumberFormat="1" applyFont="1" applyFill="1" applyBorder="1" applyAlignment="1">
      <alignment wrapText="1"/>
      <protection locked="0"/>
    </xf>
    <xf numFmtId="165" fontId="48" fillId="0" borderId="69" xfId="0" applyNumberFormat="1" applyFont="1" applyBorder="1" applyAlignment="1">
      <alignment horizontal="center"/>
    </xf>
    <xf numFmtId="165" fontId="0" fillId="0" borderId="69" xfId="0" applyNumberFormat="1" applyBorder="1" applyAlignment="1">
      <alignment horizontal="center"/>
    </xf>
    <xf numFmtId="165" fontId="0" fillId="0" borderId="74" xfId="0" applyNumberFormat="1" applyBorder="1" applyAlignment="1">
      <alignment horizontal="center"/>
    </xf>
    <xf numFmtId="165" fontId="0" fillId="0" borderId="72" xfId="0" applyNumberFormat="1" applyBorder="1" applyAlignment="1">
      <alignment horizontal="center"/>
    </xf>
    <xf numFmtId="165" fontId="48" fillId="0" borderId="74" xfId="0" applyNumberFormat="1" applyFont="1" applyBorder="1" applyAlignment="1">
      <alignment horizontal="center"/>
    </xf>
    <xf numFmtId="0" fontId="3" fillId="4" borderId="131" xfId="0" applyFont="1" applyFill="1" applyBorder="1" applyAlignment="1">
      <alignment horizontal="left" vertical="center"/>
    </xf>
    <xf numFmtId="0" fontId="3" fillId="4" borderId="132" xfId="0" applyFont="1" applyFill="1" applyBorder="1" applyAlignment="1">
      <alignment horizontal="center" vertical="center"/>
    </xf>
    <xf numFmtId="165" fontId="3" fillId="0" borderId="133" xfId="25" applyNumberFormat="1" applyFont="1" applyFill="1" applyBorder="1" applyProtection="1">
      <protection locked="0"/>
    </xf>
    <xf numFmtId="165" fontId="3" fillId="0" borderId="4" xfId="25" applyNumberFormat="1" applyFont="1" applyFill="1" applyBorder="1" applyProtection="1">
      <protection locked="0"/>
    </xf>
    <xf numFmtId="0" fontId="3" fillId="4" borderId="50" xfId="21" applyNumberFormat="1" applyFill="1" applyBorder="1">
      <protection locked="0"/>
    </xf>
    <xf numFmtId="165" fontId="3" fillId="0" borderId="134" xfId="25" applyNumberFormat="1" applyFont="1" applyFill="1" applyBorder="1" applyProtection="1">
      <protection locked="0"/>
    </xf>
    <xf numFmtId="165" fontId="3" fillId="0" borderId="73" xfId="25" applyNumberFormat="1" applyFont="1" applyFill="1" applyBorder="1" applyProtection="1">
      <protection locked="0"/>
    </xf>
    <xf numFmtId="0" fontId="3" fillId="4" borderId="41" xfId="0" applyFont="1" applyFill="1" applyBorder="1" applyAlignment="1">
      <alignment horizontal="left" vertical="center"/>
    </xf>
    <xf numFmtId="165" fontId="3" fillId="0" borderId="126" xfId="25" applyNumberFormat="1" applyFont="1" applyFill="1" applyBorder="1" applyProtection="1">
      <protection locked="0"/>
    </xf>
    <xf numFmtId="165" fontId="3" fillId="0" borderId="5" xfId="25" applyNumberFormat="1" applyFont="1" applyFill="1" applyBorder="1" applyProtection="1">
      <protection locked="0"/>
    </xf>
    <xf numFmtId="0" fontId="48" fillId="0" borderId="2" xfId="0" applyFont="1" applyBorder="1" applyAlignment="1">
      <alignment horizontal="center"/>
    </xf>
    <xf numFmtId="174" fontId="48" fillId="0" borderId="5" xfId="0" applyNumberFormat="1" applyFont="1" applyBorder="1"/>
    <xf numFmtId="174" fontId="48" fillId="0" borderId="135" xfId="0" applyNumberFormat="1" applyFont="1" applyBorder="1"/>
    <xf numFmtId="165" fontId="48" fillId="0" borderId="5" xfId="0" applyNumberFormat="1" applyFont="1" applyBorder="1" applyAlignment="1">
      <alignment horizontal="center"/>
    </xf>
    <xf numFmtId="165" fontId="48" fillId="0" borderId="114" xfId="0" applyNumberFormat="1" applyFont="1" applyBorder="1" applyAlignment="1">
      <alignment horizontal="center"/>
    </xf>
    <xf numFmtId="165" fontId="48" fillId="0" borderId="136" xfId="0" applyNumberFormat="1" applyFont="1" applyBorder="1" applyAlignment="1">
      <alignment horizontal="center"/>
    </xf>
    <xf numFmtId="165" fontId="48" fillId="0" borderId="135" xfId="0" applyNumberFormat="1" applyFont="1" applyBorder="1" applyAlignment="1">
      <alignment horizontal="center"/>
    </xf>
    <xf numFmtId="3" fontId="1" fillId="6" borderId="17" xfId="23" applyNumberFormat="1" applyFill="1" applyBorder="1">
      <alignment wrapText="1"/>
    </xf>
    <xf numFmtId="3" fontId="0" fillId="6" borderId="12" xfId="23" applyNumberFormat="1" applyFont="1" applyFill="1" applyBorder="1">
      <alignment wrapText="1"/>
    </xf>
    <xf numFmtId="3" fontId="1" fillId="6" borderId="37" xfId="23" applyNumberFormat="1" applyFill="1" applyBorder="1">
      <alignment wrapText="1"/>
    </xf>
    <xf numFmtId="0" fontId="2" fillId="4" borderId="64" xfId="0" applyFont="1" applyFill="1" applyBorder="1" applyAlignment="1">
      <alignment vertical="center"/>
    </xf>
    <xf numFmtId="0" fontId="0" fillId="4" borderId="62" xfId="0" applyFill="1" applyBorder="1" applyAlignment="1">
      <alignment vertical="center"/>
    </xf>
    <xf numFmtId="0" fontId="0" fillId="4" borderId="137" xfId="0" applyFont="1" applyFill="1" applyBorder="1" applyAlignment="1">
      <alignment vertical="center" wrapText="1"/>
    </xf>
    <xf numFmtId="165" fontId="48" fillId="0" borderId="72" xfId="0" applyNumberFormat="1" applyFont="1" applyBorder="1" applyAlignment="1">
      <alignment horizontal="center"/>
    </xf>
    <xf numFmtId="0" fontId="3" fillId="4" borderId="11"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95" xfId="0" applyFont="1" applyFill="1" applyBorder="1" applyAlignment="1">
      <alignment horizontal="center" vertical="center"/>
    </xf>
    <xf numFmtId="0" fontId="3" fillId="4" borderId="20" xfId="0" applyFont="1" applyFill="1" applyBorder="1" applyAlignment="1">
      <alignment horizontal="center" vertical="center"/>
    </xf>
    <xf numFmtId="0" fontId="1" fillId="10" borderId="101" xfId="23" applyNumberFormat="1" applyFill="1" applyBorder="1" applyAlignment="1">
      <alignment horizontal="center" wrapText="1"/>
    </xf>
    <xf numFmtId="0" fontId="0" fillId="0" borderId="142" xfId="0" applyBorder="1" applyAlignment="1">
      <alignment horizontal="center"/>
    </xf>
    <xf numFmtId="0" fontId="0" fillId="0" borderId="143" xfId="0" applyBorder="1" applyAlignment="1">
      <alignment horizontal="center"/>
    </xf>
    <xf numFmtId="0" fontId="9" fillId="18" borderId="139" xfId="29" applyNumberFormat="1" applyFont="1" applyFill="1" applyBorder="1" applyAlignment="1">
      <alignment wrapText="1"/>
      <protection locked="0"/>
    </xf>
    <xf numFmtId="0" fontId="9" fillId="18" borderId="17" xfId="29" applyNumberFormat="1" applyFont="1" applyFill="1" applyBorder="1" applyAlignment="1">
      <alignment wrapText="1"/>
      <protection locked="0"/>
    </xf>
    <xf numFmtId="0" fontId="9" fillId="18" borderId="17" xfId="29" applyNumberFormat="1" applyFont="1" applyFill="1" applyBorder="1" applyAlignment="1">
      <alignment horizontal="center" wrapText="1"/>
      <protection locked="0"/>
    </xf>
    <xf numFmtId="0" fontId="9" fillId="18" borderId="17" xfId="29" applyNumberFormat="1" applyFont="1" applyFill="1" applyBorder="1" applyAlignment="1">
      <alignment horizontal="left" wrapText="1"/>
      <protection locked="0"/>
    </xf>
    <xf numFmtId="0" fontId="9" fillId="18" borderId="139" xfId="29" applyNumberFormat="1" applyFont="1" applyFill="1" applyBorder="1" applyAlignment="1">
      <alignment horizontal="left" wrapText="1"/>
      <protection locked="0"/>
    </xf>
    <xf numFmtId="175" fontId="3" fillId="0" borderId="107" xfId="0" applyNumberFormat="1" applyFont="1" applyFill="1" applyBorder="1" applyAlignment="1">
      <alignment horizontal="right"/>
    </xf>
    <xf numFmtId="173" fontId="3" fillId="18" borderId="17" xfId="0" applyNumberFormat="1" applyFont="1" applyFill="1" applyBorder="1" applyAlignment="1" applyProtection="1">
      <alignment horizontal="center"/>
      <protection locked="0"/>
    </xf>
    <xf numFmtId="3" fontId="3" fillId="18" borderId="139" xfId="0" applyNumberFormat="1" applyFont="1" applyFill="1" applyBorder="1" applyProtection="1">
      <protection locked="0"/>
    </xf>
    <xf numFmtId="175" fontId="3" fillId="18" borderId="17" xfId="0" applyNumberFormat="1" applyFont="1" applyFill="1" applyBorder="1" applyProtection="1">
      <protection locked="0"/>
    </xf>
    <xf numFmtId="0" fontId="0" fillId="10" borderId="144" xfId="0" applyNumberFormat="1" applyFill="1" applyBorder="1" applyAlignment="1">
      <alignment horizontal="center"/>
    </xf>
    <xf numFmtId="0" fontId="0" fillId="10" borderId="138" xfId="0" applyNumberFormat="1" applyFill="1" applyBorder="1" applyAlignment="1">
      <alignment horizontal="center"/>
    </xf>
    <xf numFmtId="0" fontId="0" fillId="10" borderId="145" xfId="0" applyNumberFormat="1" applyFill="1" applyBorder="1" applyAlignment="1">
      <alignment horizontal="center"/>
    </xf>
    <xf numFmtId="0" fontId="48" fillId="10" borderId="102" xfId="23" applyNumberFormat="1" applyFont="1" applyFill="1" applyBorder="1" applyAlignment="1">
      <alignment horizontal="center" wrapText="1"/>
    </xf>
    <xf numFmtId="165" fontId="48" fillId="0" borderId="15" xfId="0" applyNumberFormat="1" applyFont="1" applyBorder="1" applyAlignment="1">
      <alignment horizontal="center"/>
    </xf>
    <xf numFmtId="0" fontId="48" fillId="0" borderId="124" xfId="0" applyFont="1" applyBorder="1" applyAlignment="1">
      <alignment horizontal="center"/>
    </xf>
    <xf numFmtId="0" fontId="48" fillId="0" borderId="119" xfId="0" applyFont="1" applyBorder="1" applyAlignment="1">
      <alignment horizontal="center"/>
    </xf>
    <xf numFmtId="0" fontId="48" fillId="10" borderId="115" xfId="23" applyNumberFormat="1" applyFont="1" applyFill="1" applyBorder="1" applyAlignment="1">
      <alignment horizontal="center" wrapText="1"/>
    </xf>
    <xf numFmtId="0" fontId="48" fillId="0" borderId="128" xfId="0" applyFont="1" applyBorder="1" applyAlignment="1">
      <alignment horizontal="center"/>
    </xf>
    <xf numFmtId="0" fontId="48" fillId="0" borderId="127" xfId="0" applyFont="1" applyBorder="1" applyAlignment="1">
      <alignment horizontal="center"/>
    </xf>
    <xf numFmtId="3" fontId="9" fillId="18" borderId="17" xfId="29" applyNumberFormat="1" applyFont="1" applyFill="1" applyBorder="1" applyAlignment="1">
      <alignment wrapText="1"/>
      <protection locked="0"/>
    </xf>
    <xf numFmtId="0" fontId="9" fillId="4" borderId="146" xfId="0" applyFont="1" applyFill="1" applyBorder="1" applyAlignment="1">
      <alignment horizontal="left" vertical="center" wrapText="1"/>
    </xf>
    <xf numFmtId="0" fontId="3" fillId="4" borderId="147" xfId="0" applyFont="1" applyFill="1" applyBorder="1" applyAlignment="1">
      <alignment horizontal="left" vertical="center"/>
    </xf>
    <xf numFmtId="173" fontId="3" fillId="18" borderId="148" xfId="0" applyNumberFormat="1" applyFont="1" applyFill="1" applyBorder="1" applyProtection="1">
      <protection locked="0"/>
    </xf>
    <xf numFmtId="0" fontId="3" fillId="4" borderId="149" xfId="0" applyFont="1" applyFill="1" applyBorder="1" applyAlignment="1">
      <alignment horizontal="left" vertical="center"/>
    </xf>
    <xf numFmtId="173" fontId="3" fillId="18" borderId="150" xfId="0" applyNumberFormat="1" applyFont="1" applyFill="1" applyBorder="1" applyProtection="1">
      <protection locked="0"/>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96"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85" xfId="0" applyFont="1" applyFill="1" applyBorder="1" applyAlignment="1">
      <alignment horizontal="center" vertical="center" wrapText="1"/>
    </xf>
    <xf numFmtId="0" fontId="21" fillId="0" borderId="0" xfId="8" applyFont="1" applyAlignment="1">
      <alignment horizontal="center" vertical="center"/>
    </xf>
    <xf numFmtId="0" fontId="21" fillId="0" borderId="0" xfId="8" applyFont="1" applyAlignment="1">
      <alignment horizontal="left" vertical="center"/>
    </xf>
    <xf numFmtId="0" fontId="24" fillId="0" borderId="0" xfId="8" applyFont="1" applyAlignment="1">
      <alignment vertical="top"/>
    </xf>
    <xf numFmtId="0" fontId="14" fillId="0" borderId="0" xfId="8" applyAlignment="1">
      <alignment vertical="top"/>
    </xf>
    <xf numFmtId="0" fontId="1" fillId="0" borderId="0" xfId="8" applyFont="1" applyAlignment="1">
      <alignment vertical="top"/>
    </xf>
    <xf numFmtId="0" fontId="2" fillId="0" borderId="0" xfId="8" applyFont="1" applyAlignment="1">
      <alignment vertical="top"/>
    </xf>
    <xf numFmtId="0" fontId="2" fillId="4" borderId="11" xfId="8" applyFont="1" applyFill="1" applyBorder="1" applyAlignment="1">
      <alignment vertical="top"/>
    </xf>
    <xf numFmtId="0" fontId="1" fillId="0" borderId="4" xfId="8" applyFont="1" applyBorder="1" applyAlignment="1">
      <alignment vertical="top"/>
    </xf>
    <xf numFmtId="0" fontId="3" fillId="0" borderId="0" xfId="0" applyFont="1" applyAlignment="1">
      <alignment vertical="center"/>
    </xf>
    <xf numFmtId="0" fontId="3" fillId="0" borderId="0" xfId="0" quotePrefix="1" applyFont="1" applyAlignment="1">
      <alignment vertical="center"/>
    </xf>
    <xf numFmtId="0" fontId="0" fillId="4" borderId="47" xfId="0" applyFont="1" applyFill="1" applyBorder="1" applyAlignment="1">
      <alignment horizontal="left"/>
    </xf>
    <xf numFmtId="0" fontId="30" fillId="0" borderId="0" xfId="0" applyNumberFormat="1" applyFont="1" applyAlignment="1">
      <alignment vertical="center"/>
    </xf>
    <xf numFmtId="1" fontId="3" fillId="0" borderId="0" xfId="22" applyNumberFormat="1" applyFont="1" applyFill="1" applyBorder="1" applyAlignment="1">
      <alignment horizontal="center"/>
    </xf>
    <xf numFmtId="1" fontId="0" fillId="0" borderId="52" xfId="0" applyNumberFormat="1" applyBorder="1" applyAlignment="1">
      <alignment horizontal="center"/>
    </xf>
    <xf numFmtId="169" fontId="0" fillId="0" borderId="52" xfId="0" applyNumberFormat="1" applyBorder="1" applyAlignment="1">
      <alignment horizontal="center"/>
    </xf>
    <xf numFmtId="0" fontId="0" fillId="0" borderId="0" xfId="0" applyFont="1"/>
    <xf numFmtId="169" fontId="19" fillId="0" borderId="52" xfId="15" applyNumberFormat="1" applyBorder="1" applyAlignment="1">
      <alignment horizontal="left"/>
    </xf>
    <xf numFmtId="2" fontId="0" fillId="0" borderId="52" xfId="0" applyNumberFormat="1" applyBorder="1" applyAlignment="1">
      <alignment horizontal="center"/>
    </xf>
    <xf numFmtId="165" fontId="0" fillId="0" borderId="0" xfId="0" applyNumberFormat="1" applyBorder="1" applyAlignment="1">
      <alignment horizontal="center"/>
    </xf>
    <xf numFmtId="165" fontId="3" fillId="3" borderId="46" xfId="5" applyNumberFormat="1" applyFill="1" applyBorder="1" applyAlignment="1">
      <alignment horizontal="center"/>
    </xf>
    <xf numFmtId="165" fontId="3" fillId="3" borderId="0" xfId="5" applyNumberFormat="1" applyFill="1" applyBorder="1" applyAlignment="1">
      <alignment horizontal="center"/>
    </xf>
    <xf numFmtId="0" fontId="3" fillId="4" borderId="6"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171" fontId="3" fillId="0" borderId="0" xfId="5" applyNumberFormat="1" applyAlignment="1">
      <alignment horizontal="left"/>
    </xf>
    <xf numFmtId="0" fontId="0" fillId="6" borderId="47" xfId="0" applyFill="1" applyBorder="1" applyAlignment="1">
      <alignment vertical="center"/>
    </xf>
    <xf numFmtId="0" fontId="3" fillId="0" borderId="0" xfId="0" applyFont="1" applyFill="1" applyBorder="1"/>
    <xf numFmtId="0" fontId="21" fillId="0" borderId="0" xfId="0" applyNumberFormat="1" applyFont="1" applyFill="1" applyAlignment="1">
      <alignment horizontal="center" vertical="center"/>
    </xf>
    <xf numFmtId="0" fontId="5" fillId="3" borderId="0" xfId="5" applyFont="1" applyFill="1" applyBorder="1" applyAlignment="1">
      <alignment horizontal="center" vertical="center"/>
    </xf>
    <xf numFmtId="0" fontId="58" fillId="3" borderId="0" xfId="5" applyFont="1" applyFill="1"/>
    <xf numFmtId="0" fontId="56" fillId="3" borderId="0" xfId="3" applyFont="1" applyFill="1"/>
    <xf numFmtId="0" fontId="56" fillId="3" borderId="0" xfId="5" applyFont="1" applyFill="1"/>
    <xf numFmtId="0" fontId="57" fillId="3" borderId="0" xfId="5" applyFont="1" applyFill="1" applyAlignment="1">
      <alignment vertical="center"/>
    </xf>
    <xf numFmtId="0" fontId="5" fillId="3" borderId="0" xfId="5" applyFont="1" applyFill="1" applyAlignment="1">
      <alignment vertical="center"/>
    </xf>
    <xf numFmtId="0" fontId="5" fillId="3" borderId="0" xfId="5" applyFont="1" applyFill="1" applyBorder="1" applyAlignment="1">
      <alignment vertical="center"/>
    </xf>
    <xf numFmtId="0" fontId="48" fillId="0" borderId="0" xfId="8" applyFont="1" applyAlignment="1">
      <alignment vertical="top"/>
    </xf>
    <xf numFmtId="0" fontId="48" fillId="0" borderId="0" xfId="8" applyFont="1" applyFill="1" applyAlignment="1">
      <alignment vertical="top"/>
    </xf>
    <xf numFmtId="0" fontId="48" fillId="0" borderId="0" xfId="8" applyFont="1" applyFill="1" applyAlignment="1">
      <alignment horizontal="right" vertical="top"/>
    </xf>
    <xf numFmtId="0" fontId="1" fillId="21" borderId="4" xfId="8" applyFont="1" applyFill="1" applyBorder="1" applyAlignment="1">
      <alignment vertical="top"/>
    </xf>
    <xf numFmtId="0" fontId="16" fillId="5" borderId="4" xfId="8" applyFont="1" applyFill="1" applyBorder="1" applyAlignment="1">
      <alignment vertical="top"/>
    </xf>
    <xf numFmtId="0" fontId="16" fillId="20" borderId="4" xfId="8" applyFont="1" applyFill="1" applyBorder="1" applyAlignment="1">
      <alignment vertical="top"/>
    </xf>
    <xf numFmtId="0" fontId="0" fillId="4" borderId="121" xfId="0" applyFont="1" applyFill="1" applyBorder="1" applyAlignment="1">
      <alignment horizontal="center" vertical="center" wrapText="1"/>
    </xf>
    <xf numFmtId="0" fontId="1" fillId="6" borderId="152" xfId="23" applyFill="1" applyBorder="1">
      <alignment wrapText="1"/>
    </xf>
    <xf numFmtId="0" fontId="39" fillId="0" borderId="0" xfId="5" applyFont="1"/>
    <xf numFmtId="0" fontId="6" fillId="4" borderId="23" xfId="5" applyFont="1" applyFill="1" applyBorder="1" applyAlignment="1">
      <alignment horizontal="left" vertical="center" wrapText="1"/>
    </xf>
    <xf numFmtId="172" fontId="3" fillId="4" borderId="17" xfId="21" applyFill="1" applyBorder="1" applyAlignment="1">
      <alignment wrapText="1"/>
      <protection locked="0"/>
    </xf>
    <xf numFmtId="3" fontId="3" fillId="6" borderId="11" xfId="5" applyNumberFormat="1" applyFill="1" applyBorder="1" applyAlignment="1">
      <alignment horizontal="right"/>
    </xf>
    <xf numFmtId="3" fontId="3" fillId="6" borderId="21" xfId="5" applyNumberFormat="1" applyFill="1" applyBorder="1" applyAlignment="1">
      <alignment horizontal="right"/>
    </xf>
    <xf numFmtId="3" fontId="6" fillId="0" borderId="40" xfId="5" applyNumberFormat="1" applyFont="1" applyBorder="1" applyAlignment="1">
      <alignment horizontal="right"/>
    </xf>
    <xf numFmtId="3" fontId="6" fillId="0" borderId="112" xfId="5" applyNumberFormat="1" applyFont="1" applyBorder="1" applyAlignment="1">
      <alignment horizontal="right"/>
    </xf>
    <xf numFmtId="3" fontId="6" fillId="0" borderId="20" xfId="5" applyNumberFormat="1" applyFont="1" applyBorder="1" applyAlignment="1">
      <alignment horizontal="right"/>
    </xf>
    <xf numFmtId="3" fontId="3" fillId="6" borderId="20" xfId="5" applyNumberFormat="1" applyFill="1" applyBorder="1" applyAlignment="1">
      <alignment horizontal="right"/>
    </xf>
    <xf numFmtId="165" fontId="3" fillId="3" borderId="9" xfId="28" applyNumberFormat="1" applyFill="1" applyBorder="1" applyAlignment="1">
      <alignment horizontal="right"/>
    </xf>
    <xf numFmtId="165" fontId="3" fillId="3" borderId="4" xfId="28" applyNumberFormat="1" applyFill="1" applyBorder="1" applyAlignment="1">
      <alignment horizontal="right"/>
    </xf>
    <xf numFmtId="0" fontId="3" fillId="4" borderId="20" xfId="21" applyNumberFormat="1" applyFill="1" applyBorder="1" applyAlignment="1">
      <alignment wrapText="1"/>
      <protection locked="0"/>
    </xf>
    <xf numFmtId="49" fontId="3" fillId="4" borderId="20" xfId="21" applyNumberFormat="1" applyFill="1" applyBorder="1" applyAlignment="1">
      <alignment wrapText="1"/>
      <protection locked="0"/>
    </xf>
    <xf numFmtId="0" fontId="3" fillId="4" borderId="17" xfId="21" applyNumberFormat="1" applyFill="1" applyBorder="1" applyAlignment="1">
      <alignment wrapText="1"/>
      <protection locked="0"/>
    </xf>
    <xf numFmtId="0" fontId="3" fillId="4" borderId="17" xfId="21" applyNumberFormat="1" applyFill="1" applyBorder="1" applyAlignment="1">
      <alignment horizontal="left" wrapText="1"/>
      <protection locked="0"/>
    </xf>
    <xf numFmtId="0" fontId="6" fillId="4" borderId="20" xfId="21" applyNumberFormat="1" applyFont="1" applyFill="1" applyBorder="1" applyAlignment="1">
      <alignment wrapText="1"/>
      <protection locked="0"/>
    </xf>
    <xf numFmtId="0" fontId="6" fillId="4" borderId="17" xfId="21" applyNumberFormat="1" applyFont="1" applyFill="1" applyBorder="1" applyAlignment="1">
      <alignment wrapText="1"/>
      <protection locked="0"/>
    </xf>
    <xf numFmtId="0" fontId="6" fillId="4" borderId="22" xfId="21" applyNumberFormat="1" applyFont="1" applyFill="1" applyBorder="1" applyAlignment="1">
      <alignment wrapText="1"/>
      <protection locked="0"/>
    </xf>
    <xf numFmtId="49" fontId="3" fillId="4" borderId="22" xfId="21" applyNumberFormat="1" applyFill="1" applyBorder="1" applyAlignment="1">
      <alignment wrapText="1"/>
      <protection locked="0"/>
    </xf>
    <xf numFmtId="0" fontId="3" fillId="4" borderId="37" xfId="21" applyNumberFormat="1" applyFill="1" applyBorder="1" applyAlignment="1">
      <alignment horizontal="left" wrapText="1"/>
      <protection locked="0"/>
    </xf>
    <xf numFmtId="49" fontId="3" fillId="4" borderId="23" xfId="21" applyNumberFormat="1" applyFill="1" applyBorder="1" applyAlignment="1">
      <alignment wrapText="1"/>
      <protection locked="0"/>
    </xf>
    <xf numFmtId="0" fontId="3" fillId="4" borderId="12" xfId="21" applyNumberFormat="1" applyFill="1" applyBorder="1" applyAlignment="1">
      <alignment horizontal="left" wrapText="1"/>
      <protection locked="0"/>
    </xf>
    <xf numFmtId="3" fontId="3" fillId="6" borderId="22" xfId="5" applyNumberFormat="1" applyFill="1" applyBorder="1" applyAlignment="1">
      <alignment horizontal="right"/>
    </xf>
    <xf numFmtId="0" fontId="3" fillId="4" borderId="22" xfId="18" applyNumberFormat="1" applyFont="1" applyFill="1" applyBorder="1" applyAlignment="1" applyProtection="1">
      <alignment wrapText="1"/>
      <protection locked="0"/>
    </xf>
    <xf numFmtId="0" fontId="3" fillId="4" borderId="37" xfId="18" applyNumberFormat="1" applyFont="1" applyFill="1" applyBorder="1" applyAlignment="1" applyProtection="1">
      <alignment horizontal="left" wrapText="1"/>
      <protection locked="0"/>
    </xf>
    <xf numFmtId="0" fontId="3" fillId="0" borderId="0" xfId="18" applyNumberFormat="1" applyFont="1" applyFill="1" applyBorder="1" applyAlignment="1" applyProtection="1">
      <alignment wrapText="1"/>
      <protection locked="0"/>
    </xf>
    <xf numFmtId="0" fontId="3" fillId="0" borderId="0" xfId="18" applyNumberFormat="1" applyFont="1" applyFill="1" applyBorder="1" applyAlignment="1" applyProtection="1">
      <alignment horizontal="left" wrapText="1"/>
      <protection locked="0"/>
    </xf>
    <xf numFmtId="164" fontId="3" fillId="0" borderId="0" xfId="18" applyFont="1" applyFill="1" applyBorder="1" applyAlignment="1">
      <alignment horizontal="right"/>
    </xf>
    <xf numFmtId="172" fontId="3" fillId="4" borderId="37" xfId="21" applyFill="1" applyBorder="1" applyAlignment="1">
      <alignment wrapText="1"/>
      <protection locked="0"/>
    </xf>
    <xf numFmtId="3" fontId="3" fillId="0" borderId="38" xfId="5" applyNumberFormat="1" applyBorder="1" applyAlignment="1">
      <alignment horizontal="right"/>
    </xf>
    <xf numFmtId="3" fontId="3" fillId="0" borderId="130" xfId="5" applyNumberFormat="1" applyBorder="1" applyAlignment="1">
      <alignment horizontal="right"/>
    </xf>
    <xf numFmtId="3" fontId="3" fillId="0" borderId="153" xfId="5" applyNumberFormat="1" applyBorder="1" applyAlignment="1">
      <alignment horizontal="right"/>
    </xf>
    <xf numFmtId="3" fontId="3" fillId="0" borderId="46" xfId="5" applyNumberFormat="1" applyBorder="1" applyAlignment="1">
      <alignment horizontal="right"/>
    </xf>
    <xf numFmtId="3" fontId="3" fillId="0" borderId="39" xfId="5" applyNumberFormat="1" applyBorder="1" applyAlignment="1">
      <alignment horizontal="right"/>
    </xf>
    <xf numFmtId="3" fontId="3" fillId="0" borderId="126" xfId="5" applyNumberFormat="1" applyBorder="1" applyAlignment="1">
      <alignment horizontal="right"/>
    </xf>
    <xf numFmtId="165" fontId="3" fillId="0" borderId="9" xfId="28" applyNumberFormat="1" applyFont="1" applyFill="1" applyBorder="1" applyAlignment="1">
      <alignment horizontal="center"/>
    </xf>
    <xf numFmtId="165" fontId="6" fillId="10" borderId="9" xfId="28" applyNumberFormat="1" applyFont="1" applyFill="1" applyBorder="1" applyAlignment="1">
      <alignment horizontal="center"/>
    </xf>
    <xf numFmtId="0" fontId="6" fillId="4" borderId="37" xfId="21" applyNumberFormat="1" applyFont="1" applyFill="1" applyBorder="1" applyAlignment="1">
      <alignment wrapText="1"/>
      <protection locked="0"/>
    </xf>
    <xf numFmtId="0" fontId="50" fillId="15" borderId="23" xfId="0" applyNumberFormat="1" applyFont="1" applyFill="1" applyBorder="1" applyAlignment="1">
      <alignment horizontal="center" vertical="center"/>
    </xf>
    <xf numFmtId="0" fontId="50" fillId="15" borderId="20" xfId="0" applyNumberFormat="1" applyFont="1" applyFill="1" applyBorder="1" applyAlignment="1">
      <alignment horizontal="center" vertical="center"/>
    </xf>
    <xf numFmtId="0" fontId="58" fillId="0" borderId="0" xfId="0" applyFont="1" applyFill="1"/>
    <xf numFmtId="0" fontId="58" fillId="0" borderId="0" xfId="5" applyFont="1"/>
    <xf numFmtId="0" fontId="59" fillId="4" borderId="49" xfId="0" applyFont="1" applyFill="1" applyBorder="1" applyAlignment="1">
      <alignment vertical="center"/>
    </xf>
    <xf numFmtId="0" fontId="0" fillId="0" borderId="15"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9" fillId="18" borderId="6" xfId="29" applyNumberFormat="1" applyFont="1" applyFill="1" applyBorder="1" applyAlignment="1">
      <alignment wrapText="1"/>
      <protection locked="0"/>
    </xf>
    <xf numFmtId="0" fontId="9" fillId="18" borderId="147" xfId="29" applyNumberFormat="1" applyFont="1" applyFill="1" applyBorder="1" applyAlignment="1">
      <alignment wrapText="1"/>
      <protection locked="0"/>
    </xf>
    <xf numFmtId="0" fontId="1" fillId="6" borderId="11" xfId="23" applyFill="1" applyBorder="1">
      <alignment wrapText="1"/>
    </xf>
    <xf numFmtId="0" fontId="1" fillId="6" borderId="148" xfId="23" applyFill="1" applyBorder="1" applyAlignment="1">
      <alignment horizontal="center" wrapText="1"/>
    </xf>
    <xf numFmtId="0" fontId="0" fillId="6" borderId="13" xfId="23" applyFont="1" applyFill="1" applyBorder="1">
      <alignment wrapText="1"/>
    </xf>
    <xf numFmtId="0" fontId="1" fillId="6" borderId="13" xfId="23" applyFill="1" applyBorder="1">
      <alignment wrapText="1"/>
    </xf>
    <xf numFmtId="0" fontId="0" fillId="0" borderId="154" xfId="0" applyBorder="1" applyAlignment="1">
      <alignment horizontal="left"/>
    </xf>
    <xf numFmtId="0" fontId="0" fillId="0" borderId="155" xfId="0" applyBorder="1" applyAlignment="1">
      <alignment horizontal="center"/>
    </xf>
    <xf numFmtId="0" fontId="0" fillId="0" borderId="156" xfId="0" applyBorder="1" applyAlignment="1">
      <alignment horizontal="center"/>
    </xf>
    <xf numFmtId="0" fontId="0" fillId="0" borderId="157" xfId="0" applyBorder="1" applyAlignment="1">
      <alignment horizontal="left"/>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169" fontId="3" fillId="0" borderId="0" xfId="25" applyNumberFormat="1" applyFont="1" applyFill="1" applyBorder="1" applyProtection="1">
      <protection locked="0"/>
    </xf>
    <xf numFmtId="0" fontId="0" fillId="0" borderId="0" xfId="0" applyFill="1" applyBorder="1" applyAlignment="1">
      <alignment vertical="center"/>
    </xf>
    <xf numFmtId="169" fontId="3" fillId="0" borderId="0" xfId="22" applyNumberFormat="1" applyFont="1" applyFill="1" applyBorder="1" applyAlignment="1"/>
    <xf numFmtId="0" fontId="41" fillId="0" borderId="0" xfId="0" applyFont="1" applyFill="1" applyBorder="1" applyAlignment="1">
      <alignment vertic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74" fontId="48" fillId="10" borderId="4" xfId="0" applyNumberFormat="1" applyFont="1" applyFill="1" applyBorder="1" applyAlignment="1">
      <alignment horizontal="center"/>
    </xf>
    <xf numFmtId="174" fontId="48" fillId="10" borderId="81" xfId="0" applyNumberFormat="1" applyFont="1" applyFill="1" applyBorder="1" applyAlignment="1">
      <alignment horizontal="center"/>
    </xf>
    <xf numFmtId="174" fontId="48" fillId="10" borderId="5" xfId="0" applyNumberFormat="1" applyFont="1" applyFill="1" applyBorder="1" applyAlignment="1">
      <alignment horizontal="center"/>
    </xf>
    <xf numFmtId="174" fontId="48" fillId="10" borderId="114" xfId="0" applyNumberFormat="1" applyFont="1" applyFill="1" applyBorder="1" applyAlignment="1">
      <alignment horizontal="center"/>
    </xf>
    <xf numFmtId="3" fontId="48" fillId="10" borderId="9" xfId="0" applyNumberFormat="1" applyFont="1" applyFill="1" applyBorder="1" applyAlignment="1">
      <alignment horizontal="right"/>
    </xf>
    <xf numFmtId="0" fontId="9" fillId="4" borderId="147" xfId="0" applyFont="1" applyFill="1" applyBorder="1" applyAlignment="1">
      <alignment horizontal="left" vertical="center" wrapText="1"/>
    </xf>
    <xf numFmtId="0" fontId="3" fillId="4" borderId="14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63" xfId="0" applyFont="1" applyFill="1" applyBorder="1" applyAlignment="1">
      <alignment horizontal="center" vertical="center" wrapText="1"/>
    </xf>
    <xf numFmtId="0" fontId="3" fillId="4" borderId="164" xfId="0" applyFont="1" applyFill="1" applyBorder="1" applyAlignment="1">
      <alignment horizontal="center" vertical="center" wrapText="1"/>
    </xf>
    <xf numFmtId="0" fontId="3" fillId="4" borderId="16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149" xfId="0" applyFont="1" applyFill="1" applyBorder="1" applyAlignment="1">
      <alignment horizontal="left" vertical="center" wrapText="1"/>
    </xf>
    <xf numFmtId="3" fontId="48" fillId="0" borderId="9" xfId="0" applyNumberFormat="1" applyFont="1" applyFill="1" applyBorder="1" applyAlignment="1">
      <alignment horizontal="right"/>
    </xf>
    <xf numFmtId="3" fontId="48" fillId="0" borderId="101" xfId="0" applyNumberFormat="1" applyFont="1" applyFill="1" applyBorder="1" applyAlignment="1">
      <alignment horizontal="right"/>
    </xf>
    <xf numFmtId="3" fontId="3" fillId="0" borderId="4" xfId="0" applyNumberFormat="1" applyFont="1" applyFill="1" applyBorder="1" applyAlignment="1">
      <alignment horizontal="right"/>
    </xf>
    <xf numFmtId="3" fontId="3" fillId="0" borderId="102" xfId="0" applyNumberFormat="1" applyFont="1" applyFill="1" applyBorder="1" applyAlignment="1">
      <alignment horizontal="right"/>
    </xf>
    <xf numFmtId="3" fontId="3" fillId="0" borderId="73" xfId="0" applyNumberFormat="1" applyFont="1" applyFill="1" applyBorder="1" applyAlignment="1">
      <alignment horizontal="right"/>
    </xf>
    <xf numFmtId="3" fontId="3" fillId="0" borderId="103"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01" xfId="0" applyNumberFormat="1" applyFont="1" applyFill="1" applyBorder="1" applyAlignment="1">
      <alignment horizontal="right"/>
    </xf>
    <xf numFmtId="3" fontId="3" fillId="0" borderId="5" xfId="0" applyNumberFormat="1" applyFont="1" applyFill="1" applyBorder="1" applyAlignment="1">
      <alignment horizontal="right"/>
    </xf>
    <xf numFmtId="3" fontId="3" fillId="0" borderId="115" xfId="0" applyNumberFormat="1" applyFont="1" applyFill="1" applyBorder="1" applyAlignment="1">
      <alignment horizontal="right"/>
    </xf>
    <xf numFmtId="0" fontId="3" fillId="4" borderId="171"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3" fillId="4" borderId="173" xfId="0" applyFont="1" applyFill="1" applyBorder="1" applyAlignment="1">
      <alignment horizontal="center" vertical="center"/>
    </xf>
    <xf numFmtId="1" fontId="3" fillId="4" borderId="86" xfId="0" applyNumberFormat="1" applyFont="1" applyFill="1" applyBorder="1" applyAlignment="1">
      <alignment horizontal="center" vertical="center"/>
    </xf>
    <xf numFmtId="1" fontId="3" fillId="4" borderId="58" xfId="0" applyNumberFormat="1" applyFont="1" applyFill="1" applyBorder="1" applyAlignment="1">
      <alignment horizontal="center" vertical="center"/>
    </xf>
    <xf numFmtId="3" fontId="3" fillId="18" borderId="174" xfId="0" applyNumberFormat="1" applyFont="1" applyFill="1" applyBorder="1" applyProtection="1">
      <protection locked="0"/>
    </xf>
    <xf numFmtId="3" fontId="48" fillId="0" borderId="107" xfId="0" applyNumberFormat="1" applyFont="1" applyFill="1" applyBorder="1" applyAlignment="1">
      <alignment horizontal="right"/>
    </xf>
    <xf numFmtId="3" fontId="3" fillId="0" borderId="105" xfId="0" applyNumberFormat="1" applyFont="1" applyFill="1" applyBorder="1" applyAlignment="1">
      <alignment horizontal="right"/>
    </xf>
    <xf numFmtId="3" fontId="3" fillId="0" borderId="106" xfId="0" applyNumberFormat="1" applyFont="1" applyFill="1" applyBorder="1" applyAlignment="1">
      <alignment horizontal="right"/>
    </xf>
    <xf numFmtId="3" fontId="3" fillId="0" borderId="107" xfId="0" applyNumberFormat="1" applyFont="1" applyFill="1" applyBorder="1" applyAlignment="1">
      <alignment horizontal="right"/>
    </xf>
    <xf numFmtId="3" fontId="3" fillId="0" borderId="116" xfId="0" applyNumberFormat="1" applyFont="1" applyFill="1" applyBorder="1" applyAlignment="1">
      <alignment horizontal="right"/>
    </xf>
    <xf numFmtId="169" fontId="50" fillId="15" borderId="20" xfId="0" applyNumberFormat="1" applyFont="1" applyFill="1" applyBorder="1" applyAlignment="1">
      <alignment horizontal="center" vertical="center"/>
    </xf>
    <xf numFmtId="3" fontId="48" fillId="0" borderId="4" xfId="0" applyNumberFormat="1" applyFont="1" applyFill="1" applyBorder="1" applyAlignment="1">
      <alignment horizontal="right"/>
    </xf>
    <xf numFmtId="3" fontId="48" fillId="0" borderId="102" xfId="0" applyNumberFormat="1" applyFont="1" applyFill="1" applyBorder="1" applyAlignment="1">
      <alignment horizontal="right"/>
    </xf>
    <xf numFmtId="3" fontId="48" fillId="0" borderId="73" xfId="0" applyNumberFormat="1" applyFont="1" applyFill="1" applyBorder="1" applyAlignment="1">
      <alignment horizontal="right"/>
    </xf>
    <xf numFmtId="3" fontId="48" fillId="0" borderId="103" xfId="0" applyNumberFormat="1" applyFont="1" applyFill="1" applyBorder="1" applyAlignment="1">
      <alignment horizontal="right"/>
    </xf>
    <xf numFmtId="3" fontId="48" fillId="0" borderId="5" xfId="0" applyNumberFormat="1" applyFont="1" applyFill="1" applyBorder="1" applyAlignment="1">
      <alignment horizontal="right"/>
    </xf>
    <xf numFmtId="3" fontId="48" fillId="0" borderId="115" xfId="0" applyNumberFormat="1" applyFont="1" applyFill="1" applyBorder="1" applyAlignment="1">
      <alignment horizontal="right"/>
    </xf>
    <xf numFmtId="0" fontId="58" fillId="0" borderId="0" xfId="0" applyFont="1"/>
    <xf numFmtId="1" fontId="3" fillId="0" borderId="0" xfId="2" applyNumberFormat="1" applyFont="1" applyFill="1" applyBorder="1" applyAlignment="1">
      <alignment horizontal="center" vertical="center"/>
    </xf>
    <xf numFmtId="1" fontId="10" fillId="0" borderId="0" xfId="5" applyNumberFormat="1" applyFont="1" applyFill="1" applyBorder="1"/>
    <xf numFmtId="1" fontId="0" fillId="0" borderId="0" xfId="0" applyNumberFormat="1"/>
    <xf numFmtId="1" fontId="2" fillId="0" borderId="0" xfId="0" applyNumberFormat="1" applyFont="1"/>
    <xf numFmtId="1" fontId="3" fillId="4" borderId="49" xfId="0" applyNumberFormat="1" applyFont="1" applyFill="1" applyBorder="1"/>
    <xf numFmtId="0" fontId="0" fillId="4" borderId="49" xfId="0" applyFill="1" applyBorder="1"/>
    <xf numFmtId="0" fontId="0" fillId="4" borderId="62" xfId="0" applyFill="1" applyBorder="1"/>
    <xf numFmtId="0" fontId="0" fillId="4" borderId="67" xfId="0" applyFill="1" applyBorder="1" applyAlignment="1">
      <alignment wrapText="1"/>
    </xf>
    <xf numFmtId="0" fontId="0" fillId="4" borderId="65" xfId="0" applyFill="1" applyBorder="1"/>
    <xf numFmtId="0" fontId="3" fillId="4" borderId="139" xfId="0" applyFont="1" applyFill="1" applyBorder="1" applyAlignment="1">
      <alignment horizontal="left" vertical="center"/>
    </xf>
    <xf numFmtId="0" fontId="3" fillId="4" borderId="67" xfId="0" applyFont="1" applyFill="1" applyBorder="1" applyAlignment="1">
      <alignment horizontal="left" vertical="center"/>
    </xf>
    <xf numFmtId="0" fontId="3" fillId="4" borderId="177" xfId="0" applyFont="1" applyFill="1" applyBorder="1" applyAlignment="1">
      <alignment horizontal="left" vertical="center"/>
    </xf>
    <xf numFmtId="3" fontId="1" fillId="11" borderId="13" xfId="23" applyNumberFormat="1" applyFill="1" applyBorder="1">
      <alignment wrapText="1"/>
    </xf>
    <xf numFmtId="3" fontId="1" fillId="11" borderId="40" xfId="23" applyNumberFormat="1" applyFill="1" applyBorder="1">
      <alignment wrapText="1"/>
    </xf>
    <xf numFmtId="3" fontId="1" fillId="6" borderId="13" xfId="23" applyNumberFormat="1" applyFill="1" applyBorder="1">
      <alignment wrapText="1"/>
    </xf>
    <xf numFmtId="3" fontId="1" fillId="6" borderId="40" xfId="23" applyNumberFormat="1" applyFill="1" applyBorder="1">
      <alignment wrapText="1"/>
    </xf>
    <xf numFmtId="3" fontId="0" fillId="0" borderId="16" xfId="0" applyNumberFormat="1" applyBorder="1"/>
    <xf numFmtId="3" fontId="0" fillId="0" borderId="24" xfId="0" applyNumberFormat="1" applyBorder="1"/>
    <xf numFmtId="3" fontId="0" fillId="0" borderId="6" xfId="0" applyNumberFormat="1" applyBorder="1"/>
    <xf numFmtId="3" fontId="0" fillId="0" borderId="43" xfId="0" applyNumberFormat="1" applyBorder="1"/>
    <xf numFmtId="3" fontId="0" fillId="0" borderId="153" xfId="0" applyNumberFormat="1" applyBorder="1"/>
    <xf numFmtId="3" fontId="0" fillId="0" borderId="46" xfId="0" applyNumberFormat="1" applyBorder="1"/>
    <xf numFmtId="3" fontId="0" fillId="0" borderId="39" xfId="0" applyNumberFormat="1" applyBorder="1"/>
    <xf numFmtId="3" fontId="0" fillId="0" borderId="126" xfId="0" applyNumberFormat="1" applyBorder="1"/>
    <xf numFmtId="0" fontId="2" fillId="4" borderId="49" xfId="0" applyFont="1" applyFill="1" applyBorder="1"/>
    <xf numFmtId="0" fontId="23" fillId="4" borderId="65" xfId="0" applyFont="1" applyFill="1" applyBorder="1"/>
    <xf numFmtId="3" fontId="0" fillId="0" borderId="180" xfId="0" applyNumberFormat="1" applyBorder="1"/>
    <xf numFmtId="3" fontId="0" fillId="0" borderId="181" xfId="0" applyNumberFormat="1" applyBorder="1"/>
    <xf numFmtId="3" fontId="0" fillId="0" borderId="182" xfId="0" applyNumberFormat="1" applyBorder="1"/>
    <xf numFmtId="3" fontId="0" fillId="0" borderId="183" xfId="0" applyNumberFormat="1" applyBorder="1"/>
    <xf numFmtId="3" fontId="0" fillId="0" borderId="18" xfId="0" applyNumberFormat="1" applyBorder="1"/>
    <xf numFmtId="3" fontId="0" fillId="0" borderId="185" xfId="0" applyNumberFormat="1" applyBorder="1"/>
    <xf numFmtId="3" fontId="0" fillId="0" borderId="186" xfId="0" applyNumberFormat="1" applyBorder="1"/>
    <xf numFmtId="3" fontId="0" fillId="0" borderId="10" xfId="0" applyNumberFormat="1" applyBorder="1"/>
    <xf numFmtId="0" fontId="0" fillId="4" borderId="0" xfId="0" applyFill="1" applyBorder="1" applyAlignment="1">
      <alignment wrapText="1"/>
    </xf>
    <xf numFmtId="0" fontId="0" fillId="4" borderId="65" xfId="0" applyFill="1" applyBorder="1" applyAlignment="1">
      <alignment wrapText="1"/>
    </xf>
    <xf numFmtId="3" fontId="1" fillId="11" borderId="12" xfId="23" applyNumberFormat="1" applyFill="1" applyBorder="1">
      <alignment wrapText="1"/>
    </xf>
    <xf numFmtId="3" fontId="1" fillId="11" borderId="41" xfId="23" applyNumberFormat="1" applyFill="1" applyBorder="1">
      <alignment wrapText="1"/>
    </xf>
    <xf numFmtId="3" fontId="0" fillId="0" borderId="193" xfId="0" applyNumberFormat="1" applyBorder="1"/>
    <xf numFmtId="3" fontId="0" fillId="0" borderId="194" xfId="0" applyNumberFormat="1" applyBorder="1"/>
    <xf numFmtId="3" fontId="0" fillId="0" borderId="195" xfId="0" applyNumberFormat="1" applyBorder="1"/>
    <xf numFmtId="3" fontId="0" fillId="0" borderId="196" xfId="0" applyNumberFormat="1" applyBorder="1"/>
    <xf numFmtId="173" fontId="0" fillId="0" borderId="188" xfId="0" applyNumberFormat="1" applyBorder="1"/>
    <xf numFmtId="173" fontId="0" fillId="0" borderId="189" xfId="0" applyNumberFormat="1" applyBorder="1"/>
    <xf numFmtId="173" fontId="0" fillId="0" borderId="190" xfId="0" applyNumberFormat="1" applyBorder="1"/>
    <xf numFmtId="173" fontId="0" fillId="0" borderId="191" xfId="0" applyNumberFormat="1" applyBorder="1"/>
    <xf numFmtId="165" fontId="48" fillId="0" borderId="124" xfId="0" applyNumberFormat="1" applyFont="1" applyBorder="1"/>
    <xf numFmtId="165" fontId="48" fillId="0" borderId="125" xfId="0" applyNumberFormat="1" applyFont="1" applyBorder="1"/>
    <xf numFmtId="165" fontId="48" fillId="0" borderId="128" xfId="0" applyNumberFormat="1" applyFont="1" applyBorder="1"/>
    <xf numFmtId="165" fontId="48" fillId="0" borderId="184" xfId="0" applyNumberFormat="1" applyFont="1" applyBorder="1"/>
    <xf numFmtId="173" fontId="3" fillId="0" borderId="188" xfId="0" applyNumberFormat="1" applyFont="1" applyBorder="1"/>
    <xf numFmtId="173" fontId="3" fillId="0" borderId="189" xfId="0" applyNumberFormat="1" applyFont="1" applyBorder="1"/>
    <xf numFmtId="173" fontId="3" fillId="0" borderId="190" xfId="0" applyNumberFormat="1" applyFont="1" applyBorder="1"/>
    <xf numFmtId="173" fontId="3" fillId="0" borderId="191" xfId="0" applyNumberFormat="1" applyFont="1" applyBorder="1"/>
    <xf numFmtId="3" fontId="0" fillId="0" borderId="198" xfId="0" applyNumberFormat="1" applyBorder="1"/>
    <xf numFmtId="173" fontId="0" fillId="0" borderId="199" xfId="0" applyNumberFormat="1" applyBorder="1"/>
    <xf numFmtId="165" fontId="48" fillId="0" borderId="142" xfId="0" applyNumberFormat="1" applyFont="1" applyBorder="1"/>
    <xf numFmtId="0" fontId="0" fillId="4" borderId="65" xfId="0" applyFill="1" applyBorder="1" applyAlignment="1">
      <alignment horizontal="center" vertical="center" wrapText="1"/>
    </xf>
    <xf numFmtId="0" fontId="6" fillId="4" borderId="67" xfId="0" applyFont="1" applyFill="1" applyBorder="1" applyAlignment="1">
      <alignment horizontal="left" vertical="center"/>
    </xf>
    <xf numFmtId="3" fontId="2" fillId="0" borderId="183" xfId="0" applyNumberFormat="1" applyFont="1" applyBorder="1"/>
    <xf numFmtId="165" fontId="60" fillId="0" borderId="184" xfId="0" applyNumberFormat="1" applyFont="1" applyBorder="1"/>
    <xf numFmtId="173" fontId="6" fillId="0" borderId="191" xfId="0" applyNumberFormat="1" applyFont="1" applyBorder="1"/>
    <xf numFmtId="3" fontId="2" fillId="0" borderId="197" xfId="0" applyNumberFormat="1" applyFont="1" applyBorder="1"/>
    <xf numFmtId="3" fontId="2" fillId="0" borderId="187" xfId="0" applyNumberFormat="1" applyFont="1" applyBorder="1"/>
    <xf numFmtId="3" fontId="2" fillId="0" borderId="178" xfId="0" applyNumberFormat="1" applyFont="1" applyBorder="1"/>
    <xf numFmtId="3" fontId="2" fillId="0" borderId="179" xfId="0" applyNumberFormat="1" applyFont="1" applyBorder="1"/>
    <xf numFmtId="3" fontId="0" fillId="0" borderId="197" xfId="0" applyNumberFormat="1" applyFont="1" applyBorder="1"/>
    <xf numFmtId="3" fontId="0" fillId="0" borderId="187" xfId="0" applyNumberFormat="1" applyFont="1" applyBorder="1"/>
    <xf numFmtId="3" fontId="0" fillId="0" borderId="178" xfId="0" applyNumberFormat="1" applyFont="1" applyBorder="1"/>
    <xf numFmtId="3" fontId="0" fillId="0" borderId="179" xfId="0" applyNumberFormat="1" applyFont="1" applyBorder="1"/>
    <xf numFmtId="173" fontId="2" fillId="0" borderId="191" xfId="0" applyNumberFormat="1" applyFont="1" applyBorder="1"/>
    <xf numFmtId="167" fontId="3" fillId="0" borderId="124" xfId="0" applyNumberFormat="1" applyFont="1" applyBorder="1"/>
    <xf numFmtId="167" fontId="3" fillId="0" borderId="125" xfId="0" applyNumberFormat="1" applyFont="1" applyBorder="1"/>
    <xf numFmtId="167" fontId="3" fillId="0" borderId="128" xfId="0" applyNumberFormat="1" applyFont="1" applyBorder="1"/>
    <xf numFmtId="167" fontId="3" fillId="0" borderId="184" xfId="0" applyNumberFormat="1" applyFont="1" applyBorder="1"/>
    <xf numFmtId="167" fontId="3" fillId="0" borderId="142" xfId="0" applyNumberFormat="1" applyFont="1" applyBorder="1"/>
    <xf numFmtId="167" fontId="6" fillId="0" borderId="184" xfId="0" applyNumberFormat="1" applyFont="1" applyBorder="1"/>
    <xf numFmtId="0" fontId="2" fillId="4" borderId="49" xfId="0" applyFont="1" applyFill="1" applyBorder="1" applyAlignment="1">
      <alignment vertical="center"/>
    </xf>
    <xf numFmtId="1" fontId="6" fillId="4" borderId="49" xfId="0" applyNumberFormat="1" applyFont="1" applyFill="1" applyBorder="1" applyAlignment="1">
      <alignment vertical="center"/>
    </xf>
    <xf numFmtId="165" fontId="48" fillId="0" borderId="188" xfId="0" applyNumberFormat="1" applyFont="1" applyBorder="1"/>
    <xf numFmtId="165" fontId="48" fillId="0" borderId="189" xfId="0" applyNumberFormat="1" applyFont="1" applyBorder="1"/>
    <xf numFmtId="165" fontId="48" fillId="0" borderId="190" xfId="0" applyNumberFormat="1" applyFont="1" applyBorder="1"/>
    <xf numFmtId="165" fontId="60" fillId="0" borderId="191" xfId="0" applyNumberFormat="1" applyFont="1" applyBorder="1"/>
    <xf numFmtId="3" fontId="1" fillId="11" borderId="200" xfId="23" applyNumberFormat="1" applyFill="1" applyBorder="1">
      <alignment wrapText="1"/>
    </xf>
    <xf numFmtId="3" fontId="1" fillId="11" borderId="201" xfId="23" applyNumberFormat="1" applyFill="1" applyBorder="1">
      <alignment wrapText="1"/>
    </xf>
    <xf numFmtId="3" fontId="1" fillId="6" borderId="200" xfId="23" applyNumberFormat="1" applyFill="1" applyBorder="1">
      <alignment wrapText="1"/>
    </xf>
    <xf numFmtId="3" fontId="1" fillId="6" borderId="201" xfId="23" applyNumberFormat="1" applyFill="1" applyBorder="1">
      <alignment wrapText="1"/>
    </xf>
    <xf numFmtId="0" fontId="61" fillId="15" borderId="23" xfId="0" applyNumberFormat="1" applyFont="1" applyFill="1" applyBorder="1" applyAlignment="1">
      <alignment horizontal="center" vertical="center"/>
    </xf>
    <xf numFmtId="0" fontId="61" fillId="15" borderId="23" xfId="0" applyNumberFormat="1" applyFont="1" applyFill="1" applyBorder="1" applyAlignment="1">
      <alignment horizontal="right" vertical="center"/>
    </xf>
    <xf numFmtId="0" fontId="0" fillId="0" borderId="4" xfId="0" applyBorder="1" applyAlignment="1">
      <alignment horizontal="center" vertical="center"/>
    </xf>
    <xf numFmtId="0" fontId="0" fillId="0" borderId="9" xfId="0" applyBorder="1" applyAlignment="1">
      <alignment horizontal="center" vertical="center"/>
    </xf>
    <xf numFmtId="0" fontId="3" fillId="4" borderId="38"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202" xfId="0" applyFont="1" applyFill="1" applyBorder="1" applyAlignment="1">
      <alignment horizontal="center" vertical="center"/>
    </xf>
    <xf numFmtId="165" fontId="0" fillId="0" borderId="203" xfId="0" applyNumberFormat="1" applyBorder="1" applyAlignment="1">
      <alignment horizontal="center"/>
    </xf>
    <xf numFmtId="0" fontId="3" fillId="4" borderId="204" xfId="0" applyFont="1" applyFill="1" applyBorder="1" applyAlignment="1">
      <alignment horizontal="center" vertical="center"/>
    </xf>
    <xf numFmtId="0" fontId="3" fillId="4" borderId="205" xfId="0" applyFont="1" applyFill="1" applyBorder="1" applyAlignment="1">
      <alignment horizontal="left" vertical="center"/>
    </xf>
    <xf numFmtId="3" fontId="0" fillId="0" borderId="206" xfId="0" applyNumberFormat="1" applyFont="1" applyBorder="1"/>
    <xf numFmtId="3" fontId="0" fillId="0" borderId="202" xfId="0" applyNumberFormat="1" applyFont="1" applyBorder="1"/>
    <xf numFmtId="3" fontId="0" fillId="0" borderId="38" xfId="0" applyNumberFormat="1" applyFont="1" applyBorder="1"/>
    <xf numFmtId="3" fontId="0" fillId="0" borderId="130" xfId="0" applyNumberFormat="1" applyFont="1" applyBorder="1"/>
    <xf numFmtId="3" fontId="0" fillId="10" borderId="181" xfId="0" applyNumberFormat="1" applyFill="1" applyBorder="1"/>
    <xf numFmtId="3" fontId="2" fillId="10" borderId="183" xfId="0" applyNumberFormat="1" applyFont="1" applyFill="1" applyBorder="1"/>
    <xf numFmtId="3" fontId="0" fillId="10" borderId="182" xfId="0" applyNumberFormat="1" applyFill="1" applyBorder="1"/>
    <xf numFmtId="0" fontId="24" fillId="4" borderId="23" xfId="1" applyFont="1" applyFill="1" applyBorder="1" applyAlignment="1">
      <alignment horizontal="left"/>
    </xf>
    <xf numFmtId="0" fontId="3" fillId="4" borderId="23" xfId="3" applyFont="1" applyFill="1" applyBorder="1"/>
    <xf numFmtId="0" fontId="62" fillId="3" borderId="0" xfId="5" applyFont="1" applyFill="1"/>
    <xf numFmtId="0" fontId="62" fillId="3" borderId="0" xfId="0" applyFont="1" applyFill="1"/>
    <xf numFmtId="3" fontId="63" fillId="3" borderId="0" xfId="5" applyNumberFormat="1" applyFont="1" applyFill="1" applyAlignment="1">
      <alignment horizontal="center" vertical="center" wrapText="1"/>
    </xf>
    <xf numFmtId="0" fontId="62" fillId="3" borderId="0" xfId="5" applyFont="1" applyFill="1" applyAlignment="1">
      <alignment horizontal="center" vertical="center" wrapText="1"/>
    </xf>
    <xf numFmtId="0" fontId="62" fillId="3" borderId="0" xfId="5" applyFont="1" applyFill="1" applyBorder="1"/>
    <xf numFmtId="0" fontId="3" fillId="0" borderId="9" xfId="5" applyFont="1" applyFill="1" applyBorder="1" applyAlignment="1">
      <alignment vertical="center"/>
    </xf>
    <xf numFmtId="0" fontId="3" fillId="0" borderId="4" xfId="5" applyFont="1" applyFill="1" applyBorder="1" applyAlignment="1">
      <alignment vertical="center"/>
    </xf>
    <xf numFmtId="3" fontId="3" fillId="0" borderId="9" xfId="3" applyNumberFormat="1" applyFont="1" applyBorder="1"/>
    <xf numFmtId="3" fontId="3" fillId="0" borderId="9" xfId="5" applyNumberFormat="1" applyFont="1" applyBorder="1"/>
    <xf numFmtId="3" fontId="3" fillId="0" borderId="9" xfId="5" applyNumberFormat="1" applyFont="1" applyFill="1" applyBorder="1" applyAlignment="1">
      <alignment horizontal="right" vertical="center"/>
    </xf>
    <xf numFmtId="3" fontId="3" fillId="0" borderId="9" xfId="5" applyNumberFormat="1" applyFont="1" applyFill="1" applyBorder="1" applyAlignment="1">
      <alignment vertical="center"/>
    </xf>
    <xf numFmtId="3" fontId="3" fillId="0" borderId="4" xfId="3" applyNumberFormat="1" applyFont="1" applyBorder="1"/>
    <xf numFmtId="3" fontId="3" fillId="0" borderId="4" xfId="5" applyNumberFormat="1" applyFont="1" applyBorder="1"/>
    <xf numFmtId="3" fontId="3" fillId="0" borderId="4" xfId="5" applyNumberFormat="1" applyFont="1" applyFill="1" applyBorder="1" applyAlignment="1">
      <alignment vertical="center"/>
    </xf>
    <xf numFmtId="3" fontId="3" fillId="0" borderId="4" xfId="5" applyNumberFormat="1" applyFont="1" applyFill="1" applyBorder="1"/>
    <xf numFmtId="0" fontId="64" fillId="3" borderId="0" xfId="0" applyFont="1" applyFill="1"/>
    <xf numFmtId="0" fontId="3" fillId="0" borderId="0" xfId="5" applyFont="1" applyFill="1" applyBorder="1" applyAlignment="1">
      <alignment horizontal="right"/>
    </xf>
    <xf numFmtId="0" fontId="3" fillId="0" borderId="5" xfId="5" applyFont="1" applyFill="1" applyBorder="1" applyAlignment="1">
      <alignment horizontal="right"/>
    </xf>
    <xf numFmtId="9" fontId="3" fillId="0" borderId="0" xfId="4" applyFont="1" applyFill="1" applyBorder="1"/>
    <xf numFmtId="0" fontId="11" fillId="4" borderId="11" xfId="1" applyFont="1" applyFill="1" applyBorder="1" applyAlignment="1">
      <alignment horizontal="center"/>
    </xf>
    <xf numFmtId="0" fontId="11" fillId="0" borderId="5" xfId="1" applyFont="1" applyFill="1" applyBorder="1" applyAlignment="1">
      <alignment horizontal="center"/>
    </xf>
    <xf numFmtId="0" fontId="3" fillId="0" borderId="9" xfId="5" applyFont="1" applyFill="1" applyBorder="1"/>
    <xf numFmtId="3" fontId="3" fillId="0" borderId="9" xfId="5" applyNumberFormat="1" applyFont="1" applyFill="1" applyBorder="1"/>
    <xf numFmtId="0" fontId="3" fillId="0" borderId="5" xfId="5" applyFont="1" applyFill="1" applyBorder="1" applyAlignment="1">
      <alignment vertical="center"/>
    </xf>
    <xf numFmtId="3" fontId="3" fillId="0" borderId="5" xfId="3" applyNumberFormat="1" applyFont="1" applyBorder="1"/>
    <xf numFmtId="3" fontId="3" fillId="0" borderId="5" xfId="5" applyNumberFormat="1" applyFont="1" applyBorder="1"/>
    <xf numFmtId="3" fontId="3" fillId="0" borderId="5" xfId="5" applyNumberFormat="1" applyFont="1" applyFill="1" applyBorder="1" applyAlignment="1">
      <alignment vertical="center"/>
    </xf>
    <xf numFmtId="3" fontId="3" fillId="0" borderId="9" xfId="5" applyNumberFormat="1" applyFont="1" applyBorder="1" applyAlignment="1">
      <alignment horizontal="right" vertical="center" wrapText="1"/>
    </xf>
    <xf numFmtId="3" fontId="13" fillId="0" borderId="9" xfId="5" applyNumberFormat="1" applyFont="1" applyBorder="1" applyAlignment="1">
      <alignment horizontal="right" vertical="center" wrapText="1"/>
    </xf>
    <xf numFmtId="3" fontId="3" fillId="0" borderId="9" xfId="5" applyNumberFormat="1" applyFont="1" applyFill="1" applyBorder="1" applyAlignment="1">
      <alignment horizontal="right"/>
    </xf>
    <xf numFmtId="3" fontId="3" fillId="0" borderId="9" xfId="5" applyNumberFormat="1" applyFont="1" applyBorder="1" applyAlignment="1">
      <alignment horizontal="right"/>
    </xf>
    <xf numFmtId="3" fontId="3" fillId="0" borderId="4" xfId="5" applyNumberFormat="1" applyFont="1" applyBorder="1" applyAlignment="1">
      <alignment horizontal="right" vertical="center" wrapText="1"/>
    </xf>
    <xf numFmtId="0" fontId="3" fillId="0" borderId="5" xfId="5" applyFont="1" applyFill="1" applyBorder="1"/>
    <xf numFmtId="3" fontId="3" fillId="0" borderId="5" xfId="5" applyNumberFormat="1" applyFont="1" applyFill="1" applyBorder="1"/>
    <xf numFmtId="3" fontId="3" fillId="0" borderId="5" xfId="5" applyNumberFormat="1" applyFont="1" applyBorder="1" applyAlignment="1">
      <alignment horizontal="right" vertical="center" wrapText="1"/>
    </xf>
    <xf numFmtId="3" fontId="3" fillId="6" borderId="45" xfId="5" applyNumberFormat="1" applyFont="1" applyFill="1" applyBorder="1" applyAlignment="1">
      <alignment horizontal="right" vertical="center" wrapText="1"/>
    </xf>
    <xf numFmtId="3" fontId="3" fillId="6" borderId="20" xfId="5" applyNumberFormat="1" applyFont="1" applyFill="1" applyBorder="1" applyAlignment="1">
      <alignment horizontal="right" vertical="center" wrapText="1"/>
    </xf>
    <xf numFmtId="3" fontId="3" fillId="6" borderId="22" xfId="5" applyNumberFormat="1" applyFont="1" applyFill="1" applyBorder="1" applyAlignment="1">
      <alignment horizontal="right" vertical="center" wrapText="1"/>
    </xf>
    <xf numFmtId="3" fontId="3" fillId="6" borderId="25" xfId="5" applyNumberFormat="1" applyFont="1" applyFill="1" applyBorder="1" applyAlignment="1">
      <alignment horizontal="right" vertical="center" wrapText="1"/>
    </xf>
    <xf numFmtId="3" fontId="3" fillId="6" borderId="25" xfId="5" applyNumberFormat="1" applyFont="1" applyFill="1" applyBorder="1" applyAlignment="1">
      <alignment horizontal="right"/>
    </xf>
    <xf numFmtId="3" fontId="3" fillId="6" borderId="20" xfId="5" applyNumberFormat="1" applyFont="1" applyFill="1" applyBorder="1" applyAlignment="1">
      <alignment horizontal="right"/>
    </xf>
    <xf numFmtId="3" fontId="3" fillId="6" borderId="15" xfId="5" applyNumberFormat="1" applyFont="1" applyFill="1" applyBorder="1" applyAlignment="1">
      <alignment horizontal="right" vertical="center" wrapText="1"/>
    </xf>
    <xf numFmtId="3" fontId="3" fillId="6" borderId="15" xfId="5" applyNumberFormat="1" applyFont="1" applyFill="1" applyBorder="1" applyAlignment="1">
      <alignment horizontal="right"/>
    </xf>
    <xf numFmtId="3" fontId="3" fillId="0" borderId="5" xfId="5" applyNumberFormat="1" applyFont="1" applyFill="1" applyBorder="1" applyAlignment="1">
      <alignment horizontal="right"/>
    </xf>
    <xf numFmtId="3" fontId="3" fillId="0" borderId="5" xfId="5" applyNumberFormat="1" applyFont="1" applyBorder="1" applyAlignment="1">
      <alignment horizontal="right"/>
    </xf>
    <xf numFmtId="0" fontId="3" fillId="0" borderId="207" xfId="5" applyFont="1" applyFill="1" applyBorder="1"/>
    <xf numFmtId="3" fontId="3" fillId="0" borderId="207" xfId="5" applyNumberFormat="1" applyFont="1" applyFill="1" applyBorder="1"/>
    <xf numFmtId="3" fontId="3" fillId="6" borderId="207" xfId="5" applyNumberFormat="1" applyFont="1" applyFill="1" applyBorder="1" applyAlignment="1">
      <alignment horizontal="right" vertical="center" wrapText="1"/>
    </xf>
    <xf numFmtId="3" fontId="13" fillId="0" borderId="3" xfId="5" applyNumberFormat="1" applyFont="1" applyBorder="1" applyAlignment="1">
      <alignment horizontal="right" vertical="center" wrapText="1"/>
    </xf>
    <xf numFmtId="3" fontId="3" fillId="0" borderId="3" xfId="5" applyNumberFormat="1" applyFont="1" applyBorder="1" applyAlignment="1">
      <alignment horizontal="right" vertical="center" wrapText="1"/>
    </xf>
    <xf numFmtId="3" fontId="3" fillId="0" borderId="3" xfId="5" applyNumberFormat="1" applyFont="1" applyFill="1" applyBorder="1" applyAlignment="1">
      <alignment horizontal="right"/>
    </xf>
    <xf numFmtId="3" fontId="3" fillId="0" borderId="3" xfId="5" applyNumberFormat="1" applyFont="1" applyBorder="1" applyAlignment="1">
      <alignment horizontal="right"/>
    </xf>
    <xf numFmtId="3" fontId="13" fillId="0" borderId="0" xfId="5" applyNumberFormat="1" applyFont="1" applyBorder="1" applyAlignment="1">
      <alignment horizontal="right" vertical="center" wrapText="1"/>
    </xf>
    <xf numFmtId="3" fontId="3" fillId="0" borderId="0" xfId="5" applyNumberFormat="1" applyFont="1" applyBorder="1" applyAlignment="1">
      <alignment horizontal="right" vertical="center" wrapText="1"/>
    </xf>
    <xf numFmtId="3" fontId="3" fillId="0" borderId="0" xfId="5" applyNumberFormat="1" applyFont="1" applyFill="1" applyBorder="1" applyAlignment="1">
      <alignment horizontal="right"/>
    </xf>
    <xf numFmtId="3" fontId="3" fillId="0" borderId="0" xfId="5" applyNumberFormat="1" applyFont="1" applyBorder="1" applyAlignment="1">
      <alignment horizontal="right"/>
    </xf>
    <xf numFmtId="0" fontId="62" fillId="0" borderId="0" xfId="5" applyFont="1" applyFill="1"/>
    <xf numFmtId="0" fontId="56" fillId="0" borderId="0" xfId="3" applyFont="1" applyFill="1"/>
    <xf numFmtId="0" fontId="56" fillId="0" borderId="0" xfId="5" applyFont="1" applyFill="1"/>
    <xf numFmtId="0" fontId="57" fillId="0" borderId="0" xfId="5" applyFont="1" applyFill="1" applyAlignment="1">
      <alignment vertical="center"/>
    </xf>
    <xf numFmtId="0" fontId="30" fillId="0" borderId="0" xfId="0" applyFont="1" applyFill="1"/>
    <xf numFmtId="0" fontId="2" fillId="4" borderId="18" xfId="0" applyFont="1" applyFill="1" applyBorder="1" applyAlignment="1">
      <alignment horizontal="center" vertical="center"/>
    </xf>
    <xf numFmtId="0" fontId="0" fillId="4" borderId="131" xfId="0" applyFill="1" applyBorder="1" applyAlignment="1">
      <alignment horizontal="center" vertical="center"/>
    </xf>
    <xf numFmtId="0" fontId="3" fillId="4" borderId="17" xfId="0" applyFont="1" applyFill="1" applyBorder="1" applyAlignment="1">
      <alignment horizontal="left" vertical="center"/>
    </xf>
    <xf numFmtId="0" fontId="3" fillId="4" borderId="37" xfId="0" applyFont="1" applyFill="1" applyBorder="1" applyAlignment="1">
      <alignment horizontal="left" vertical="center"/>
    </xf>
    <xf numFmtId="0" fontId="0" fillId="0" borderId="10" xfId="0" applyBorder="1"/>
    <xf numFmtId="0" fontId="3" fillId="4" borderId="20" xfId="0" applyFont="1" applyFill="1" applyBorder="1" applyAlignment="1">
      <alignment horizontal="left" vertical="center"/>
    </xf>
    <xf numFmtId="1" fontId="0" fillId="0" borderId="0" xfId="0" applyNumberFormat="1" applyFont="1"/>
    <xf numFmtId="3" fontId="0" fillId="0" borderId="0" xfId="0" applyNumberFormat="1" applyBorder="1"/>
    <xf numFmtId="165" fontId="48" fillId="0" borderId="0" xfId="0" applyNumberFormat="1" applyFont="1" applyBorder="1"/>
    <xf numFmtId="173" fontId="0" fillId="0" borderId="0" xfId="0" applyNumberFormat="1" applyBorder="1"/>
    <xf numFmtId="0" fontId="0" fillId="4" borderId="17" xfId="0" applyFill="1" applyBorder="1"/>
    <xf numFmtId="0" fontId="0" fillId="4" borderId="18" xfId="0" applyFill="1" applyBorder="1"/>
    <xf numFmtId="0" fontId="17" fillId="0" borderId="0" xfId="5" applyFont="1" applyAlignment="1">
      <alignment vertical="center"/>
    </xf>
    <xf numFmtId="3" fontId="3" fillId="0" borderId="46" xfId="0" applyNumberFormat="1" applyFont="1" applyBorder="1"/>
    <xf numFmtId="0" fontId="0" fillId="11" borderId="41" xfId="0" applyFill="1" applyBorder="1"/>
    <xf numFmtId="0" fontId="26" fillId="4" borderId="12" xfId="8" applyFont="1" applyFill="1" applyBorder="1" applyAlignment="1">
      <alignment horizontal="center" vertical="center" wrapText="1"/>
    </xf>
    <xf numFmtId="3" fontId="3" fillId="0" borderId="130" xfId="0" applyNumberFormat="1" applyFont="1" applyBorder="1"/>
    <xf numFmtId="165" fontId="3" fillId="0" borderId="46" xfId="17" applyNumberFormat="1" applyFont="1" applyFill="1" applyBorder="1"/>
    <xf numFmtId="9" fontId="3" fillId="4" borderId="10" xfId="17" applyFont="1" applyFill="1" applyBorder="1" applyAlignment="1">
      <alignment vertical="center"/>
    </xf>
    <xf numFmtId="9" fontId="3" fillId="4" borderId="18" xfId="17" applyFont="1" applyFill="1" applyBorder="1" applyAlignment="1">
      <alignment vertical="center" wrapText="1"/>
    </xf>
    <xf numFmtId="3" fontId="3" fillId="0" borderId="80" xfId="0" applyNumberFormat="1" applyFont="1" applyBorder="1"/>
    <xf numFmtId="3" fontId="3" fillId="0" borderId="78" xfId="0" applyNumberFormat="1" applyFont="1" applyBorder="1"/>
    <xf numFmtId="3" fontId="3" fillId="0" borderId="110" xfId="0" applyNumberFormat="1" applyFont="1" applyBorder="1"/>
    <xf numFmtId="9" fontId="3" fillId="4" borderId="18" xfId="17" applyFont="1" applyFill="1" applyBorder="1" applyAlignment="1">
      <alignment vertical="center"/>
    </xf>
    <xf numFmtId="9" fontId="3" fillId="4" borderId="37" xfId="17" applyFont="1" applyFill="1" applyBorder="1" applyAlignment="1">
      <alignment vertical="center" wrapText="1"/>
    </xf>
    <xf numFmtId="9" fontId="3" fillId="4" borderId="13" xfId="17" applyFont="1" applyFill="1" applyBorder="1" applyAlignment="1">
      <alignment horizontal="center" vertical="center"/>
    </xf>
    <xf numFmtId="9" fontId="3" fillId="4" borderId="13" xfId="17" applyFont="1" applyFill="1" applyBorder="1" applyAlignment="1">
      <alignment horizontal="center" vertical="center" wrapText="1"/>
    </xf>
    <xf numFmtId="9" fontId="3" fillId="4" borderId="58" xfId="17" applyFont="1" applyFill="1" applyBorder="1" applyAlignment="1">
      <alignment horizontal="center" vertical="center" wrapText="1"/>
    </xf>
    <xf numFmtId="0" fontId="0" fillId="0" borderId="165" xfId="0" applyBorder="1"/>
    <xf numFmtId="0" fontId="30" fillId="0" borderId="0" xfId="0" applyFont="1" applyBorder="1" applyAlignment="1">
      <alignment horizontal="left" vertical="center"/>
    </xf>
    <xf numFmtId="9" fontId="3" fillId="4" borderId="16" xfId="17" applyFont="1" applyFill="1" applyBorder="1" applyAlignment="1">
      <alignment horizontal="center" vertical="center" wrapText="1"/>
    </xf>
    <xf numFmtId="9" fontId="3" fillId="4" borderId="16" xfId="17" applyFont="1" applyFill="1" applyBorder="1" applyAlignment="1">
      <alignment horizontal="center" vertical="center"/>
    </xf>
    <xf numFmtId="3" fontId="3" fillId="6" borderId="130" xfId="24" applyNumberFormat="1" applyFont="1" applyFill="1" applyBorder="1"/>
    <xf numFmtId="3" fontId="3" fillId="6" borderId="112" xfId="24" applyNumberFormat="1" applyFont="1" applyFill="1" applyBorder="1"/>
    <xf numFmtId="3" fontId="3" fillId="6" borderId="13" xfId="24" applyNumberFormat="1" applyFont="1" applyFill="1" applyBorder="1"/>
    <xf numFmtId="3" fontId="3" fillId="6" borderId="11" xfId="24" applyNumberFormat="1" applyFont="1" applyFill="1" applyBorder="1"/>
    <xf numFmtId="3" fontId="3" fillId="6" borderId="16" xfId="24" applyNumberFormat="1" applyFont="1" applyFill="1" applyBorder="1"/>
    <xf numFmtId="3" fontId="3" fillId="6" borderId="42" xfId="24" applyNumberFormat="1" applyFont="1" applyFill="1" applyBorder="1"/>
    <xf numFmtId="0" fontId="29" fillId="0" borderId="0" xfId="3" applyFont="1" applyAlignment="1">
      <alignment vertical="center"/>
    </xf>
    <xf numFmtId="0" fontId="3" fillId="4" borderId="20" xfId="5" applyFill="1" applyBorder="1" applyAlignment="1">
      <alignment horizontal="left"/>
    </xf>
    <xf numFmtId="3" fontId="3" fillId="4" borderId="20" xfId="5" applyNumberFormat="1" applyFill="1" applyBorder="1" applyAlignment="1">
      <alignment horizontal="right"/>
    </xf>
    <xf numFmtId="0" fontId="3" fillId="4" borderId="22" xfId="5" applyFill="1" applyBorder="1" applyAlignment="1">
      <alignment horizontal="left"/>
    </xf>
    <xf numFmtId="3" fontId="3" fillId="4" borderId="22" xfId="5" applyNumberFormat="1" applyFill="1" applyBorder="1" applyAlignment="1">
      <alignment horizontal="right"/>
    </xf>
    <xf numFmtId="0" fontId="6" fillId="4" borderId="23" xfId="5" applyFont="1" applyFill="1" applyBorder="1" applyAlignment="1">
      <alignment vertical="center" wrapText="1"/>
    </xf>
    <xf numFmtId="3" fontId="6" fillId="4" borderId="23" xfId="5" applyNumberFormat="1" applyFont="1" applyFill="1" applyBorder="1" applyAlignment="1">
      <alignment horizontal="right" vertical="center" wrapText="1"/>
    </xf>
    <xf numFmtId="0" fontId="30" fillId="0" borderId="20" xfId="5" applyFont="1" applyBorder="1" applyAlignment="1">
      <alignment vertical="center" wrapText="1"/>
    </xf>
    <xf numFmtId="0" fontId="7" fillId="0" borderId="17" xfId="5" applyFont="1" applyFill="1" applyBorder="1" applyAlignment="1">
      <alignment horizontal="center" vertical="center"/>
    </xf>
    <xf numFmtId="0" fontId="3" fillId="4" borderId="21" xfId="5" applyFont="1" applyFill="1" applyBorder="1" applyAlignment="1">
      <alignment horizontal="center"/>
    </xf>
    <xf numFmtId="3" fontId="6" fillId="0" borderId="9" xfId="5" applyNumberFormat="1" applyFont="1" applyFill="1" applyBorder="1"/>
    <xf numFmtId="0" fontId="30" fillId="0" borderId="23" xfId="5" applyFont="1" applyBorder="1" applyAlignment="1">
      <alignment vertical="center" wrapText="1"/>
    </xf>
    <xf numFmtId="0" fontId="3" fillId="0" borderId="23" xfId="5" applyFill="1" applyBorder="1" applyAlignment="1">
      <alignment horizontal="left"/>
    </xf>
    <xf numFmtId="0" fontId="3" fillId="4" borderId="14" xfId="5" applyFont="1" applyFill="1" applyBorder="1" applyAlignment="1">
      <alignment horizontal="center"/>
    </xf>
    <xf numFmtId="3" fontId="6" fillId="6" borderId="13" xfId="5" applyNumberFormat="1" applyFont="1" applyFill="1" applyBorder="1"/>
    <xf numFmtId="0" fontId="3" fillId="0" borderId="0" xfId="3" applyFont="1" applyAlignment="1">
      <alignment horizontal="right"/>
    </xf>
    <xf numFmtId="0" fontId="30" fillId="0" borderId="0" xfId="5" applyFont="1" applyFill="1" applyAlignment="1">
      <alignment vertical="center"/>
    </xf>
    <xf numFmtId="3" fontId="3" fillId="0" borderId="4" xfId="5" applyNumberFormat="1" applyFont="1" applyFill="1" applyBorder="1" applyAlignment="1">
      <alignment horizontal="right" vertical="center"/>
    </xf>
    <xf numFmtId="3" fontId="60" fillId="0" borderId="9" xfId="5" applyNumberFormat="1" applyFont="1" applyFill="1" applyBorder="1" applyAlignment="1">
      <alignment horizontal="right" vertical="center"/>
    </xf>
    <xf numFmtId="173" fontId="60" fillId="0" borderId="9" xfId="0" applyNumberFormat="1" applyFont="1" applyBorder="1"/>
    <xf numFmtId="3" fontId="60" fillId="0" borderId="9" xfId="5" applyNumberFormat="1" applyFont="1" applyFill="1" applyBorder="1" applyAlignment="1">
      <alignment vertical="center"/>
    </xf>
    <xf numFmtId="3" fontId="60" fillId="0" borderId="9" xfId="0" applyNumberFormat="1" applyFont="1" applyBorder="1"/>
    <xf numFmtId="3" fontId="48" fillId="0" borderId="4" xfId="5" applyNumberFormat="1" applyFont="1" applyFill="1" applyBorder="1" applyAlignment="1">
      <alignment horizontal="right" vertical="center"/>
    </xf>
    <xf numFmtId="173" fontId="48" fillId="0" borderId="4" xfId="0" applyNumberFormat="1" applyFont="1" applyBorder="1"/>
    <xf numFmtId="3" fontId="48" fillId="0" borderId="4" xfId="0" applyNumberFormat="1" applyFont="1" applyBorder="1"/>
    <xf numFmtId="3" fontId="48" fillId="0" borderId="5" xfId="5" applyNumberFormat="1" applyFont="1" applyFill="1" applyBorder="1" applyAlignment="1">
      <alignment horizontal="right" vertical="center"/>
    </xf>
    <xf numFmtId="173" fontId="48" fillId="0" borderId="5" xfId="0" applyNumberFormat="1" applyFont="1" applyBorder="1"/>
    <xf numFmtId="3" fontId="48" fillId="0" borderId="5" xfId="0" applyNumberFormat="1" applyFont="1" applyBorder="1"/>
    <xf numFmtId="0" fontId="29" fillId="0" borderId="0" xfId="5" applyFont="1"/>
    <xf numFmtId="0" fontId="59" fillId="0" borderId="0" xfId="3" applyFont="1" applyAlignment="1">
      <alignment wrapText="1"/>
    </xf>
    <xf numFmtId="165" fontId="3" fillId="0" borderId="15" xfId="5" applyNumberFormat="1" applyFont="1" applyFill="1" applyBorder="1" applyAlignment="1">
      <alignment horizontal="right" vertical="center" wrapText="1"/>
    </xf>
    <xf numFmtId="165" fontId="3" fillId="0" borderId="15" xfId="5" applyNumberFormat="1" applyFont="1" applyFill="1" applyBorder="1" applyAlignment="1">
      <alignment horizontal="right" vertical="center"/>
    </xf>
    <xf numFmtId="3" fontId="3" fillId="0" borderId="185" xfId="5" applyNumberFormat="1" applyFill="1" applyBorder="1" applyAlignment="1">
      <alignment horizontal="right" vertical="center"/>
    </xf>
    <xf numFmtId="3" fontId="3" fillId="0" borderId="153" xfId="5" applyNumberFormat="1" applyFill="1" applyBorder="1" applyAlignment="1">
      <alignment horizontal="right" vertical="center"/>
    </xf>
    <xf numFmtId="3" fontId="3" fillId="0" borderId="46" xfId="5" applyNumberFormat="1" applyFill="1" applyBorder="1" applyAlignment="1">
      <alignment horizontal="right" vertical="center"/>
    </xf>
    <xf numFmtId="165" fontId="3" fillId="0" borderId="4" xfId="5" applyNumberFormat="1" applyFont="1" applyFill="1" applyBorder="1" applyAlignment="1">
      <alignment horizontal="right" vertical="center" wrapText="1"/>
    </xf>
    <xf numFmtId="3" fontId="6" fillId="0" borderId="5" xfId="5" applyNumberFormat="1" applyFont="1" applyFill="1" applyBorder="1" applyAlignment="1">
      <alignment horizontal="right" vertical="center"/>
    </xf>
    <xf numFmtId="0" fontId="4" fillId="0" borderId="5" xfId="3" applyFill="1" applyBorder="1" applyAlignment="1">
      <alignment horizontal="right"/>
    </xf>
    <xf numFmtId="9" fontId="0" fillId="0" borderId="5" xfId="4" applyFont="1" applyFill="1" applyBorder="1" applyAlignment="1">
      <alignment horizontal="right"/>
    </xf>
    <xf numFmtId="165" fontId="6" fillId="0" borderId="4" xfId="4" applyNumberFormat="1" applyFont="1" applyFill="1" applyBorder="1" applyAlignment="1">
      <alignment horizontal="right" vertical="center"/>
    </xf>
    <xf numFmtId="0" fontId="3" fillId="4" borderId="23" xfId="5" applyFont="1" applyFill="1" applyBorder="1" applyAlignment="1">
      <alignment horizontal="left" vertical="center" wrapText="1"/>
    </xf>
    <xf numFmtId="0" fontId="3" fillId="4" borderId="20" xfId="5" applyFont="1" applyFill="1" applyBorder="1" applyAlignment="1">
      <alignment horizontal="left" vertical="center" wrapText="1"/>
    </xf>
    <xf numFmtId="0" fontId="6" fillId="4" borderId="20" xfId="5" applyFont="1" applyFill="1" applyBorder="1" applyAlignment="1">
      <alignment horizontal="left" vertical="center" wrapText="1"/>
    </xf>
    <xf numFmtId="0" fontId="6" fillId="4" borderId="22" xfId="5" applyFont="1" applyFill="1" applyBorder="1" applyAlignment="1">
      <alignment horizontal="left" vertical="center" wrapText="1"/>
    </xf>
    <xf numFmtId="0" fontId="3" fillId="4" borderId="6" xfId="5" applyFill="1" applyBorder="1" applyAlignment="1">
      <alignment horizontal="center" vertical="center"/>
    </xf>
    <xf numFmtId="0" fontId="3" fillId="4" borderId="43" xfId="5" applyFill="1" applyBorder="1" applyAlignment="1">
      <alignment horizontal="center" vertical="center"/>
    </xf>
    <xf numFmtId="166" fontId="6" fillId="0" borderId="9" xfId="5" applyNumberFormat="1" applyFont="1" applyFill="1" applyBorder="1" applyAlignment="1">
      <alignment horizontal="right" vertical="center"/>
    </xf>
    <xf numFmtId="166" fontId="3" fillId="0" borderId="4" xfId="5" applyNumberFormat="1" applyBorder="1" applyAlignment="1">
      <alignment horizontal="right" vertical="center"/>
    </xf>
    <xf numFmtId="166" fontId="3" fillId="0" borderId="4" xfId="5" applyNumberFormat="1" applyFill="1" applyBorder="1" applyAlignment="1">
      <alignment horizontal="right" vertical="center"/>
    </xf>
    <xf numFmtId="166" fontId="3" fillId="0" borderId="5" xfId="5" applyNumberFormat="1" applyBorder="1" applyAlignment="1">
      <alignment horizontal="right" vertical="center"/>
    </xf>
    <xf numFmtId="166" fontId="3" fillId="0" borderId="5" xfId="5" applyNumberFormat="1" applyFill="1" applyBorder="1" applyAlignment="1">
      <alignment horizontal="right" vertical="center"/>
    </xf>
    <xf numFmtId="0" fontId="0" fillId="4" borderId="12" xfId="0" applyFill="1" applyBorder="1" applyAlignment="1">
      <alignment horizontal="center" vertical="center"/>
    </xf>
    <xf numFmtId="166" fontId="3" fillId="4" borderId="12" xfId="5" applyNumberFormat="1" applyFill="1" applyBorder="1" applyAlignment="1">
      <alignment horizontal="center" vertical="center" wrapText="1"/>
    </xf>
    <xf numFmtId="0" fontId="3" fillId="0" borderId="9" xfId="5" applyBorder="1"/>
    <xf numFmtId="0" fontId="29" fillId="0" borderId="0" xfId="5" applyFont="1" applyBorder="1"/>
    <xf numFmtId="3" fontId="3" fillId="6" borderId="17" xfId="5" applyNumberFormat="1" applyFont="1" applyFill="1" applyBorder="1" applyAlignment="1">
      <alignment horizontal="right" vertical="center"/>
    </xf>
    <xf numFmtId="0" fontId="3" fillId="4" borderId="2" xfId="5" applyFont="1" applyFill="1" applyBorder="1" applyAlignment="1">
      <alignment wrapText="1"/>
    </xf>
    <xf numFmtId="0" fontId="3" fillId="4" borderId="13" xfId="5" applyFont="1" applyFill="1" applyBorder="1" applyAlignment="1">
      <alignment horizontal="center" vertical="center"/>
    </xf>
    <xf numFmtId="166" fontId="3" fillId="4" borderId="13" xfId="5" applyNumberFormat="1" applyFill="1" applyBorder="1" applyAlignment="1">
      <alignment horizontal="center" vertical="center" wrapText="1"/>
    </xf>
    <xf numFmtId="10" fontId="6" fillId="0" borderId="9" xfId="4" applyNumberFormat="1" applyFont="1" applyFill="1" applyBorder="1" applyAlignment="1">
      <alignment horizontal="right" vertical="center"/>
    </xf>
    <xf numFmtId="166" fontId="3" fillId="4" borderId="43" xfId="5" applyNumberFormat="1" applyFill="1" applyBorder="1" applyAlignment="1">
      <alignment horizontal="center" vertical="center" wrapText="1"/>
    </xf>
    <xf numFmtId="9" fontId="6" fillId="4" borderId="23" xfId="0" applyNumberFormat="1" applyFont="1" applyFill="1" applyBorder="1" applyAlignment="1">
      <alignment horizontal="left" vertical="center"/>
    </xf>
    <xf numFmtId="9" fontId="3" fillId="4" borderId="23" xfId="0" applyNumberFormat="1" applyFont="1" applyFill="1" applyBorder="1" applyAlignment="1">
      <alignment horizontal="left" vertical="center"/>
    </xf>
    <xf numFmtId="166" fontId="3" fillId="0" borderId="0" xfId="5" applyNumberFormat="1" applyFont="1" applyFill="1" applyBorder="1" applyAlignment="1">
      <alignment horizontal="right" vertical="center"/>
    </xf>
    <xf numFmtId="166" fontId="6" fillId="0" borderId="5" xfId="5" applyNumberFormat="1" applyFont="1" applyBorder="1" applyAlignment="1">
      <alignment horizontal="right" vertical="center"/>
    </xf>
    <xf numFmtId="0" fontId="6" fillId="4" borderId="13" xfId="5" applyFont="1" applyFill="1" applyBorder="1" applyAlignment="1">
      <alignment horizontal="left" vertical="center" wrapText="1"/>
    </xf>
    <xf numFmtId="0" fontId="3" fillId="4" borderId="13" xfId="5" applyFont="1" applyFill="1" applyBorder="1" applyAlignment="1">
      <alignment horizontal="left" vertical="center" wrapText="1"/>
    </xf>
    <xf numFmtId="0" fontId="3" fillId="4" borderId="89" xfId="5" applyFont="1" applyFill="1" applyBorder="1" applyAlignment="1">
      <alignment horizontal="left" vertical="center" wrapText="1"/>
    </xf>
    <xf numFmtId="0" fontId="0" fillId="0" borderId="23" xfId="0" applyBorder="1"/>
    <xf numFmtId="2" fontId="3" fillId="0" borderId="20" xfId="4" applyNumberFormat="1" applyFont="1" applyFill="1" applyBorder="1" applyAlignment="1">
      <alignment horizontal="center" vertical="center"/>
    </xf>
    <xf numFmtId="2" fontId="3" fillId="0" borderId="23" xfId="5" applyNumberFormat="1" applyBorder="1" applyAlignment="1">
      <alignment horizontal="center" vertical="center"/>
    </xf>
    <xf numFmtId="2" fontId="3" fillId="4" borderId="20" xfId="4" applyNumberFormat="1" applyFont="1" applyFill="1" applyBorder="1" applyAlignment="1">
      <alignment horizontal="center" vertical="center"/>
    </xf>
    <xf numFmtId="0" fontId="6" fillId="4" borderId="17" xfId="5" applyFont="1" applyFill="1" applyBorder="1" applyAlignment="1">
      <alignment horizontal="center" vertical="center"/>
    </xf>
    <xf numFmtId="0" fontId="3" fillId="4" borderId="17" xfId="5" applyFill="1" applyBorder="1" applyAlignment="1">
      <alignment horizontal="left" vertical="center" wrapText="1"/>
    </xf>
    <xf numFmtId="2" fontId="6" fillId="0" borderId="13" xfId="5" applyNumberFormat="1" applyFont="1" applyBorder="1" applyAlignment="1">
      <alignment horizontal="center" vertical="center"/>
    </xf>
    <xf numFmtId="2" fontId="3" fillId="0" borderId="13" xfId="4" applyNumberFormat="1" applyFont="1" applyFill="1" applyBorder="1" applyAlignment="1">
      <alignment horizontal="center" vertical="center"/>
    </xf>
    <xf numFmtId="2" fontId="3" fillId="0" borderId="13" xfId="5" applyNumberFormat="1" applyBorder="1" applyAlignment="1">
      <alignment horizontal="center" vertical="center"/>
    </xf>
    <xf numFmtId="2" fontId="3" fillId="0" borderId="14" xfId="5" applyNumberFormat="1" applyBorder="1" applyAlignment="1">
      <alignment horizontal="center" vertical="center"/>
    </xf>
    <xf numFmtId="2" fontId="3" fillId="4" borderId="11" xfId="5" applyNumberFormat="1" applyFill="1" applyBorder="1" applyAlignment="1">
      <alignment horizontal="center" vertical="center"/>
    </xf>
    <xf numFmtId="2" fontId="6" fillId="4" borderId="11" xfId="5" applyNumberFormat="1" applyFont="1" applyFill="1" applyBorder="1" applyAlignment="1">
      <alignment horizontal="center" vertical="center"/>
    </xf>
    <xf numFmtId="2" fontId="3" fillId="4" borderId="11" xfId="4" applyNumberFormat="1" applyFont="1" applyFill="1" applyBorder="1" applyAlignment="1">
      <alignment horizontal="center" vertical="center"/>
    </xf>
    <xf numFmtId="2" fontId="3" fillId="4" borderId="21" xfId="4" applyNumberFormat="1" applyFont="1" applyFill="1" applyBorder="1" applyAlignment="1">
      <alignment horizontal="center" vertical="center"/>
    </xf>
    <xf numFmtId="2" fontId="3" fillId="0" borderId="11" xfId="5" applyNumberFormat="1" applyBorder="1" applyAlignment="1">
      <alignment horizontal="center" vertical="center"/>
    </xf>
    <xf numFmtId="2" fontId="3" fillId="0" borderId="11" xfId="4" applyNumberFormat="1" applyFont="1" applyFill="1" applyBorder="1" applyAlignment="1">
      <alignment horizontal="center" vertical="center"/>
    </xf>
    <xf numFmtId="2" fontId="6" fillId="0" borderId="11" xfId="5" applyNumberFormat="1" applyFont="1" applyBorder="1" applyAlignment="1">
      <alignment horizontal="center" vertical="center"/>
    </xf>
    <xf numFmtId="2" fontId="3" fillId="0" borderId="21" xfId="4" applyNumberFormat="1" applyFont="1" applyFill="1" applyBorder="1" applyAlignment="1">
      <alignment horizontal="center" vertical="center"/>
    </xf>
    <xf numFmtId="2" fontId="6" fillId="4" borderId="11" xfId="4" applyNumberFormat="1" applyFont="1" applyFill="1" applyBorder="1" applyAlignment="1">
      <alignment horizontal="center" vertical="center"/>
    </xf>
    <xf numFmtId="2" fontId="3" fillId="0" borderId="42" xfId="5" applyNumberFormat="1" applyBorder="1" applyAlignment="1">
      <alignment horizontal="center" vertical="center"/>
    </xf>
    <xf numFmtId="2" fontId="3" fillId="0" borderId="42" xfId="4" applyNumberFormat="1" applyFont="1" applyFill="1" applyBorder="1" applyAlignment="1">
      <alignment horizontal="center" vertical="center"/>
    </xf>
    <xf numFmtId="2" fontId="6" fillId="0" borderId="89" xfId="4" applyNumberFormat="1" applyFont="1" applyFill="1" applyBorder="1" applyAlignment="1">
      <alignment horizontal="center" vertical="center"/>
    </xf>
    <xf numFmtId="0" fontId="3" fillId="4" borderId="37" xfId="5" applyFill="1" applyBorder="1" applyAlignment="1">
      <alignment horizontal="left" vertical="center" wrapText="1"/>
    </xf>
    <xf numFmtId="2" fontId="3" fillId="0" borderId="40" xfId="5" applyNumberFormat="1" applyBorder="1" applyAlignment="1">
      <alignment horizontal="center" vertical="center"/>
    </xf>
    <xf numFmtId="2" fontId="3" fillId="0" borderId="40" xfId="4" applyNumberFormat="1" applyFont="1" applyFill="1" applyBorder="1" applyAlignment="1">
      <alignment horizontal="center" vertical="center"/>
    </xf>
    <xf numFmtId="2" fontId="3" fillId="4" borderId="42" xfId="5" applyNumberFormat="1" applyFill="1" applyBorder="1" applyAlignment="1">
      <alignment horizontal="center" vertical="center"/>
    </xf>
    <xf numFmtId="2" fontId="3" fillId="4" borderId="42" xfId="4" applyNumberFormat="1" applyFont="1" applyFill="1" applyBorder="1" applyAlignment="1">
      <alignment horizontal="center" vertical="center"/>
    </xf>
    <xf numFmtId="2" fontId="3" fillId="0" borderId="210" xfId="5" applyNumberFormat="1" applyBorder="1" applyAlignment="1">
      <alignment horizontal="center" vertical="center"/>
    </xf>
    <xf numFmtId="2" fontId="3" fillId="4" borderId="212" xfId="4" applyNumberFormat="1" applyFont="1" applyFill="1" applyBorder="1" applyAlignment="1">
      <alignment horizontal="center" vertical="center"/>
    </xf>
    <xf numFmtId="2" fontId="3" fillId="0" borderId="212" xfId="4" applyNumberFormat="1" applyFont="1" applyFill="1" applyBorder="1" applyAlignment="1">
      <alignment horizontal="center" vertical="center"/>
    </xf>
    <xf numFmtId="2" fontId="6" fillId="4" borderId="211" xfId="4" applyNumberFormat="1" applyFont="1" applyFill="1" applyBorder="1" applyAlignment="1">
      <alignment horizontal="center" vertical="center"/>
    </xf>
    <xf numFmtId="0" fontId="3" fillId="4" borderId="12" xfId="3" applyFont="1" applyFill="1" applyBorder="1"/>
    <xf numFmtId="0" fontId="3" fillId="4" borderId="37" xfId="3" applyFont="1" applyFill="1" applyBorder="1"/>
    <xf numFmtId="3" fontId="6" fillId="0" borderId="2" xfId="5" applyNumberFormat="1" applyFont="1" applyFill="1" applyBorder="1" applyAlignment="1">
      <alignment horizontal="center" vertical="center"/>
    </xf>
    <xf numFmtId="166" fontId="3" fillId="0" borderId="9" xfId="5" applyNumberFormat="1" applyBorder="1" applyAlignment="1">
      <alignment horizontal="center" vertical="center"/>
    </xf>
    <xf numFmtId="166" fontId="3" fillId="0" borderId="9" xfId="5" applyNumberFormat="1" applyFill="1" applyBorder="1" applyAlignment="1">
      <alignment horizontal="center" vertical="center"/>
    </xf>
    <xf numFmtId="165" fontId="3" fillId="0" borderId="214" xfId="5" applyNumberFormat="1" applyBorder="1" applyAlignment="1">
      <alignment vertical="center"/>
    </xf>
    <xf numFmtId="166" fontId="3" fillId="4" borderId="20" xfId="5" applyNumberFormat="1" applyFill="1" applyBorder="1" applyAlignment="1">
      <alignment horizontal="center" vertical="center"/>
    </xf>
    <xf numFmtId="0" fontId="13" fillId="0" borderId="0" xfId="5" applyFont="1" applyBorder="1" applyAlignment="1">
      <alignment horizontal="center" vertical="center" wrapText="1"/>
    </xf>
    <xf numFmtId="166" fontId="6" fillId="4" borderId="22" xfId="5" applyNumberFormat="1" applyFont="1" applyFill="1" applyBorder="1" applyAlignment="1">
      <alignment horizontal="center" vertical="center" wrapText="1"/>
    </xf>
    <xf numFmtId="166" fontId="3" fillId="4" borderId="13" xfId="5" applyNumberFormat="1" applyFont="1" applyFill="1" applyBorder="1" applyAlignment="1">
      <alignment horizontal="center" vertical="center" wrapText="1"/>
    </xf>
    <xf numFmtId="4" fontId="3" fillId="0" borderId="46" xfId="0" applyNumberFormat="1" applyFont="1" applyBorder="1"/>
    <xf numFmtId="0" fontId="6" fillId="0" borderId="0" xfId="3" applyFont="1" applyFill="1" applyAlignment="1">
      <alignment vertical="center"/>
    </xf>
    <xf numFmtId="0" fontId="4" fillId="0" borderId="0" xfId="3" applyFill="1" applyAlignment="1">
      <alignment vertical="center"/>
    </xf>
    <xf numFmtId="0" fontId="0" fillId="0" borderId="0" xfId="0" applyFill="1" applyAlignment="1">
      <alignment vertical="center"/>
    </xf>
    <xf numFmtId="0" fontId="30" fillId="0" borderId="11" xfId="22" applyNumberFormat="1" applyFont="1" applyFill="1" applyBorder="1" applyAlignment="1">
      <alignment horizontal="left" vertical="center" wrapText="1"/>
    </xf>
    <xf numFmtId="0" fontId="3" fillId="4" borderId="2" xfId="3" applyFont="1" applyFill="1" applyBorder="1"/>
    <xf numFmtId="166" fontId="1" fillId="6" borderId="41" xfId="23" applyNumberFormat="1" applyFill="1" applyBorder="1" applyAlignment="1"/>
    <xf numFmtId="0" fontId="0" fillId="0" borderId="16" xfId="22" applyNumberFormat="1" applyFont="1" applyFill="1" applyBorder="1" applyAlignment="1">
      <alignment horizontal="left" vertical="center" wrapText="1"/>
    </xf>
    <xf numFmtId="0" fontId="1" fillId="0" borderId="11" xfId="22" applyNumberFormat="1" applyFont="1" applyFill="1" applyBorder="1" applyAlignment="1">
      <alignment horizontal="left" vertical="center" wrapText="1"/>
    </xf>
    <xf numFmtId="0" fontId="4" fillId="4" borderId="2" xfId="3" applyFill="1" applyBorder="1" applyAlignment="1"/>
    <xf numFmtId="166" fontId="1" fillId="6" borderId="12" xfId="23" applyNumberFormat="1" applyFill="1" applyBorder="1" applyAlignment="1"/>
    <xf numFmtId="0" fontId="59" fillId="0" borderId="11" xfId="22" applyNumberFormat="1" applyFont="1" applyFill="1" applyBorder="1" applyAlignment="1">
      <alignment horizontal="left" vertical="center" wrapText="1"/>
    </xf>
    <xf numFmtId="0" fontId="6" fillId="4" borderId="20" xfId="0" applyFont="1" applyFill="1" applyBorder="1"/>
    <xf numFmtId="0" fontId="6" fillId="4" borderId="20" xfId="0" applyFont="1" applyFill="1" applyBorder="1" applyAlignment="1"/>
    <xf numFmtId="0" fontId="3" fillId="4" borderId="20" xfId="0" applyFont="1" applyFill="1" applyBorder="1"/>
    <xf numFmtId="0" fontId="0" fillId="4" borderId="20" xfId="0" applyFill="1" applyBorder="1" applyAlignment="1"/>
    <xf numFmtId="0" fontId="0" fillId="4" borderId="20" xfId="0" applyFill="1" applyBorder="1"/>
    <xf numFmtId="0" fontId="3" fillId="4" borderId="20" xfId="0" applyFont="1" applyFill="1" applyBorder="1" applyAlignment="1">
      <alignment vertical="center"/>
    </xf>
    <xf numFmtId="0" fontId="3" fillId="4" borderId="20" xfId="0" applyFont="1" applyFill="1" applyBorder="1" applyAlignment="1">
      <alignment vertical="center" wrapText="1"/>
    </xf>
    <xf numFmtId="0" fontId="3" fillId="4" borderId="20" xfId="0" applyFont="1" applyFill="1" applyBorder="1" applyAlignment="1">
      <alignment wrapText="1"/>
    </xf>
    <xf numFmtId="0" fontId="3" fillId="4" borderId="22" xfId="0" applyFont="1" applyFill="1" applyBorder="1" applyAlignment="1">
      <alignment wrapText="1"/>
    </xf>
    <xf numFmtId="2" fontId="9" fillId="0" borderId="25" xfId="0" applyNumberFormat="1" applyFont="1" applyBorder="1" applyAlignment="1">
      <alignment vertical="top" wrapText="1"/>
    </xf>
    <xf numFmtId="0" fontId="6" fillId="0" borderId="20" xfId="5" applyFont="1" applyFill="1" applyBorder="1" applyAlignment="1">
      <alignment vertical="center"/>
    </xf>
    <xf numFmtId="0" fontId="30" fillId="0" borderId="20" xfId="5" applyFont="1" applyFill="1" applyBorder="1" applyAlignment="1">
      <alignment vertical="center"/>
    </xf>
    <xf numFmtId="0" fontId="58" fillId="0" borderId="0" xfId="2" applyFont="1" applyAlignment="1">
      <alignment vertical="center"/>
    </xf>
    <xf numFmtId="0" fontId="58" fillId="0" borderId="0" xfId="3" applyFont="1" applyFill="1" applyBorder="1" applyAlignment="1">
      <alignment horizontal="left" vertical="center" wrapText="1"/>
    </xf>
    <xf numFmtId="0" fontId="59" fillId="4" borderId="9" xfId="5" applyFont="1" applyFill="1" applyBorder="1" applyAlignment="1"/>
    <xf numFmtId="0" fontId="3" fillId="0" borderId="0" xfId="3" applyFont="1" applyAlignment="1">
      <alignment horizontal="left"/>
    </xf>
    <xf numFmtId="0" fontId="59" fillId="4" borderId="23" xfId="3" applyFont="1" applyFill="1" applyBorder="1" applyAlignment="1"/>
    <xf numFmtId="0" fontId="59" fillId="4" borderId="20" xfId="5" applyFont="1" applyFill="1" applyBorder="1" applyAlignment="1"/>
    <xf numFmtId="0" fontId="6" fillId="0" borderId="48" xfId="5" applyFont="1" applyFill="1" applyBorder="1" applyAlignment="1">
      <alignment horizontal="center" vertical="center"/>
    </xf>
    <xf numFmtId="166" fontId="4" fillId="3" borderId="4" xfId="3" applyNumberFormat="1" applyFill="1" applyBorder="1"/>
    <xf numFmtId="0" fontId="56" fillId="0" borderId="0" xfId="0" applyFont="1" applyFill="1" applyAlignment="1">
      <alignment horizontal="left" vertical="center"/>
    </xf>
    <xf numFmtId="0" fontId="3" fillId="0" borderId="0" xfId="3" applyFont="1" applyFill="1" applyBorder="1" applyAlignment="1">
      <alignment horizontal="center"/>
    </xf>
    <xf numFmtId="0" fontId="42" fillId="0" borderId="0" xfId="0" applyFont="1" applyFill="1" applyAlignment="1">
      <alignment horizontal="center" vertical="center"/>
    </xf>
    <xf numFmtId="0" fontId="4" fillId="4" borderId="20" xfId="3" applyFill="1" applyBorder="1"/>
    <xf numFmtId="0" fontId="6" fillId="4" borderId="20" xfId="3" applyFont="1" applyFill="1" applyBorder="1"/>
    <xf numFmtId="0" fontId="6" fillId="4" borderId="22" xfId="3" applyFont="1" applyFill="1" applyBorder="1"/>
    <xf numFmtId="0" fontId="29" fillId="0" borderId="11" xfId="22" applyNumberFormat="1" applyFont="1" applyFill="1" applyBorder="1" applyAlignment="1">
      <alignment horizontal="left" vertical="center" wrapText="1"/>
    </xf>
    <xf numFmtId="0" fontId="58" fillId="0" borderId="0" xfId="0" applyFont="1" applyBorder="1"/>
    <xf numFmtId="0" fontId="3" fillId="4" borderId="17" xfId="3" applyFont="1" applyFill="1" applyBorder="1" applyAlignment="1">
      <alignment horizontal="center" vertical="center" wrapText="1"/>
    </xf>
    <xf numFmtId="166" fontId="1" fillId="6" borderId="17" xfId="23" applyNumberFormat="1" applyFill="1" applyBorder="1" applyAlignment="1"/>
    <xf numFmtId="166" fontId="1" fillId="6" borderId="20" xfId="23" applyNumberFormat="1" applyFill="1" applyBorder="1" applyAlignment="1"/>
    <xf numFmtId="0" fontId="4" fillId="4" borderId="17" xfId="3" applyFill="1" applyBorder="1"/>
    <xf numFmtId="0" fontId="59" fillId="4" borderId="17" xfId="3" applyFont="1" applyFill="1" applyBorder="1"/>
    <xf numFmtId="0" fontId="3" fillId="0" borderId="0" xfId="0" applyFont="1" applyFill="1" applyAlignment="1">
      <alignment horizontal="left" vertical="center"/>
    </xf>
    <xf numFmtId="0" fontId="30" fillId="0" borderId="0" xfId="0" applyFont="1" applyFill="1" applyAlignment="1">
      <alignment horizontal="left" vertical="center"/>
    </xf>
    <xf numFmtId="3" fontId="3" fillId="0" borderId="4" xfId="2" applyNumberFormat="1" applyFont="1" applyFill="1" applyBorder="1" applyAlignment="1">
      <alignment horizontal="right" vertical="center"/>
    </xf>
    <xf numFmtId="3" fontId="3" fillId="0" borderId="5" xfId="2" applyNumberFormat="1" applyFont="1" applyFill="1" applyBorder="1" applyAlignment="1">
      <alignment horizontal="right" vertical="center"/>
    </xf>
    <xf numFmtId="0" fontId="48" fillId="4" borderId="10" xfId="0" applyFont="1" applyFill="1" applyBorder="1" applyAlignment="1">
      <alignment horizontal="center" vertical="center"/>
    </xf>
    <xf numFmtId="0" fontId="48" fillId="4" borderId="0" xfId="2" applyFont="1" applyFill="1" applyBorder="1" applyAlignment="1">
      <alignment horizontal="center" vertical="center"/>
    </xf>
    <xf numFmtId="0" fontId="48" fillId="0" borderId="202" xfId="0" applyFont="1" applyFill="1" applyBorder="1" applyAlignment="1">
      <alignment horizontal="center" vertical="center"/>
    </xf>
    <xf numFmtId="1" fontId="48" fillId="0" borderId="9" xfId="2" applyNumberFormat="1" applyFont="1" applyFill="1" applyBorder="1" applyAlignment="1">
      <alignment horizontal="center" vertical="center"/>
    </xf>
    <xf numFmtId="3" fontId="48" fillId="0" borderId="9" xfId="2" applyNumberFormat="1" applyFont="1" applyFill="1" applyBorder="1" applyAlignment="1">
      <alignment horizontal="right" vertical="center"/>
    </xf>
    <xf numFmtId="0" fontId="48" fillId="0" borderId="185" xfId="0" applyFont="1" applyFill="1" applyBorder="1" applyAlignment="1">
      <alignment horizontal="center" vertical="center"/>
    </xf>
    <xf numFmtId="1" fontId="48" fillId="0" borderId="4" xfId="2" applyNumberFormat="1" applyFont="1" applyFill="1" applyBorder="1" applyAlignment="1">
      <alignment horizontal="center" vertical="center"/>
    </xf>
    <xf numFmtId="3" fontId="48" fillId="0" borderId="4" xfId="2" applyNumberFormat="1" applyFont="1" applyFill="1" applyBorder="1" applyAlignment="1">
      <alignment horizontal="right" vertical="center"/>
    </xf>
    <xf numFmtId="0" fontId="48" fillId="0" borderId="186" xfId="0" applyFont="1" applyFill="1" applyBorder="1" applyAlignment="1">
      <alignment horizontal="center" vertical="center"/>
    </xf>
    <xf numFmtId="1" fontId="48" fillId="0" borderId="5" xfId="2" applyNumberFormat="1" applyFont="1" applyFill="1" applyBorder="1" applyAlignment="1">
      <alignment horizontal="center" vertical="center"/>
    </xf>
    <xf numFmtId="3" fontId="48" fillId="0" borderId="5" xfId="2" applyNumberFormat="1" applyFont="1" applyFill="1" applyBorder="1" applyAlignment="1">
      <alignment horizontal="right" vertical="center"/>
    </xf>
    <xf numFmtId="3" fontId="0" fillId="10" borderId="194" xfId="0" applyNumberFormat="1" applyFill="1" applyBorder="1"/>
    <xf numFmtId="3" fontId="0" fillId="10" borderId="195" xfId="0" applyNumberFormat="1" applyFill="1" applyBorder="1"/>
    <xf numFmtId="3" fontId="6" fillId="0" borderId="9" xfId="2" applyNumberFormat="1" applyFont="1" applyFill="1" applyBorder="1" applyAlignment="1">
      <alignment horizontal="right" vertical="center"/>
    </xf>
    <xf numFmtId="0" fontId="30" fillId="4" borderId="10" xfId="0" applyFont="1" applyFill="1" applyBorder="1" applyAlignment="1">
      <alignment horizontal="left" vertical="center"/>
    </xf>
    <xf numFmtId="0" fontId="6" fillId="4" borderId="17" xfId="0" applyFont="1" applyFill="1" applyBorder="1" applyAlignment="1">
      <alignment horizontal="left" vertical="center"/>
    </xf>
    <xf numFmtId="3" fontId="6" fillId="0" borderId="38" xfId="2" applyNumberFormat="1" applyFont="1" applyFill="1" applyBorder="1" applyAlignment="1">
      <alignment horizontal="right" vertical="center"/>
    </xf>
    <xf numFmtId="3" fontId="3" fillId="0" borderId="153" xfId="2" applyNumberFormat="1" applyFont="1" applyFill="1" applyBorder="1" applyAlignment="1">
      <alignment horizontal="right" vertical="center"/>
    </xf>
    <xf numFmtId="3" fontId="3" fillId="0" borderId="39" xfId="2" applyNumberFormat="1" applyFont="1" applyFill="1" applyBorder="1" applyAlignment="1">
      <alignment horizontal="right" vertical="center"/>
    </xf>
    <xf numFmtId="0" fontId="3" fillId="0" borderId="0" xfId="0" applyFont="1" applyFill="1" applyAlignment="1">
      <alignment horizontal="center" vertical="center"/>
    </xf>
    <xf numFmtId="0" fontId="59" fillId="4" borderId="17" xfId="3" applyFont="1" applyFill="1" applyBorder="1" applyAlignment="1">
      <alignment vertical="center" wrapText="1"/>
    </xf>
    <xf numFmtId="0" fontId="3" fillId="4" borderId="20" xfId="3" applyFont="1" applyFill="1" applyBorder="1" applyAlignment="1">
      <alignment vertical="center" wrapText="1"/>
    </xf>
    <xf numFmtId="0" fontId="48" fillId="4" borderId="6" xfId="2" applyFont="1" applyFill="1" applyBorder="1" applyAlignment="1">
      <alignment horizontal="center" vertical="center"/>
    </xf>
    <xf numFmtId="0" fontId="3" fillId="4" borderId="6" xfId="2" applyFont="1" applyFill="1" applyBorder="1" applyAlignment="1">
      <alignment horizontal="center" vertical="center" wrapText="1"/>
    </xf>
    <xf numFmtId="0" fontId="29" fillId="0" borderId="11" xfId="22" applyNumberFormat="1" applyFont="1" applyFill="1" applyBorder="1" applyAlignment="1">
      <alignment horizontal="left" vertical="center"/>
    </xf>
    <xf numFmtId="0" fontId="29" fillId="0" borderId="0" xfId="22" applyNumberFormat="1" applyFont="1" applyFill="1" applyBorder="1" applyAlignment="1">
      <alignment horizontal="left" vertical="center"/>
    </xf>
    <xf numFmtId="0" fontId="3" fillId="4" borderId="23" xfId="2" applyFont="1" applyFill="1" applyBorder="1" applyAlignment="1">
      <alignment horizontal="center" vertical="center"/>
    </xf>
    <xf numFmtId="3" fontId="3" fillId="0" borderId="15" xfId="2" applyNumberFormat="1" applyFont="1" applyFill="1" applyBorder="1" applyAlignment="1">
      <alignment horizontal="right" vertical="center"/>
    </xf>
    <xf numFmtId="0" fontId="6" fillId="4" borderId="22" xfId="0" applyFont="1" applyFill="1" applyBorder="1" applyAlignment="1">
      <alignment horizontal="left" vertical="center"/>
    </xf>
    <xf numFmtId="3" fontId="6" fillId="0" borderId="5" xfId="2" applyNumberFormat="1" applyFont="1" applyFill="1" applyBorder="1" applyAlignment="1">
      <alignment horizontal="right" vertical="center"/>
    </xf>
    <xf numFmtId="0" fontId="59" fillId="4" borderId="12" xfId="0" applyFont="1" applyFill="1" applyBorder="1" applyAlignment="1">
      <alignment horizontal="center" vertical="center"/>
    </xf>
    <xf numFmtId="166" fontId="3" fillId="0" borderId="2" xfId="5" applyNumberFormat="1" applyFont="1" applyBorder="1" applyAlignment="1">
      <alignment horizontal="right"/>
    </xf>
    <xf numFmtId="166" fontId="3" fillId="0" borderId="2" xfId="5" applyNumberFormat="1" applyFont="1" applyFill="1" applyBorder="1" applyAlignment="1">
      <alignment horizontal="right"/>
    </xf>
    <xf numFmtId="177" fontId="3" fillId="0" borderId="213" xfId="3" applyNumberFormat="1" applyFont="1" applyBorder="1"/>
    <xf numFmtId="177" fontId="3" fillId="4" borderId="21" xfId="3" applyNumberFormat="1" applyFont="1" applyFill="1" applyBorder="1"/>
    <xf numFmtId="177" fontId="3" fillId="0" borderId="89" xfId="3" applyNumberFormat="1" applyFont="1" applyBorder="1"/>
    <xf numFmtId="3" fontId="1" fillId="6" borderId="17" xfId="23" applyNumberFormat="1" applyFill="1" applyBorder="1" applyAlignment="1">
      <alignment vertical="center"/>
    </xf>
    <xf numFmtId="166" fontId="6" fillId="0" borderId="9" xfId="3" applyNumberFormat="1" applyFont="1" applyBorder="1"/>
    <xf numFmtId="0" fontId="58" fillId="0" borderId="0" xfId="0" applyFont="1" applyAlignment="1">
      <alignment vertical="center"/>
    </xf>
    <xf numFmtId="169" fontId="0" fillId="0" borderId="0" xfId="18" applyNumberFormat="1" applyFont="1" applyFill="1" applyBorder="1"/>
    <xf numFmtId="0" fontId="0" fillId="0" borderId="0" xfId="0" applyFont="1" applyFill="1" applyBorder="1"/>
    <xf numFmtId="0" fontId="0" fillId="0" borderId="4" xfId="0" applyBorder="1" applyAlignment="1">
      <alignment horizontal="right"/>
    </xf>
    <xf numFmtId="0" fontId="3" fillId="4" borderId="13" xfId="5" applyFont="1" applyFill="1" applyBorder="1"/>
    <xf numFmtId="0" fontId="2" fillId="4" borderId="10" xfId="1" applyFont="1" applyFill="1" applyBorder="1" applyAlignment="1">
      <alignment horizontal="right"/>
    </xf>
    <xf numFmtId="0" fontId="3" fillId="4" borderId="12" xfId="5" applyFont="1" applyFill="1" applyBorder="1"/>
    <xf numFmtId="0" fontId="3" fillId="4" borderId="41" xfId="5" applyFont="1" applyFill="1" applyBorder="1" applyAlignment="1">
      <alignment horizontal="left" wrapText="1"/>
    </xf>
    <xf numFmtId="0" fontId="0" fillId="0" borderId="0" xfId="0" applyFont="1" applyFill="1" applyBorder="1" applyAlignment="1">
      <alignment wrapText="1"/>
    </xf>
    <xf numFmtId="0" fontId="30" fillId="0" borderId="0" xfId="0" applyFont="1" applyFill="1" applyBorder="1" applyAlignment="1">
      <alignment wrapText="1"/>
    </xf>
    <xf numFmtId="165" fontId="0" fillId="0" borderId="4" xfId="18" applyNumberFormat="1" applyFont="1" applyFill="1" applyBorder="1"/>
    <xf numFmtId="165" fontId="0" fillId="0" borderId="5" xfId="18" applyNumberFormat="1" applyFont="1" applyFill="1" applyBorder="1"/>
    <xf numFmtId="0" fontId="0" fillId="4" borderId="2" xfId="0" applyFont="1" applyFill="1" applyBorder="1"/>
    <xf numFmtId="3" fontId="0" fillId="0" borderId="9" xfId="18" applyNumberFormat="1" applyFont="1" applyFill="1" applyBorder="1"/>
    <xf numFmtId="165" fontId="3" fillId="3" borderId="215" xfId="4" applyNumberFormat="1" applyFill="1" applyBorder="1" applyAlignment="1">
      <alignment vertical="center"/>
    </xf>
    <xf numFmtId="165" fontId="3" fillId="10" borderId="215" xfId="4" applyNumberFormat="1" applyFill="1" applyBorder="1" applyAlignment="1">
      <alignment vertical="center"/>
    </xf>
    <xf numFmtId="0" fontId="3" fillId="4" borderId="11" xfId="5" applyFont="1" applyFill="1" applyBorder="1" applyAlignment="1">
      <alignment horizontal="center"/>
    </xf>
    <xf numFmtId="3" fontId="3" fillId="0" borderId="9" xfId="5" applyNumberFormat="1" applyFont="1" applyFill="1" applyBorder="1" applyAlignment="1">
      <alignment horizontal="left"/>
    </xf>
    <xf numFmtId="0" fontId="3" fillId="4" borderId="10" xfId="5" applyFill="1" applyBorder="1"/>
    <xf numFmtId="0" fontId="6" fillId="4" borderId="12" xfId="5" applyFont="1" applyFill="1" applyBorder="1"/>
    <xf numFmtId="0" fontId="3" fillId="4" borderId="36" xfId="5" applyFont="1" applyFill="1" applyBorder="1" applyAlignment="1">
      <alignment horizontal="center" vertical="center"/>
    </xf>
    <xf numFmtId="0" fontId="3" fillId="4" borderId="0" xfId="5" applyFont="1" applyFill="1" applyBorder="1" applyAlignment="1">
      <alignment horizontal="center" vertical="center"/>
    </xf>
    <xf numFmtId="0" fontId="3" fillId="4" borderId="217" xfId="5" applyFont="1" applyFill="1" applyBorder="1" applyAlignment="1">
      <alignment horizontal="center" vertical="center"/>
    </xf>
    <xf numFmtId="0" fontId="3" fillId="4" borderId="2" xfId="5" applyFont="1" applyFill="1" applyBorder="1" applyAlignment="1">
      <alignment horizontal="center" vertical="center" wrapText="1"/>
    </xf>
    <xf numFmtId="166" fontId="6" fillId="0" borderId="5" xfId="5" applyNumberFormat="1" applyFont="1" applyFill="1" applyBorder="1" applyAlignment="1">
      <alignment vertical="center"/>
    </xf>
    <xf numFmtId="0" fontId="6" fillId="4" borderId="2" xfId="5" applyFont="1" applyFill="1" applyBorder="1" applyAlignment="1">
      <alignment horizontal="center" vertical="center"/>
    </xf>
    <xf numFmtId="0" fontId="1" fillId="0" borderId="4" xfId="8" applyFont="1" applyFill="1" applyBorder="1" applyAlignment="1">
      <alignment vertical="top"/>
    </xf>
    <xf numFmtId="0" fontId="21" fillId="0" borderId="0" xfId="0" applyFont="1" applyFill="1" applyAlignment="1">
      <alignment horizontal="center" vertical="center"/>
    </xf>
    <xf numFmtId="0" fontId="11" fillId="0" borderId="0" xfId="0" applyFont="1" applyFill="1" applyAlignment="1">
      <alignment wrapText="1"/>
    </xf>
    <xf numFmtId="0" fontId="11" fillId="0" borderId="0" xfId="0" applyFont="1" applyFill="1" applyAlignment="1">
      <alignment horizontal="center"/>
    </xf>
    <xf numFmtId="0" fontId="11" fillId="0" borderId="0" xfId="0" applyFont="1" applyFill="1"/>
    <xf numFmtId="0" fontId="42" fillId="0" borderId="0" xfId="0" applyFont="1" applyFill="1"/>
    <xf numFmtId="0" fontId="42" fillId="0" borderId="0" xfId="0" applyFont="1" applyFill="1" applyAlignment="1">
      <alignment wrapText="1"/>
    </xf>
    <xf numFmtId="1" fontId="42" fillId="0" borderId="0" xfId="0" applyNumberFormat="1" applyFont="1" applyFill="1" applyAlignment="1">
      <alignment horizontal="center"/>
    </xf>
    <xf numFmtId="1" fontId="42" fillId="0" borderId="0" xfId="0" applyNumberFormat="1" applyFont="1" applyFill="1"/>
    <xf numFmtId="0" fontId="1" fillId="0" borderId="0" xfId="8" applyFont="1" applyFill="1" applyAlignment="1">
      <alignment vertical="top"/>
    </xf>
    <xf numFmtId="0" fontId="30" fillId="0" borderId="0" xfId="5" applyFont="1" applyAlignment="1">
      <alignment horizontal="left" vertical="center"/>
    </xf>
    <xf numFmtId="0" fontId="29" fillId="0" borderId="0" xfId="0" applyFont="1" applyFill="1"/>
    <xf numFmtId="0" fontId="48" fillId="0" borderId="0" xfId="0" applyFont="1" applyFill="1"/>
    <xf numFmtId="0" fontId="3" fillId="4" borderId="48" xfId="21" applyNumberFormat="1" applyFill="1" applyBorder="1">
      <protection locked="0"/>
    </xf>
    <xf numFmtId="0" fontId="3" fillId="0" borderId="0" xfId="21" applyNumberFormat="1" applyFill="1" applyBorder="1">
      <protection locked="0"/>
    </xf>
    <xf numFmtId="0" fontId="3" fillId="0" borderId="141" xfId="0" applyFont="1" applyBorder="1" applyAlignment="1">
      <alignment horizontal="center"/>
    </xf>
    <xf numFmtId="0" fontId="3" fillId="0" borderId="120" xfId="0" applyFont="1" applyBorder="1" applyAlignment="1">
      <alignment horizontal="center"/>
    </xf>
    <xf numFmtId="165" fontId="3" fillId="3" borderId="5" xfId="18" applyNumberFormat="1" applyFont="1" applyFill="1" applyBorder="1" applyAlignment="1">
      <alignment horizontal="right"/>
    </xf>
    <xf numFmtId="0" fontId="3" fillId="4" borderId="68" xfId="0" applyFont="1" applyFill="1" applyBorder="1" applyAlignment="1">
      <alignment horizontal="center" vertical="center" wrapText="1"/>
    </xf>
    <xf numFmtId="0" fontId="3" fillId="4" borderId="10" xfId="0" applyFont="1" applyFill="1" applyBorder="1" applyAlignment="1">
      <alignment horizontal="center" vertical="center" wrapText="1"/>
    </xf>
    <xf numFmtId="173" fontId="3" fillId="18" borderId="17" xfId="0" applyNumberFormat="1" applyFont="1" applyFill="1" applyBorder="1" applyProtection="1">
      <protection locked="0"/>
    </xf>
    <xf numFmtId="0" fontId="3" fillId="4" borderId="10"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64" xfId="0" applyFont="1" applyFill="1" applyBorder="1" applyAlignment="1">
      <alignment horizontal="center" vertical="center"/>
    </xf>
    <xf numFmtId="174" fontId="3" fillId="0" borderId="101" xfId="0" applyNumberFormat="1" applyFont="1" applyBorder="1" applyAlignment="1">
      <alignment horizontal="right"/>
    </xf>
    <xf numFmtId="174" fontId="3" fillId="0" borderId="102" xfId="0" applyNumberFormat="1" applyFont="1" applyBorder="1" applyAlignment="1">
      <alignment horizontal="right"/>
    </xf>
    <xf numFmtId="174" fontId="3" fillId="0" borderId="103" xfId="0" applyNumberFormat="1" applyFont="1" applyBorder="1" applyAlignment="1">
      <alignment horizontal="right"/>
    </xf>
    <xf numFmtId="174" fontId="3" fillId="0" borderId="115" xfId="0" applyNumberFormat="1" applyFont="1" applyBorder="1" applyAlignment="1">
      <alignment horizontal="right"/>
    </xf>
    <xf numFmtId="0" fontId="3" fillId="21" borderId="218" xfId="8" applyFont="1" applyFill="1" applyBorder="1" applyAlignment="1">
      <alignment vertical="top"/>
    </xf>
    <xf numFmtId="0" fontId="1" fillId="0" borderId="11" xfId="8" applyFont="1" applyFill="1" applyBorder="1" applyAlignment="1">
      <alignment vertical="top"/>
    </xf>
    <xf numFmtId="0" fontId="48" fillId="0" borderId="4" xfId="8" applyFont="1" applyFill="1" applyBorder="1" applyAlignment="1">
      <alignment vertical="top"/>
    </xf>
    <xf numFmtId="0" fontId="60" fillId="4" borderId="11" xfId="8" applyFont="1" applyFill="1" applyBorder="1" applyAlignment="1">
      <alignment vertical="top"/>
    </xf>
    <xf numFmtId="0" fontId="67" fillId="0" borderId="0" xfId="8" applyFont="1" applyAlignment="1">
      <alignment horizontal="left" vertical="center"/>
    </xf>
    <xf numFmtId="0" fontId="60" fillId="0" borderId="0" xfId="8" applyFont="1" applyAlignment="1">
      <alignment vertical="top"/>
    </xf>
    <xf numFmtId="0" fontId="68" fillId="0" borderId="0" xfId="8" applyFont="1" applyAlignment="1">
      <alignment vertical="top"/>
    </xf>
    <xf numFmtId="0" fontId="69" fillId="0" borderId="0" xfId="8" applyFont="1" applyAlignment="1">
      <alignment vertical="top"/>
    </xf>
    <xf numFmtId="1" fontId="2" fillId="4" borderId="0" xfId="0" applyNumberFormat="1" applyFont="1" applyFill="1" applyBorder="1" applyAlignment="1">
      <alignment vertical="center"/>
    </xf>
    <xf numFmtId="1" fontId="2" fillId="4" borderId="10" xfId="0" applyNumberFormat="1" applyFont="1" applyFill="1" applyBorder="1" applyAlignment="1">
      <alignment vertical="center"/>
    </xf>
    <xf numFmtId="1" fontId="2" fillId="4" borderId="10" xfId="0" applyNumberFormat="1" applyFont="1" applyFill="1" applyBorder="1" applyAlignment="1">
      <alignment horizontal="left" vertical="center"/>
    </xf>
    <xf numFmtId="1" fontId="2" fillId="4" borderId="6" xfId="0" applyNumberFormat="1" applyFont="1" applyFill="1" applyBorder="1" applyAlignment="1">
      <alignment vertical="center"/>
    </xf>
    <xf numFmtId="0" fontId="2" fillId="4" borderId="11" xfId="8" applyFont="1" applyFill="1" applyBorder="1" applyAlignment="1">
      <alignment horizontal="left" vertical="top"/>
    </xf>
    <xf numFmtId="0" fontId="1" fillId="0" borderId="4" xfId="8" applyFont="1" applyBorder="1" applyAlignment="1">
      <alignment horizontal="left" vertical="top"/>
    </xf>
    <xf numFmtId="0" fontId="3" fillId="0" borderId="0" xfId="5" applyFont="1" applyFill="1"/>
    <xf numFmtId="0" fontId="3" fillId="0" borderId="0" xfId="5" applyFont="1" applyAlignment="1">
      <alignment horizontal="center" vertical="center" wrapText="1"/>
    </xf>
    <xf numFmtId="0" fontId="11" fillId="3" borderId="0" xfId="0" applyFont="1" applyFill="1"/>
    <xf numFmtId="169" fontId="22" fillId="3" borderId="0" xfId="0" applyNumberFormat="1" applyFont="1" applyFill="1"/>
    <xf numFmtId="0" fontId="11" fillId="3" borderId="0" xfId="5" applyFont="1" applyFill="1" applyBorder="1"/>
    <xf numFmtId="3" fontId="0" fillId="0" borderId="219" xfId="0" applyNumberFormat="1" applyBorder="1"/>
    <xf numFmtId="3" fontId="0" fillId="0" borderId="220" xfId="0" applyNumberFormat="1" applyBorder="1"/>
    <xf numFmtId="3" fontId="0" fillId="0" borderId="221" xfId="0" applyNumberFormat="1" applyBorder="1"/>
    <xf numFmtId="3" fontId="0" fillId="0" borderId="222" xfId="0" applyNumberFormat="1" applyFill="1" applyBorder="1"/>
    <xf numFmtId="3" fontId="0" fillId="0" borderId="223" xfId="0" applyNumberFormat="1" applyFill="1" applyBorder="1"/>
    <xf numFmtId="3" fontId="0" fillId="0" borderId="220" xfId="0" applyNumberFormat="1" applyFill="1" applyBorder="1"/>
    <xf numFmtId="3" fontId="0" fillId="0" borderId="222" xfId="0" applyNumberFormat="1" applyFont="1" applyBorder="1"/>
    <xf numFmtId="3" fontId="0" fillId="10" borderId="223" xfId="0" applyNumberFormat="1" applyFont="1" applyFill="1" applyBorder="1"/>
    <xf numFmtId="3" fontId="0" fillId="10" borderId="220" xfId="0" applyNumberFormat="1" applyFill="1" applyBorder="1"/>
    <xf numFmtId="3" fontId="0" fillId="10" borderId="221" xfId="0" applyNumberFormat="1" applyFill="1" applyBorder="1"/>
    <xf numFmtId="3" fontId="0" fillId="0" borderId="72" xfId="0" applyNumberFormat="1" applyFill="1" applyBorder="1"/>
    <xf numFmtId="3" fontId="0" fillId="0" borderId="135" xfId="0" applyNumberFormat="1" applyFill="1" applyBorder="1"/>
    <xf numFmtId="165" fontId="48" fillId="0" borderId="155" xfId="0" applyNumberFormat="1" applyFont="1" applyBorder="1"/>
    <xf numFmtId="165" fontId="48" fillId="0" borderId="158" xfId="0" applyNumberFormat="1" applyFont="1" applyBorder="1"/>
    <xf numFmtId="165" fontId="48" fillId="0" borderId="161" xfId="0" applyNumberFormat="1" applyFont="1" applyBorder="1"/>
    <xf numFmtId="165" fontId="48" fillId="0" borderId="224" xfId="0" applyNumberFormat="1" applyFont="1" applyFill="1" applyBorder="1"/>
    <xf numFmtId="165" fontId="48" fillId="0" borderId="225" xfId="0" applyNumberFormat="1" applyFont="1" applyFill="1" applyBorder="1"/>
    <xf numFmtId="165" fontId="48" fillId="0" borderId="158" xfId="0" applyNumberFormat="1" applyFont="1" applyFill="1" applyBorder="1"/>
    <xf numFmtId="165" fontId="48" fillId="0" borderId="224" xfId="0" applyNumberFormat="1" applyFont="1" applyBorder="1"/>
    <xf numFmtId="165" fontId="48" fillId="0" borderId="225" xfId="0" applyNumberFormat="1" applyFont="1" applyBorder="1"/>
    <xf numFmtId="3" fontId="0" fillId="0" borderId="226" xfId="0" applyNumberFormat="1" applyFill="1" applyBorder="1"/>
    <xf numFmtId="3" fontId="0" fillId="0" borderId="227" xfId="0" applyNumberFormat="1" applyFill="1" applyBorder="1"/>
    <xf numFmtId="3" fontId="0" fillId="0" borderId="228" xfId="0" applyNumberFormat="1" applyFill="1" applyBorder="1"/>
    <xf numFmtId="0" fontId="0" fillId="4" borderId="0" xfId="0" applyFont="1" applyFill="1" applyBorder="1"/>
    <xf numFmtId="0" fontId="3" fillId="4" borderId="13" xfId="0" applyFont="1" applyFill="1" applyBorder="1" applyAlignment="1">
      <alignment horizontal="left" vertical="center"/>
    </xf>
    <xf numFmtId="0" fontId="3" fillId="4" borderId="43" xfId="0" applyFont="1" applyFill="1" applyBorder="1" applyAlignment="1">
      <alignment horizontal="center" vertical="center"/>
    </xf>
    <xf numFmtId="0" fontId="1" fillId="0" borderId="0" xfId="8" applyFont="1" applyFill="1" applyBorder="1" applyAlignment="1">
      <alignment vertical="top"/>
    </xf>
    <xf numFmtId="0" fontId="48" fillId="0" borderId="0" xfId="8" applyFont="1" applyFill="1" applyBorder="1" applyAlignment="1">
      <alignment vertical="top"/>
    </xf>
    <xf numFmtId="0" fontId="59" fillId="0" borderId="0" xfId="2" applyFont="1" applyFill="1" applyBorder="1" applyAlignment="1">
      <alignment horizontal="left" vertical="center"/>
    </xf>
    <xf numFmtId="0" fontId="59" fillId="0" borderId="0" xfId="0" applyFont="1"/>
    <xf numFmtId="0" fontId="3" fillId="0" borderId="4" xfId="8" applyFont="1" applyBorder="1" applyAlignment="1">
      <alignment vertical="top"/>
    </xf>
    <xf numFmtId="0" fontId="11" fillId="0" borderId="0" xfId="5" applyFont="1" applyFill="1"/>
    <xf numFmtId="0" fontId="3" fillId="0" borderId="0" xfId="5" applyFont="1" applyFill="1" applyBorder="1" applyAlignment="1">
      <alignment horizontal="center" vertical="center"/>
    </xf>
    <xf numFmtId="0" fontId="19" fillId="0" borderId="9" xfId="15" applyFill="1" applyBorder="1" applyAlignment="1">
      <alignment horizontal="center" vertical="center"/>
    </xf>
    <xf numFmtId="0" fontId="19" fillId="0" borderId="5" xfId="15" applyFill="1" applyBorder="1" applyAlignment="1">
      <alignment horizontal="center" vertical="center"/>
    </xf>
    <xf numFmtId="0" fontId="19" fillId="0" borderId="208" xfId="15" applyFill="1" applyBorder="1" applyAlignment="1">
      <alignment horizontal="center" vertical="center"/>
    </xf>
    <xf numFmtId="3" fontId="3" fillId="0" borderId="185" xfId="5" applyNumberFormat="1" applyFill="1" applyBorder="1" applyAlignment="1">
      <alignment horizontal="center" vertical="center"/>
    </xf>
    <xf numFmtId="0" fontId="48" fillId="0" borderId="0" xfId="0" quotePrefix="1" applyFont="1"/>
    <xf numFmtId="0" fontId="19" fillId="0" borderId="4" xfId="15" applyFill="1" applyBorder="1" applyAlignment="1">
      <alignment horizontal="center" vertical="center"/>
    </xf>
    <xf numFmtId="0" fontId="19" fillId="0" borderId="208" xfId="15" applyFill="1" applyBorder="1" applyAlignment="1">
      <alignment horizontal="center" vertical="center" wrapText="1"/>
    </xf>
    <xf numFmtId="3" fontId="70" fillId="0" borderId="9" xfId="15" applyNumberFormat="1" applyFont="1" applyFill="1" applyBorder="1"/>
    <xf numFmtId="0" fontId="19" fillId="0" borderId="207" xfId="15" applyFill="1" applyBorder="1" applyAlignment="1">
      <alignment horizontal="center"/>
    </xf>
    <xf numFmtId="3" fontId="70" fillId="0" borderId="5" xfId="15" applyNumberFormat="1" applyFont="1" applyFill="1" applyBorder="1"/>
    <xf numFmtId="1" fontId="3" fillId="3" borderId="7" xfId="20" applyNumberFormat="1" applyFont="1" applyFill="1" applyBorder="1" applyAlignment="1">
      <alignment horizontal="right"/>
    </xf>
    <xf numFmtId="1" fontId="3" fillId="3" borderId="7" xfId="20" applyNumberFormat="1" applyFont="1" applyFill="1" applyBorder="1" applyAlignment="1">
      <alignment horizontal="right" vertical="top"/>
    </xf>
    <xf numFmtId="176" fontId="3" fillId="3" borderId="7" xfId="20" applyNumberFormat="1" applyFont="1" applyFill="1" applyBorder="1" applyAlignment="1">
      <alignment horizontal="left"/>
    </xf>
    <xf numFmtId="0" fontId="3" fillId="3" borderId="7" xfId="20" applyFont="1" applyFill="1" applyBorder="1"/>
    <xf numFmtId="0" fontId="3" fillId="3" borderId="7" xfId="20" applyFont="1" applyFill="1" applyBorder="1" applyAlignment="1">
      <alignment vertical="top"/>
    </xf>
    <xf numFmtId="0" fontId="3" fillId="3" borderId="7" xfId="20" applyFont="1" applyFill="1" applyBorder="1" applyAlignment="1">
      <alignment horizontal="left"/>
    </xf>
    <xf numFmtId="0" fontId="3" fillId="3" borderId="7" xfId="20" applyFont="1" applyFill="1" applyBorder="1" applyAlignment="1">
      <alignment horizontal="left" wrapText="1"/>
    </xf>
    <xf numFmtId="1" fontId="3" fillId="0" borderId="7" xfId="20" applyNumberFormat="1" applyFont="1" applyFill="1" applyBorder="1" applyAlignment="1">
      <alignment horizontal="right"/>
    </xf>
    <xf numFmtId="1" fontId="3" fillId="0" borderId="7" xfId="20" applyNumberFormat="1" applyFont="1" applyFill="1" applyBorder="1" applyAlignment="1">
      <alignment horizontal="right" vertical="top"/>
    </xf>
    <xf numFmtId="176" fontId="3" fillId="0" borderId="7" xfId="20" applyNumberFormat="1" applyFont="1" applyFill="1" applyBorder="1" applyAlignment="1">
      <alignment horizontal="left"/>
    </xf>
    <xf numFmtId="0" fontId="3" fillId="0" borderId="7" xfId="20" applyFont="1" applyFill="1" applyBorder="1"/>
    <xf numFmtId="0" fontId="3" fillId="0" borderId="7" xfId="20" applyFont="1" applyFill="1" applyBorder="1" applyAlignment="1">
      <alignment vertical="top"/>
    </xf>
    <xf numFmtId="0" fontId="3" fillId="0" borderId="7" xfId="20" applyFont="1" applyFill="1" applyBorder="1" applyAlignment="1">
      <alignment horizontal="left"/>
    </xf>
    <xf numFmtId="0" fontId="3" fillId="0" borderId="7" xfId="20" applyFont="1" applyFill="1" applyBorder="1" applyAlignment="1">
      <alignment horizontal="left" wrapText="1"/>
    </xf>
    <xf numFmtId="0" fontId="3" fillId="0" borderId="7" xfId="20" applyFont="1" applyFill="1" applyBorder="1" applyAlignment="1">
      <alignment vertical="top" wrapText="1"/>
    </xf>
    <xf numFmtId="0" fontId="71" fillId="0" borderId="0" xfId="0" applyFont="1" applyAlignment="1">
      <alignment horizontal="left" vertical="center"/>
    </xf>
    <xf numFmtId="169" fontId="3" fillId="6" borderId="12" xfId="23" applyNumberFormat="1" applyFont="1" applyFill="1" applyBorder="1">
      <alignment wrapText="1"/>
    </xf>
    <xf numFmtId="169" fontId="3" fillId="6" borderId="13" xfId="23" applyNumberFormat="1" applyFont="1" applyFill="1" applyBorder="1">
      <alignment wrapText="1"/>
    </xf>
    <xf numFmtId="169" fontId="3" fillId="10" borderId="51" xfId="0" applyNumberFormat="1" applyFont="1" applyFill="1" applyBorder="1" applyAlignment="1">
      <alignment horizontal="center"/>
    </xf>
    <xf numFmtId="169" fontId="3" fillId="10" borderId="52" xfId="0" applyNumberFormat="1" applyFont="1" applyFill="1" applyBorder="1" applyAlignment="1">
      <alignment horizontal="center"/>
    </xf>
    <xf numFmtId="0" fontId="1" fillId="0" borderId="4" xfId="8" applyFont="1" applyBorder="1" applyAlignment="1">
      <alignment vertical="top" wrapText="1"/>
    </xf>
    <xf numFmtId="0" fontId="0" fillId="0" borderId="4" xfId="0" applyBorder="1" applyAlignment="1">
      <alignment wrapText="1"/>
    </xf>
    <xf numFmtId="0" fontId="58" fillId="0" borderId="0" xfId="3" applyFont="1" applyAlignment="1">
      <alignment vertical="center"/>
    </xf>
    <xf numFmtId="0" fontId="6" fillId="0" borderId="0" xfId="5" applyFont="1"/>
    <xf numFmtId="0" fontId="59" fillId="4" borderId="37" xfId="3" applyFont="1" applyFill="1" applyBorder="1" applyAlignment="1">
      <alignment horizontal="left" wrapText="1"/>
    </xf>
    <xf numFmtId="0" fontId="1" fillId="3" borderId="4" xfId="8" applyFont="1" applyFill="1" applyBorder="1" applyAlignment="1">
      <alignment vertical="top"/>
    </xf>
    <xf numFmtId="165" fontId="0" fillId="0" borderId="52" xfId="17" applyNumberFormat="1" applyFont="1" applyBorder="1" applyAlignment="1">
      <alignment horizontal="center"/>
    </xf>
    <xf numFmtId="0" fontId="1" fillId="3" borderId="4" xfId="8" applyFont="1" applyFill="1" applyBorder="1" applyAlignment="1">
      <alignment vertical="top" wrapText="1"/>
    </xf>
    <xf numFmtId="0" fontId="1" fillId="3" borderId="0" xfId="8" applyFont="1" applyFill="1" applyAlignment="1">
      <alignment vertical="top"/>
    </xf>
    <xf numFmtId="0" fontId="1" fillId="0" borderId="0" xfId="8" applyFont="1" applyFill="1" applyAlignment="1">
      <alignment horizontal="right" vertical="top"/>
    </xf>
    <xf numFmtId="0" fontId="3" fillId="0" borderId="0" xfId="8" applyFont="1" applyFill="1" applyAlignment="1">
      <alignment horizontal="right" vertical="top"/>
    </xf>
    <xf numFmtId="0" fontId="1" fillId="0" borderId="4" xfId="8" applyFont="1" applyFill="1" applyBorder="1" applyAlignment="1">
      <alignment vertical="top" wrapText="1"/>
    </xf>
    <xf numFmtId="0" fontId="1" fillId="0" borderId="0" xfId="8" applyFont="1" applyFill="1" applyAlignment="1">
      <alignment horizontal="left" vertical="top"/>
    </xf>
    <xf numFmtId="0" fontId="14" fillId="0" borderId="0" xfId="8" applyFill="1" applyAlignment="1">
      <alignment vertical="top"/>
    </xf>
    <xf numFmtId="0" fontId="24" fillId="0" borderId="0" xfId="8" applyFont="1" applyFill="1" applyAlignment="1">
      <alignment vertical="top"/>
    </xf>
    <xf numFmtId="0" fontId="3" fillId="0" borderId="0" xfId="8" applyFont="1" applyFill="1" applyAlignment="1">
      <alignment vertical="top"/>
    </xf>
    <xf numFmtId="0" fontId="1" fillId="0" borderId="0" xfId="8" applyFont="1" applyFill="1" applyBorder="1" applyAlignment="1">
      <alignment vertical="top" wrapText="1"/>
    </xf>
    <xf numFmtId="0" fontId="3" fillId="0" borderId="0" xfId="8" applyFont="1" applyFill="1" applyBorder="1" applyAlignment="1">
      <alignment vertical="top"/>
    </xf>
    <xf numFmtId="0" fontId="0" fillId="0" borderId="123" xfId="0" applyFill="1" applyBorder="1" applyAlignment="1">
      <alignment horizontal="center"/>
    </xf>
    <xf numFmtId="0" fontId="0" fillId="10" borderId="11" xfId="0" applyFill="1" applyBorder="1" applyAlignment="1">
      <alignment vertical="center"/>
    </xf>
    <xf numFmtId="176" fontId="3" fillId="3" borderId="7" xfId="20" applyNumberFormat="1" applyFill="1" applyBorder="1" applyAlignment="1">
      <alignment horizontal="left"/>
    </xf>
    <xf numFmtId="0" fontId="3" fillId="3" borderId="7" xfId="20" applyFill="1" applyBorder="1"/>
    <xf numFmtId="0" fontId="3" fillId="3" borderId="7" xfId="20" applyFill="1" applyBorder="1" applyAlignment="1">
      <alignment vertical="top"/>
    </xf>
    <xf numFmtId="0" fontId="3" fillId="3" borderId="7" xfId="20" applyFill="1" applyBorder="1" applyAlignment="1">
      <alignment horizontal="left"/>
    </xf>
    <xf numFmtId="0" fontId="56" fillId="0" borderId="0" xfId="0" applyFont="1"/>
    <xf numFmtId="174" fontId="48" fillId="0" borderId="73" xfId="0" applyNumberFormat="1" applyFont="1" applyBorder="1"/>
    <xf numFmtId="174" fontId="48" fillId="0" borderId="74" xfId="0" applyNumberFormat="1" applyFont="1" applyBorder="1"/>
    <xf numFmtId="165" fontId="48" fillId="0" borderId="82" xfId="0" applyNumberFormat="1" applyFont="1" applyBorder="1" applyAlignment="1">
      <alignment horizontal="center"/>
    </xf>
    <xf numFmtId="165" fontId="3" fillId="0" borderId="81" xfId="0" applyNumberFormat="1" applyFont="1" applyBorder="1" applyAlignment="1">
      <alignment horizontal="center"/>
    </xf>
    <xf numFmtId="165" fontId="3" fillId="0" borderId="70" xfId="0" applyNumberFormat="1" applyFont="1" applyBorder="1" applyAlignment="1">
      <alignment horizontal="center"/>
    </xf>
    <xf numFmtId="165" fontId="3" fillId="0" borderId="69" xfId="0" applyNumberFormat="1" applyFont="1" applyBorder="1" applyAlignment="1">
      <alignment horizontal="center"/>
    </xf>
    <xf numFmtId="165" fontId="3" fillId="0" borderId="74" xfId="0" applyNumberFormat="1" applyFont="1" applyBorder="1" applyAlignment="1">
      <alignment horizontal="center"/>
    </xf>
    <xf numFmtId="165" fontId="48" fillId="0" borderId="75" xfId="0" applyNumberFormat="1" applyFont="1" applyBorder="1" applyAlignment="1">
      <alignment horizontal="center"/>
    </xf>
    <xf numFmtId="165" fontId="3" fillId="0" borderId="83" xfId="0" applyNumberFormat="1" applyFont="1" applyBorder="1" applyAlignment="1">
      <alignment horizontal="center"/>
    </xf>
    <xf numFmtId="165" fontId="3" fillId="0" borderId="71" xfId="0" applyNumberFormat="1" applyFont="1" applyBorder="1" applyAlignment="1">
      <alignment horizontal="center"/>
    </xf>
    <xf numFmtId="1" fontId="3" fillId="0" borderId="7" xfId="20" applyNumberFormat="1" applyFont="1" applyBorder="1" applyAlignment="1">
      <alignment horizontal="right"/>
    </xf>
    <xf numFmtId="1" fontId="3" fillId="0" borderId="7" xfId="20" applyNumberFormat="1" applyFont="1" applyBorder="1" applyAlignment="1">
      <alignment horizontal="right" vertical="top"/>
    </xf>
    <xf numFmtId="1" fontId="3" fillId="0" borderId="0" xfId="20" applyNumberFormat="1" applyFont="1" applyFill="1" applyBorder="1" applyAlignment="1">
      <alignment horizontal="right"/>
    </xf>
    <xf numFmtId="0" fontId="3" fillId="22" borderId="0" xfId="0" applyFont="1" applyFill="1" applyBorder="1" applyAlignment="1">
      <alignment horizontal="center" vertical="center" wrapText="1"/>
    </xf>
    <xf numFmtId="0" fontId="3" fillId="22" borderId="163" xfId="0" applyFont="1" applyFill="1" applyBorder="1" applyAlignment="1">
      <alignment horizontal="center" vertical="center" wrapText="1"/>
    </xf>
    <xf numFmtId="0" fontId="3" fillId="22" borderId="48" xfId="0" applyFont="1" applyFill="1" applyBorder="1" applyAlignment="1">
      <alignment horizontal="center" vertical="center"/>
    </xf>
    <xf numFmtId="0" fontId="3" fillId="22" borderId="87" xfId="0" applyFont="1" applyFill="1" applyBorder="1" applyAlignment="1">
      <alignment horizontal="center" vertical="center"/>
    </xf>
    <xf numFmtId="3" fontId="3" fillId="23" borderId="17" xfId="0" applyNumberFormat="1" applyFont="1" applyFill="1" applyBorder="1" applyProtection="1">
      <protection locked="0"/>
    </xf>
    <xf numFmtId="3" fontId="1" fillId="24" borderId="12" xfId="23" applyNumberFormat="1" applyFill="1" applyBorder="1">
      <alignment wrapText="1"/>
    </xf>
    <xf numFmtId="3" fontId="1" fillId="24" borderId="88" xfId="23" applyNumberFormat="1" applyFill="1" applyBorder="1">
      <alignment wrapText="1"/>
    </xf>
    <xf numFmtId="3" fontId="1" fillId="24" borderId="231" xfId="23" applyNumberFormat="1" applyFill="1" applyBorder="1">
      <alignment wrapText="1"/>
    </xf>
    <xf numFmtId="3" fontId="1" fillId="24" borderId="111" xfId="23" applyNumberFormat="1" applyFill="1" applyBorder="1">
      <alignment wrapText="1"/>
    </xf>
    <xf numFmtId="3" fontId="1" fillId="24" borderId="42" xfId="23" applyNumberFormat="1" applyFill="1" applyBorder="1">
      <alignment wrapText="1"/>
    </xf>
    <xf numFmtId="3" fontId="1" fillId="24" borderId="95" xfId="23" applyNumberFormat="1" applyFill="1" applyBorder="1">
      <alignment wrapText="1"/>
    </xf>
    <xf numFmtId="3" fontId="1" fillId="24" borderId="76" xfId="23" applyNumberFormat="1" applyFill="1" applyBorder="1">
      <alignment wrapText="1"/>
    </xf>
    <xf numFmtId="3" fontId="1" fillId="24" borderId="97" xfId="23" applyNumberFormat="1" applyFill="1" applyBorder="1">
      <alignment wrapText="1"/>
    </xf>
    <xf numFmtId="3" fontId="1" fillId="24" borderId="41" xfId="23" applyNumberFormat="1" applyFill="1" applyBorder="1">
      <alignment wrapText="1"/>
    </xf>
    <xf numFmtId="3" fontId="3" fillId="0" borderId="4" xfId="2" applyNumberFormat="1" applyBorder="1" applyAlignment="1">
      <alignment horizontal="right" vertical="center"/>
    </xf>
    <xf numFmtId="3" fontId="3" fillId="0" borderId="5" xfId="2" applyNumberFormat="1" applyBorder="1" applyAlignment="1">
      <alignment horizontal="right" vertical="center"/>
    </xf>
    <xf numFmtId="1" fontId="3" fillId="0" borderId="4" xfId="20" applyNumberFormat="1" applyFont="1" applyFill="1" applyBorder="1" applyAlignment="1">
      <alignment horizontal="right"/>
    </xf>
    <xf numFmtId="14" fontId="0" fillId="0" borderId="4" xfId="0" applyNumberFormat="1" applyBorder="1" applyAlignment="1">
      <alignment horizontal="left"/>
    </xf>
    <xf numFmtId="0" fontId="3" fillId="3" borderId="4" xfId="20" applyFont="1" applyFill="1" applyBorder="1"/>
    <xf numFmtId="0" fontId="3" fillId="3" borderId="4" xfId="20" applyFont="1" applyFill="1" applyBorder="1" applyAlignment="1">
      <alignment vertical="top"/>
    </xf>
    <xf numFmtId="0" fontId="3" fillId="3" borderId="4" xfId="20" applyFont="1" applyFill="1" applyBorder="1" applyAlignment="1">
      <alignment horizontal="left"/>
    </xf>
    <xf numFmtId="0" fontId="3" fillId="22" borderId="164" xfId="0" applyFont="1" applyFill="1" applyBorder="1" applyAlignment="1">
      <alignment horizontal="center" vertical="center" wrapText="1"/>
    </xf>
    <xf numFmtId="0" fontId="3" fillId="22" borderId="99" xfId="0" applyFont="1" applyFill="1" applyBorder="1" applyAlignment="1">
      <alignment horizontal="center" vertical="center"/>
    </xf>
    <xf numFmtId="3" fontId="1" fillId="24" borderId="14" xfId="23" applyNumberFormat="1" applyFill="1" applyBorder="1">
      <alignment wrapText="1"/>
    </xf>
    <xf numFmtId="3" fontId="1" fillId="24" borderId="98" xfId="23" applyNumberFormat="1" applyFill="1" applyBorder="1">
      <alignment wrapText="1"/>
    </xf>
    <xf numFmtId="3" fontId="1" fillId="24" borderId="112" xfId="23" applyNumberFormat="1" applyFill="1" applyBorder="1">
      <alignment wrapText="1"/>
    </xf>
    <xf numFmtId="0" fontId="72" fillId="0" borderId="4" xfId="8" applyFont="1" applyBorder="1" applyAlignment="1">
      <alignment horizontal="left" vertical="top"/>
    </xf>
    <xf numFmtId="0" fontId="72" fillId="21" borderId="4" xfId="8" applyFont="1" applyFill="1" applyBorder="1" applyAlignment="1">
      <alignment vertical="top"/>
    </xf>
    <xf numFmtId="0" fontId="72" fillId="0" borderId="4" xfId="8" applyFont="1" applyBorder="1" applyAlignment="1">
      <alignment vertical="top"/>
    </xf>
    <xf numFmtId="0" fontId="30" fillId="3" borderId="0" xfId="0" applyFont="1" applyFill="1" applyAlignment="1">
      <alignment horizontal="left" vertical="center"/>
    </xf>
    <xf numFmtId="0" fontId="0" fillId="4" borderId="0" xfId="0" applyFill="1" applyAlignment="1">
      <alignment horizontal="left"/>
    </xf>
    <xf numFmtId="0" fontId="1" fillId="4" borderId="0" xfId="0" applyFont="1" applyFill="1" applyAlignment="1">
      <alignment horizontal="left"/>
    </xf>
    <xf numFmtId="0" fontId="1" fillId="4" borderId="10" xfId="0" applyFont="1" applyFill="1" applyBorder="1" applyAlignment="1">
      <alignment horizontal="left"/>
    </xf>
    <xf numFmtId="0" fontId="3" fillId="4" borderId="60" xfId="0" applyFont="1" applyFill="1" applyBorder="1" applyAlignment="1">
      <alignment horizontal="center" vertical="center" wrapText="1"/>
    </xf>
    <xf numFmtId="0" fontId="3" fillId="4" borderId="84" xfId="0" applyFont="1" applyFill="1" applyBorder="1" applyAlignment="1">
      <alignment horizontal="center" vertical="center" wrapText="1"/>
    </xf>
    <xf numFmtId="1" fontId="3" fillId="4" borderId="23" xfId="0" applyNumberFormat="1" applyFont="1" applyFill="1" applyBorder="1" applyAlignment="1">
      <alignment horizontal="left" vertical="center" wrapText="1"/>
    </xf>
    <xf numFmtId="0" fontId="3" fillId="4" borderId="50" xfId="0" applyFont="1" applyFill="1" applyBorder="1" applyAlignment="1">
      <alignment horizontal="center" vertical="center" wrapText="1"/>
    </xf>
    <xf numFmtId="0" fontId="3" fillId="4" borderId="63" xfId="0" applyFont="1" applyFill="1" applyBorder="1" applyAlignment="1">
      <alignment horizontal="center" vertical="center" wrapText="1"/>
    </xf>
    <xf numFmtId="1" fontId="3" fillId="4" borderId="176" xfId="0" applyNumberFormat="1" applyFont="1" applyFill="1" applyBorder="1" applyAlignment="1">
      <alignment horizontal="left" vertical="center" wrapText="1"/>
    </xf>
    <xf numFmtId="1" fontId="3" fillId="4" borderId="67" xfId="0" applyNumberFormat="1" applyFont="1" applyFill="1" applyBorder="1" applyAlignment="1">
      <alignment horizontal="left" vertical="center" wrapText="1"/>
    </xf>
    <xf numFmtId="0" fontId="3" fillId="4" borderId="91" xfId="0" applyFont="1" applyFill="1" applyBorder="1" applyAlignment="1">
      <alignment horizontal="center" vertical="center" wrapText="1"/>
    </xf>
    <xf numFmtId="0" fontId="3" fillId="4" borderId="50" xfId="0" applyFont="1" applyFill="1" applyBorder="1" applyAlignment="1">
      <alignment horizontal="left" vertical="center" wrapText="1"/>
    </xf>
    <xf numFmtId="0" fontId="3" fillId="4" borderId="63" xfId="0" applyFont="1" applyFill="1" applyBorder="1" applyAlignment="1">
      <alignment horizontal="left" vertical="center" wrapText="1"/>
    </xf>
    <xf numFmtId="0" fontId="0" fillId="4" borderId="50" xfId="0" applyFont="1" applyFill="1" applyBorder="1" applyAlignment="1">
      <alignment horizontal="center" vertical="center" wrapText="1"/>
    </xf>
    <xf numFmtId="0" fontId="0" fillId="4" borderId="6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66" fillId="4" borderId="209" xfId="0" applyFont="1" applyFill="1" applyBorder="1" applyAlignment="1">
      <alignment horizontal="center" vertical="center" wrapText="1"/>
    </xf>
    <xf numFmtId="0" fontId="66" fillId="4" borderId="62" xfId="0" applyFont="1" applyFill="1" applyBorder="1" applyAlignment="1">
      <alignment horizontal="center" vertical="center" wrapText="1"/>
    </xf>
    <xf numFmtId="0" fontId="6" fillId="4" borderId="23" xfId="5" applyFont="1" applyFill="1" applyBorder="1" applyAlignment="1">
      <alignment horizontal="left" vertical="center" wrapText="1"/>
    </xf>
    <xf numFmtId="0" fontId="6" fillId="4" borderId="12" xfId="5" applyFont="1" applyFill="1" applyBorder="1" applyAlignment="1">
      <alignment horizontal="left" vertical="center" wrapText="1"/>
    </xf>
    <xf numFmtId="0" fontId="11" fillId="4" borderId="0" xfId="5" applyFont="1" applyFill="1" applyBorder="1" applyAlignment="1">
      <alignment horizontal="center" vertical="center" wrapText="1"/>
    </xf>
    <xf numFmtId="0" fontId="11" fillId="4" borderId="23" xfId="5" applyFont="1" applyFill="1" applyBorder="1" applyAlignment="1">
      <alignment horizontal="center" vertical="center" wrapText="1"/>
    </xf>
    <xf numFmtId="0" fontId="11" fillId="4" borderId="6" xfId="3" applyFont="1" applyFill="1" applyBorder="1" applyAlignment="1">
      <alignment horizontal="center" vertical="center"/>
    </xf>
    <xf numFmtId="0" fontId="11" fillId="4" borderId="13" xfId="3" applyFont="1" applyFill="1" applyBorder="1" applyAlignment="1">
      <alignment horizontal="center" vertical="center"/>
    </xf>
    <xf numFmtId="0" fontId="11" fillId="4" borderId="6" xfId="3" applyFont="1" applyFill="1" applyBorder="1" applyAlignment="1">
      <alignment horizontal="center" vertical="center" wrapText="1"/>
    </xf>
    <xf numFmtId="0" fontId="11" fillId="4" borderId="13" xfId="3" applyFont="1" applyFill="1" applyBorder="1" applyAlignment="1">
      <alignment horizontal="center" vertical="center" wrapText="1"/>
    </xf>
    <xf numFmtId="0" fontId="62" fillId="4" borderId="4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2" fillId="4" borderId="10" xfId="5" applyFont="1" applyFill="1" applyBorder="1" applyAlignment="1">
      <alignment horizontal="center" vertical="center"/>
    </xf>
    <xf numFmtId="1" fontId="3" fillId="4" borderId="68" xfId="0" applyNumberFormat="1" applyFont="1" applyFill="1" applyBorder="1" applyAlignment="1">
      <alignment horizontal="center" vertical="center" wrapText="1"/>
    </xf>
    <xf numFmtId="1" fontId="3" fillId="4" borderId="12" xfId="0" applyNumberFormat="1" applyFont="1" applyFill="1" applyBorder="1" applyAlignment="1">
      <alignment horizontal="center" vertical="center" wrapText="1"/>
    </xf>
    <xf numFmtId="0" fontId="0" fillId="4" borderId="85" xfId="0" applyFill="1" applyBorder="1" applyAlignment="1">
      <alignment horizontal="center" vertical="center"/>
    </xf>
    <xf numFmtId="0" fontId="0" fillId="4" borderId="86" xfId="0" applyFill="1" applyBorder="1" applyAlignment="1">
      <alignment horizontal="center" vertical="center"/>
    </xf>
    <xf numFmtId="0" fontId="48" fillId="4" borderId="19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0" fillId="4" borderId="146" xfId="0" applyFill="1" applyBorder="1" applyAlignment="1">
      <alignment horizontal="center" vertical="center" wrapText="1"/>
    </xf>
    <xf numFmtId="0" fontId="0" fillId="4" borderId="58" xfId="0" applyFill="1" applyBorder="1" applyAlignment="1">
      <alignment horizontal="center" vertical="center" wrapText="1"/>
    </xf>
    <xf numFmtId="0" fontId="0" fillId="4" borderId="18" xfId="0" applyFill="1" applyBorder="1" applyAlignment="1">
      <alignment horizontal="left" vertical="center"/>
    </xf>
    <xf numFmtId="0" fontId="0" fillId="4" borderId="10" xfId="0" applyFill="1" applyBorder="1" applyAlignment="1">
      <alignment horizontal="left" vertical="center"/>
    </xf>
    <xf numFmtId="0" fontId="0" fillId="4" borderId="41" xfId="0" applyFill="1" applyBorder="1" applyAlignment="1">
      <alignment horizontal="left" vertical="center"/>
    </xf>
    <xf numFmtId="0" fontId="0" fillId="4" borderId="19" xfId="0" applyFill="1" applyBorder="1" applyAlignment="1">
      <alignment vertical="center" wrapText="1"/>
    </xf>
    <xf numFmtId="0" fontId="0" fillId="4" borderId="10" xfId="0" applyFill="1" applyBorder="1" applyAlignment="1">
      <alignment vertical="center" wrapText="1"/>
    </xf>
    <xf numFmtId="0" fontId="0" fillId="4" borderId="41" xfId="0" applyFill="1" applyBorder="1" applyAlignment="1">
      <alignment vertical="center" wrapText="1"/>
    </xf>
    <xf numFmtId="0" fontId="0" fillId="4" borderId="65" xfId="0" applyFill="1" applyBorder="1" applyAlignment="1">
      <alignment horizontal="center" vertical="center" wrapText="1"/>
    </xf>
    <xf numFmtId="0" fontId="0" fillId="4" borderId="67" xfId="0" applyFill="1" applyBorder="1" applyAlignment="1">
      <alignment horizontal="center" vertical="center" wrapText="1"/>
    </xf>
    <xf numFmtId="0" fontId="3" fillId="4" borderId="19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8" fillId="4" borderId="146" xfId="0" applyFont="1" applyFill="1" applyBorder="1" applyAlignment="1">
      <alignment horizontal="center" vertical="center" wrapText="1"/>
    </xf>
    <xf numFmtId="0" fontId="48" fillId="4" borderId="58" xfId="0" applyFont="1" applyFill="1" applyBorder="1" applyAlignment="1">
      <alignment horizontal="center" vertical="center" wrapText="1"/>
    </xf>
    <xf numFmtId="0" fontId="0" fillId="4" borderId="19" xfId="0" applyFill="1" applyBorder="1" applyAlignment="1">
      <alignment vertical="center"/>
    </xf>
    <xf numFmtId="0" fontId="0" fillId="4" borderId="10" xfId="0" applyFill="1" applyBorder="1" applyAlignment="1">
      <alignment vertical="center"/>
    </xf>
    <xf numFmtId="0" fontId="0" fillId="4" borderId="41" xfId="0" applyFill="1" applyBorder="1" applyAlignment="1">
      <alignment vertical="center"/>
    </xf>
    <xf numFmtId="0" fontId="0" fillId="4" borderId="85" xfId="0" applyFill="1" applyBorder="1" applyAlignment="1">
      <alignment horizontal="center" vertical="center" wrapText="1"/>
    </xf>
    <xf numFmtId="0" fontId="0" fillId="4" borderId="86" xfId="0" applyFill="1" applyBorder="1" applyAlignment="1">
      <alignment horizontal="center" vertical="center" wrapText="1"/>
    </xf>
    <xf numFmtId="0" fontId="0" fillId="4" borderId="19" xfId="0" applyFont="1" applyFill="1" applyBorder="1" applyAlignment="1">
      <alignment vertical="center"/>
    </xf>
    <xf numFmtId="0" fontId="0" fillId="4" borderId="10" xfId="0" applyFont="1" applyFill="1" applyBorder="1" applyAlignment="1">
      <alignment vertical="center"/>
    </xf>
    <xf numFmtId="0" fontId="0" fillId="4" borderId="41" xfId="0" applyFont="1" applyFill="1" applyBorder="1" applyAlignment="1">
      <alignment vertical="center"/>
    </xf>
    <xf numFmtId="0" fontId="2" fillId="4" borderId="59" xfId="0" applyFont="1" applyFill="1" applyBorder="1" applyAlignment="1">
      <alignment horizontal="left" vertical="center" wrapText="1"/>
    </xf>
    <xf numFmtId="0" fontId="2" fillId="4" borderId="49"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26" fillId="4" borderId="176" xfId="8" applyFont="1" applyFill="1" applyBorder="1" applyAlignment="1">
      <alignment horizontal="center" vertical="center" wrapText="1"/>
    </xf>
    <xf numFmtId="0" fontId="26" fillId="4" borderId="23" xfId="8" applyFont="1" applyFill="1" applyBorder="1" applyAlignment="1">
      <alignment horizontal="center" vertical="center" wrapText="1"/>
    </xf>
    <xf numFmtId="0" fontId="3" fillId="4" borderId="10" xfId="5" applyFont="1" applyFill="1" applyBorder="1" applyAlignment="1">
      <alignment horizontal="center" vertical="center" wrapText="1"/>
    </xf>
    <xf numFmtId="0" fontId="3" fillId="4" borderId="12" xfId="5" applyFont="1" applyFill="1" applyBorder="1" applyAlignment="1">
      <alignment horizontal="center" vertical="center" wrapText="1"/>
    </xf>
    <xf numFmtId="0" fontId="48" fillId="4" borderId="10" xfId="5" applyFont="1" applyFill="1" applyBorder="1" applyAlignment="1">
      <alignment horizontal="left" vertical="center" wrapText="1"/>
    </xf>
    <xf numFmtId="0" fontId="48" fillId="4" borderId="6" xfId="5" applyFont="1" applyFill="1" applyBorder="1" applyAlignment="1">
      <alignment horizontal="left" vertical="center" wrapText="1"/>
    </xf>
    <xf numFmtId="0" fontId="48" fillId="4" borderId="43" xfId="5" applyFont="1" applyFill="1" applyBorder="1" applyAlignment="1">
      <alignment horizontal="left" vertical="center" wrapText="1"/>
    </xf>
    <xf numFmtId="0" fontId="48" fillId="4" borderId="6" xfId="0" applyFont="1" applyFill="1" applyBorder="1" applyAlignment="1">
      <alignment horizontal="left" vertical="center" wrapText="1"/>
    </xf>
    <xf numFmtId="0" fontId="3" fillId="4" borderId="14" xfId="2" applyFont="1" applyFill="1" applyBorder="1" applyAlignment="1">
      <alignment horizontal="center" vertical="center" wrapText="1"/>
    </xf>
    <xf numFmtId="0" fontId="3" fillId="4" borderId="23" xfId="2" applyFont="1" applyFill="1" applyBorder="1" applyAlignment="1">
      <alignment horizontal="center" vertical="center" wrapText="1"/>
    </xf>
    <xf numFmtId="0" fontId="3" fillId="4" borderId="0" xfId="5" applyFont="1" applyFill="1" applyBorder="1" applyAlignment="1">
      <alignment horizontal="center" vertical="center"/>
    </xf>
    <xf numFmtId="0" fontId="3" fillId="4" borderId="216" xfId="5" applyFont="1" applyFill="1" applyBorder="1" applyAlignment="1">
      <alignment horizontal="center" vertical="center"/>
    </xf>
    <xf numFmtId="0" fontId="3" fillId="4" borderId="173" xfId="0" applyFont="1" applyFill="1" applyBorder="1" applyAlignment="1">
      <alignment horizontal="center" vertical="center" wrapText="1"/>
    </xf>
    <xf numFmtId="0" fontId="3" fillId="4" borderId="174"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75" xfId="0" applyFont="1" applyFill="1" applyBorder="1" applyAlignment="1">
      <alignment horizontal="center" vertical="center" wrapText="1"/>
    </xf>
    <xf numFmtId="0" fontId="3" fillId="22" borderId="66" xfId="0" applyFont="1" applyFill="1" applyBorder="1" applyAlignment="1">
      <alignment horizontal="center" vertical="center" wrapText="1"/>
    </xf>
    <xf numFmtId="0" fontId="3" fillId="22" borderId="16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8" xfId="0" applyFont="1" applyFill="1" applyBorder="1" applyAlignment="1">
      <alignment horizontal="center" vertical="center" wrapText="1"/>
    </xf>
    <xf numFmtId="0" fontId="3" fillId="4" borderId="167" xfId="0" applyFont="1" applyFill="1" applyBorder="1" applyAlignment="1">
      <alignment horizontal="center" vertical="center" wrapText="1"/>
    </xf>
    <xf numFmtId="0" fontId="3" fillId="22" borderId="166"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9" fillId="4" borderId="68"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3" fillId="4" borderId="166" xfId="0" applyFont="1" applyFill="1" applyBorder="1" applyAlignment="1">
      <alignment horizontal="center" vertical="center" wrapText="1"/>
    </xf>
    <xf numFmtId="0" fontId="3" fillId="22" borderId="168" xfId="0" applyFont="1" applyFill="1" applyBorder="1" applyAlignment="1">
      <alignment horizontal="center" vertical="center" wrapText="1"/>
    </xf>
    <xf numFmtId="0" fontId="3" fillId="4" borderId="170" xfId="0" applyFont="1" applyFill="1" applyBorder="1" applyAlignment="1">
      <alignment horizontal="center" vertical="center" wrapText="1"/>
    </xf>
    <xf numFmtId="0" fontId="3" fillId="4" borderId="169" xfId="0" applyFont="1" applyFill="1" applyBorder="1" applyAlignment="1">
      <alignment horizontal="center" vertical="center" wrapText="1"/>
    </xf>
    <xf numFmtId="0" fontId="19" fillId="0" borderId="52" xfId="15" applyFill="1" applyBorder="1" applyAlignment="1">
      <alignment vertical="center"/>
    </xf>
    <xf numFmtId="0" fontId="41" fillId="0" borderId="52" xfId="0" applyFont="1" applyFill="1" applyBorder="1" applyAlignment="1">
      <alignment vertical="center"/>
    </xf>
    <xf numFmtId="0" fontId="0" fillId="0" borderId="52" xfId="0" applyFill="1" applyBorder="1"/>
    <xf numFmtId="174" fontId="3" fillId="0" borderId="4" xfId="0" applyNumberFormat="1" applyFont="1" applyFill="1" applyBorder="1"/>
    <xf numFmtId="174" fontId="3" fillId="0" borderId="69" xfId="0" applyNumberFormat="1" applyFont="1" applyFill="1" applyBorder="1"/>
    <xf numFmtId="174" fontId="3" fillId="0" borderId="73" xfId="0" applyNumberFormat="1" applyFont="1" applyFill="1" applyBorder="1"/>
    <xf numFmtId="174" fontId="3" fillId="0" borderId="74" xfId="0" applyNumberFormat="1" applyFont="1" applyFill="1" applyBorder="1"/>
    <xf numFmtId="174" fontId="3" fillId="0" borderId="9" xfId="0" applyNumberFormat="1" applyFont="1" applyFill="1" applyBorder="1"/>
    <xf numFmtId="174" fontId="3" fillId="0" borderId="72" xfId="0" applyNumberFormat="1" applyFont="1" applyFill="1" applyBorder="1"/>
    <xf numFmtId="165" fontId="3" fillId="0" borderId="46" xfId="5" applyNumberFormat="1" applyFont="1" applyFill="1" applyBorder="1" applyAlignment="1">
      <alignment horizontal="center"/>
    </xf>
    <xf numFmtId="165" fontId="0" fillId="0" borderId="51" xfId="0" applyNumberFormat="1" applyFont="1" applyFill="1" applyBorder="1" applyAlignment="1">
      <alignment horizontal="center"/>
    </xf>
    <xf numFmtId="165" fontId="0" fillId="0" borderId="229" xfId="0" applyNumberFormat="1" applyFont="1" applyFill="1" applyBorder="1" applyAlignment="1">
      <alignment horizontal="center"/>
    </xf>
    <xf numFmtId="165" fontId="0" fillId="0" borderId="52" xfId="0" applyNumberFormat="1" applyFont="1" applyFill="1" applyBorder="1" applyAlignment="1">
      <alignment horizontal="center"/>
    </xf>
    <xf numFmtId="165" fontId="0" fillId="0" borderId="230" xfId="0" applyNumberFormat="1" applyFont="1" applyFill="1" applyBorder="1" applyAlignment="1">
      <alignment horizontal="center"/>
    </xf>
    <xf numFmtId="169" fontId="1" fillId="0" borderId="22" xfId="25" applyNumberFormat="1" applyFont="1" applyFill="1" applyBorder="1" applyProtection="1">
      <protection locked="0"/>
    </xf>
  </cellXfs>
  <cellStyles count="30">
    <cellStyle name="__" xfId="21" xr:uid="{00000000-0005-0000-0000-000000000000}"/>
    <cellStyle name="_Cell" xfId="22" xr:uid="{00000000-0005-0000-0000-000001000000}"/>
    <cellStyle name="_Entry" xfId="23" xr:uid="{00000000-0005-0000-0000-000002000000}"/>
    <cellStyle name="_Example" xfId="29" xr:uid="{AEE07E7C-4256-4ACA-A5A4-2FEA9CFE93D6}"/>
    <cellStyle name="20 % - Akzent1 2" xfId="7" xr:uid="{00000000-0005-0000-0000-000004000000}"/>
    <cellStyle name="20% - Accent1" xfId="1" builtinId="30"/>
    <cellStyle name="Accent2" xfId="25" builtinId="33"/>
    <cellStyle name="Comma" xfId="18" builtinId="3"/>
    <cellStyle name="Hyperlink" xfId="15" builtinId="8"/>
    <cellStyle name="Input" xfId="24" builtinId="20"/>
    <cellStyle name="Komma 2" xfId="13" xr:uid="{00000000-0005-0000-0000-000007000000}"/>
    <cellStyle name="Komma 4" xfId="16" xr:uid="{00000000-0005-0000-0000-000008000000}"/>
    <cellStyle name="Normal" xfId="0" builtinId="0"/>
    <cellStyle name="Normal 2" xfId="2" xr:uid="{00000000-0005-0000-0000-00000A000000}"/>
    <cellStyle name="Normal 3" xfId="8" xr:uid="{00000000-0005-0000-0000-00000B000000}"/>
    <cellStyle name="Percent" xfId="17" builtinId="5"/>
    <cellStyle name="Percent 2" xfId="28" xr:uid="{AD1A8F28-B401-4376-ACE6-4D1C6D086650}"/>
    <cellStyle name="Prozent 2" xfId="4" xr:uid="{00000000-0005-0000-0000-00000D000000}"/>
    <cellStyle name="Prozent 2 2" xfId="12" xr:uid="{00000000-0005-0000-0000-00000E000000}"/>
    <cellStyle name="Prozent 3" xfId="6" xr:uid="{00000000-0005-0000-0000-00000F000000}"/>
    <cellStyle name="Standard 12" xfId="14" xr:uid="{00000000-0005-0000-0000-000011000000}"/>
    <cellStyle name="Standard 14" xfId="19" xr:uid="{00000000-0005-0000-0000-000012000000}"/>
    <cellStyle name="Standard 2" xfId="3" xr:uid="{00000000-0005-0000-0000-000013000000}"/>
    <cellStyle name="Standard 2 2" xfId="5" xr:uid="{00000000-0005-0000-0000-000014000000}"/>
    <cellStyle name="Standard 2 2 2" xfId="20" xr:uid="{00000000-0005-0000-0000-000015000000}"/>
    <cellStyle name="Standard 2 3" xfId="11" xr:uid="{00000000-0005-0000-0000-000016000000}"/>
    <cellStyle name="Standard 2 4" xfId="26" xr:uid="{09630504-BBEC-4327-BBC3-BA7AF932F728}"/>
    <cellStyle name="Standard 3" xfId="9" xr:uid="{00000000-0005-0000-0000-000017000000}"/>
    <cellStyle name="Standard 7" xfId="10" xr:uid="{00000000-0005-0000-0000-000018000000}"/>
    <cellStyle name="Standard 9" xfId="27" xr:uid="{3477FD39-D698-4A24-895D-2076F27D4FDD}"/>
  </cellStyles>
  <dxfs count="64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4ECF9"/>
      <color rgb="FF002D64"/>
      <color rgb="FF00539E"/>
      <color rgb="FFA2D3EE"/>
      <color rgb="FFFDE2CE"/>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139-4F3E-816D-104409E9792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139-4F3E-816D-104409E9792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503-41DE-8968-876C4EA1856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503-41DE-8968-876C4EA1856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2C-44B6-84E4-0B6EFAED0A4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2C-44B6-84E4-0B6EFAED0A4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B23-416B-BC96-3ED1754E07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B23-416B-BC96-3ED1754E07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659-4670-A6DA-B55A5AC0CD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659-4670-A6DA-B55A5AC0CD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04F-41BE-A307-DB3B326EC8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04F-41BE-A307-DB3B326EC8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0A1-4B0C-9E1A-82083CF855E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0A1-4B0C-9E1A-82083CF855E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C70-4631-85A2-EA55E936B53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C70-4631-85A2-EA55E936B53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47-418D-A149-5C05F10B4AD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47-418D-A149-5C05F10B4AD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4D-49E6-ADF9-05A1C03164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4D-49E6-ADF9-05A1C03164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8A6-4063-B35F-ED6966FB066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8A6-4063-B35F-ED6966FB066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B-41E6-A4D4-FB08138A7FC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B-41E6-A4D4-FB08138A7FC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AC3-4AAB-AF6F-566C641476C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AC3-4AAB-AF6F-566C641476C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527-401F-A943-FE0FABC8847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527-401F-A943-FE0FABC8847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649-44E5-A22C-2436660FEE8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649-44E5-A22C-2436660FEE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B8B-4CBF-A70C-DFCC6DD559F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B8B-4CBF-A70C-DFCC6DD559F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4A5-4FDB-B8E4-ECD3FD734B8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4A5-4FDB-B8E4-ECD3FD734B8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2A8-480A-9E3C-6E01A3EFFA4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2A8-480A-9E3C-6E01A3EFFA4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BA-49C9-BB9B-23A73B58A75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BA-49C9-BB9B-23A73B58A75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8F-4C2A-A91D-17564F19045C}"/>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8F-4C2A-A91D-17564F19045C}"/>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909-4B62-B620-C8B47541CBF6}"/>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909-4B62-B620-C8B47541CBF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6EF-459B-BFA5-E374E345205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6EF-459B-BFA5-E374E345205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789-428F-A3D4-1DDD8E04D98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789-428F-A3D4-1DDD8E04D9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63A-4EC7-BA30-E95943DB3B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63A-4EC7-BA30-E95943DB3B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567-45B5-B56D-1044F9C1951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567-45B5-B56D-1044F9C1951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B8A-4528-9B2E-9703D87C89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B8A-4528-9B2E-9703D87C89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D48-4F7A-BF55-C14EF835E8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D48-4F7A-BF55-C14EF835E8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73-4590-9B12-00E53EC73265}"/>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73-4590-9B12-00E53EC732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E94-427F-8273-3B0F9A7A12A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E94-427F-8273-3B0F9A7A12A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684-4250-8998-2799CE7C9E1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684-4250-8998-2799CE7C9E1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5CC-419F-B9A3-E936985C90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5CC-419F-B9A3-E936985C90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755-42B5-BF04-E4876A4BD94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755-42B5-BF04-E4876A4BD94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B7F-4AFE-9A53-6742335ACA0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B7F-4AFE-9A53-6742335ACA0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1-4235-9B8C-4DC86D8BDF0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1-4235-9B8C-4DC86D8BDF0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8DD-4A98-9FBF-9AF477DED0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8DD-4A98-9FBF-9AF477DED0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96D-440A-B952-1771E069F6D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96D-440A-B952-1771E069F6D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D3C-452E-B899-77F9B4D30B8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D3C-452E-B899-77F9B4D30B8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77D-468E-BFF8-79B1F2AD90E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77D-468E-BFF8-79B1F2AD90E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C86-41E7-8CDA-35759DD261F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C86-41E7-8CDA-35759DD261F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CB6-42B2-93B5-1BD8982DDB4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CB6-42B2-93B5-1BD8982DDB4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7DE-4F7C-91E2-A00EB30F089E}"/>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7DE-4F7C-91E2-A00EB30F089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836-4A29-BE26-B76B787309F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836-4A29-BE26-B76B787309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0498-4455-8915-D0E32D44CF7B}"/>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0498-4455-8915-D0E32D44CF7B}"/>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458-40C1-B0B6-4B6B943D46F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458-40C1-B0B6-4B6B943D46F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2F3-4293-9727-1F1363FEBDB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2F3-4293-9727-1F1363FEBDB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1B1-4CB6-82C0-BCA651C3A5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1B1-4CB6-82C0-BCA651C3A5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74-4C29-A912-43F76B63B66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74-4C29-A912-43F76B63B66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49-4AEB-B8B9-53547A5CEA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49-4AEB-B8B9-53547A5CEA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A5-4B22-ACF4-9FD3E1F440E2}"/>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A5-4B22-ACF4-9FD3E1F440E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A02-4626-94D1-C799D82D04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A02-4626-94D1-C799D82D04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9C8-4BC7-B091-D746E53AE74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9C8-4BC7-B091-D746E53AE74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548-4F6F-930B-08E906BA155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548-4F6F-930B-08E906BA155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0A8-4422-A7A6-AF2E8FF3B1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0A8-4422-A7A6-AF2E8FF3B1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2D1-427D-875C-AB79D10102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2D1-427D-875C-AB79D10102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208-4E6E-BF9F-91FE80D33FA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208-4E6E-BF9F-91FE80D33FA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FC8-4F3F-A914-A50C3894D15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FC8-4F3F-A914-A50C3894D15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465-49F8-BA42-5E30B2CD7F1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465-49F8-BA42-5E30B2CD7F1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55A-42AB-9C5F-B45EBF72058F}"/>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55A-42AB-9C5F-B45EBF72058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278-4939-9986-FCF5283E6709}"/>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278-4939-9986-FCF5283E6709}"/>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56-4D1B-A4BB-8384D44F3A2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56-4D1B-A4BB-8384D44F3A2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xdr:col>
      <xdr:colOff>19050</xdr:colOff>
      <xdr:row>5</xdr:row>
      <xdr:rowOff>23812</xdr:rowOff>
    </xdr:from>
    <xdr:ext cx="105349" cy="172227"/>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𝜉</m:t>
                    </m:r>
                  </m:oMath>
                </m:oMathPara>
              </a14:m>
              <a:endParaRPr lang="de-CH" sz="1100"/>
            </a:p>
          </xdr:txBody>
        </xdr:sp>
      </mc:Choice>
      <mc:Fallback xmlns="">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𝜉</a:t>
              </a:r>
              <a:endParaRPr lang="de-CH" sz="1100"/>
            </a:p>
          </xdr:txBody>
        </xdr:sp>
      </mc:Fallback>
    </mc:AlternateContent>
    <xdr:clientData/>
  </xdr:oneCellAnchor>
  <xdr:oneCellAnchor>
    <xdr:from>
      <xdr:col>1</xdr:col>
      <xdr:colOff>9525</xdr:colOff>
      <xdr:row>6</xdr:row>
      <xdr:rowOff>19050</xdr:rowOff>
    </xdr:from>
    <xdr:ext cx="10996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𝜂</m:t>
                    </m:r>
                  </m:oMath>
                </m:oMathPara>
              </a14:m>
              <a:endParaRPr lang="de-CH" sz="1100"/>
            </a:p>
          </xdr:txBody>
        </xdr:sp>
      </mc:Choice>
      <mc:Fallback xmlns="">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𝜂</a:t>
              </a:r>
              <a:endParaRPr lang="de-CH" sz="11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F95996B9-06B8-4756-ABB3-C3CDD97A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3002492-9C3B-4B00-A073-B2A58704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4AEC2BA8-B1E1-4082-B8EF-FC204D21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9E62FB-9221-4683-BEC3-AFD956A5F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F0D004F-2B73-405C-A9BD-9185B33B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875258B-47AB-45BE-87D4-62AB1DAD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66FFC190-F126-4C28-AE51-F5DBB01A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1F62A9-46F1-4553-AFBD-A0BF05E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E8C6C71-59FC-4E15-B45E-865CBA21B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834EA36-B633-49DD-9ED6-65B6FAAB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5089942B-1590-41DF-9D9B-33524858E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4C0C7CC0-3BC5-4E83-91DF-65B5B1E6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0BF5455A-B2EF-4C12-9E9B-BB47C6469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15B84D6-31AC-4363-9EBD-657843473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E5C4DBDC-927E-41AF-852F-8857ED0E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FBDC39F7-B8E6-4A0A-8C65-A656D938C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9132E919-406B-4474-A3D1-62875EA45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1ABD42-65D1-43FF-B81F-2CBD4262A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2CF5A72-FEBE-4999-9816-8D40E9E7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1AB7B170-D0AE-4602-BFD6-C0B8BC8CD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C568588-27D8-4D98-8ACB-F6EE6B8A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61B89E94-6E41-4485-BBAB-B67F069E2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6349374-E938-421D-B66E-FBE30868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00F7B24-3FE9-44DB-8C60-0C82E3BF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8FF39141-A1BB-41B0-94E4-D6EF8EB7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12653691-2102-4240-85F0-64A9881D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AD06FA8-F193-473C-AEE5-2392A4CDB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91870C-8618-4639-B526-FD376520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3" name="Diagramm 6">
          <a:extLst>
            <a:ext uri="{FF2B5EF4-FFF2-40B4-BE49-F238E27FC236}">
              <a16:creationId xmlns:a16="http://schemas.microsoft.com/office/drawing/2014/main" id="{63B1A2FB-0CA2-498C-AC41-9E31C3A77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4" name="Diagramm 6">
          <a:extLst>
            <a:ext uri="{FF2B5EF4-FFF2-40B4-BE49-F238E27FC236}">
              <a16:creationId xmlns:a16="http://schemas.microsoft.com/office/drawing/2014/main" id="{0BABA064-EFE5-4FBD-97C7-1F540A16B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5" name="Diagramm 6">
          <a:extLst>
            <a:ext uri="{FF2B5EF4-FFF2-40B4-BE49-F238E27FC236}">
              <a16:creationId xmlns:a16="http://schemas.microsoft.com/office/drawing/2014/main" id="{8A78A9D9-6E53-469D-82EA-7BA393F4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6" name="Diagramm 6">
          <a:extLst>
            <a:ext uri="{FF2B5EF4-FFF2-40B4-BE49-F238E27FC236}">
              <a16:creationId xmlns:a16="http://schemas.microsoft.com/office/drawing/2014/main" id="{838AE8EC-A63F-4338-8D2E-1BA608F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4D38A64-74E0-4A0D-9EEE-76AA36C52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97FE009-A2F7-452C-934E-6AC8BA91C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D717D28F-7493-4FCE-884A-F503A7F0A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134720-145C-446B-B37E-AC773AF0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5973E3C-E70D-45D9-8A30-8A4361D8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12AAFC9-E514-4B86-B041-84D51042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F7657472-D649-476C-9C34-2BE625225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AC7E9CF-852B-4328-8DE6-272FC0A57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BBB78783-84A5-4684-AF45-2F7800B9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6CF20BF-3F14-40F2-A6BA-570641F1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B75AD8C9-D614-49A6-BC13-6A454A56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CD7C886-E0ED-4F42-9D43-21DE73FA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360A8239-D555-413F-99A8-3E825A99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24993E7-6ED1-4A70-AC14-5EC724F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C132B1EA-4B58-479F-92A4-F7734A7F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03762613-B742-452A-B2B8-C8CA5E9F6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950578C-1ADB-428B-929F-0A22349F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C8AE909-F8E6-4C5B-8415-CA4C8324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15EA7EE-B29F-4F31-998B-F0495FD3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A5841458-F7C4-45BD-AC60-14043CF14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7FBF5D0-CAA0-4F52-B527-B24C4929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E6B657-4FBD-4A75-B9D5-E67DEBD56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0EEEC73-9207-48BC-A272-381E666B4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78E2BC5-95E3-452E-BB9E-AF35878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6A7D9FCE-7F3D-435F-80C0-C8F95000B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D8842BC-C0B4-4057-AF02-AE93C6B9D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158B19D-1F24-47ED-BFF9-97048BF35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BAC9A40-6B86-4179-AB76-865AAFCF8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5" dT="2024-10-28T16:08:53.80" personId="{00000000-0000-0000-0000-000000000000}" id="{E3ADA961-5117-4FD3-9469-0B0F51D303D0}">
    <text>Feuille caché
Blatt versteckt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fs.admin.ch/asset/de/su-d-01.04.02.02.05" TargetMode="External"/><Relationship Id="rId2" Type="http://schemas.openxmlformats.org/officeDocument/2006/relationships/hyperlink" Target="https://www.bfs.admin.ch/asset/de/su-d-01.04.02.02.04" TargetMode="External"/><Relationship Id="rId1" Type="http://schemas.openxmlformats.org/officeDocument/2006/relationships/hyperlink" Target="http://www.biomedcentral.com/1471-2288/14/135"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0617-F1A8-44D1-9F5D-00B50FAB7D2C}">
  <sheetPr codeName="Sheet1">
    <tabColor rgb="FF00539E"/>
  </sheetPr>
  <dimension ref="A1:F138"/>
  <sheetViews>
    <sheetView showGridLines="0" tabSelected="1" zoomScale="90" zoomScaleNormal="90" workbookViewId="0"/>
  </sheetViews>
  <sheetFormatPr defaultColWidth="8.7109375" defaultRowHeight="12.75" x14ac:dyDescent="0.2"/>
  <cols>
    <col min="1" max="1" width="5.5703125" customWidth="1"/>
    <col min="2" max="2" width="30.140625" customWidth="1"/>
    <col min="3" max="3" width="24.7109375" customWidth="1"/>
    <col min="4" max="4" width="22.28515625" customWidth="1"/>
    <col min="5" max="5" width="71" customWidth="1"/>
    <col min="6" max="6" width="97.7109375" customWidth="1"/>
  </cols>
  <sheetData>
    <row r="1" spans="1:5" ht="20.25" x14ac:dyDescent="0.25">
      <c r="A1" s="53">
        <v>1</v>
      </c>
      <c r="B1" s="54" t="str">
        <f>VLOOKUP("T.01.01",HE_label,2,FALSE)</f>
        <v>Kranken VVG: Einführung</v>
      </c>
      <c r="C1" s="54"/>
      <c r="D1" s="227"/>
      <c r="E1" s="227"/>
    </row>
    <row r="2" spans="1:5" x14ac:dyDescent="0.2">
      <c r="B2" s="228" t="str" cm="1">
        <f t="array" ref="B2">HE_company_name&amp;" - SST "&amp;HE_CY&amp;HE_suffix</f>
        <v xml:space="preserve"> - SST 2025</v>
      </c>
    </row>
    <row r="3" spans="1:5" x14ac:dyDescent="0.2">
      <c r="B3" s="690"/>
    </row>
    <row r="5" spans="1:5" ht="15.75" x14ac:dyDescent="0.25">
      <c r="B5" s="222" t="str">
        <f>VLOOKUP("T.01.02",HE_label,2,FALSE)</f>
        <v>Einführung</v>
      </c>
      <c r="C5" s="248"/>
    </row>
    <row r="6" spans="1:5" x14ac:dyDescent="0.2">
      <c r="B6" s="229"/>
    </row>
    <row r="7" spans="1:5" x14ac:dyDescent="0.2">
      <c r="B7" s="547" t="str">
        <f>VLOOKUP("T.01.04",HE_label,2,FALSE)</f>
        <v>Dieses «SST-Health-Template» dient dem SST-Standardmodell für Krankenversicherungen (ausschliesslich Krankenversicherungen nach Versicherungsvertragsgesetz [VVG]).</v>
      </c>
    </row>
    <row r="8" spans="1:5" x14ac:dyDescent="0.2">
      <c r="B8" s="547" t="str">
        <f>VLOOKUP("T.01.05",HE_label,2,FALSE)</f>
        <v>Dieses Template deckt Folgendes ab:</v>
      </c>
    </row>
    <row r="9" spans="1:5" x14ac:dyDescent="0.2">
      <c r="B9" s="548" t="str">
        <f>VLOOKUP("T.01.06",HE_label,2,FALSE)</f>
        <v xml:space="preserve">  - Die Parameter und die Eingaben für die Ermittlung der Langzeitverpflichtungen (LZV) </v>
      </c>
    </row>
    <row r="10" spans="1:5" x14ac:dyDescent="0.2">
      <c r="B10" s="548" t="str">
        <f>VLOOKUP("T.01.07",HE_label,2,FALSE)</f>
        <v xml:space="preserve">  - Das Risikomodell der Krankenversicherung (Eingaben und Berechnungen zum Teil automatisiert)</v>
      </c>
    </row>
    <row r="11" spans="1:5" x14ac:dyDescent="0.2">
      <c r="B11" s="548" t="str">
        <f>VLOOKUP("T.01.08",HE_label,2,FALSE)</f>
        <v xml:space="preserve">  - Die Eingaben der Krankenversicherung für das SST-Template</v>
      </c>
    </row>
    <row r="12" spans="1:5" x14ac:dyDescent="0.2">
      <c r="B12" s="547" t="str">
        <f>VLOOKUP("T.01.09",HE_label,2,FALSE)</f>
        <v>Weitere Details sind in der Rubrik «Benutzerhandbuch» unten zu finden, insbesondere zum Verfahren zur Ermittlung der LZV.</v>
      </c>
    </row>
    <row r="13" spans="1:5" x14ac:dyDescent="0.2">
      <c r="B13" s="230" t="str">
        <f>VLOOKUP("T.01.10",HE_label,2,FALSE)</f>
        <v xml:space="preserve">Änderungen in Bezug auf frühere Versionen sind im Tabellenblatt « HE_update» aufgeführt. </v>
      </c>
    </row>
    <row r="14" spans="1:5" x14ac:dyDescent="0.2">
      <c r="B14" s="230"/>
    </row>
    <row r="16" spans="1:5" ht="15.75" x14ac:dyDescent="0.25">
      <c r="B16" s="231" t="str">
        <f>VLOOKUP("T.01.11",HE_label,2,FALSE)</f>
        <v>Informationen zur aktuellen SST-Ermittlung</v>
      </c>
    </row>
    <row r="17" spans="1:6" x14ac:dyDescent="0.2">
      <c r="F17" s="565"/>
    </row>
    <row r="18" spans="1:6" x14ac:dyDescent="0.2">
      <c r="B18" s="549" t="s">
        <v>54</v>
      </c>
      <c r="C18" s="242"/>
      <c r="D18" s="242"/>
      <c r="E18" s="564" t="s">
        <v>2076</v>
      </c>
      <c r="F18" s="565"/>
    </row>
    <row r="20" spans="1:6" x14ac:dyDescent="0.2">
      <c r="A20" s="58"/>
      <c r="B20" s="1296" t="str">
        <f>VLOOKUP("T.01.12",HE_label,2,FALSE)</f>
        <v>Aktuelles Jahr (CY) der SST-Ermittlung</v>
      </c>
      <c r="C20" s="1297" t="str">
        <f>VLOOKUP("T.01.11",HE_label,2,FALSE)</f>
        <v>Informationen zur aktuellen SST-Ermittlung</v>
      </c>
      <c r="D20" s="1298" t="str">
        <f>VLOOKUP("T.01.11",HE_label,2,FALSE)</f>
        <v>Informationen zur aktuellen SST-Ermittlung</v>
      </c>
      <c r="E20" s="232">
        <v>2025</v>
      </c>
    </row>
    <row r="22" spans="1:6" x14ac:dyDescent="0.2">
      <c r="A22" s="58"/>
      <c r="B22" s="1296" t="str">
        <f>VLOOKUP("T.01.13",HE_label,2,FALSE)</f>
        <v>Name der Gesellschaft</v>
      </c>
      <c r="C22" s="1297" t="str">
        <f>VLOOKUP("T.01.11",HE_label,2,FALSE)</f>
        <v>Informationen zur aktuellen SST-Ermittlung</v>
      </c>
      <c r="D22" s="1298" t="str">
        <f>VLOOKUP("T.01.11",HE_label,2,FALSE)</f>
        <v>Informationen zur aktuellen SST-Ermittlung</v>
      </c>
      <c r="E22" s="233"/>
    </row>
    <row r="24" spans="1:6" x14ac:dyDescent="0.2">
      <c r="A24" s="58"/>
      <c r="B24" s="1296" t="str">
        <f>VLOOKUP("T.01.14",HE_label,2,FALSE)</f>
        <v>Suffix für den Titel (optional, in der Regel leer)</v>
      </c>
      <c r="C24" s="1297" t="str">
        <f>VLOOKUP("T.01.11",HE_label,2,FALSE)</f>
        <v>Informationen zur aktuellen SST-Ermittlung</v>
      </c>
      <c r="D24" s="1298" t="str">
        <f>VLOOKUP("T.01.11",HE_label,2,FALSE)</f>
        <v>Informationen zur aktuellen SST-Ermittlung</v>
      </c>
      <c r="E24" s="1247"/>
    </row>
    <row r="26" spans="1:6" x14ac:dyDescent="0.2">
      <c r="B26" s="1296" t="str">
        <f>VLOOKUP("T.01.15",HE_label,2,FALSE)</f>
        <v>Kontaktperson</v>
      </c>
      <c r="C26" s="1297" t="str">
        <f>VLOOKUP("T.01.11",HE_label,2,FALSE)</f>
        <v>Informationen zur aktuellen SST-Ermittlung</v>
      </c>
      <c r="D26" s="1297" t="str">
        <f>VLOOKUP("T.01.11",HE_label,2,FALSE)</f>
        <v>Informationen zur aktuellen SST-Ermittlung</v>
      </c>
      <c r="E26" s="234"/>
    </row>
    <row r="28" spans="1:6" x14ac:dyDescent="0.2">
      <c r="B28" s="1296" t="str">
        <f>VLOOKUP("T.01.16",HE_label,2,FALSE)</f>
        <v>E-Mail</v>
      </c>
      <c r="C28" s="1297" t="str">
        <f>VLOOKUP("T.01.11",HE_label,2,FALSE)</f>
        <v>Informationen zur aktuellen SST-Ermittlung</v>
      </c>
      <c r="D28" s="1297" t="str">
        <f>VLOOKUP("T.01.11",HE_label,2,FALSE)</f>
        <v>Informationen zur aktuellen SST-Ermittlung</v>
      </c>
      <c r="E28" s="234"/>
    </row>
    <row r="30" spans="1:6" x14ac:dyDescent="0.2">
      <c r="A30" s="58"/>
      <c r="B30" s="1296" t="str">
        <f>VLOOKUP("T.01.17",HE_label,2,FALSE)</f>
        <v>SST-Währung</v>
      </c>
      <c r="C30" s="1297" t="str">
        <f>VLOOKUP("T.01.11",HE_label,2,FALSE)</f>
        <v>Informationen zur aktuellen SST-Ermittlung</v>
      </c>
      <c r="D30" s="1298" t="str">
        <f>VLOOKUP("T.01.11",HE_label,2,FALSE)</f>
        <v>Informationen zur aktuellen SST-Ermittlung</v>
      </c>
      <c r="E30" s="244" t="s">
        <v>31</v>
      </c>
    </row>
    <row r="32" spans="1:6" x14ac:dyDescent="0.2">
      <c r="B32" s="1296" t="str">
        <f>VLOOKUP("T.01.18",HE_label,2,FALSE)</f>
        <v>Suffix für die Output-Datei der Ermittlung der LZV («LZV_Result_suffix.xlsx»)</v>
      </c>
      <c r="C32" s="1297" t="str">
        <f>VLOOKUP("T.01.11",HE_label,2,FALSE)</f>
        <v>Informationen zur aktuellen SST-Ermittlung</v>
      </c>
      <c r="D32" s="1297" t="str">
        <f>VLOOKUP("T.01.11",HE_label,2,FALSE)</f>
        <v>Informationen zur aktuellen SST-Ermittlung</v>
      </c>
      <c r="E32" s="234"/>
    </row>
    <row r="35" spans="2:5" x14ac:dyDescent="0.2">
      <c r="B35" s="51"/>
    </row>
    <row r="36" spans="2:5" ht="15.75" x14ac:dyDescent="0.25">
      <c r="B36" s="231" t="str">
        <f>VLOOKUP("T.01.19",HE_label,2,FALSE)</f>
        <v>Konventionen</v>
      </c>
      <c r="C36" s="235"/>
    </row>
    <row r="37" spans="2:5" x14ac:dyDescent="0.2">
      <c r="B37" s="236"/>
      <c r="C37" s="235"/>
    </row>
    <row r="38" spans="2:5" x14ac:dyDescent="0.2">
      <c r="B38" s="550" t="str">
        <f>VLOOKUP("T.01.20",HE_label,2,FALSE)</f>
        <v>Farbcode</v>
      </c>
      <c r="D38" s="235"/>
      <c r="E38" s="235"/>
    </row>
    <row r="39" spans="2:5" x14ac:dyDescent="0.2">
      <c r="B39" s="68"/>
      <c r="D39" s="235"/>
      <c r="E39" s="235"/>
    </row>
    <row r="40" spans="2:5" ht="15" x14ac:dyDescent="0.2">
      <c r="B40" s="268" t="str">
        <f>VLOOKUP("T.01.21",HE_label,2,FALSE)</f>
        <v>Daten</v>
      </c>
      <c r="C40" s="237" t="str">
        <f>VLOOKUP("T.01.21a",HE_label,2,FALSE)</f>
        <v>Tabellenblätter, die vom Versicherungsunternehmen auszufüllen sind.</v>
      </c>
    </row>
    <row r="41" spans="2:5" ht="15" x14ac:dyDescent="0.2">
      <c r="B41" s="238" t="str">
        <f>VLOOKUP("T.01.22",HE_label,2,FALSE)</f>
        <v>Parameter</v>
      </c>
      <c r="C41" s="237" t="str">
        <f>VLOOKUP("T.01.22a",HE_label,2,FALSE)</f>
        <v>Tabellenblätter mit Informationen, Parametern oder Berechnungen. Diese Tabellenblätter sollten in der Regel nicht geändert werden.</v>
      </c>
    </row>
    <row r="42" spans="2:5" ht="15" x14ac:dyDescent="0.2">
      <c r="B42" s="262" t="str">
        <f>VLOOKUP("T.01.23",HE_label,2,FALSE)</f>
        <v>Konfig und LZV_Result</v>
      </c>
      <c r="C42" s="237" t="str">
        <f>VLOOKUP("T.01.23a",HE_label,2,FALSE)</f>
        <v>Tabellenblätter oder Eingabefelder für die Steuerung der anderen Tabellenblätter und des Hilfsmittels LZV-Tool. Sollten in der Regel nicht geändert werden.</v>
      </c>
    </row>
    <row r="43" spans="2:5" x14ac:dyDescent="0.2">
      <c r="C43" s="237"/>
    </row>
    <row r="44" spans="2:5" x14ac:dyDescent="0.2">
      <c r="B44" s="239" t="str">
        <f>VLOOKUP("T.01.24",HE_label,2,FALSE)</f>
        <v>Eingabe</v>
      </c>
      <c r="C44" s="237" t="str">
        <f>VLOOKUP("T.01.24a",HE_label,2,FALSE)</f>
        <v>Eingabefelder: In diesen Feldern sind versicherungsspezifische Eingaben vorzunehmen.</v>
      </c>
      <c r="D44" s="68"/>
      <c r="E44" s="68"/>
    </row>
    <row r="45" spans="2:5" x14ac:dyDescent="0.2">
      <c r="B45" s="240" t="str">
        <f>VLOOKUP("T.01.25",HE_label,2,FALSE)</f>
        <v>Link</v>
      </c>
      <c r="C45" s="241" t="str">
        <f>VLOOKUP("T.01.25a",HE_label,2,FALSE)</f>
        <v>Besondere Felder, die oft mit versicherungsspezifischen Informationen zur Verwendung in anderen Berechnungen verbunden sind.</v>
      </c>
    </row>
    <row r="47" spans="2:5" x14ac:dyDescent="0.2">
      <c r="B47" s="228" t="str">
        <f>VLOOKUP("T.01.26",HE_label,2,FALSE)</f>
        <v>Vorzeichenkonvention</v>
      </c>
    </row>
    <row r="49" spans="2:6" x14ac:dyDescent="0.2">
      <c r="B49" s="255" t="str">
        <f>VLOOKUP("T.01.27",HE_label,2,FALSE)</f>
        <v>Prämien</v>
      </c>
      <c r="C49" s="258" t="str">
        <f>VLOOKUP("T.01.27a",HE_label,2,FALSE)</f>
        <v>Positives Vorzeichen für eingehenden Cashflow</v>
      </c>
      <c r="D49" s="258"/>
    </row>
    <row r="50" spans="2:6" x14ac:dyDescent="0.2">
      <c r="B50" s="256" t="str">
        <f>VLOOKUP("T.01.28",HE_label,2,FALSE)</f>
        <v>Leistungen</v>
      </c>
      <c r="C50" s="258" t="str">
        <f>VLOOKUP("T.01.28a",HE_label,2,FALSE)</f>
        <v>Positives Vorzeichen für ausgehenden Cashflow</v>
      </c>
      <c r="D50" s="258"/>
    </row>
    <row r="51" spans="2:6" x14ac:dyDescent="0.2">
      <c r="B51" s="256" t="str">
        <f>VLOOKUP("T.01.29",HE_label,2,FALSE)</f>
        <v>Kosten</v>
      </c>
      <c r="C51" s="258" t="str">
        <f>VLOOKUP("T.01.29a",HE_label,2,FALSE)</f>
        <v>Positives Vorzeichen für ausgehenden Cashflow</v>
      </c>
      <c r="D51" s="258"/>
    </row>
    <row r="52" spans="2:6" x14ac:dyDescent="0.2">
      <c r="B52" s="256" t="str">
        <f>VLOOKUP("T.01.30",HE_label,2,FALSE)</f>
        <v>Prämien - Leistungen - Kosten</v>
      </c>
      <c r="C52" s="258" t="str">
        <f>VLOOKUP("T.01.30a",HE_label,2,FALSE)</f>
        <v>Positives Vorzeichen wenn Gewinn, negatives Vorzeichen wenn Verlust</v>
      </c>
      <c r="D52" s="258"/>
    </row>
    <row r="53" spans="2:6" x14ac:dyDescent="0.2">
      <c r="B53" s="257" t="str">
        <f>VLOOKUP("T.01.31",HE_label,2,FALSE)</f>
        <v>LZV</v>
      </c>
      <c r="C53" s="258" t="str">
        <f>VLOOKUP("T.01.31a",HE_label,2,FALSE)</f>
        <v>Positives Vorzeichen wenn Bedarf (Verlust), negatives Vorzeichen wenn Guthaben (Gewinn)</v>
      </c>
      <c r="D53" s="258"/>
    </row>
    <row r="54" spans="2:6" s="48" customFormat="1" x14ac:dyDescent="0.2"/>
    <row r="55" spans="2:6" s="48" customFormat="1" ht="18.75" customHeight="1" x14ac:dyDescent="0.2"/>
    <row r="56" spans="2:6" s="48" customFormat="1" ht="15.75" x14ac:dyDescent="0.25">
      <c r="B56" s="1129" t="str">
        <f>VLOOKUP("T.01.32",HE_label,2,FALSE)</f>
        <v>Benutzerhandbuch</v>
      </c>
    </row>
    <row r="57" spans="2:6" s="48" customFormat="1" ht="15.75" x14ac:dyDescent="0.25">
      <c r="B57" s="243"/>
    </row>
    <row r="58" spans="2:6" s="48" customFormat="1" x14ac:dyDescent="0.2">
      <c r="B58" s="857" t="str">
        <f>VLOOKUP("T.01.33",HE_label,2,FALSE)</f>
        <v>Tabellenblätter und jeweiliger Zweck</v>
      </c>
    </row>
    <row r="59" spans="2:6" s="48" customFormat="1" x14ac:dyDescent="0.2">
      <c r="B59" s="344" t="str">
        <f>VLOOKUP("T.01.34",HE_label,2,FALSE)</f>
        <v>Die Liste der Tabellenblätter befindet sich am Anfang des Tabellenblatts «HE_glossary». Die Tabellenblätter werden im Kapitel «Beschreibung des SST-Health-Templates» des Dokuments «Technische Beschreibung für das SST-Standardmodell Kranken» erklärt.</v>
      </c>
    </row>
    <row r="60" spans="2:6" s="48" customFormat="1" x14ac:dyDescent="0.2">
      <c r="B60" s="254" t="str">
        <f>VLOOKUP("T.01.35",HE_label,2,FALSE)</f>
        <v>Das Tabellenblatt «HE_prescribed_parameters» enthält Informationen über die vorgeschriebenen Parameter des SST-Standardmodells Kranken.</v>
      </c>
    </row>
    <row r="61" spans="2:6" s="48" customFormat="1" x14ac:dyDescent="0.2">
      <c r="B61" s="344"/>
    </row>
    <row r="62" spans="2:6" s="48" customFormat="1" x14ac:dyDescent="0.2">
      <c r="B62" s="857" t="str">
        <f>VLOOKUP("T.01.36",HE_label,2,FALSE)</f>
        <v xml:space="preserve">Schritte 1 bis 5: Ermittlung der Langzeitverpflichtungen (LZV) </v>
      </c>
      <c r="D62" s="622"/>
      <c r="E62" s="261" t="str">
        <f>VLOOKUP("T.01.36a",HE_label,2,FALSE)</f>
        <v>Für den SST 2024, gleiches Verfahren zur Ermittlung der LZV wie beim SST 2023. Zudem und separat, freiwillige Schattenrechnung für Verwendung des  LZV-Tools.</v>
      </c>
    </row>
    <row r="63" spans="2:6" s="48" customFormat="1" x14ac:dyDescent="0.2">
      <c r="B63" s="255" t="str">
        <f>VLOOKUP("T.01.37",HE_label,2,FALSE)</f>
        <v>Schritt 1</v>
      </c>
      <c r="C63" s="57" t="str">
        <f>VLOOKUP("T.01.37a",HE_label,2,FALSE)</f>
        <v>Tabellenblätter «Intro_SM_Health» und «HE_contract_groups» ausfüllen</v>
      </c>
      <c r="D63" s="57"/>
      <c r="E63" s="57"/>
      <c r="F63" s="57"/>
    </row>
    <row r="64" spans="2:6" s="48" customFormat="1" x14ac:dyDescent="0.2">
      <c r="B64" s="256" t="str">
        <f>VLOOKUP("T.01.41",HE_label,2,FALSE)</f>
        <v>Schritt 2</v>
      </c>
      <c r="C64" s="57" t="str">
        <f>VLOOKUP("T.01.41a",HE_label,2,FALSE)</f>
        <v xml:space="preserve">Tabellenblatt «HE_VWK» sowie Tabellenblätter «HE_CGx» (ein Tabellenblatt pro Vertragsgruppe) am Ende dieser Mappe ausfüllen.  </v>
      </c>
      <c r="D64" s="57"/>
      <c r="E64" s="57"/>
      <c r="F64" s="57"/>
    </row>
    <row r="65" spans="2:6" s="48" customFormat="1" x14ac:dyDescent="0.2">
      <c r="B65" s="256" t="str">
        <f>VLOOKUP("T.01.42",HE_label,2,FALSE)</f>
        <v>Schritt 3</v>
      </c>
      <c r="C65" s="57" t="str">
        <f>VLOOKUP("T.01.42a",HE_label,2,FALSE)</f>
        <v>LZV-Tool ausführen (für die Produktegruppen, die nicht durch das LZV-Tool berechnet werden, muss «nein» in der Spalte L «Berechnung durch LZV-Tool» im Tabellenblatt «HE_contract_groups» angegeben werden).</v>
      </c>
      <c r="D65" s="57"/>
      <c r="E65" s="57"/>
      <c r="F65" s="57"/>
    </row>
    <row r="66" spans="2:6" s="48" customFormat="1" x14ac:dyDescent="0.2">
      <c r="B66" s="1131" t="str">
        <f>VLOOKUP("T.01.43",HE_label,2,FALSE)</f>
        <v>Schritt 4</v>
      </c>
      <c r="C66" s="57" t="str">
        <f>VLOOKUP("T.01.43a",HE_label,2,FALSE)</f>
        <v xml:space="preserve">Ergebnisse der Ermittlung der LZV, die sich in der durch Ausführung des R- Codes generierten Datei namens «LZV_Result_suffix.xlsx» befinden, in das Tabellenblatt «HE_LZV_CF» (hellgrüne Eingabefelder) kopieren. </v>
      </c>
      <c r="D66" s="57"/>
      <c r="E66" s="57"/>
      <c r="F66" s="57"/>
    </row>
    <row r="67" spans="2:6" s="48" customFormat="1" x14ac:dyDescent="0.2">
      <c r="B67" s="1131" t="str">
        <f>VLOOKUP("T.01.44",HE_label,2,FALSE)</f>
        <v>Schritt 5</v>
      </c>
      <c r="C67" s="57" t="str">
        <f>VLOOKUP("T.01.44a",HE_label,2,FALSE)</f>
        <v>Falls Produktegruppen nicht durch das LZV-Tool berechnet werden (Verwendung eines eigenen Berechnungstools), Eingabefelder (hellorange) im Tabellenblatt « HE_LZV_CF» ausfüllen</v>
      </c>
      <c r="D67" s="57"/>
      <c r="E67" s="57"/>
      <c r="F67" s="57"/>
    </row>
    <row r="68" spans="2:6" s="46" customFormat="1" x14ac:dyDescent="0.2">
      <c r="B68" s="1132"/>
    </row>
    <row r="69" spans="2:6" s="48" customFormat="1" x14ac:dyDescent="0.2">
      <c r="B69" s="857" t="str">
        <f>VLOOKUP("T.01.43bis",HE_label,2,FALSE)</f>
        <v xml:space="preserve">Schritte 6 bis 8: Ermittlung des Versicherungsrisikos </v>
      </c>
      <c r="D69" s="622"/>
    </row>
    <row r="70" spans="2:6" s="48" customFormat="1" x14ac:dyDescent="0.2">
      <c r="B70" s="256" t="str">
        <f>VLOOKUP("T.01.44bis",HE_label,2,FALSE)</f>
        <v>Schritt 6</v>
      </c>
      <c r="C70" s="57" t="str">
        <f>VLOOKUP("T.01.44b",HE_label,2,FALSE)</f>
        <v>Tabellenblätter «HE_CV_Leistungen» und «HE_ins_risk_EK» für Versicherungsrisiko Einzelkranken ausfüllen (die benötigten Ergebnisse der Ermittlung der Langzeitverpflichtungen sind bereits im Tabellenblatt «HE_LZV_CF», siehe oben)</v>
      </c>
      <c r="D70" s="57"/>
      <c r="E70" s="57"/>
      <c r="F70" s="57"/>
    </row>
    <row r="71" spans="2:6" s="48" customFormat="1" x14ac:dyDescent="0.2">
      <c r="B71" s="256" t="str">
        <f>VLOOKUP("T.01.45",HE_label,2,FALSE)</f>
        <v>Schritt 7</v>
      </c>
      <c r="C71" s="57" t="str">
        <f>VLOOKUP("T.01.45a",HE_label,2,FALSE)</f>
        <v>Tabellenblatt «HE_ins_risk_KTG» für Versicherungsrisiko Kollektivtaggeld ausfüllen</v>
      </c>
      <c r="D71" s="57"/>
      <c r="E71" s="57"/>
      <c r="F71" s="57"/>
    </row>
    <row r="72" spans="2:6" s="48" customFormat="1" x14ac:dyDescent="0.2">
      <c r="B72" s="256" t="str">
        <f>VLOOKUP("T.01.46",HE_label,2,FALSE)</f>
        <v>Schritt 8</v>
      </c>
      <c r="C72" s="57" t="str">
        <f>VLOOKUP("T.01.46a",HE_label,2,FALSE)</f>
        <v>Tabellenblatt «HE_expected_result» für erwartetes Versicherungsergebnis und Anzahl versicherte Personen (Kopfzählung) ausfüllen</v>
      </c>
      <c r="D72" s="57"/>
      <c r="E72" s="57"/>
      <c r="F72" s="57"/>
    </row>
    <row r="73" spans="2:6" s="48" customFormat="1" x14ac:dyDescent="0.2">
      <c r="B73" s="254"/>
    </row>
    <row r="74" spans="2:6" s="48" customFormat="1" x14ac:dyDescent="0.2">
      <c r="B74" s="857" t="str">
        <f>VLOOKUP("T.01.47",HE_label,2,FALSE)</f>
        <v>Schritte 9 und 10: Dokumentation und Finalisierung der Berechnungen</v>
      </c>
    </row>
    <row r="75" spans="2:6" s="48" customFormat="1" ht="12" customHeight="1" x14ac:dyDescent="0.2">
      <c r="B75" s="256" t="str">
        <f>VLOOKUP("T.01.48",HE_label,2,FALSE)</f>
        <v>Schritt 9</v>
      </c>
      <c r="C75" s="57" t="str">
        <f>VLOOKUP("T.01.48a",HE_label,2,FALSE)</f>
        <v>Auskunft über die Berechnungen durch schrittweises Ausfüllen des Tabellenblatts «HE_calculation_documentation» geben.</v>
      </c>
      <c r="D75" s="57"/>
      <c r="E75" s="57"/>
      <c r="F75" s="57"/>
    </row>
    <row r="76" spans="2:6" s="48" customFormat="1" ht="12" customHeight="1" x14ac:dyDescent="0.2">
      <c r="B76" s="256" t="str">
        <f>VLOOKUP("T.01.49",HE_label,2,FALSE)</f>
        <v>Schritt 10</v>
      </c>
      <c r="C76" s="57" t="str">
        <f>VLOOKUP("T.01.49a",HE_label,2,FALSE)</f>
        <v>Outputs des Standardmodells Kranken, die sich im Tabellenblatt «HE_input_SST_Template» befinden, ins SST-Template kopieren. Alle SST-Berechnungen für das Fundamental Data Sheet (FDS) werden im SST-Template finalisiert.</v>
      </c>
      <c r="D76" s="57"/>
      <c r="E76" s="57"/>
      <c r="F76" s="57"/>
    </row>
    <row r="77" spans="2:6" s="48" customFormat="1" x14ac:dyDescent="0.2"/>
    <row r="78" spans="2:6" s="48" customFormat="1" ht="19.5" customHeight="1" x14ac:dyDescent="0.2"/>
    <row r="79" spans="2:6" ht="15.75" x14ac:dyDescent="0.25">
      <c r="B79" s="1129"/>
      <c r="C79" s="48"/>
      <c r="D79" s="48"/>
    </row>
    <row r="80" spans="2:6" x14ac:dyDescent="0.2">
      <c r="B80" s="1130"/>
      <c r="C80" s="48"/>
      <c r="D80" s="48"/>
    </row>
    <row r="82" spans="3:3" s="358" customFormat="1" x14ac:dyDescent="0.2"/>
    <row r="83" spans="3:3" s="358" customFormat="1" x14ac:dyDescent="0.2"/>
    <row r="84" spans="3:3" s="358" customFormat="1" x14ac:dyDescent="0.2"/>
    <row r="85" spans="3:3" s="358" customFormat="1" x14ac:dyDescent="0.2"/>
    <row r="86" spans="3:3" s="358" customFormat="1" x14ac:dyDescent="0.2"/>
    <row r="87" spans="3:3" s="358" customFormat="1" x14ac:dyDescent="0.2"/>
    <row r="88" spans="3:3" s="358" customFormat="1" x14ac:dyDescent="0.2"/>
    <row r="89" spans="3:3" s="358" customFormat="1" x14ac:dyDescent="0.2"/>
    <row r="90" spans="3:3" s="358" customFormat="1" x14ac:dyDescent="0.2"/>
    <row r="91" spans="3:3" s="358" customFormat="1" x14ac:dyDescent="0.2">
      <c r="C91" s="1202"/>
    </row>
    <row r="92" spans="3:3" s="358" customFormat="1" x14ac:dyDescent="0.2"/>
    <row r="93" spans="3:3" s="358" customFormat="1" x14ac:dyDescent="0.2"/>
    <row r="94" spans="3:3" s="358" customFormat="1" x14ac:dyDescent="0.2"/>
    <row r="95" spans="3:3" s="358" customFormat="1" x14ac:dyDescent="0.2"/>
    <row r="96" spans="3:3" s="358" customFormat="1" x14ac:dyDescent="0.2"/>
    <row r="97" s="358" customFormat="1" x14ac:dyDescent="0.2"/>
    <row r="98" s="358" customFormat="1" x14ac:dyDescent="0.2"/>
    <row r="99" s="358" customFormat="1" x14ac:dyDescent="0.2"/>
    <row r="100" s="358" customFormat="1" x14ac:dyDescent="0.2"/>
    <row r="101" s="358" customFormat="1" x14ac:dyDescent="0.2"/>
    <row r="102" s="358" customFormat="1" x14ac:dyDescent="0.2"/>
    <row r="103" s="358" customFormat="1" x14ac:dyDescent="0.2"/>
    <row r="104" s="358" customFormat="1" x14ac:dyDescent="0.2"/>
    <row r="105" s="358" customFormat="1" x14ac:dyDescent="0.2"/>
    <row r="106" s="358" customFormat="1" x14ac:dyDescent="0.2"/>
    <row r="107" s="358" customFormat="1" x14ac:dyDescent="0.2"/>
    <row r="108" s="358" customFormat="1" x14ac:dyDescent="0.2"/>
    <row r="109" s="358" customFormat="1" x14ac:dyDescent="0.2"/>
    <row r="110" s="358" customFormat="1" x14ac:dyDescent="0.2"/>
    <row r="111" s="358" customFormat="1" x14ac:dyDescent="0.2"/>
    <row r="112" s="358" customFormat="1" x14ac:dyDescent="0.2"/>
    <row r="113" s="358" customFormat="1" x14ac:dyDescent="0.2"/>
    <row r="114" s="358" customFormat="1" x14ac:dyDescent="0.2"/>
    <row r="115" s="358" customFormat="1" x14ac:dyDescent="0.2"/>
    <row r="116" s="358" customFormat="1" x14ac:dyDescent="0.2"/>
    <row r="117" s="358" customFormat="1" x14ac:dyDescent="0.2"/>
    <row r="118" s="358" customFormat="1" x14ac:dyDescent="0.2"/>
    <row r="119" s="358" customFormat="1" x14ac:dyDescent="0.2"/>
    <row r="120" s="358" customFormat="1" x14ac:dyDescent="0.2"/>
    <row r="121" s="358" customFormat="1" x14ac:dyDescent="0.2"/>
    <row r="122" s="358" customFormat="1" x14ac:dyDescent="0.2"/>
    <row r="123" s="358" customFormat="1" x14ac:dyDescent="0.2"/>
    <row r="124" s="358" customFormat="1" x14ac:dyDescent="0.2"/>
    <row r="125" s="358" customFormat="1" x14ac:dyDescent="0.2"/>
    <row r="126" s="358" customFormat="1" x14ac:dyDescent="0.2"/>
    <row r="127" s="358" customFormat="1" x14ac:dyDescent="0.2"/>
    <row r="128" s="358" customFormat="1" x14ac:dyDescent="0.2"/>
    <row r="129" s="358" customFormat="1" x14ac:dyDescent="0.2"/>
    <row r="130" s="358" customFormat="1" x14ac:dyDescent="0.2"/>
    <row r="131" s="358" customFormat="1" x14ac:dyDescent="0.2"/>
    <row r="132" s="358" customFormat="1" x14ac:dyDescent="0.2"/>
    <row r="133" s="358" customFormat="1" x14ac:dyDescent="0.2"/>
    <row r="134" s="358" customFormat="1" x14ac:dyDescent="0.2"/>
    <row r="135" s="273" customFormat="1" x14ac:dyDescent="0.2"/>
    <row r="136" s="273" customFormat="1" x14ac:dyDescent="0.2"/>
    <row r="137" s="273" customFormat="1" x14ac:dyDescent="0.2"/>
    <row r="138" s="273" customFormat="1" x14ac:dyDescent="0.2"/>
  </sheetData>
  <mergeCells count="7">
    <mergeCell ref="B32:D32"/>
    <mergeCell ref="B20:D20"/>
    <mergeCell ref="B22:D22"/>
    <mergeCell ref="B24:D24"/>
    <mergeCell ref="B30:D30"/>
    <mergeCell ref="B26:D26"/>
    <mergeCell ref="B28:D28"/>
  </mergeCells>
  <dataValidations count="1">
    <dataValidation type="list" allowBlank="1" showInputMessage="1" showErrorMessage="1" sqref="E18" xr:uid="{9623DE4E-98AA-421F-A2AA-7D7180D347C5}">
      <formula1>"DE, FR"</formula1>
    </dataValidation>
  </dataValidations>
  <pageMargins left="0.7" right="0.7" top="0.75" bottom="0.75" header="0.3" footer="0.3"/>
  <pageSetup paperSize="9" orientation="portrait" verticalDpi="0" r:id="rId1"/>
  <ignoredErrors>
    <ignoredError sqref="B49:B52 B68 B63 B70:B76 B64:B67"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8CBE-1043-420D-BBDD-B5646180CEFC}">
  <sheetPr>
    <tabColor rgb="FFA2D3EE"/>
  </sheetPr>
  <dimension ref="A1:W98"/>
  <sheetViews>
    <sheetView showGridLines="0" zoomScale="90" zoomScaleNormal="90" workbookViewId="0"/>
  </sheetViews>
  <sheetFormatPr defaultColWidth="11.42578125" defaultRowHeight="12.75" x14ac:dyDescent="0.2"/>
  <cols>
    <col min="1" max="1" width="5.7109375" customWidth="1"/>
    <col min="2" max="2" width="46.7109375" customWidth="1"/>
    <col min="3" max="5" width="20.42578125" customWidth="1"/>
    <col min="6" max="6" width="25.42578125" customWidth="1"/>
    <col min="7" max="7" width="20.42578125" customWidth="1"/>
    <col min="8" max="8" width="18.85546875" customWidth="1"/>
    <col min="9" max="9" width="4" customWidth="1"/>
    <col min="10" max="10" width="24.85546875" bestFit="1" customWidth="1"/>
    <col min="11" max="11" width="17.5703125" bestFit="1" customWidth="1"/>
    <col min="12" max="12" width="22.42578125" bestFit="1" customWidth="1"/>
    <col min="13" max="13" width="16.85546875" bestFit="1" customWidth="1"/>
    <col min="14" max="14" width="17.5703125" bestFit="1" customWidth="1"/>
    <col min="15" max="15" width="22.42578125" bestFit="1" customWidth="1"/>
    <col min="16" max="16" width="16.85546875" bestFit="1" customWidth="1"/>
    <col min="17" max="18" width="17.5703125" bestFit="1" customWidth="1"/>
    <col min="19" max="19" width="22.42578125" bestFit="1" customWidth="1"/>
    <col min="20" max="20" width="16.85546875" bestFit="1" customWidth="1"/>
    <col min="21" max="21" width="17.5703125" bestFit="1" customWidth="1"/>
  </cols>
  <sheetData>
    <row r="1" spans="1:23" s="39" customFormat="1" ht="20.100000000000001" customHeight="1" x14ac:dyDescent="0.2">
      <c r="A1" s="56">
        <v>9</v>
      </c>
      <c r="B1" s="54" t="str">
        <f>VLOOKUP("T.09.01",HE_label,2,FALSE)</f>
        <v>Kranken VVG: Variationskoeffizient der Leistungen</v>
      </c>
      <c r="D1" s="53"/>
      <c r="E1" s="55"/>
      <c r="F1" s="55"/>
      <c r="G1" s="55"/>
      <c r="H1" s="55"/>
      <c r="I1" s="55"/>
      <c r="R1"/>
      <c r="S1"/>
      <c r="T1"/>
      <c r="U1"/>
      <c r="V1"/>
      <c r="W1"/>
    </row>
    <row r="2" spans="1:23" s="39" customFormat="1" ht="12" customHeight="1" x14ac:dyDescent="0.2">
      <c r="A2" s="56"/>
      <c r="B2" s="228" t="str" cm="1">
        <f t="array" ref="B2">HE_company_name&amp;" - SST "&amp;HE_CY&amp;HE_suffix</f>
        <v xml:space="preserve"> - SST 2025</v>
      </c>
      <c r="D2" s="53"/>
      <c r="E2" s="55"/>
      <c r="F2" s="55"/>
      <c r="G2" s="55"/>
      <c r="H2" s="55"/>
      <c r="I2" s="55"/>
      <c r="R2"/>
      <c r="S2"/>
      <c r="T2"/>
      <c r="U2"/>
      <c r="V2"/>
      <c r="W2"/>
    </row>
    <row r="3" spans="1:23" s="39" customFormat="1" ht="12" customHeight="1" x14ac:dyDescent="0.2">
      <c r="A3" s="56"/>
      <c r="B3" s="228"/>
      <c r="D3" s="53"/>
      <c r="E3" s="55"/>
      <c r="F3" s="55"/>
      <c r="G3" s="55"/>
      <c r="H3" s="55"/>
      <c r="I3" s="55"/>
      <c r="R3"/>
      <c r="S3"/>
      <c r="T3"/>
      <c r="U3"/>
      <c r="V3"/>
      <c r="W3"/>
    </row>
    <row r="4" spans="1:23" s="366" customFormat="1" ht="12.75" customHeight="1" x14ac:dyDescent="0.2">
      <c r="A4" s="56"/>
      <c r="B4" s="54"/>
      <c r="C4" s="1029" t="str">
        <f>Intro_SM_Health!C50</f>
        <v>Positives Vorzeichen für ausgehenden Cashflow</v>
      </c>
      <c r="D4" s="53"/>
      <c r="E4" s="870"/>
      <c r="F4" s="870"/>
      <c r="G4" s="870"/>
      <c r="H4" s="870"/>
      <c r="I4" s="870"/>
      <c r="R4"/>
      <c r="S4"/>
      <c r="T4"/>
      <c r="U4"/>
      <c r="V4"/>
      <c r="W4"/>
    </row>
    <row r="5" spans="1:23" s="366" customFormat="1" ht="12.75" customHeight="1" x14ac:dyDescent="0.2">
      <c r="A5" s="56"/>
      <c r="B5" s="54"/>
      <c r="D5" s="53"/>
      <c r="E5" s="870"/>
      <c r="F5" s="870"/>
      <c r="G5" s="870"/>
      <c r="H5" s="870"/>
      <c r="I5" s="870"/>
      <c r="R5"/>
      <c r="S5"/>
      <c r="T5"/>
      <c r="U5"/>
      <c r="V5"/>
      <c r="W5"/>
    </row>
    <row r="6" spans="1:23" ht="17.25" customHeight="1" x14ac:dyDescent="0.2">
      <c r="B6" s="181"/>
      <c r="C6" s="221">
        <f>HE_prescribed_parameters!D56</f>
        <v>3.0779999999999998</v>
      </c>
    </row>
    <row r="7" spans="1:23" ht="17.25" customHeight="1" x14ac:dyDescent="0.2">
      <c r="B7" s="181"/>
      <c r="C7" s="221">
        <f>HE_prescribed_parameters!E56</f>
        <v>1.1439999999999999</v>
      </c>
    </row>
    <row r="8" spans="1:23" x14ac:dyDescent="0.2">
      <c r="B8" s="862"/>
    </row>
    <row r="9" spans="1:23" ht="25.5" customHeight="1" x14ac:dyDescent="0.2">
      <c r="B9" s="181" t="str">
        <f>VLOOKUP("T.09.02",HE_label,2,FALSE)&amp;HE_CY&amp;VLOOKUP("T.00.02",HE_label,2,FALSE)</f>
        <v>Erwartete Leistungen pro Vertrag für 2025, in CHF</v>
      </c>
      <c r="C9" s="219">
        <f>G21*G22+G35*G36+G49*G50+G63*G64+G77*G78</f>
        <v>0</v>
      </c>
    </row>
    <row r="10" spans="1:23" ht="25.5" customHeight="1" x14ac:dyDescent="0.2">
      <c r="B10" s="181" t="str">
        <f>VLOOKUP("T.09.03",HE_label,2,FALSE)</f>
        <v>Standardabweichung der jährlichen Leistungen pro Vertrag</v>
      </c>
      <c r="C10" s="219" cm="1">
        <f t="array" ref="C10">SQRT(MMULT(C90:G90,MMULT(C94:G98,TRANSPOSE(C90:G90))))</f>
        <v>0</v>
      </c>
    </row>
    <row r="11" spans="1:23" ht="25.5" customHeight="1" x14ac:dyDescent="0.2">
      <c r="B11" s="181" t="str">
        <f>VLOOKUP("T.09.04",HE_label,2,FALSE)</f>
        <v>Variationskoeffizient der jährlichen Leistungen</v>
      </c>
      <c r="C11" s="220">
        <f>IFERROR(C10/C9,0)</f>
        <v>0</v>
      </c>
    </row>
    <row r="12" spans="1:23" ht="25.5" customHeight="1" x14ac:dyDescent="0.2">
      <c r="B12" s="181" t="str">
        <f>VLOOKUP("T.09.05",HE_label,2,FALSE)</f>
        <v>Variationskoeffizient der jährlichen erwarteten Leistungen</v>
      </c>
      <c r="C12" s="185">
        <f>1/SQRT(3)*C11</f>
        <v>0</v>
      </c>
    </row>
    <row r="15" spans="1:23" x14ac:dyDescent="0.2">
      <c r="B15" s="887" t="str">
        <f>HE_PG1_label</f>
        <v>PG1 - Stationäre Produkte Halbprivat, Privat und Flex</v>
      </c>
      <c r="C15" s="279"/>
      <c r="D15" s="279"/>
      <c r="E15" s="279"/>
      <c r="F15" s="279"/>
      <c r="G15" s="279"/>
    </row>
    <row r="16" spans="1:23" ht="25.5" customHeight="1" x14ac:dyDescent="0.2">
      <c r="B16" s="873" t="str">
        <f>VLOOKUP("T.09.06",HE_label,2,FALSE)</f>
        <v>Behandlungsjahr</v>
      </c>
      <c r="C16" s="884" t="str">
        <f>VLOOKUP("T.09.07",HE_label,2,FALSE)</f>
        <v>Leistungen, in CHF</v>
      </c>
      <c r="D16" s="883" t="str">
        <f>VLOOKUP("T.09.08",HE_label,2,FALSE)</f>
        <v>Bestand per 31.12.</v>
      </c>
      <c r="E16" s="885" t="str">
        <f>VLOOKUP("T.09.09",HE_label,2,FALSE)</f>
        <v>Leistungen pro Vertrag, in CHF</v>
      </c>
      <c r="F16" s="1357" t="str">
        <f>B15</f>
        <v>PG1 - Stationäre Produkte Halbprivat, Privat und Flex</v>
      </c>
      <c r="G16" s="1358"/>
    </row>
    <row r="17" spans="2:7" x14ac:dyDescent="0.2">
      <c r="B17" s="104">
        <f t="shared" ref="B17:B24" si="0">B18-1</f>
        <v>2015</v>
      </c>
      <c r="C17" s="892"/>
      <c r="D17" s="892"/>
      <c r="E17" s="878">
        <f>IFERROR(C17/D17,0)</f>
        <v>0</v>
      </c>
      <c r="F17" s="876" t="str">
        <f>VLOOKUP("T.09.10",HE_label,2,FALSE)</f>
        <v>Mittelwert</v>
      </c>
      <c r="G17" s="874">
        <f>IFERROR((MIN(E17:E26)+2*PERCENTILE(E17:E26,0.25)+2*PERCENTILE(E17:E26,0.5)+2*PERCENTILE(E17:E26,0.75)+MAX(E17:E26))/8,0)</f>
        <v>0</v>
      </c>
    </row>
    <row r="18" spans="2:7" x14ac:dyDescent="0.2">
      <c r="B18" s="868">
        <f t="shared" si="0"/>
        <v>2016</v>
      </c>
      <c r="C18" s="893"/>
      <c r="D18" s="893"/>
      <c r="E18" s="879">
        <f t="shared" ref="E18:E21" si="1">IFERROR(C18/D18,0)</f>
        <v>0</v>
      </c>
      <c r="F18" s="877" t="str">
        <f>VLOOKUP("T.00.04",HE_label,2,FALSE)</f>
        <v>Standardabweichung</v>
      </c>
      <c r="G18" s="871">
        <f>IFERROR(1/2*((MAX(E17:E26)-MIN(E17:E26))/Xi+(PERCENTILE(E17:E26,0.75)-PERCENTILE(E17:E26,0.25))/Eta),0)</f>
        <v>0</v>
      </c>
    </row>
    <row r="19" spans="2:7" x14ac:dyDescent="0.2">
      <c r="B19" s="868">
        <f t="shared" si="0"/>
        <v>2017</v>
      </c>
      <c r="C19" s="893"/>
      <c r="D19" s="893"/>
      <c r="E19" s="879">
        <f t="shared" si="1"/>
        <v>0</v>
      </c>
      <c r="F19" s="877" t="str">
        <f>VLOOKUP("T.00.05",HE_label,2,FALSE)</f>
        <v>Variationskoeffizient</v>
      </c>
      <c r="G19" s="875">
        <f>IFERROR(G18/G17,0)</f>
        <v>0</v>
      </c>
    </row>
    <row r="20" spans="2:7" x14ac:dyDescent="0.2">
      <c r="B20" s="868">
        <f t="shared" si="0"/>
        <v>2018</v>
      </c>
      <c r="C20" s="893"/>
      <c r="D20" s="893"/>
      <c r="E20" s="879">
        <f t="shared" si="1"/>
        <v>0</v>
      </c>
      <c r="F20" s="881" t="str">
        <f>VLOOKUP("T.09.11",HE_label,2,FALSE)&amp;HE_CY</f>
        <v>Bestand per 01.01.2025</v>
      </c>
      <c r="G20" s="890"/>
    </row>
    <row r="21" spans="2:7" ht="25.5" x14ac:dyDescent="0.2">
      <c r="B21" s="868">
        <f t="shared" si="0"/>
        <v>2019</v>
      </c>
      <c r="C21" s="893"/>
      <c r="D21" s="893"/>
      <c r="E21" s="879">
        <f t="shared" si="1"/>
        <v>0</v>
      </c>
      <c r="F21" s="877" t="str">
        <f>VLOOKUP("T.09.12",HE_label,2,FALSE)</f>
        <v>Anteil der PG an Total Bestand</v>
      </c>
      <c r="G21" s="875">
        <f>IFERROR(G20/(G$20+G$34+G$48+G$62+G$76),0)</f>
        <v>0</v>
      </c>
    </row>
    <row r="22" spans="2:7" ht="25.5" customHeight="1" x14ac:dyDescent="0.2">
      <c r="B22" s="868">
        <f t="shared" si="0"/>
        <v>2020</v>
      </c>
      <c r="C22" s="893"/>
      <c r="D22" s="893"/>
      <c r="E22" s="879">
        <f>IFERROR(C22/D22,0)</f>
        <v>0</v>
      </c>
      <c r="F22" s="882" t="str">
        <f>B9</f>
        <v>Erwartete Leistungen pro Vertrag für 2025, in CHF</v>
      </c>
      <c r="G22" s="891"/>
    </row>
    <row r="23" spans="2:7" x14ac:dyDescent="0.2">
      <c r="B23" s="868">
        <f t="shared" si="0"/>
        <v>2021</v>
      </c>
      <c r="C23" s="894"/>
      <c r="D23" s="894"/>
      <c r="E23" s="879">
        <f>IFERROR(C23/D23,0)</f>
        <v>0</v>
      </c>
    </row>
    <row r="24" spans="2:7" x14ac:dyDescent="0.2">
      <c r="B24" s="868">
        <f t="shared" si="0"/>
        <v>2022</v>
      </c>
      <c r="C24" s="894"/>
      <c r="D24" s="894"/>
      <c r="E24" s="879">
        <f>IFERROR(C24/D24,0)</f>
        <v>0</v>
      </c>
    </row>
    <row r="25" spans="2:7" x14ac:dyDescent="0.2">
      <c r="B25" s="869">
        <f>B26-1</f>
        <v>2023</v>
      </c>
      <c r="C25" s="894"/>
      <c r="D25" s="894"/>
      <c r="E25" s="879">
        <f>IFERROR(C25/D25,0)</f>
        <v>0</v>
      </c>
    </row>
    <row r="26" spans="2:7" x14ac:dyDescent="0.2">
      <c r="B26" s="872">
        <f>HE_CY-1</f>
        <v>2024</v>
      </c>
      <c r="C26" s="895"/>
      <c r="D26" s="895"/>
      <c r="E26" s="880">
        <f>IFERROR(C26/D26,0)</f>
        <v>0</v>
      </c>
      <c r="F26" s="886"/>
      <c r="G26" s="279"/>
    </row>
    <row r="29" spans="2:7" x14ac:dyDescent="0.2">
      <c r="B29" s="887" t="str">
        <f>HE_PG2_label</f>
        <v>PG2 - Übrige stationäre Produkte</v>
      </c>
      <c r="C29" s="279"/>
      <c r="D29" s="279"/>
      <c r="E29" s="279"/>
      <c r="F29" s="279"/>
      <c r="G29" s="279"/>
    </row>
    <row r="30" spans="2:7" ht="25.5" customHeight="1" x14ac:dyDescent="0.2">
      <c r="B30" s="873" t="str">
        <f>B$16</f>
        <v>Behandlungsjahr</v>
      </c>
      <c r="C30" s="884" t="str">
        <f>C$16</f>
        <v>Leistungen, in CHF</v>
      </c>
      <c r="D30" s="883" t="str">
        <f>D$16</f>
        <v>Bestand per 31.12.</v>
      </c>
      <c r="E30" s="885" t="str">
        <f>E$16</f>
        <v>Leistungen pro Vertrag, in CHF</v>
      </c>
      <c r="F30" s="1357" t="str">
        <f>B29</f>
        <v>PG2 - Übrige stationäre Produkte</v>
      </c>
      <c r="G30" s="1358"/>
    </row>
    <row r="31" spans="2:7" x14ac:dyDescent="0.2">
      <c r="B31" s="104">
        <f t="shared" ref="B31:B38" si="2">B32-1</f>
        <v>2015</v>
      </c>
      <c r="C31" s="892"/>
      <c r="D31" s="892"/>
      <c r="E31" s="878">
        <f>IFERROR(C31/D31,0)</f>
        <v>0</v>
      </c>
      <c r="F31" s="876" t="str">
        <f>F$17</f>
        <v>Mittelwert</v>
      </c>
      <c r="G31" s="874">
        <f>IFERROR((MIN(E31:E40)+2*PERCENTILE(E31:E40,0.25)+2*PERCENTILE(E31:E40,0.5)+2*PERCENTILE(E31:E40,0.75)+MAX(E31:E40))/8,0)</f>
        <v>0</v>
      </c>
    </row>
    <row r="32" spans="2:7" x14ac:dyDescent="0.2">
      <c r="B32" s="868">
        <f t="shared" si="2"/>
        <v>2016</v>
      </c>
      <c r="C32" s="893"/>
      <c r="D32" s="893"/>
      <c r="E32" s="879">
        <f t="shared" ref="E32:E40" si="3">IFERROR(C32/D32,0)</f>
        <v>0</v>
      </c>
      <c r="F32" s="877" t="str">
        <f>F$18</f>
        <v>Standardabweichung</v>
      </c>
      <c r="G32" s="871">
        <f>IFERROR(1/2*((MAX(E31:E40)-MIN(E31:E40))/Xi+(PERCENTILE(E31:E40,0.75)-PERCENTILE(E31:E40,0.25))/Eta),0)</f>
        <v>0</v>
      </c>
    </row>
    <row r="33" spans="2:7" x14ac:dyDescent="0.2">
      <c r="B33" s="868">
        <f t="shared" si="2"/>
        <v>2017</v>
      </c>
      <c r="C33" s="893"/>
      <c r="D33" s="893"/>
      <c r="E33" s="879">
        <f t="shared" si="3"/>
        <v>0</v>
      </c>
      <c r="F33" s="877" t="str">
        <f>F$19</f>
        <v>Variationskoeffizient</v>
      </c>
      <c r="G33" s="875">
        <f>IFERROR(G32/G31,0)</f>
        <v>0</v>
      </c>
    </row>
    <row r="34" spans="2:7" x14ac:dyDescent="0.2">
      <c r="B34" s="868">
        <f t="shared" si="2"/>
        <v>2018</v>
      </c>
      <c r="C34" s="893"/>
      <c r="D34" s="893"/>
      <c r="E34" s="879">
        <f t="shared" si="3"/>
        <v>0</v>
      </c>
      <c r="F34" s="881" t="str">
        <f>F$20</f>
        <v>Bestand per 01.01.2025</v>
      </c>
      <c r="G34" s="890"/>
    </row>
    <row r="35" spans="2:7" ht="25.5" x14ac:dyDescent="0.2">
      <c r="B35" s="868">
        <f t="shared" si="2"/>
        <v>2019</v>
      </c>
      <c r="C35" s="893"/>
      <c r="D35" s="893"/>
      <c r="E35" s="879">
        <f t="shared" si="3"/>
        <v>0</v>
      </c>
      <c r="F35" s="877" t="str">
        <f>F$21</f>
        <v>Anteil der PG an Total Bestand</v>
      </c>
      <c r="G35" s="875">
        <f>IFERROR(G34/(G$20+G$34+G$48+G$62+G$76),0)</f>
        <v>0</v>
      </c>
    </row>
    <row r="36" spans="2:7" ht="25.5" x14ac:dyDescent="0.2">
      <c r="B36" s="868">
        <f t="shared" si="2"/>
        <v>2020</v>
      </c>
      <c r="C36" s="893"/>
      <c r="D36" s="893"/>
      <c r="E36" s="879">
        <f t="shared" si="3"/>
        <v>0</v>
      </c>
      <c r="F36" s="882" t="str">
        <f>F$22</f>
        <v>Erwartete Leistungen pro Vertrag für 2025, in CHF</v>
      </c>
      <c r="G36" s="891"/>
    </row>
    <row r="37" spans="2:7" x14ac:dyDescent="0.2">
      <c r="B37" s="868">
        <f t="shared" si="2"/>
        <v>2021</v>
      </c>
      <c r="C37" s="894"/>
      <c r="D37" s="894"/>
      <c r="E37" s="879">
        <f t="shared" si="3"/>
        <v>0</v>
      </c>
    </row>
    <row r="38" spans="2:7" x14ac:dyDescent="0.2">
      <c r="B38" s="868">
        <f t="shared" si="2"/>
        <v>2022</v>
      </c>
      <c r="C38" s="894"/>
      <c r="D38" s="894"/>
      <c r="E38" s="879">
        <f t="shared" si="3"/>
        <v>0</v>
      </c>
    </row>
    <row r="39" spans="2:7" x14ac:dyDescent="0.2">
      <c r="B39" s="869">
        <f>B40-1</f>
        <v>2023</v>
      </c>
      <c r="C39" s="894"/>
      <c r="D39" s="894"/>
      <c r="E39" s="879">
        <f t="shared" si="3"/>
        <v>0</v>
      </c>
    </row>
    <row r="40" spans="2:7" x14ac:dyDescent="0.2">
      <c r="B40" s="872">
        <f>HE_CY-1</f>
        <v>2024</v>
      </c>
      <c r="C40" s="895"/>
      <c r="D40" s="895"/>
      <c r="E40" s="880">
        <f t="shared" si="3"/>
        <v>0</v>
      </c>
      <c r="F40" s="886"/>
      <c r="G40" s="279"/>
    </row>
    <row r="43" spans="2:7" x14ac:dyDescent="0.2">
      <c r="B43" s="887" t="str">
        <f>HE_PG3_label</f>
        <v>PG3 - Ambulante Produkte</v>
      </c>
      <c r="C43" s="279"/>
      <c r="D43" s="279"/>
      <c r="E43" s="279"/>
      <c r="F43" s="279"/>
      <c r="G43" s="279"/>
    </row>
    <row r="44" spans="2:7" ht="25.5" customHeight="1" x14ac:dyDescent="0.2">
      <c r="B44" s="873" t="str">
        <f>B$16</f>
        <v>Behandlungsjahr</v>
      </c>
      <c r="C44" s="884" t="str">
        <f>C$16</f>
        <v>Leistungen, in CHF</v>
      </c>
      <c r="D44" s="883" t="str">
        <f>D$16</f>
        <v>Bestand per 31.12.</v>
      </c>
      <c r="E44" s="885" t="str">
        <f>E$16</f>
        <v>Leistungen pro Vertrag, in CHF</v>
      </c>
      <c r="F44" s="1357" t="str">
        <f>B43</f>
        <v>PG3 - Ambulante Produkte</v>
      </c>
      <c r="G44" s="1358"/>
    </row>
    <row r="45" spans="2:7" x14ac:dyDescent="0.2">
      <c r="B45" s="104">
        <f t="shared" ref="B45:B52" si="4">B46-1</f>
        <v>2015</v>
      </c>
      <c r="C45" s="892"/>
      <c r="D45" s="892"/>
      <c r="E45" s="878">
        <f>IFERROR(C45/D45,0)</f>
        <v>0</v>
      </c>
      <c r="F45" s="876" t="str">
        <f>F$17</f>
        <v>Mittelwert</v>
      </c>
      <c r="G45" s="874">
        <f>IFERROR((MIN(E45:E54)+2*PERCENTILE(E45:E54,0.25)+2*PERCENTILE(E45:E54,0.5)+2*PERCENTILE(E45:E54,0.75)+MAX(E45:E54))/8,0)</f>
        <v>0</v>
      </c>
    </row>
    <row r="46" spans="2:7" x14ac:dyDescent="0.2">
      <c r="B46" s="868">
        <f t="shared" si="4"/>
        <v>2016</v>
      </c>
      <c r="C46" s="893"/>
      <c r="D46" s="893"/>
      <c r="E46" s="879">
        <f t="shared" ref="E46:E54" si="5">IFERROR(C46/D46,0)</f>
        <v>0</v>
      </c>
      <c r="F46" s="877" t="str">
        <f>F$18</f>
        <v>Standardabweichung</v>
      </c>
      <c r="G46" s="871">
        <f>IFERROR(1/2*((MAX(E45:E54)-MIN(E45:E54))/Xi+(PERCENTILE(E45:E54,0.75)-PERCENTILE(E45:E54,0.25))/Eta),0)</f>
        <v>0</v>
      </c>
    </row>
    <row r="47" spans="2:7" x14ac:dyDescent="0.2">
      <c r="B47" s="868">
        <f t="shared" si="4"/>
        <v>2017</v>
      </c>
      <c r="C47" s="893"/>
      <c r="D47" s="893"/>
      <c r="E47" s="879">
        <f t="shared" si="5"/>
        <v>0</v>
      </c>
      <c r="F47" s="877" t="str">
        <f>F$19</f>
        <v>Variationskoeffizient</v>
      </c>
      <c r="G47" s="875">
        <f>IFERROR(G46/G45,0)</f>
        <v>0</v>
      </c>
    </row>
    <row r="48" spans="2:7" x14ac:dyDescent="0.2">
      <c r="B48" s="868">
        <f t="shared" si="4"/>
        <v>2018</v>
      </c>
      <c r="C48" s="893"/>
      <c r="D48" s="893"/>
      <c r="E48" s="879">
        <f t="shared" si="5"/>
        <v>0</v>
      </c>
      <c r="F48" s="881" t="str">
        <f>F$20</f>
        <v>Bestand per 01.01.2025</v>
      </c>
      <c r="G48" s="890"/>
    </row>
    <row r="49" spans="2:7" ht="25.5" x14ac:dyDescent="0.2">
      <c r="B49" s="868">
        <f t="shared" si="4"/>
        <v>2019</v>
      </c>
      <c r="C49" s="893"/>
      <c r="D49" s="893"/>
      <c r="E49" s="879">
        <f t="shared" si="5"/>
        <v>0</v>
      </c>
      <c r="F49" s="877" t="str">
        <f>F$21</f>
        <v>Anteil der PG an Total Bestand</v>
      </c>
      <c r="G49" s="875">
        <f>IFERROR(G48/(G$20+G$34+G$48+G$62+G$76),0)</f>
        <v>0</v>
      </c>
    </row>
    <row r="50" spans="2:7" ht="25.5" x14ac:dyDescent="0.2">
      <c r="B50" s="868">
        <f t="shared" si="4"/>
        <v>2020</v>
      </c>
      <c r="C50" s="893"/>
      <c r="D50" s="893"/>
      <c r="E50" s="879">
        <f t="shared" si="5"/>
        <v>0</v>
      </c>
      <c r="F50" s="882" t="str">
        <f>F$22</f>
        <v>Erwartete Leistungen pro Vertrag für 2025, in CHF</v>
      </c>
      <c r="G50" s="891"/>
    </row>
    <row r="51" spans="2:7" x14ac:dyDescent="0.2">
      <c r="B51" s="868">
        <f t="shared" si="4"/>
        <v>2021</v>
      </c>
      <c r="C51" s="894"/>
      <c r="D51" s="894"/>
      <c r="E51" s="879">
        <f t="shared" si="5"/>
        <v>0</v>
      </c>
    </row>
    <row r="52" spans="2:7" x14ac:dyDescent="0.2">
      <c r="B52" s="868">
        <f t="shared" si="4"/>
        <v>2022</v>
      </c>
      <c r="C52" s="894"/>
      <c r="D52" s="894"/>
      <c r="E52" s="879">
        <f t="shared" si="5"/>
        <v>0</v>
      </c>
    </row>
    <row r="53" spans="2:7" x14ac:dyDescent="0.2">
      <c r="B53" s="869">
        <f>B54-1</f>
        <v>2023</v>
      </c>
      <c r="C53" s="894"/>
      <c r="D53" s="894"/>
      <c r="E53" s="879">
        <f t="shared" si="5"/>
        <v>0</v>
      </c>
    </row>
    <row r="54" spans="2:7" x14ac:dyDescent="0.2">
      <c r="B54" s="872">
        <f>HE_CY-1</f>
        <v>2024</v>
      </c>
      <c r="C54" s="895"/>
      <c r="D54" s="895"/>
      <c r="E54" s="880">
        <f t="shared" si="5"/>
        <v>0</v>
      </c>
      <c r="F54" s="886"/>
      <c r="G54" s="279"/>
    </row>
    <row r="57" spans="2:7" x14ac:dyDescent="0.2">
      <c r="B57" s="887" t="str">
        <f>HE_PG4_label</f>
        <v>PG4 - Langzeitpflege</v>
      </c>
      <c r="C57" s="279"/>
      <c r="D57" s="279"/>
      <c r="E57" s="279"/>
      <c r="F57" s="279"/>
      <c r="G57" s="279"/>
    </row>
    <row r="58" spans="2:7" ht="25.5" customHeight="1" x14ac:dyDescent="0.2">
      <c r="B58" s="873" t="str">
        <f>B$16</f>
        <v>Behandlungsjahr</v>
      </c>
      <c r="C58" s="884" t="str">
        <f>C$16</f>
        <v>Leistungen, in CHF</v>
      </c>
      <c r="D58" s="883" t="str">
        <f>D$16</f>
        <v>Bestand per 31.12.</v>
      </c>
      <c r="E58" s="885" t="str">
        <f>E$16</f>
        <v>Leistungen pro Vertrag, in CHF</v>
      </c>
      <c r="F58" s="1357" t="str">
        <f>B57</f>
        <v>PG4 - Langzeitpflege</v>
      </c>
      <c r="G58" s="1358"/>
    </row>
    <row r="59" spans="2:7" x14ac:dyDescent="0.2">
      <c r="B59" s="104">
        <f t="shared" ref="B59:B66" si="6">B60-1</f>
        <v>2015</v>
      </c>
      <c r="C59" s="892"/>
      <c r="D59" s="892"/>
      <c r="E59" s="878">
        <f>IFERROR(C59/D59,0)</f>
        <v>0</v>
      </c>
      <c r="F59" s="876" t="str">
        <f>F$17</f>
        <v>Mittelwert</v>
      </c>
      <c r="G59" s="874">
        <f>IFERROR((MIN(E59:E68)+2*PERCENTILE(E59:E68,0.25)+2*PERCENTILE(E59:E68,0.5)+2*PERCENTILE(E59:E68,0.75)+MAX(E59:E68))/8,0)</f>
        <v>0</v>
      </c>
    </row>
    <row r="60" spans="2:7" x14ac:dyDescent="0.2">
      <c r="B60" s="868">
        <f t="shared" si="6"/>
        <v>2016</v>
      </c>
      <c r="C60" s="893"/>
      <c r="D60" s="893"/>
      <c r="E60" s="879">
        <f t="shared" ref="E60:E68" si="7">IFERROR(C60/D60,0)</f>
        <v>0</v>
      </c>
      <c r="F60" s="877" t="str">
        <f>F$18</f>
        <v>Standardabweichung</v>
      </c>
      <c r="G60" s="871">
        <f>IFERROR(1/2*((MAX(E59:E68)-MIN(E59:E68))/Xi+(PERCENTILE(E59:E68,0.75)-PERCENTILE(E59:E68,0.25))/Eta),0)</f>
        <v>0</v>
      </c>
    </row>
    <row r="61" spans="2:7" x14ac:dyDescent="0.2">
      <c r="B61" s="868">
        <f t="shared" si="6"/>
        <v>2017</v>
      </c>
      <c r="C61" s="893"/>
      <c r="D61" s="893"/>
      <c r="E61" s="879">
        <f t="shared" si="7"/>
        <v>0</v>
      </c>
      <c r="F61" s="877" t="str">
        <f>F$19</f>
        <v>Variationskoeffizient</v>
      </c>
      <c r="G61" s="875">
        <f>IFERROR(G60/G59,0)</f>
        <v>0</v>
      </c>
    </row>
    <row r="62" spans="2:7" x14ac:dyDescent="0.2">
      <c r="B62" s="868">
        <f t="shared" si="6"/>
        <v>2018</v>
      </c>
      <c r="C62" s="893"/>
      <c r="D62" s="893"/>
      <c r="E62" s="879">
        <f t="shared" si="7"/>
        <v>0</v>
      </c>
      <c r="F62" s="881" t="str">
        <f>F$20</f>
        <v>Bestand per 01.01.2025</v>
      </c>
      <c r="G62" s="890"/>
    </row>
    <row r="63" spans="2:7" ht="25.5" x14ac:dyDescent="0.2">
      <c r="B63" s="868">
        <f t="shared" si="6"/>
        <v>2019</v>
      </c>
      <c r="C63" s="893"/>
      <c r="D63" s="893"/>
      <c r="E63" s="879">
        <f t="shared" si="7"/>
        <v>0</v>
      </c>
      <c r="F63" s="877" t="str">
        <f>F$21</f>
        <v>Anteil der PG an Total Bestand</v>
      </c>
      <c r="G63" s="875">
        <f>IFERROR(G62/(G$20+G$34+G$48+G$62+G$76),0)</f>
        <v>0</v>
      </c>
    </row>
    <row r="64" spans="2:7" ht="25.5" x14ac:dyDescent="0.2">
      <c r="B64" s="868">
        <f t="shared" si="6"/>
        <v>2020</v>
      </c>
      <c r="C64" s="893"/>
      <c r="D64" s="893"/>
      <c r="E64" s="879">
        <f t="shared" si="7"/>
        <v>0</v>
      </c>
      <c r="F64" s="882" t="str">
        <f>F$22</f>
        <v>Erwartete Leistungen pro Vertrag für 2025, in CHF</v>
      </c>
      <c r="G64" s="891"/>
    </row>
    <row r="65" spans="2:7" x14ac:dyDescent="0.2">
      <c r="B65" s="868">
        <f t="shared" si="6"/>
        <v>2021</v>
      </c>
      <c r="C65" s="894"/>
      <c r="D65" s="894"/>
      <c r="E65" s="879">
        <f t="shared" si="7"/>
        <v>0</v>
      </c>
    </row>
    <row r="66" spans="2:7" x14ac:dyDescent="0.2">
      <c r="B66" s="868">
        <f t="shared" si="6"/>
        <v>2022</v>
      </c>
      <c r="C66" s="894"/>
      <c r="D66" s="894"/>
      <c r="E66" s="879">
        <f t="shared" si="7"/>
        <v>0</v>
      </c>
    </row>
    <row r="67" spans="2:7" x14ac:dyDescent="0.2">
      <c r="B67" s="869">
        <f>B68-1</f>
        <v>2023</v>
      </c>
      <c r="C67" s="894"/>
      <c r="D67" s="894"/>
      <c r="E67" s="879">
        <f t="shared" si="7"/>
        <v>0</v>
      </c>
    </row>
    <row r="68" spans="2:7" x14ac:dyDescent="0.2">
      <c r="B68" s="872">
        <f>HE_CY-1</f>
        <v>2024</v>
      </c>
      <c r="C68" s="895"/>
      <c r="D68" s="895"/>
      <c r="E68" s="880">
        <f t="shared" si="7"/>
        <v>0</v>
      </c>
      <c r="F68" s="886"/>
      <c r="G68" s="279"/>
    </row>
    <row r="71" spans="2:7" x14ac:dyDescent="0.2">
      <c r="B71" s="887" t="str">
        <f>HE_PG5_label</f>
        <v>PG5 - Einzeltaggeldversicherung</v>
      </c>
      <c r="C71" s="279"/>
      <c r="D71" s="279"/>
      <c r="E71" s="279"/>
      <c r="F71" s="279"/>
      <c r="G71" s="279"/>
    </row>
    <row r="72" spans="2:7" ht="25.5" customHeight="1" x14ac:dyDescent="0.2">
      <c r="B72" s="873" t="str">
        <f>B$16</f>
        <v>Behandlungsjahr</v>
      </c>
      <c r="C72" s="884" t="str">
        <f>C$16</f>
        <v>Leistungen, in CHF</v>
      </c>
      <c r="D72" s="883" t="str">
        <f>D$16</f>
        <v>Bestand per 31.12.</v>
      </c>
      <c r="E72" s="885" t="str">
        <f>E$16</f>
        <v>Leistungen pro Vertrag, in CHF</v>
      </c>
      <c r="F72" s="1357" t="str">
        <f>B71</f>
        <v>PG5 - Einzeltaggeldversicherung</v>
      </c>
      <c r="G72" s="1358"/>
    </row>
    <row r="73" spans="2:7" x14ac:dyDescent="0.2">
      <c r="B73" s="104">
        <f t="shared" ref="B73:B80" si="8">B74-1</f>
        <v>2015</v>
      </c>
      <c r="C73" s="892"/>
      <c r="D73" s="892"/>
      <c r="E73" s="878">
        <f>IFERROR(C73/D73,0)</f>
        <v>0</v>
      </c>
      <c r="F73" s="876" t="str">
        <f>F$17</f>
        <v>Mittelwert</v>
      </c>
      <c r="G73" s="874">
        <f>IFERROR((MIN(E73:E82)+2*PERCENTILE(E73:E82,0.25)+2*PERCENTILE(E73:E82,0.5)+2*PERCENTILE(E73:E82,0.75)+MAX(E73:E82))/8,0)</f>
        <v>0</v>
      </c>
    </row>
    <row r="74" spans="2:7" x14ac:dyDescent="0.2">
      <c r="B74" s="868">
        <f t="shared" si="8"/>
        <v>2016</v>
      </c>
      <c r="C74" s="893"/>
      <c r="D74" s="893"/>
      <c r="E74" s="879">
        <f t="shared" ref="E74:E82" si="9">IFERROR(C74/D74,0)</f>
        <v>0</v>
      </c>
      <c r="F74" s="877" t="str">
        <f>F$18</f>
        <v>Standardabweichung</v>
      </c>
      <c r="G74" s="871">
        <f>IFERROR(1/2*((MAX(E73:E82)-MIN(E73:E82))/Xi+(PERCENTILE(E73:E82,0.75)-PERCENTILE(E73:E82,0.25))/Eta),0)</f>
        <v>0</v>
      </c>
    </row>
    <row r="75" spans="2:7" x14ac:dyDescent="0.2">
      <c r="B75" s="868">
        <f t="shared" si="8"/>
        <v>2017</v>
      </c>
      <c r="C75" s="893"/>
      <c r="D75" s="893"/>
      <c r="E75" s="879">
        <f t="shared" si="9"/>
        <v>0</v>
      </c>
      <c r="F75" s="877" t="str">
        <f>F$19</f>
        <v>Variationskoeffizient</v>
      </c>
      <c r="G75" s="875">
        <f>IFERROR(G74/G73,0)</f>
        <v>0</v>
      </c>
    </row>
    <row r="76" spans="2:7" x14ac:dyDescent="0.2">
      <c r="B76" s="868">
        <f t="shared" si="8"/>
        <v>2018</v>
      </c>
      <c r="C76" s="893"/>
      <c r="D76" s="893"/>
      <c r="E76" s="879">
        <f t="shared" si="9"/>
        <v>0</v>
      </c>
      <c r="F76" s="881" t="str">
        <f>F$20</f>
        <v>Bestand per 01.01.2025</v>
      </c>
      <c r="G76" s="890"/>
    </row>
    <row r="77" spans="2:7" ht="25.5" x14ac:dyDescent="0.2">
      <c r="B77" s="868">
        <f t="shared" si="8"/>
        <v>2019</v>
      </c>
      <c r="C77" s="893"/>
      <c r="D77" s="893"/>
      <c r="E77" s="879">
        <f t="shared" si="9"/>
        <v>0</v>
      </c>
      <c r="F77" s="877" t="str">
        <f>F$21</f>
        <v>Anteil der PG an Total Bestand</v>
      </c>
      <c r="G77" s="875">
        <f>IFERROR(G76/(G$20+G$34+G$48+G$62+G$76),0)</f>
        <v>0</v>
      </c>
    </row>
    <row r="78" spans="2:7" ht="25.5" x14ac:dyDescent="0.2">
      <c r="B78" s="868">
        <f t="shared" si="8"/>
        <v>2020</v>
      </c>
      <c r="C78" s="893"/>
      <c r="D78" s="893"/>
      <c r="E78" s="879">
        <f t="shared" si="9"/>
        <v>0</v>
      </c>
      <c r="F78" s="882" t="str">
        <f>F$22</f>
        <v>Erwartete Leistungen pro Vertrag für 2025, in CHF</v>
      </c>
      <c r="G78" s="891"/>
    </row>
    <row r="79" spans="2:7" x14ac:dyDescent="0.2">
      <c r="B79" s="868">
        <f t="shared" si="8"/>
        <v>2021</v>
      </c>
      <c r="C79" s="894"/>
      <c r="D79" s="894"/>
      <c r="E79" s="879">
        <f t="shared" si="9"/>
        <v>0</v>
      </c>
    </row>
    <row r="80" spans="2:7" x14ac:dyDescent="0.2">
      <c r="B80" s="868">
        <f t="shared" si="8"/>
        <v>2022</v>
      </c>
      <c r="C80" s="894"/>
      <c r="D80" s="894"/>
      <c r="E80" s="879">
        <f t="shared" si="9"/>
        <v>0</v>
      </c>
    </row>
    <row r="81" spans="2:7" x14ac:dyDescent="0.2">
      <c r="B81" s="869">
        <f>B82-1</f>
        <v>2023</v>
      </c>
      <c r="C81" s="894"/>
      <c r="D81" s="894"/>
      <c r="E81" s="879">
        <f t="shared" si="9"/>
        <v>0</v>
      </c>
    </row>
    <row r="82" spans="2:7" x14ac:dyDescent="0.2">
      <c r="B82" s="872">
        <f>HE_CY-1</f>
        <v>2024</v>
      </c>
      <c r="C82" s="895"/>
      <c r="D82" s="895"/>
      <c r="E82" s="880">
        <f t="shared" si="9"/>
        <v>0</v>
      </c>
      <c r="F82" s="886"/>
      <c r="G82" s="279"/>
    </row>
    <row r="86" spans="2:7" x14ac:dyDescent="0.2">
      <c r="B86" s="182"/>
      <c r="C86" s="888" t="s">
        <v>143</v>
      </c>
      <c r="D86" s="889" t="s">
        <v>144</v>
      </c>
      <c r="E86" s="888" t="s">
        <v>145</v>
      </c>
      <c r="F86" s="889" t="s">
        <v>146</v>
      </c>
      <c r="G86" s="888" t="s">
        <v>147</v>
      </c>
    </row>
    <row r="87" spans="2:7" x14ac:dyDescent="0.2">
      <c r="B87" s="877" t="str">
        <f>F$21</f>
        <v>Anteil der PG an Total Bestand</v>
      </c>
      <c r="C87" s="217">
        <f>G21</f>
        <v>0</v>
      </c>
      <c r="D87" s="217">
        <f>G35</f>
        <v>0</v>
      </c>
      <c r="E87" s="217">
        <f>G49</f>
        <v>0</v>
      </c>
      <c r="F87" s="217">
        <f>G63</f>
        <v>0</v>
      </c>
      <c r="G87" s="217">
        <f>G77</f>
        <v>0</v>
      </c>
    </row>
    <row r="88" spans="2:7" ht="12.75" customHeight="1" x14ac:dyDescent="0.2">
      <c r="B88" s="181" t="str">
        <f>F$22</f>
        <v>Erwartete Leistungen pro Vertrag für 2025, in CHF</v>
      </c>
      <c r="C88" s="218">
        <f>G22</f>
        <v>0</v>
      </c>
      <c r="D88" s="218">
        <f>G36</f>
        <v>0</v>
      </c>
      <c r="E88" s="218">
        <f>G50</f>
        <v>0</v>
      </c>
      <c r="F88" s="218">
        <f>G64</f>
        <v>0</v>
      </c>
      <c r="G88" s="218">
        <f>G78</f>
        <v>0</v>
      </c>
    </row>
    <row r="89" spans="2:7" x14ac:dyDescent="0.2">
      <c r="B89" s="181" t="str">
        <f>F19</f>
        <v>Variationskoeffizient</v>
      </c>
      <c r="C89" s="217">
        <f>G19</f>
        <v>0</v>
      </c>
      <c r="D89" s="217">
        <f>G33</f>
        <v>0</v>
      </c>
      <c r="E89" s="217">
        <f>G47</f>
        <v>0</v>
      </c>
      <c r="F89" s="217">
        <f>G61</f>
        <v>0</v>
      </c>
      <c r="G89" s="217">
        <f>G75</f>
        <v>0</v>
      </c>
    </row>
    <row r="90" spans="2:7" x14ac:dyDescent="0.2">
      <c r="B90" s="183" t="str">
        <f>VLOOKUP("T.09.13",HE_label,2,FALSE)</f>
        <v>Vektor für Berechnung</v>
      </c>
      <c r="C90" s="1005">
        <f>C87*C88*C89</f>
        <v>0</v>
      </c>
      <c r="D90" s="1005">
        <f t="shared" ref="D90:G90" si="10">D87*D88*D89</f>
        <v>0</v>
      </c>
      <c r="E90" s="1005">
        <f t="shared" si="10"/>
        <v>0</v>
      </c>
      <c r="F90" s="1005">
        <f>F87*F88*F89</f>
        <v>0</v>
      </c>
      <c r="G90" s="1005">
        <f t="shared" si="10"/>
        <v>0</v>
      </c>
    </row>
    <row r="92" spans="2:7" x14ac:dyDescent="0.2">
      <c r="B92" s="964"/>
    </row>
    <row r="93" spans="2:7" x14ac:dyDescent="0.2">
      <c r="B93" s="968" t="str">
        <f>VLOOKUP("T.00.03",HE_label,2,FALSE)</f>
        <v>Korrelationsmatrix</v>
      </c>
      <c r="C93" s="888" t="s">
        <v>143</v>
      </c>
      <c r="D93" s="889" t="s">
        <v>144</v>
      </c>
      <c r="E93" s="888" t="s">
        <v>145</v>
      </c>
      <c r="F93" s="889" t="s">
        <v>146</v>
      </c>
      <c r="G93" s="888" t="s">
        <v>147</v>
      </c>
    </row>
    <row r="94" spans="2:7" x14ac:dyDescent="0.2">
      <c r="B94" s="969" t="str">
        <f>HE_PG1_label</f>
        <v>PG1 - Stationäre Produkte Halbprivat, Privat und Flex</v>
      </c>
      <c r="C94" s="970">
        <f>HE_prescribed_parameters!K83</f>
        <v>1</v>
      </c>
      <c r="D94" s="971">
        <f>HE_prescribed_parameters!L83</f>
        <v>0.5</v>
      </c>
      <c r="E94" s="971">
        <f>HE_prescribed_parameters!M83</f>
        <v>0.5</v>
      </c>
      <c r="F94" s="972">
        <f>HE_prescribed_parameters!N83</f>
        <v>0.25</v>
      </c>
      <c r="G94" s="973">
        <f>HE_prescribed_parameters!O83</f>
        <v>0.25</v>
      </c>
    </row>
    <row r="95" spans="2:7" x14ac:dyDescent="0.2">
      <c r="B95" s="969" t="str">
        <f>HE_PG2_label</f>
        <v>PG2 - Übrige stationäre Produkte</v>
      </c>
      <c r="C95" s="974">
        <f>HE_prescribed_parameters!K84</f>
        <v>0.5</v>
      </c>
      <c r="D95" s="975">
        <f>HE_prescribed_parameters!L84</f>
        <v>1</v>
      </c>
      <c r="E95" s="976">
        <f>HE_prescribed_parameters!M84</f>
        <v>0.5</v>
      </c>
      <c r="F95" s="976">
        <f>HE_prescribed_parameters!N84</f>
        <v>0.25</v>
      </c>
      <c r="G95" s="977">
        <f>HE_prescribed_parameters!O84</f>
        <v>0.25</v>
      </c>
    </row>
    <row r="96" spans="2:7" x14ac:dyDescent="0.2">
      <c r="B96" s="969" t="str">
        <f>HE_PG3_label</f>
        <v>PG3 - Ambulante Produkte</v>
      </c>
      <c r="C96" s="978">
        <f>HE_prescribed_parameters!K85</f>
        <v>0.5</v>
      </c>
      <c r="D96" s="979">
        <f>HE_prescribed_parameters!L85</f>
        <v>0.5</v>
      </c>
      <c r="E96" s="980">
        <f>HE_prescribed_parameters!M85</f>
        <v>1</v>
      </c>
      <c r="F96" s="979">
        <f>HE_prescribed_parameters!N85</f>
        <v>0.25</v>
      </c>
      <c r="G96" s="981">
        <f>HE_prescribed_parameters!O85</f>
        <v>0.25</v>
      </c>
    </row>
    <row r="97" spans="2:7" x14ac:dyDescent="0.2">
      <c r="B97" s="969" t="str">
        <f>HE_PG4_label</f>
        <v>PG4 - Langzeitpflege</v>
      </c>
      <c r="C97" s="974">
        <f>HE_prescribed_parameters!K86</f>
        <v>0.25</v>
      </c>
      <c r="D97" s="974">
        <f>HE_prescribed_parameters!L86</f>
        <v>0.25</v>
      </c>
      <c r="E97" s="976">
        <f>HE_prescribed_parameters!M86</f>
        <v>0.25</v>
      </c>
      <c r="F97" s="982">
        <f>HE_prescribed_parameters!N86</f>
        <v>1</v>
      </c>
      <c r="G97" s="977">
        <f>HE_prescribed_parameters!O86</f>
        <v>0.25</v>
      </c>
    </row>
    <row r="98" spans="2:7" x14ac:dyDescent="0.2">
      <c r="B98" s="986" t="str">
        <f>HE_PG5_label</f>
        <v>PG5 - Einzeltaggeldversicherung</v>
      </c>
      <c r="C98" s="983">
        <f>HE_prescribed_parameters!K87</f>
        <v>0.25</v>
      </c>
      <c r="D98" s="984">
        <f>HE_prescribed_parameters!L87</f>
        <v>0.25</v>
      </c>
      <c r="E98" s="983">
        <f>HE_prescribed_parameters!M87</f>
        <v>0.25</v>
      </c>
      <c r="F98" s="984">
        <f>HE_prescribed_parameters!N87</f>
        <v>0.25</v>
      </c>
      <c r="G98" s="985">
        <f>HE_prescribed_parameters!O87</f>
        <v>1</v>
      </c>
    </row>
  </sheetData>
  <mergeCells count="5">
    <mergeCell ref="F30:G30"/>
    <mergeCell ref="F44:G44"/>
    <mergeCell ref="F58:G58"/>
    <mergeCell ref="F72:G72"/>
    <mergeCell ref="F16:G1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A2D3EE"/>
    <pageSetUpPr fitToPage="1"/>
  </sheetPr>
  <dimension ref="A1:T116"/>
  <sheetViews>
    <sheetView showGridLines="0" zoomScale="110" zoomScaleNormal="110" workbookViewId="0">
      <selection activeCell="B46" sqref="B46"/>
    </sheetView>
  </sheetViews>
  <sheetFormatPr defaultColWidth="9.140625" defaultRowHeight="12.75" x14ac:dyDescent="0.2"/>
  <cols>
    <col min="1" max="1" width="5.7109375" style="17" customWidth="1"/>
    <col min="2" max="2" width="64" style="23" customWidth="1"/>
    <col min="3" max="3" width="20.42578125" style="23" customWidth="1"/>
    <col min="4" max="4" width="20.42578125" style="24" customWidth="1"/>
    <col min="5" max="5" width="20.42578125" style="25" customWidth="1"/>
    <col min="6" max="7" width="20.42578125" style="24" customWidth="1"/>
    <col min="8" max="8" width="20.42578125" style="23" customWidth="1"/>
    <col min="9" max="9" width="20.42578125" style="17" customWidth="1"/>
    <col min="10" max="16" width="20.42578125" style="26" customWidth="1"/>
    <col min="17" max="18" width="5.85546875" style="26" customWidth="1"/>
    <col min="19" max="16384" width="9.140625" style="26"/>
  </cols>
  <sheetData>
    <row r="1" spans="1:19" s="14" customFormat="1" ht="20.100000000000001" customHeight="1" x14ac:dyDescent="0.2">
      <c r="A1" s="53">
        <v>10</v>
      </c>
      <c r="B1" s="54" t="str">
        <f>VLOOKUP("T.10.01",HE_label,2,FALSE)</f>
        <v>Kranken VVG: Versicherungsrisiko der Branche Einzelkrankenversicherung (EK)</v>
      </c>
      <c r="C1" s="59"/>
      <c r="D1" s="59"/>
      <c r="E1" s="59"/>
      <c r="F1" s="59"/>
      <c r="G1"/>
      <c r="H1"/>
      <c r="I1"/>
      <c r="J1"/>
      <c r="K1" s="6"/>
      <c r="L1" s="6"/>
      <c r="M1" s="6"/>
      <c r="N1" s="6"/>
      <c r="O1" s="6"/>
      <c r="P1" s="6"/>
      <c r="Q1" s="6"/>
      <c r="R1" s="6"/>
      <c r="S1" s="6"/>
    </row>
    <row r="2" spans="1:19" s="14" customFormat="1" ht="14.25" customHeight="1" x14ac:dyDescent="0.2">
      <c r="A2" s="53"/>
      <c r="B2" s="228" t="str" cm="1">
        <f t="array" ref="B2">HE_company_name&amp;" - SST "&amp;HE_CY&amp;HE_suffix</f>
        <v xml:space="preserve"> - SST 2025</v>
      </c>
      <c r="C2" s="59"/>
      <c r="D2" s="59"/>
      <c r="E2" s="59"/>
      <c r="F2" s="59"/>
      <c r="G2"/>
      <c r="H2"/>
      <c r="I2"/>
      <c r="J2"/>
      <c r="K2" s="6"/>
      <c r="L2" s="6"/>
      <c r="M2" s="6"/>
      <c r="N2" s="6"/>
      <c r="O2" s="6"/>
      <c r="P2" s="6"/>
      <c r="Q2" s="6"/>
      <c r="R2" s="6"/>
      <c r="S2" s="6"/>
    </row>
    <row r="3" spans="1:19" s="18" customFormat="1" ht="12.75" customHeight="1" x14ac:dyDescent="0.2">
      <c r="A3" s="15"/>
      <c r="B3" s="42"/>
      <c r="C3" s="6"/>
      <c r="D3" s="6"/>
      <c r="E3" s="17"/>
      <c r="G3"/>
      <c r="H3"/>
      <c r="I3"/>
      <c r="J3"/>
      <c r="K3" s="19"/>
      <c r="L3" s="19"/>
      <c r="M3" s="19"/>
      <c r="N3" s="19"/>
      <c r="O3" s="19"/>
      <c r="P3" s="19"/>
      <c r="Q3" s="19"/>
      <c r="R3" s="19"/>
    </row>
    <row r="4" spans="1:19" s="18" customFormat="1" ht="12.75" customHeight="1" x14ac:dyDescent="0.2">
      <c r="A4" s="15"/>
      <c r="B4" s="42"/>
      <c r="C4" s="12"/>
      <c r="D4" s="6"/>
      <c r="E4" s="17"/>
      <c r="G4"/>
      <c r="H4"/>
      <c r="I4"/>
      <c r="J4"/>
      <c r="K4" s="19"/>
      <c r="L4" s="19"/>
      <c r="M4" s="19"/>
      <c r="N4" s="19"/>
      <c r="O4" s="19"/>
      <c r="P4" s="19"/>
      <c r="Q4" s="19"/>
      <c r="R4" s="19"/>
    </row>
    <row r="5" spans="1:19" s="18" customFormat="1" ht="14.25" customHeight="1" x14ac:dyDescent="0.2">
      <c r="A5" s="15"/>
      <c r="B5" s="896" t="str">
        <f>VLOOKUP("T.10.02",HE_label,2,FALSE)</f>
        <v>Werte in SST-Bilanz und in statutarischer Bilanz</v>
      </c>
      <c r="D5" s="911"/>
      <c r="E5" s="17"/>
      <c r="F5" s="912" t="str">
        <f>VLOOKUP("T.10.03",HE_label,2,FALSE)</f>
        <v>Berechnungsschritte</v>
      </c>
      <c r="G5" s="912"/>
      <c r="H5" s="912"/>
      <c r="I5"/>
      <c r="J5"/>
      <c r="K5" s="19"/>
      <c r="L5" s="19"/>
      <c r="M5" s="19"/>
      <c r="N5" s="19"/>
      <c r="O5" s="19"/>
      <c r="P5" s="19"/>
      <c r="Q5" s="19"/>
      <c r="R5" s="19"/>
    </row>
    <row r="6" spans="1:19" s="18" customFormat="1" ht="38.25" customHeight="1" x14ac:dyDescent="0.2">
      <c r="A6" s="15"/>
      <c r="B6" s="1230" t="str">
        <f>Intro_SM_Health!C53</f>
        <v>Positives Vorzeichen wenn Bedarf (Verlust), negatives Vorzeichen wenn Guthaben (Gewinn)</v>
      </c>
      <c r="C6" s="6"/>
      <c r="D6" s="925"/>
      <c r="E6" s="17"/>
      <c r="F6" s="1361" t="str">
        <f>VLOOKUP("T.10.03a",HE_label,2,FALSE)</f>
        <v>Vor Prämien-Cap, undiskontiert, in CHF</v>
      </c>
      <c r="G6" s="1364" t="str">
        <f>VLOOKUP("T.10.03b",HE_label,2,FALSE)</f>
        <v>Quotient vor/nach Cap</v>
      </c>
      <c r="H6" s="1362" t="str">
        <f>VLOOKUP("T.10.03c",HE_label,2,FALSE)</f>
        <v>Nach Prämien-Cap, undiskontiert, in CHF</v>
      </c>
      <c r="I6" s="1364" t="str">
        <f>VLOOKUP("T.10.03d",HE_label,2,FALSE)</f>
        <v>Quotient vor/nach Diskontierung</v>
      </c>
      <c r="J6" s="1363" t="str">
        <f>VLOOKUP("T.10.03e",HE_label,2,FALSE)</f>
        <v>Nach Prämien-Cap, diskontiert, in CHF</v>
      </c>
      <c r="K6" s="19"/>
      <c r="L6" s="19"/>
      <c r="M6" s="19"/>
      <c r="N6" s="19"/>
      <c r="O6" s="19"/>
      <c r="P6" s="19"/>
      <c r="Q6" s="19"/>
      <c r="R6" s="19"/>
    </row>
    <row r="7" spans="1:19" s="18" customFormat="1" ht="14.25" customHeight="1" x14ac:dyDescent="0.2">
      <c r="A7" s="15"/>
      <c r="B7" s="903" t="str">
        <f>VLOOKUP("T.10.04",HE_label,2,FALSE)</f>
        <v>Best-Estimate der Langzeitverpflichtungen (Kranken): Brutto</v>
      </c>
      <c r="C7" s="904"/>
      <c r="D7" s="905" t="str">
        <f>VLOOKUP("T.00.02a",HE_label,2,FALSE)</f>
        <v>in CHF</v>
      </c>
      <c r="E7"/>
      <c r="F7" s="1361" t="str">
        <f>VLOOKUP("T.10.03",HE_label,2,FALSE)</f>
        <v>Berechnungsschritte</v>
      </c>
      <c r="G7" s="1364" t="str">
        <f>VLOOKUP("T.10.03",HE_label,2,FALSE)</f>
        <v>Berechnungsschritte</v>
      </c>
      <c r="H7" s="1362" t="str">
        <f>VLOOKUP("T.10.03",HE_label,2,FALSE)</f>
        <v>Berechnungsschritte</v>
      </c>
      <c r="I7" s="1364" t="str">
        <f>VLOOKUP("T.10.03",HE_label,2,FALSE)</f>
        <v>Berechnungsschritte</v>
      </c>
      <c r="J7" s="1363" t="str">
        <f>VLOOKUP("T.10.03",HE_label,2,FALSE)</f>
        <v>Berechnungsschritte</v>
      </c>
      <c r="K7" s="19"/>
      <c r="L7" s="19"/>
      <c r="M7" s="19"/>
      <c r="N7" s="19"/>
      <c r="O7" s="19"/>
      <c r="P7" s="19"/>
      <c r="Q7" s="19"/>
      <c r="R7" s="19"/>
    </row>
    <row r="8" spans="1:19" s="18" customFormat="1" ht="14.25" customHeight="1" x14ac:dyDescent="0.2">
      <c r="B8" s="901" t="str">
        <f>HE_PGTot_label</f>
        <v>Total fünf Produktegruppen</v>
      </c>
      <c r="C8" s="902"/>
      <c r="D8" s="906">
        <f>-HE_LZV_CF!D68</f>
        <v>0</v>
      </c>
      <c r="F8" s="914">
        <f>-HE_LZV_CF!G44</f>
        <v>0</v>
      </c>
      <c r="G8" s="915">
        <f>IFERROR(H8/F8,0)</f>
        <v>0</v>
      </c>
      <c r="H8" s="916">
        <f>-HE_LZV_CF!G68</f>
        <v>0</v>
      </c>
      <c r="I8" s="915">
        <f>IFERROR(J8/H8,0)</f>
        <v>0</v>
      </c>
      <c r="J8" s="917">
        <f>-HE_LZV_CF!D68</f>
        <v>0</v>
      </c>
      <c r="K8" s="19"/>
      <c r="L8" s="19"/>
      <c r="M8" s="19"/>
      <c r="N8" s="19"/>
      <c r="O8" s="19"/>
      <c r="P8" s="19"/>
      <c r="Q8" s="19"/>
      <c r="R8" s="19"/>
    </row>
    <row r="9" spans="1:19" s="18" customFormat="1" ht="14.25" customHeight="1" x14ac:dyDescent="0.2">
      <c r="A9" s="15"/>
      <c r="B9" s="897" t="str">
        <f>HE_PG1_label</f>
        <v>PG1 - Stationäre Produkte Halbprivat, Privat und Flex</v>
      </c>
      <c r="C9" s="898"/>
      <c r="D9" s="99">
        <f>-HE_LZV_CF!D69</f>
        <v>0</v>
      </c>
      <c r="F9" s="918">
        <f>-HE_LZV_CF!G45</f>
        <v>0</v>
      </c>
      <c r="G9" s="919">
        <f t="shared" ref="G9:G13" si="0">IFERROR(H9/F9,0)</f>
        <v>0</v>
      </c>
      <c r="H9" s="920">
        <f>-HE_LZV_CF!G69</f>
        <v>0</v>
      </c>
      <c r="I9" s="919">
        <f t="shared" ref="I9:I13" si="1">IFERROR(J9/H9,0)</f>
        <v>0</v>
      </c>
      <c r="J9" s="920">
        <f>-HE_LZV_CF!D69</f>
        <v>0</v>
      </c>
      <c r="K9" s="19"/>
      <c r="L9" s="19"/>
      <c r="M9" s="19"/>
      <c r="N9" s="19"/>
      <c r="O9" s="19"/>
      <c r="P9" s="19"/>
      <c r="Q9" s="19"/>
      <c r="R9" s="19"/>
    </row>
    <row r="10" spans="1:19" s="18" customFormat="1" ht="14.25" customHeight="1" x14ac:dyDescent="0.2">
      <c r="A10" s="15"/>
      <c r="B10" s="897" t="str">
        <f>HE_PG2_label</f>
        <v>PG2 - Übrige stationäre Produkte</v>
      </c>
      <c r="C10" s="898"/>
      <c r="D10" s="99">
        <f>-HE_LZV_CF!D70</f>
        <v>0</v>
      </c>
      <c r="F10" s="918">
        <f>-HE_LZV_CF!G46</f>
        <v>0</v>
      </c>
      <c r="G10" s="919">
        <f t="shared" si="0"/>
        <v>0</v>
      </c>
      <c r="H10" s="920">
        <f>-HE_LZV_CF!G70</f>
        <v>0</v>
      </c>
      <c r="I10" s="919">
        <f t="shared" si="1"/>
        <v>0</v>
      </c>
      <c r="J10" s="920">
        <f>-HE_LZV_CF!D70</f>
        <v>0</v>
      </c>
      <c r="K10" s="19"/>
      <c r="L10" s="19"/>
      <c r="M10" s="19"/>
      <c r="N10" s="19"/>
      <c r="O10" s="19"/>
      <c r="P10" s="19"/>
      <c r="Q10" s="19"/>
      <c r="R10" s="19"/>
    </row>
    <row r="11" spans="1:19" s="18" customFormat="1" ht="14.25" customHeight="1" x14ac:dyDescent="0.2">
      <c r="A11" s="15"/>
      <c r="B11" s="897" t="str">
        <f>HE_PG3_label</f>
        <v>PG3 - Ambulante Produkte</v>
      </c>
      <c r="C11" s="898"/>
      <c r="D11" s="99">
        <f>-HE_LZV_CF!D71</f>
        <v>0</v>
      </c>
      <c r="F11" s="918">
        <f>-HE_LZV_CF!G47</f>
        <v>0</v>
      </c>
      <c r="G11" s="919">
        <f t="shared" si="0"/>
        <v>0</v>
      </c>
      <c r="H11" s="920">
        <f>-HE_LZV_CF!G71</f>
        <v>0</v>
      </c>
      <c r="I11" s="919">
        <f t="shared" si="1"/>
        <v>0</v>
      </c>
      <c r="J11" s="920">
        <f>-HE_LZV_CF!D71</f>
        <v>0</v>
      </c>
      <c r="K11" s="19"/>
      <c r="L11" s="19"/>
      <c r="M11" s="19"/>
      <c r="N11" s="19"/>
      <c r="O11" s="19"/>
      <c r="P11" s="19"/>
      <c r="Q11" s="19"/>
      <c r="R11" s="19"/>
    </row>
    <row r="12" spans="1:19" s="18" customFormat="1" ht="14.25" customHeight="1" x14ac:dyDescent="0.2">
      <c r="A12" s="15"/>
      <c r="B12" s="897" t="str">
        <f>HE_PG4_label</f>
        <v>PG4 - Langzeitpflege</v>
      </c>
      <c r="C12" s="898"/>
      <c r="D12" s="99">
        <f>-HE_LZV_CF!D72</f>
        <v>0</v>
      </c>
      <c r="F12" s="918">
        <f>-HE_LZV_CF!G48</f>
        <v>0</v>
      </c>
      <c r="G12" s="919">
        <f t="shared" si="0"/>
        <v>0</v>
      </c>
      <c r="H12" s="920">
        <f>-HE_LZV_CF!G72</f>
        <v>0</v>
      </c>
      <c r="I12" s="919">
        <f t="shared" si="1"/>
        <v>0</v>
      </c>
      <c r="J12" s="920">
        <f>-HE_LZV_CF!D72</f>
        <v>0</v>
      </c>
      <c r="K12" s="19"/>
      <c r="L12" s="19"/>
      <c r="M12" s="19"/>
      <c r="N12" s="19"/>
      <c r="O12" s="19"/>
      <c r="P12" s="19"/>
      <c r="Q12" s="19"/>
      <c r="R12" s="19"/>
    </row>
    <row r="13" spans="1:19" s="18" customFormat="1" ht="14.25" customHeight="1" x14ac:dyDescent="0.2">
      <c r="A13" s="15"/>
      <c r="B13" s="899" t="str">
        <f>HE_PG5_label</f>
        <v>PG5 - Einzeltaggeldversicherung</v>
      </c>
      <c r="C13" s="900"/>
      <c r="D13" s="115">
        <f>-HE_LZV_CF!D73</f>
        <v>0</v>
      </c>
      <c r="F13" s="921">
        <f>-HE_LZV_CF!G49</f>
        <v>0</v>
      </c>
      <c r="G13" s="922">
        <f t="shared" si="0"/>
        <v>0</v>
      </c>
      <c r="H13" s="923">
        <f>-HE_LZV_CF!G73</f>
        <v>0</v>
      </c>
      <c r="I13" s="922">
        <f t="shared" si="1"/>
        <v>0</v>
      </c>
      <c r="J13" s="923">
        <f>-HE_LZV_CF!D73</f>
        <v>0</v>
      </c>
      <c r="K13" s="19"/>
      <c r="L13" s="19"/>
      <c r="M13" s="19"/>
      <c r="N13" s="19"/>
      <c r="O13" s="19"/>
      <c r="P13" s="19"/>
      <c r="Q13" s="19"/>
      <c r="R13" s="19"/>
    </row>
    <row r="14" spans="1:19" s="18" customFormat="1" ht="14.25" customHeight="1" x14ac:dyDescent="0.2">
      <c r="A14" s="15"/>
      <c r="B14" s="118"/>
      <c r="C14" s="118"/>
      <c r="D14" s="203"/>
      <c r="G14"/>
      <c r="H14"/>
      <c r="I14"/>
      <c r="J14"/>
      <c r="K14" s="19"/>
      <c r="L14" s="19"/>
      <c r="M14" s="19"/>
      <c r="N14" s="19"/>
      <c r="O14" s="19"/>
      <c r="P14" s="19"/>
      <c r="Q14" s="19"/>
      <c r="R14" s="19"/>
    </row>
    <row r="15" spans="1:19" s="18" customFormat="1" ht="14.25" customHeight="1" x14ac:dyDescent="0.2">
      <c r="A15" s="15"/>
      <c r="B15" s="907" t="str">
        <f>VLOOKUP("T.10.05",HE_label,2,FALSE)</f>
        <v>Statutarische Alterungsrückstellungen</v>
      </c>
      <c r="C15" s="908"/>
      <c r="D15" s="909" t="str">
        <f>VLOOKUP("T.00.02a",HE_label,2,FALSE)</f>
        <v>in CHF</v>
      </c>
      <c r="G15"/>
      <c r="H15"/>
      <c r="I15"/>
      <c r="J15"/>
      <c r="K15" s="19"/>
      <c r="L15" s="19"/>
      <c r="M15" s="19"/>
      <c r="N15" s="19"/>
      <c r="O15" s="19"/>
      <c r="P15" s="19"/>
      <c r="Q15" s="19"/>
      <c r="R15" s="19"/>
    </row>
    <row r="16" spans="1:19" s="18" customFormat="1" ht="14.25" customHeight="1" x14ac:dyDescent="0.2">
      <c r="B16" s="901" t="str">
        <f>HE_PGTot_label</f>
        <v>Total fünf Produktegruppen</v>
      </c>
      <c r="C16" s="902"/>
      <c r="D16" s="910"/>
      <c r="E16" s="17"/>
      <c r="G16"/>
      <c r="H16"/>
      <c r="I16"/>
      <c r="J16"/>
      <c r="K16" s="19"/>
      <c r="L16" s="19"/>
      <c r="M16" s="19"/>
      <c r="N16" s="19"/>
      <c r="O16" s="19"/>
      <c r="P16" s="19"/>
      <c r="Q16" s="19"/>
      <c r="R16" s="19"/>
    </row>
    <row r="17" spans="1:18" s="18" customFormat="1" ht="14.25" customHeight="1" x14ac:dyDescent="0.2">
      <c r="A17" s="15"/>
      <c r="B17" s="897" t="str">
        <f>HE_PG1_label</f>
        <v>PG1 - Stationäre Produkte Halbprivat, Privat und Flex</v>
      </c>
      <c r="C17" s="898"/>
      <c r="D17" s="76"/>
      <c r="E17" s="17"/>
      <c r="G17"/>
      <c r="H17"/>
      <c r="I17"/>
      <c r="J17"/>
      <c r="K17" s="19"/>
      <c r="L17" s="19"/>
      <c r="M17" s="19"/>
      <c r="N17" s="19"/>
      <c r="O17" s="19"/>
      <c r="P17" s="19"/>
      <c r="Q17" s="19"/>
      <c r="R17" s="19"/>
    </row>
    <row r="18" spans="1:18" s="18" customFormat="1" ht="14.25" customHeight="1" x14ac:dyDescent="0.2">
      <c r="A18" s="15"/>
      <c r="B18" s="897" t="str">
        <f>HE_PG2_label</f>
        <v>PG2 - Übrige stationäre Produkte</v>
      </c>
      <c r="C18" s="898"/>
      <c r="D18" s="76"/>
      <c r="E18" s="17"/>
      <c r="G18"/>
      <c r="H18"/>
      <c r="I18"/>
      <c r="J18"/>
      <c r="K18" s="19"/>
      <c r="L18" s="19"/>
      <c r="M18" s="19"/>
      <c r="N18" s="19"/>
      <c r="O18" s="19"/>
      <c r="P18" s="19"/>
      <c r="Q18" s="19"/>
      <c r="R18" s="19"/>
    </row>
    <row r="19" spans="1:18" s="18" customFormat="1" ht="14.25" customHeight="1" x14ac:dyDescent="0.2">
      <c r="A19" s="15"/>
      <c r="B19" s="897" t="str">
        <f>HE_PG3_label</f>
        <v>PG3 - Ambulante Produkte</v>
      </c>
      <c r="C19" s="898"/>
      <c r="D19" s="76"/>
      <c r="E19" s="17"/>
      <c r="G19"/>
      <c r="H19"/>
      <c r="I19"/>
      <c r="J19"/>
      <c r="K19" s="19"/>
      <c r="L19" s="19"/>
      <c r="M19" s="19"/>
      <c r="N19" s="19"/>
      <c r="O19" s="19"/>
      <c r="P19" s="19"/>
      <c r="Q19" s="19"/>
      <c r="R19" s="19"/>
    </row>
    <row r="20" spans="1:18" s="18" customFormat="1" ht="14.25" customHeight="1" x14ac:dyDescent="0.2">
      <c r="A20" s="15"/>
      <c r="B20" s="897" t="str">
        <f>HE_PG4_label</f>
        <v>PG4 - Langzeitpflege</v>
      </c>
      <c r="C20" s="898"/>
      <c r="D20" s="76"/>
      <c r="E20" s="17"/>
      <c r="G20"/>
      <c r="H20"/>
      <c r="I20"/>
      <c r="J20"/>
      <c r="K20" s="19"/>
      <c r="L20" s="19"/>
      <c r="M20" s="19"/>
      <c r="N20" s="19"/>
      <c r="O20" s="19"/>
      <c r="P20" s="19"/>
      <c r="Q20" s="19"/>
      <c r="R20" s="19"/>
    </row>
    <row r="21" spans="1:18" s="18" customFormat="1" ht="14.25" customHeight="1" x14ac:dyDescent="0.2">
      <c r="A21" s="15"/>
      <c r="B21" s="899" t="str">
        <f>HE_PG5_label</f>
        <v>PG5 - Einzeltaggeldversicherung</v>
      </c>
      <c r="C21" s="900"/>
      <c r="D21" s="178"/>
      <c r="E21" s="17"/>
      <c r="G21"/>
      <c r="H21"/>
      <c r="I21"/>
      <c r="J21"/>
      <c r="K21" s="19"/>
      <c r="L21" s="19"/>
      <c r="M21" s="19"/>
      <c r="N21" s="19"/>
      <c r="O21" s="19"/>
      <c r="P21" s="19"/>
      <c r="Q21" s="19"/>
      <c r="R21" s="19"/>
    </row>
    <row r="22" spans="1:18" s="18" customFormat="1" ht="14.25" customHeight="1" x14ac:dyDescent="0.2">
      <c r="A22" s="15"/>
      <c r="B22" s="31"/>
      <c r="C22" s="31"/>
      <c r="D22" s="105"/>
      <c r="E22" s="17"/>
      <c r="G22"/>
      <c r="H22"/>
      <c r="I22"/>
      <c r="J22"/>
      <c r="K22" s="19"/>
      <c r="L22" s="19"/>
      <c r="M22" s="19"/>
      <c r="N22" s="19"/>
      <c r="O22" s="19"/>
      <c r="P22" s="19"/>
      <c r="Q22" s="19"/>
      <c r="R22" s="19"/>
    </row>
    <row r="23" spans="1:18" s="18" customFormat="1" ht="14.25" customHeight="1" x14ac:dyDescent="0.2">
      <c r="A23" s="15"/>
      <c r="B23" s="17"/>
      <c r="C23" s="17"/>
      <c r="D23" s="17"/>
      <c r="E23" s="17"/>
      <c r="G23"/>
      <c r="H23"/>
      <c r="I23"/>
      <c r="J23"/>
      <c r="K23" s="19"/>
      <c r="L23" s="19"/>
      <c r="M23" s="19"/>
      <c r="N23" s="19"/>
      <c r="O23" s="19"/>
      <c r="P23" s="19"/>
      <c r="Q23" s="19"/>
      <c r="R23" s="19"/>
    </row>
    <row r="24" spans="1:18" s="18" customFormat="1" ht="14.25" customHeight="1" x14ac:dyDescent="0.25">
      <c r="A24" s="15"/>
      <c r="B24" s="924" t="str">
        <f>VLOOKUP("T.10.06",HE_label,2,FALSE)</f>
        <v>1) Abhängigkeit der Langzeitverpflichtungen (LZV) von den Risikofaktoren für das Risiko der zukünftigen Jahre</v>
      </c>
      <c r="C24" s="17"/>
      <c r="D24" s="17"/>
      <c r="E24" s="17"/>
      <c r="G24"/>
      <c r="H24"/>
      <c r="I24"/>
      <c r="J24"/>
      <c r="K24" s="19"/>
      <c r="L24" s="19"/>
      <c r="M24" s="19"/>
      <c r="N24" s="19"/>
      <c r="O24" s="19"/>
      <c r="P24" s="19"/>
      <c r="Q24" s="19"/>
      <c r="R24" s="19"/>
    </row>
    <row r="25" spans="1:18" s="18" customFormat="1" ht="14.25" customHeight="1" x14ac:dyDescent="0.25">
      <c r="A25" s="15"/>
      <c r="B25" s="924"/>
      <c r="C25" s="31"/>
      <c r="D25" s="31"/>
      <c r="E25" s="31"/>
      <c r="F25" s="19"/>
      <c r="G25"/>
      <c r="H25"/>
      <c r="I25"/>
      <c r="J25"/>
      <c r="K25" s="19"/>
      <c r="L25" s="19"/>
      <c r="M25" s="19"/>
      <c r="N25" s="19"/>
      <c r="O25" s="19"/>
      <c r="P25" s="19"/>
      <c r="Q25" s="19"/>
      <c r="R25" s="19"/>
    </row>
    <row r="26" spans="1:18" ht="14.25" customHeight="1" x14ac:dyDescent="0.2">
      <c r="B26" s="1359" t="str">
        <f>VLOOKUP("T.10.07",HE_label,2,FALSE)</f>
        <v>Risikofaktoren (inkl. Prämien-Cap)</v>
      </c>
      <c r="C26" s="940" t="str">
        <f>VLOOKUP("T.10.08",HE_label,2,FALSE)&amp;"1"</f>
        <v>Auslenkung 1</v>
      </c>
      <c r="D26" s="940" t="str">
        <f>VLOOKUP("T.10.08",HE_label,2,FALSE)&amp;"2"</f>
        <v>Auslenkung 2</v>
      </c>
      <c r="E26" s="940" t="str">
        <f>VLOOKUP("T.10.08",HE_label,2,FALSE)&amp;"3"</f>
        <v>Auslenkung 3</v>
      </c>
      <c r="F26" s="941" t="str">
        <f>VLOOKUP("T.10.08",HE_label,2,FALSE)&amp;"4"</f>
        <v>Auslenkung 4</v>
      </c>
      <c r="G26"/>
      <c r="H26"/>
      <c r="I26"/>
      <c r="J26"/>
    </row>
    <row r="27" spans="1:18" ht="14.25" customHeight="1" x14ac:dyDescent="0.2">
      <c r="B27" s="1360" t="str">
        <f>VLOOKUP("T.10.06",HE_label,2,FALSE)</f>
        <v>1) Abhängigkeit der Langzeitverpflichtungen (LZV) von den Risikofaktoren für das Risiko der zukünftigen Jahre</v>
      </c>
      <c r="C27" s="100" t="str">
        <f>HE_RFq_label</f>
        <v>Sterblichkeit (q)</v>
      </c>
      <c r="D27" s="100" t="str">
        <f>HE_RFs_label</f>
        <v>Storno (s)</v>
      </c>
      <c r="E27" s="100" t="str">
        <f>HE_RFk_label</f>
        <v>Kosten (k)</v>
      </c>
      <c r="F27" s="101" t="str">
        <f>HE_RFl_label</f>
        <v>Leistungen (l)</v>
      </c>
      <c r="G27"/>
      <c r="H27"/>
      <c r="I27"/>
      <c r="J27"/>
    </row>
    <row r="28" spans="1:18" ht="14.25" customHeight="1" x14ac:dyDescent="0.2">
      <c r="B28" s="936" t="str">
        <f>VLOOKUP("T.10.09",HE_label,2,FALSE)&amp;HE_up_label</f>
        <v>Relative Auslenkung des Risikofaktors, nach oben</v>
      </c>
      <c r="C28" s="926">
        <f>HE_prescribed_parameters!C45</f>
        <v>0.2</v>
      </c>
      <c r="D28" s="927">
        <f>HE_prescribed_parameters!C46</f>
        <v>0.3</v>
      </c>
      <c r="E28" s="927">
        <f>HE_prescribed_parameters!C47</f>
        <v>0.2</v>
      </c>
      <c r="F28" s="927">
        <f>HE_prescribed_parameters!C48</f>
        <v>0.05</v>
      </c>
      <c r="G28"/>
      <c r="H28"/>
      <c r="I28"/>
      <c r="J28"/>
    </row>
    <row r="29" spans="1:18" ht="14.25" customHeight="1" x14ac:dyDescent="0.2">
      <c r="B29" s="937" t="str">
        <f>VLOOKUP("T.10.10",HE_label,2,FALSE)</f>
        <v>Wert der LZV abhängig vom Risikofaktor, in CHF</v>
      </c>
      <c r="C29" s="928">
        <f>-HE_LZV_CF!D125</f>
        <v>0</v>
      </c>
      <c r="D29" s="929">
        <f>-HE_LZV_CF!D127</f>
        <v>0</v>
      </c>
      <c r="E29" s="929">
        <f>-HE_LZV_CF!D129</f>
        <v>0</v>
      </c>
      <c r="F29" s="930">
        <f>-HE_LZV_CF!D131</f>
        <v>0</v>
      </c>
      <c r="G29"/>
      <c r="H29"/>
      <c r="I29"/>
      <c r="J29"/>
    </row>
    <row r="30" spans="1:18" ht="14.25" customHeight="1" x14ac:dyDescent="0.2">
      <c r="B30" s="937" t="str">
        <f>VLOOKUP("T.10.09",HE_label,2,FALSE)&amp;HE_down_label</f>
        <v>Relative Auslenkung des Risikofaktors, nach unten</v>
      </c>
      <c r="C30" s="931">
        <f>HE_prescribed_parameters!D45</f>
        <v>-0.2</v>
      </c>
      <c r="D30" s="931">
        <f>HE_prescribed_parameters!D46</f>
        <v>-0.3</v>
      </c>
      <c r="E30" s="931">
        <f>HE_prescribed_parameters!D47</f>
        <v>-0.2</v>
      </c>
      <c r="F30" s="931">
        <f>HE_prescribed_parameters!D48</f>
        <v>0</v>
      </c>
      <c r="G30"/>
      <c r="H30"/>
      <c r="I30"/>
      <c r="J30"/>
    </row>
    <row r="31" spans="1:18" ht="14.25" customHeight="1" x14ac:dyDescent="0.2">
      <c r="B31" s="937" t="str">
        <f>VLOOKUP("T.10.10",HE_label,2,FALSE)</f>
        <v>Wert der LZV abhängig vom Risikofaktor, in CHF</v>
      </c>
      <c r="C31" s="928">
        <f>-HE_LZV_CF!D126</f>
        <v>0</v>
      </c>
      <c r="D31" s="929">
        <f>-HE_LZV_CF!D128</f>
        <v>0</v>
      </c>
      <c r="E31" s="929">
        <f>-HE_LZV_CF!D130</f>
        <v>0</v>
      </c>
      <c r="F31" s="930">
        <f>-HE_LZV_CF!D132</f>
        <v>0</v>
      </c>
      <c r="G31"/>
      <c r="H31"/>
      <c r="I31"/>
      <c r="J31"/>
    </row>
    <row r="32" spans="1:18" ht="14.25" customHeight="1" x14ac:dyDescent="0.2">
      <c r="B32" s="937" t="str">
        <f>VLOOKUP("T.10.11",HE_label,2,FALSE)</f>
        <v>Delta-Sensitivität</v>
      </c>
      <c r="C32" s="913">
        <f>(C29-C31)/(C28-C30)</f>
        <v>0</v>
      </c>
      <c r="D32" s="913">
        <f>(D29-D31)/(D28-D30)</f>
        <v>0</v>
      </c>
      <c r="E32" s="913">
        <f>(E29-E31)/(E28-E30)</f>
        <v>0</v>
      </c>
      <c r="F32" s="913">
        <f>(F29-F31)/(F28-F30)</f>
        <v>0</v>
      </c>
      <c r="G32"/>
      <c r="H32"/>
      <c r="I32"/>
      <c r="J32"/>
    </row>
    <row r="33" spans="1:20" ht="14.25" customHeight="1" x14ac:dyDescent="0.2">
      <c r="B33" s="938" t="str">
        <f>VLOOKUP("T.10.12",HE_label,2,FALSE)</f>
        <v>Variationskoeffizient des Risikofaktors</v>
      </c>
      <c r="C33" s="935">
        <f>HE_prescribed_parameters!C53</f>
        <v>0.15</v>
      </c>
      <c r="D33" s="935">
        <f>HE_prescribed_parameters!C54</f>
        <v>0.08</v>
      </c>
      <c r="E33" s="935">
        <f>HE_prescribed_parameters!C55</f>
        <v>0.1</v>
      </c>
      <c r="F33" s="935">
        <f>IF(HE_CV_Leistungen!C12&gt;HE_prescribed_parameters!C57,HE_prescribed_parameters!C57,MAX(HE_CV_Leistungen!C12,HE_prescribed_parameters!D57))</f>
        <v>0.03</v>
      </c>
      <c r="G33"/>
      <c r="H33"/>
      <c r="I33"/>
      <c r="J33"/>
    </row>
    <row r="34" spans="1:20" ht="24.75" customHeight="1" x14ac:dyDescent="0.2">
      <c r="B34" s="937" t="str">
        <f>VLOOKUP("T.10.13",HE_label,2,FALSE)</f>
        <v>Standardabweichung der LZV aufgrund der Auslenkung des Risikofaktors, in CHF</v>
      </c>
      <c r="C34" s="913">
        <f>ABS(C32*C33)</f>
        <v>0</v>
      </c>
      <c r="D34" s="913">
        <f>ABS(D32*D33)</f>
        <v>0</v>
      </c>
      <c r="E34" s="913">
        <f>ABS(E32*E33)</f>
        <v>0</v>
      </c>
      <c r="F34" s="913">
        <f>ABS(F32*F33)</f>
        <v>0</v>
      </c>
      <c r="G34" s="23"/>
    </row>
    <row r="35" spans="1:20" ht="24.75" customHeight="1" x14ac:dyDescent="0.2">
      <c r="B35" s="939" t="str">
        <f>VLOOKUP("T.10.14",HE_label,2,FALSE)</f>
        <v>TOTAL Standardabweichung der LZV aufgrund der Auslenkungen der Risikofaktoren, in CHF</v>
      </c>
      <c r="C35" s="932">
        <f t="array" ref="C35">SQRT(MMULT(C34:F34,MMULT(C77:F80,TRANSPOSE(C34:F34))))</f>
        <v>0</v>
      </c>
      <c r="D35" s="933"/>
      <c r="E35" s="934"/>
      <c r="F35" s="933"/>
      <c r="G35" s="23"/>
    </row>
    <row r="36" spans="1:20" ht="14.25" customHeight="1" x14ac:dyDescent="0.2">
      <c r="B36" s="26"/>
      <c r="C36" s="26"/>
      <c r="D36" s="26"/>
      <c r="E36" s="28"/>
      <c r="G36" s="23"/>
    </row>
    <row r="37" spans="1:20" x14ac:dyDescent="0.2">
      <c r="C37" s="26"/>
      <c r="D37" s="107"/>
      <c r="E37"/>
      <c r="F37"/>
      <c r="G37" s="23"/>
    </row>
    <row r="38" spans="1:20" ht="30" customHeight="1" x14ac:dyDescent="0.2">
      <c r="B38" s="947" t="str">
        <f>VLOOKUP("T.10.15",HE_label,2,FALSE)</f>
        <v>Multivariates Normal-Modell</v>
      </c>
      <c r="C38" s="954" t="str">
        <f>VLOOKUP("T.00.04",HE_label,2,FALSE)&amp;VLOOKUP("T.00.02b",HE_label,2,FALSE)</f>
        <v>Standardabweichung, in Mio. CHF</v>
      </c>
      <c r="D38" s="948" t="str">
        <f>VLOOKUP("T.00.07",HE_label,2,FALSE)&amp;VLOOKUP("T.00.02b",HE_label,2,FALSE)</f>
        <v>Expected Shortfall, in Mio. CHF</v>
      </c>
      <c r="E38"/>
      <c r="F38"/>
      <c r="G38" s="6"/>
    </row>
    <row r="39" spans="1:20" ht="14.25" customHeight="1" x14ac:dyDescent="0.2">
      <c r="B39" s="961" t="str">
        <f>VLOOKUP("T.10.16",HE_label,2,FALSE)</f>
        <v>Total</v>
      </c>
      <c r="C39" s="942">
        <f>C35/10^6</f>
        <v>0</v>
      </c>
      <c r="D39" s="942">
        <f>C85*C39</f>
        <v>0</v>
      </c>
      <c r="E39"/>
      <c r="F39"/>
    </row>
    <row r="40" spans="1:20" ht="14.25" customHeight="1" x14ac:dyDescent="0.2">
      <c r="B40" s="962" t="str">
        <f>HE_RFq_label</f>
        <v>Sterblichkeit (q)</v>
      </c>
      <c r="C40" s="943">
        <f>C34/10^6</f>
        <v>0</v>
      </c>
      <c r="D40" s="944">
        <f>C85*C40</f>
        <v>0</v>
      </c>
      <c r="E40"/>
      <c r="F40"/>
    </row>
    <row r="41" spans="1:20" ht="14.25" customHeight="1" x14ac:dyDescent="0.2">
      <c r="B41" s="962" t="str">
        <f>HE_RFs_label</f>
        <v>Storno (s)</v>
      </c>
      <c r="C41" s="943">
        <f>D34/10^6</f>
        <v>0</v>
      </c>
      <c r="D41" s="944">
        <f>C85*C41</f>
        <v>0</v>
      </c>
      <c r="E41"/>
      <c r="F41"/>
    </row>
    <row r="42" spans="1:20" ht="14.25" customHeight="1" x14ac:dyDescent="0.2">
      <c r="B42" s="962" t="str">
        <f>HE_RFk_label</f>
        <v>Kosten (k)</v>
      </c>
      <c r="C42" s="943">
        <f>E34/10^6</f>
        <v>0</v>
      </c>
      <c r="D42" s="944">
        <f>C85*C42</f>
        <v>0</v>
      </c>
      <c r="E42"/>
      <c r="F42"/>
      <c r="G42" s="23"/>
    </row>
    <row r="43" spans="1:20" ht="14.25" customHeight="1" x14ac:dyDescent="0.2">
      <c r="B43" s="963" t="str">
        <f>HE_RFl_label</f>
        <v>Leistungen (l)</v>
      </c>
      <c r="C43" s="945">
        <f>F34/10^6</f>
        <v>0</v>
      </c>
      <c r="D43" s="946">
        <f>C85*C43</f>
        <v>0</v>
      </c>
      <c r="E43" s="106"/>
      <c r="F43" s="107"/>
      <c r="G43" s="23"/>
    </row>
    <row r="44" spans="1:20" ht="14.25" customHeight="1" x14ac:dyDescent="0.2">
      <c r="B44" s="209"/>
      <c r="C44" s="210"/>
      <c r="E44" s="29"/>
      <c r="G44" s="23"/>
      <c r="H44" s="17"/>
      <c r="I44" s="26"/>
    </row>
    <row r="45" spans="1:20" x14ac:dyDescent="0.2">
      <c r="B45"/>
      <c r="C45"/>
      <c r="D45"/>
      <c r="E45"/>
    </row>
    <row r="46" spans="1:20" s="18" customFormat="1" ht="14.25" customHeight="1" x14ac:dyDescent="0.25">
      <c r="A46" s="15"/>
      <c r="B46" s="924" t="str">
        <f>VLOOKUP("T.10.17",HE_label,2,FALSE)</f>
        <v>2) CY-Risiko</v>
      </c>
      <c r="C46" s="1231"/>
      <c r="D46" s="17"/>
      <c r="E46" s="17"/>
      <c r="G46"/>
      <c r="H46"/>
      <c r="I46"/>
      <c r="J46"/>
      <c r="K46" s="19"/>
      <c r="L46" s="19"/>
      <c r="M46" s="19"/>
      <c r="N46" s="19"/>
      <c r="O46" s="19"/>
      <c r="P46" s="19"/>
      <c r="Q46" s="19"/>
      <c r="R46" s="19"/>
    </row>
    <row r="47" spans="1:20" s="18" customFormat="1" ht="14.25" customHeight="1" x14ac:dyDescent="0.25">
      <c r="A47" s="15"/>
      <c r="B47" s="950"/>
      <c r="C47" s="949"/>
      <c r="D47" s="31"/>
      <c r="E47" s="31"/>
      <c r="F47" s="19"/>
      <c r="G47"/>
      <c r="H47"/>
      <c r="I47"/>
      <c r="J47"/>
      <c r="K47" s="19"/>
      <c r="L47" s="19"/>
      <c r="M47" s="19"/>
      <c r="N47" s="19"/>
      <c r="O47" s="19"/>
      <c r="P47" s="19"/>
      <c r="Q47" s="19"/>
      <c r="R47" s="19"/>
    </row>
    <row r="48" spans="1:20" x14ac:dyDescent="0.2">
      <c r="B48" s="957" t="str">
        <f>HE_CV_Leistungen!B11</f>
        <v>Variationskoeffizient der jährlichen Leistungen</v>
      </c>
      <c r="C48" s="955">
        <f>F33*SQRT(3)</f>
        <v>5.1961524227066312E-2</v>
      </c>
      <c r="P48" s="6"/>
      <c r="Q48" s="6"/>
      <c r="R48" s="6"/>
      <c r="S48" s="6"/>
      <c r="T48" s="6"/>
    </row>
    <row r="49" spans="2:20" ht="28.5" customHeight="1" x14ac:dyDescent="0.2">
      <c r="B49" s="937" t="str">
        <f>VLOOKUP("T.10.18",HE_label,2,FALSE)&amp;HE_CY-1&amp;VLOOKUP("T.00.02",HE_label,2,FALSE)&amp;VLOOKUP("T.10.18a",HE_label,2,FALSE)</f>
        <v>Erwartete Leistungen für das Behandlungsjahr CY des bestehenden Geschäfts per 31.12.2024, in CHF (positives Vorzeichen)</v>
      </c>
      <c r="C49" s="951"/>
      <c r="P49" s="6"/>
      <c r="Q49" s="6"/>
      <c r="R49" s="6"/>
      <c r="S49" s="6"/>
      <c r="T49" s="6"/>
    </row>
    <row r="50" spans="2:20" ht="24.75" customHeight="1" x14ac:dyDescent="0.2">
      <c r="B50" s="939" t="str">
        <f>VLOOKUP("T.10.19",HE_label,2,FALSE)</f>
        <v>Standardabweichung der jährlichen Leistungen, in CHF</v>
      </c>
      <c r="C50" s="932">
        <f>C49*C48</f>
        <v>0</v>
      </c>
      <c r="P50" s="6"/>
      <c r="Q50" s="6"/>
      <c r="R50" s="6"/>
      <c r="S50" s="6"/>
      <c r="T50" s="6"/>
    </row>
    <row r="51" spans="2:20" x14ac:dyDescent="0.2">
      <c r="P51" s="6"/>
      <c r="Q51" s="6"/>
      <c r="R51" s="6"/>
      <c r="S51" s="6"/>
      <c r="T51" s="6"/>
    </row>
    <row r="52" spans="2:20" x14ac:dyDescent="0.2">
      <c r="P52" s="6"/>
      <c r="Q52" s="6"/>
      <c r="R52" s="6"/>
      <c r="S52" s="6"/>
      <c r="T52" s="6"/>
    </row>
    <row r="53" spans="2:20" ht="15.75" x14ac:dyDescent="0.25">
      <c r="B53" s="924" t="str">
        <f>VLOOKUP("T.10.20",HE_label,2,FALSE)</f>
        <v>1) und 2) Übersicht der Ergebnisse</v>
      </c>
      <c r="P53" s="6"/>
      <c r="Q53" s="6"/>
      <c r="R53" s="6"/>
      <c r="S53" s="6"/>
      <c r="T53" s="6"/>
    </row>
    <row r="54" spans="2:20" x14ac:dyDescent="0.2">
      <c r="B54" s="26"/>
      <c r="P54" s="6"/>
      <c r="Q54" s="6"/>
      <c r="R54" s="6"/>
      <c r="S54" s="6"/>
      <c r="T54" s="6"/>
    </row>
    <row r="55" spans="2:20" ht="14.25" customHeight="1" x14ac:dyDescent="0.2">
      <c r="B55" s="953" t="str">
        <f>VLOOKUP("T.10.21",HE_label,2,FALSE)</f>
        <v xml:space="preserve">Risikofaktoren </v>
      </c>
      <c r="C55" s="954" t="str">
        <f>HE_RFq_label</f>
        <v>Sterblichkeit (q)</v>
      </c>
      <c r="D55" s="100" t="str">
        <f>HE_RFs_label</f>
        <v>Storno (s)</v>
      </c>
      <c r="E55" s="100" t="str">
        <f>HE_RFk_label</f>
        <v>Kosten (k)</v>
      </c>
      <c r="F55" s="101" t="str">
        <f>HE_RFl_label</f>
        <v>Leistungen (l)</v>
      </c>
      <c r="G55" s="954" t="str">
        <f>HE_RFCY_label</f>
        <v>CY-Risiko</v>
      </c>
      <c r="H55"/>
    </row>
    <row r="56" spans="2:20" ht="14.25" customHeight="1" x14ac:dyDescent="0.2">
      <c r="B56" s="952" t="str">
        <f>VLOOKUP("T.00.04",HE_label,2,FALSE)&amp;VLOOKUP("T.00.02b",HE_label,2,FALSE)</f>
        <v>Standardabweichung, in Mio. CHF</v>
      </c>
      <c r="C56" s="1085">
        <f>C40</f>
        <v>0</v>
      </c>
      <c r="D56" s="1085">
        <f>C41</f>
        <v>0</v>
      </c>
      <c r="E56" s="1085">
        <f>C42</f>
        <v>0</v>
      </c>
      <c r="F56" s="1085">
        <f>C43</f>
        <v>0</v>
      </c>
      <c r="G56" s="1086">
        <f>C50/10^6</f>
        <v>0</v>
      </c>
      <c r="H56"/>
    </row>
    <row r="57" spans="2:20" x14ac:dyDescent="0.2">
      <c r="F57" s="26"/>
    </row>
    <row r="58" spans="2:20" x14ac:dyDescent="0.2">
      <c r="B58" s="26"/>
      <c r="C58" s="26"/>
      <c r="D58" s="26"/>
      <c r="E58" s="26"/>
      <c r="F58" s="26"/>
    </row>
    <row r="59" spans="2:20" ht="27" customHeight="1" x14ac:dyDescent="0.2">
      <c r="B59" s="947" t="str">
        <f>B38</f>
        <v>Multivariates Normal-Modell</v>
      </c>
      <c r="C59" s="179" t="str">
        <f>VLOOKUP("T.00.04",HE_label,2,FALSE)&amp;VLOOKUP("T.00.02b",HE_label,2,FALSE)</f>
        <v>Standardabweichung, in Mio. CHF</v>
      </c>
      <c r="D59" s="179" t="str">
        <f>VLOOKUP("T.00.06",HE_label,2,FALSE)&amp;VLOOKUP("T.00.02b",HE_label,2,FALSE)</f>
        <v>Value at Risk, in Mio. CHF</v>
      </c>
      <c r="E59" s="956" t="str">
        <f>VLOOKUP("T.00.07",HE_label,2,FALSE)&amp;VLOOKUP("T.00.02b",HE_label,2,FALSE)</f>
        <v>Expected Shortfall, in Mio. CHF</v>
      </c>
      <c r="G59"/>
      <c r="H59"/>
    </row>
    <row r="60" spans="2:20" ht="14.25" customHeight="1" x14ac:dyDescent="0.2">
      <c r="B60" s="958" t="str">
        <f>VLOOKUP("T.10.22",HE_label,2,FALSE)</f>
        <v>Versicherungsrisiko der zukünftigen Jahre</v>
      </c>
      <c r="C60" s="959">
        <f>C39</f>
        <v>0</v>
      </c>
      <c r="D60" s="959">
        <f>C60*C84</f>
        <v>0</v>
      </c>
      <c r="E60" s="959">
        <f>D60*C86</f>
        <v>0</v>
      </c>
      <c r="G60"/>
      <c r="H60"/>
    </row>
    <row r="61" spans="2:20" ht="14.25" customHeight="1" x14ac:dyDescent="0.2">
      <c r="B61" s="937" t="str">
        <f>VLOOKUP("T.10.23",HE_label,2,FALSE)</f>
        <v>CY-Risiko</v>
      </c>
      <c r="C61" s="943">
        <f>C50/10^6</f>
        <v>0</v>
      </c>
      <c r="D61" s="943">
        <f>C61*C84</f>
        <v>0</v>
      </c>
      <c r="E61" s="943">
        <f>D61*C86</f>
        <v>0</v>
      </c>
      <c r="G61"/>
      <c r="H61"/>
    </row>
    <row r="62" spans="2:20" ht="14.25" customHeight="1" x14ac:dyDescent="0.2">
      <c r="B62" s="939" t="str">
        <f>VLOOKUP("T.10.24",HE_label,2,FALSE)</f>
        <v>Versicherungsrisiko Einzelkranken (vor Szenario AS)</v>
      </c>
      <c r="C62" s="960">
        <f t="array" ref="C62">SQRT(MMULT(C56:G56,MMULT(C77:G81,TRANSPOSE(C56:G56))))</f>
        <v>0</v>
      </c>
      <c r="D62" s="960">
        <f>C62*C84</f>
        <v>0</v>
      </c>
      <c r="E62" s="960">
        <f>D62*C86</f>
        <v>0</v>
      </c>
      <c r="G62"/>
      <c r="H62"/>
    </row>
    <row r="63" spans="2:20" x14ac:dyDescent="0.2">
      <c r="B63" s="26"/>
      <c r="C63" s="26"/>
      <c r="D63" s="26"/>
      <c r="E63" s="26"/>
      <c r="F63" s="26"/>
    </row>
    <row r="64" spans="2:20" x14ac:dyDescent="0.2">
      <c r="B64" s="26"/>
      <c r="C64" s="26"/>
      <c r="D64" s="26"/>
      <c r="E64" s="26"/>
      <c r="F64" s="26"/>
    </row>
    <row r="65" spans="1:18" s="18" customFormat="1" ht="14.25" customHeight="1" x14ac:dyDescent="0.25">
      <c r="A65" s="15"/>
      <c r="B65" s="924" t="str">
        <f>VLOOKUP("T.10.25",HE_label,2,FALSE)</f>
        <v>3) Szenario Antiselektion</v>
      </c>
      <c r="C65" s="17"/>
      <c r="D65" s="17"/>
      <c r="E65" s="17"/>
      <c r="G65"/>
      <c r="H65"/>
      <c r="I65"/>
      <c r="J65"/>
      <c r="K65" s="19"/>
      <c r="L65" s="19"/>
      <c r="M65" s="19"/>
      <c r="N65" s="19"/>
      <c r="O65" s="19"/>
      <c r="P65" s="19"/>
      <c r="Q65" s="19"/>
      <c r="R65" s="19"/>
    </row>
    <row r="66" spans="1:18" s="18" customFormat="1" ht="14.25" customHeight="1" x14ac:dyDescent="0.25">
      <c r="A66" s="15"/>
      <c r="B66" s="950"/>
      <c r="C66" s="949"/>
      <c r="D66" s="31"/>
      <c r="E66" s="31"/>
      <c r="F66" s="19"/>
      <c r="G66"/>
      <c r="H66"/>
      <c r="I66"/>
      <c r="J66"/>
      <c r="K66" s="19"/>
      <c r="L66" s="19"/>
      <c r="M66" s="19"/>
      <c r="N66" s="19"/>
      <c r="O66" s="19"/>
      <c r="P66" s="19"/>
      <c r="Q66" s="19"/>
      <c r="R66" s="19"/>
    </row>
    <row r="67" spans="1:18" ht="14.25" customHeight="1" x14ac:dyDescent="0.2">
      <c r="B67" s="936" t="str">
        <f>VLOOKUP("T.10.26",HE_label,2,FALSE)</f>
        <v>Wert der LZV nach Ereignis Antiselektion, in CHF</v>
      </c>
      <c r="C67" s="1201">
        <f>-HE_LZV_CF!D151</f>
        <v>0</v>
      </c>
      <c r="D67" s="26"/>
      <c r="E67" s="26"/>
      <c r="F67" s="26"/>
    </row>
    <row r="68" spans="1:18" ht="14.25" customHeight="1" x14ac:dyDescent="0.2">
      <c r="B68" s="214" t="str">
        <f>VLOOKUP("T.10.27",HE_label,2,FALSE)</f>
        <v>Auswirkung des Ereignisses Antiselektion, in CHF</v>
      </c>
      <c r="C68" s="997">
        <f>IF(C67="", 0,  MIN(D8-C67,0))</f>
        <v>0</v>
      </c>
      <c r="D68" s="26"/>
      <c r="E68" s="26"/>
      <c r="F68" s="26"/>
    </row>
    <row r="69" spans="1:18" x14ac:dyDescent="0.2">
      <c r="B69" s="26"/>
      <c r="C69" s="26"/>
      <c r="D69" s="26"/>
      <c r="E69" s="26"/>
      <c r="F69" s="26"/>
    </row>
    <row r="70" spans="1:18" x14ac:dyDescent="0.2">
      <c r="B70" s="26"/>
      <c r="C70" s="26"/>
      <c r="D70" s="26"/>
      <c r="E70" s="26"/>
      <c r="F70" s="26"/>
    </row>
    <row r="71" spans="1:18" x14ac:dyDescent="0.2">
      <c r="B71" s="26"/>
      <c r="C71" s="26"/>
      <c r="D71" s="26"/>
      <c r="E71" s="26"/>
      <c r="F71" s="26"/>
    </row>
    <row r="72" spans="1:18" ht="12" customHeight="1" x14ac:dyDescent="0.2">
      <c r="B72" s="26"/>
      <c r="C72" s="26"/>
      <c r="D72" s="26"/>
      <c r="E72" s="26"/>
      <c r="F72" s="26"/>
    </row>
    <row r="73" spans="1:18" x14ac:dyDescent="0.2">
      <c r="B73" s="26"/>
      <c r="C73" s="26"/>
      <c r="D73" s="26"/>
      <c r="E73" s="26"/>
      <c r="F73" s="26"/>
    </row>
    <row r="74" spans="1:18" x14ac:dyDescent="0.2">
      <c r="B74" s="26"/>
      <c r="C74" s="26"/>
      <c r="D74" s="26"/>
      <c r="E74" s="26"/>
      <c r="F74" s="26"/>
    </row>
    <row r="75" spans="1:18" x14ac:dyDescent="0.2">
      <c r="B75" s="26"/>
      <c r="C75" s="26"/>
      <c r="D75" s="26"/>
      <c r="E75" s="26"/>
      <c r="F75" s="26"/>
    </row>
    <row r="76" spans="1:18" ht="14.25" customHeight="1" x14ac:dyDescent="0.2">
      <c r="B76" s="968" t="str">
        <f>VLOOKUP("T.00.03",HE_label,2,FALSE)</f>
        <v>Korrelationsmatrix</v>
      </c>
      <c r="C76" s="888" t="str">
        <f>B77</f>
        <v>Sterblichkeit (q)</v>
      </c>
      <c r="D76" s="889" t="str">
        <f>B78</f>
        <v>Storno (s)</v>
      </c>
      <c r="E76" s="888" t="str">
        <f>B79</f>
        <v>Kosten (k)</v>
      </c>
      <c r="F76" s="889" t="str">
        <f>B80</f>
        <v>Leistungen (l)</v>
      </c>
      <c r="G76" s="888" t="str">
        <f>B81</f>
        <v>CY-Risiko</v>
      </c>
      <c r="H76"/>
    </row>
    <row r="77" spans="1:18" x14ac:dyDescent="0.2">
      <c r="B77" s="969" t="str">
        <f>HE_RFq_label</f>
        <v>Sterblichkeit (q)</v>
      </c>
      <c r="C77" s="970">
        <f>HE_prescribed_parameters!C62</f>
        <v>1</v>
      </c>
      <c r="D77" s="971">
        <f>HE_prescribed_parameters!D62</f>
        <v>0</v>
      </c>
      <c r="E77" s="971">
        <f>HE_prescribed_parameters!E62</f>
        <v>0.25</v>
      </c>
      <c r="F77" s="991">
        <f>HE_prescribed_parameters!F62</f>
        <v>0</v>
      </c>
      <c r="G77" s="966">
        <f>HE_prescribed_parameters!G62</f>
        <v>0</v>
      </c>
      <c r="H77"/>
    </row>
    <row r="78" spans="1:18" x14ac:dyDescent="0.2">
      <c r="B78" s="969" t="str">
        <f>HE_RFs_label</f>
        <v>Storno (s)</v>
      </c>
      <c r="C78" s="974">
        <f>HE_prescribed_parameters!C63</f>
        <v>0</v>
      </c>
      <c r="D78" s="975">
        <f>HE_prescribed_parameters!D63</f>
        <v>1</v>
      </c>
      <c r="E78" s="976">
        <f>HE_prescribed_parameters!E63</f>
        <v>0.5</v>
      </c>
      <c r="F78" s="992">
        <f>HE_prescribed_parameters!F63</f>
        <v>0</v>
      </c>
      <c r="G78" s="967">
        <f>HE_prescribed_parameters!G63</f>
        <v>0</v>
      </c>
      <c r="H78"/>
    </row>
    <row r="79" spans="1:18" x14ac:dyDescent="0.2">
      <c r="B79" s="969" t="str">
        <f>HE_RFk_label</f>
        <v>Kosten (k)</v>
      </c>
      <c r="C79" s="978">
        <f>HE_prescribed_parameters!C64</f>
        <v>0.25</v>
      </c>
      <c r="D79" s="979">
        <f>HE_prescribed_parameters!D64</f>
        <v>0.5</v>
      </c>
      <c r="E79" s="980">
        <f>HE_prescribed_parameters!E64</f>
        <v>1</v>
      </c>
      <c r="F79" s="993">
        <f>HE_prescribed_parameters!F64</f>
        <v>0</v>
      </c>
      <c r="G79" s="965">
        <f>HE_prescribed_parameters!G64</f>
        <v>0</v>
      </c>
      <c r="H79"/>
    </row>
    <row r="80" spans="1:18" x14ac:dyDescent="0.2">
      <c r="B80" s="969" t="str">
        <f>HE_RFl_label</f>
        <v>Leistungen (l)</v>
      </c>
      <c r="C80" s="989">
        <f>HE_prescribed_parameters!C65</f>
        <v>0</v>
      </c>
      <c r="D80" s="989">
        <f>HE_prescribed_parameters!D65</f>
        <v>0</v>
      </c>
      <c r="E80" s="990">
        <f>HE_prescribed_parameters!E65</f>
        <v>0</v>
      </c>
      <c r="F80" s="994">
        <f>HE_prescribed_parameters!F65</f>
        <v>1</v>
      </c>
      <c r="G80" s="967">
        <f>HE_prescribed_parameters!G65</f>
        <v>0.5</v>
      </c>
      <c r="H80"/>
    </row>
    <row r="81" spans="2:8" x14ac:dyDescent="0.2">
      <c r="B81" s="986" t="str">
        <f>HE_RFCY_label</f>
        <v>CY-Risiko</v>
      </c>
      <c r="C81" s="987">
        <f>HE_prescribed_parameters!C66</f>
        <v>0</v>
      </c>
      <c r="D81" s="988">
        <f>HE_prescribed_parameters!D66</f>
        <v>0</v>
      </c>
      <c r="E81" s="987">
        <f>HE_prescribed_parameters!E66</f>
        <v>0</v>
      </c>
      <c r="F81" s="988">
        <f>HE_prescribed_parameters!F66</f>
        <v>0.5</v>
      </c>
      <c r="G81" s="985">
        <f>HE_prescribed_parameters!G66</f>
        <v>1</v>
      </c>
      <c r="H81"/>
    </row>
    <row r="82" spans="2:8" x14ac:dyDescent="0.2">
      <c r="B82"/>
      <c r="C82"/>
      <c r="D82"/>
      <c r="E82"/>
      <c r="F82"/>
      <c r="G82"/>
      <c r="H82"/>
    </row>
    <row r="83" spans="2:8" x14ac:dyDescent="0.2">
      <c r="B83"/>
      <c r="C83"/>
      <c r="D83"/>
      <c r="E83"/>
      <c r="F83" s="109"/>
    </row>
    <row r="84" spans="2:8" x14ac:dyDescent="0.2">
      <c r="B84" s="995" t="str">
        <f>VLOOKUP("T.10.28",HE_label,2,FALSE)</f>
        <v>1%-Quantil der Standardnormalverteilung</v>
      </c>
      <c r="C84" s="1087">
        <f>_xlfn.NORM.INV(HE_alpha,0, 1)</f>
        <v>-2.3263478740408408</v>
      </c>
      <c r="D84"/>
      <c r="E84"/>
      <c r="F84" s="26"/>
    </row>
    <row r="85" spans="2:8" x14ac:dyDescent="0.2">
      <c r="B85" s="995" t="str">
        <f>VLOOKUP("T.10.29",HE_label,2,FALSE)</f>
        <v>Expected Shortfall 1% der Standardnormalverteilung</v>
      </c>
      <c r="C85" s="1088">
        <f>(-NORMDIST(_xlfn.NORM.INV(HE_alpha,0,1),0,1,0)/HE_alpha)</f>
        <v>-2.665214220345808</v>
      </c>
      <c r="D85"/>
      <c r="E85"/>
    </row>
    <row r="86" spans="2:8" x14ac:dyDescent="0.2">
      <c r="B86" s="996" t="str">
        <f>VLOOKUP("T.10.30",HE_label,2,FALSE)</f>
        <v>Verhältnis Expected Shortfall / Quantil</v>
      </c>
      <c r="C86" s="1089">
        <f>C85/C84</f>
        <v>1.1456645199483257</v>
      </c>
      <c r="D86"/>
      <c r="E86"/>
    </row>
    <row r="88" spans="2:8" x14ac:dyDescent="0.2">
      <c r="C88" s="26"/>
      <c r="D88" s="107"/>
      <c r="E88" s="1002"/>
    </row>
    <row r="89" spans="2:8" ht="25.5" x14ac:dyDescent="0.2">
      <c r="B89" s="201" t="str">
        <f>VLOOKUP("T.10.31",HE_label,2,FALSE)</f>
        <v xml:space="preserve">Verkleinerter Raum an Risikofaktoren, wird verwendet für MVM ab Jahr 6 der Projektion </v>
      </c>
      <c r="C89" s="1004" t="str">
        <f>C59</f>
        <v>Standardabweichung, in Mio. CHF</v>
      </c>
      <c r="D89" s="948" t="str">
        <f>E59</f>
        <v>Expected Shortfall, in Mio. CHF</v>
      </c>
      <c r="E89" s="948" t="str">
        <f>VLOOKUP("T.10.32",HE_label,2,FALSE)</f>
        <v>Relativer Anteil am Risiko</v>
      </c>
    </row>
    <row r="90" spans="2:8" x14ac:dyDescent="0.2">
      <c r="B90" s="1001" t="str">
        <f>HE_RFs_label</f>
        <v>Storno (s)</v>
      </c>
      <c r="C90" s="998">
        <f>C41</f>
        <v>0</v>
      </c>
      <c r="D90" s="999">
        <f>C90* C85</f>
        <v>0</v>
      </c>
      <c r="E90" s="1000">
        <f>IF($D$92&lt;&gt;0, D90/$D$92, 0)</f>
        <v>0</v>
      </c>
    </row>
    <row r="91" spans="2:8" x14ac:dyDescent="0.2">
      <c r="B91" s="1001" t="str">
        <f>HE_RFCY_label</f>
        <v>CY-Risiko</v>
      </c>
      <c r="C91" s="102">
        <f>C61</f>
        <v>0</v>
      </c>
      <c r="D91" s="103">
        <f>C91* C85</f>
        <v>0</v>
      </c>
      <c r="E91" s="119">
        <f>IF($D$92&lt;&gt;0, D91/$D$92, 0)</f>
        <v>0</v>
      </c>
    </row>
    <row r="92" spans="2:8" ht="14.25" customHeight="1" x14ac:dyDescent="0.2">
      <c r="B92" s="1003" t="str">
        <f>B39</f>
        <v>Total</v>
      </c>
      <c r="C92" s="180">
        <f>SQRT(C90^2+C91^2)</f>
        <v>0</v>
      </c>
      <c r="D92" s="200">
        <f>C92* C85</f>
        <v>0</v>
      </c>
      <c r="E92" s="207">
        <f>SUM(E90:E91)</f>
        <v>0</v>
      </c>
    </row>
    <row r="97" spans="2:7" x14ac:dyDescent="0.2">
      <c r="F97" s="26"/>
    </row>
    <row r="98" spans="2:7" x14ac:dyDescent="0.2">
      <c r="B98"/>
      <c r="C98"/>
      <c r="D98"/>
      <c r="E98"/>
    </row>
    <row r="99" spans="2:7" x14ac:dyDescent="0.2">
      <c r="B99"/>
      <c r="C99"/>
      <c r="D99"/>
      <c r="E99"/>
    </row>
    <row r="100" spans="2:7" x14ac:dyDescent="0.2">
      <c r="B100"/>
      <c r="C100"/>
      <c r="D100"/>
      <c r="E100"/>
    </row>
    <row r="101" spans="2:7" x14ac:dyDescent="0.2">
      <c r="B101" s="26"/>
      <c r="C101" s="26"/>
      <c r="D101" s="26"/>
      <c r="E101" s="23"/>
      <c r="F101" s="23"/>
      <c r="G101" s="23"/>
    </row>
    <row r="102" spans="2:7" x14ac:dyDescent="0.2">
      <c r="F102" s="23"/>
      <c r="G102" s="23"/>
    </row>
    <row r="103" spans="2:7" x14ac:dyDescent="0.2">
      <c r="F103" s="23"/>
      <c r="G103" s="23"/>
    </row>
    <row r="104" spans="2:7" x14ac:dyDescent="0.2">
      <c r="F104" s="23"/>
      <c r="G104" s="23"/>
    </row>
    <row r="105" spans="2:7" x14ac:dyDescent="0.2">
      <c r="F105" s="23"/>
      <c r="G105" s="23"/>
    </row>
    <row r="112" spans="2:7" x14ac:dyDescent="0.2">
      <c r="B112"/>
      <c r="C112"/>
      <c r="D112"/>
    </row>
    <row r="113" spans="2:4" x14ac:dyDescent="0.2">
      <c r="B113"/>
      <c r="C113"/>
      <c r="D113"/>
    </row>
    <row r="114" spans="2:4" x14ac:dyDescent="0.2">
      <c r="B114"/>
      <c r="C114"/>
      <c r="D114"/>
    </row>
    <row r="115" spans="2:4" x14ac:dyDescent="0.2">
      <c r="B115"/>
      <c r="C115"/>
      <c r="D115"/>
    </row>
    <row r="116" spans="2:4" x14ac:dyDescent="0.2">
      <c r="B116"/>
      <c r="C116"/>
      <c r="D116"/>
    </row>
  </sheetData>
  <mergeCells count="6">
    <mergeCell ref="B26:B27"/>
    <mergeCell ref="F6:F7"/>
    <mergeCell ref="H6:H7"/>
    <mergeCell ref="J6:J7"/>
    <mergeCell ref="G6:G7"/>
    <mergeCell ref="I6:I7"/>
  </mergeCells>
  <pageMargins left="0.47244094488188981" right="0.47244094488188981" top="0.59055118110236227" bottom="0.59055118110236227" header="0.35433070866141736" footer="0.35433070866141736"/>
  <pageSetup paperSize="9" scale="60" fitToHeight="6" orientation="landscape" r:id="rId1"/>
  <headerFooter alignWithMargins="0"/>
  <ignoredErrors>
    <ignoredError sqref="H8:H13 B29:B30 C9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2D3EE"/>
    <pageSetUpPr fitToPage="1"/>
  </sheetPr>
  <dimension ref="A1:ID31"/>
  <sheetViews>
    <sheetView showGridLines="0" zoomScale="90" zoomScaleNormal="90" zoomScaleSheetLayoutView="75" workbookViewId="0"/>
  </sheetViews>
  <sheetFormatPr defaultColWidth="8.85546875" defaultRowHeight="12.75" x14ac:dyDescent="0.2"/>
  <cols>
    <col min="1" max="1" width="5.7109375" style="6" customWidth="1"/>
    <col min="2" max="2" width="66.85546875" style="6" customWidth="1"/>
    <col min="3" max="3" width="52.5703125" style="6" customWidth="1"/>
    <col min="4" max="4" width="20.42578125" style="6" customWidth="1"/>
    <col min="8" max="9" width="8.85546875" style="8"/>
    <col min="10" max="16384" width="8.85546875" style="6"/>
  </cols>
  <sheetData>
    <row r="1" spans="1:238" s="2" customFormat="1" ht="20.100000000000001" customHeight="1" x14ac:dyDescent="0.2">
      <c r="A1" s="53">
        <v>11</v>
      </c>
      <c r="B1" s="54" t="str">
        <f>VLOOKUP("T.11.01",HE_label,2,FALSE)</f>
        <v>Kranken VVG: Versicherungsrisiko der Branche Kollektivtaggeldversicherung (KTG)</v>
      </c>
      <c r="C1" s="54"/>
      <c r="D1" s="59"/>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row>
    <row r="2" spans="1:238" s="5" customFormat="1" ht="14.25" customHeight="1" x14ac:dyDescent="0.2">
      <c r="A2" s="3"/>
      <c r="B2" s="228" t="str" cm="1">
        <f t="array" ref="B2">HE_company_name&amp;" - SST "&amp;HE_CY&amp;HE_suffix</f>
        <v xml:space="preserve"> - SST 2025</v>
      </c>
      <c r="C2" s="4"/>
      <c r="E2"/>
      <c r="F2"/>
      <c r="G2"/>
    </row>
    <row r="3" spans="1:238" ht="14.25" customHeight="1" x14ac:dyDescent="0.2">
      <c r="A3" s="10"/>
      <c r="B3" s="9"/>
      <c r="C3" s="9"/>
    </row>
    <row r="4" spans="1:238" ht="14.25" customHeight="1" x14ac:dyDescent="0.2">
      <c r="A4" s="10"/>
      <c r="B4" s="9"/>
      <c r="C4" s="1030"/>
      <c r="D4" s="1032"/>
    </row>
    <row r="5" spans="1:238" s="1007" customFormat="1" ht="14.25" customHeight="1" x14ac:dyDescent="0.2">
      <c r="A5" s="1006"/>
      <c r="B5" s="1009" t="str">
        <f>VLOOKUP("T.11.02",HE_label,2,FALSE)</f>
        <v>Erwartungswerte</v>
      </c>
      <c r="C5" s="1013"/>
      <c r="D5" s="1016"/>
      <c r="E5" s="1008"/>
      <c r="F5" s="1008"/>
      <c r="G5" s="1008"/>
    </row>
    <row r="6" spans="1:238" ht="14.25" customHeight="1" x14ac:dyDescent="0.2">
      <c r="A6" s="8"/>
      <c r="B6" s="796" t="str">
        <f>VLOOKUP("T.11.03",HE_label,2,FALSE)</f>
        <v>Erwartete Leistungen (Jahressumme) vor Rückversicherung, in Mio. CHF</v>
      </c>
      <c r="C6" s="1033" t="str">
        <f>Intro_SM_Health!C50</f>
        <v>Positives Vorzeichen für ausgehenden Cashflow</v>
      </c>
      <c r="D6" s="1015"/>
      <c r="H6" s="6"/>
      <c r="I6" s="6"/>
    </row>
    <row r="7" spans="1:238" ht="14.25" customHeight="1" x14ac:dyDescent="0.2">
      <c r="A7" s="8"/>
      <c r="B7" s="1010" t="str">
        <f>VLOOKUP("T.11.04",HE_label,2,FALSE)</f>
        <v>Erwartete Leistungen (Jahressumme) nach Rückversicherung, in Mio. CHF</v>
      </c>
      <c r="C7" s="1014"/>
      <c r="D7" s="1011"/>
      <c r="H7" s="6"/>
      <c r="I7" s="6"/>
    </row>
    <row r="8" spans="1:238" ht="14.25" customHeight="1" x14ac:dyDescent="0.2">
      <c r="A8" s="8"/>
      <c r="B8" s="7"/>
      <c r="C8" s="7"/>
      <c r="D8" s="61"/>
      <c r="H8" s="6"/>
      <c r="I8" s="6"/>
    </row>
    <row r="9" spans="1:238" ht="14.25" customHeight="1" x14ac:dyDescent="0.2">
      <c r="A9" s="8"/>
      <c r="B9" s="7"/>
      <c r="C9" s="7"/>
      <c r="D9" s="11"/>
      <c r="H9" s="6"/>
      <c r="I9" s="6"/>
    </row>
    <row r="10" spans="1:238" s="1007" customFormat="1" ht="14.25" customHeight="1" x14ac:dyDescent="0.2">
      <c r="B10" s="1009" t="str">
        <f>VLOOKUP("T.11.05",HE_label,2,FALSE)</f>
        <v>Variabilität (Werte, falls die erste Methode verwendet wird)</v>
      </c>
      <c r="C10" s="1013"/>
      <c r="D10" s="1012"/>
      <c r="E10" s="1008"/>
      <c r="F10" s="1008"/>
      <c r="G10" s="1008"/>
    </row>
    <row r="11" spans="1:238" ht="14.25" customHeight="1" x14ac:dyDescent="0.2">
      <c r="A11" s="8"/>
      <c r="B11" s="1017" t="str">
        <f>VLOOKUP("T.11.06",HE_label,2,FALSE)</f>
        <v>1) Zufallsrisiko</v>
      </c>
      <c r="C11" s="1018"/>
      <c r="D11" s="1026"/>
      <c r="G11" s="6"/>
      <c r="H11" s="6"/>
      <c r="I11" s="6"/>
    </row>
    <row r="12" spans="1:238" ht="14.25" customHeight="1" x14ac:dyDescent="0.2">
      <c r="A12" s="8"/>
      <c r="B12" s="1019" t="str">
        <f>VLOOKUP("T.11.07",HE_label,2,FALSE)</f>
        <v>Erwartete Anzahl Schadenfälle</v>
      </c>
      <c r="C12" s="1019"/>
      <c r="D12" s="175"/>
      <c r="G12" s="6"/>
      <c r="H12" s="6"/>
      <c r="I12" s="6"/>
    </row>
    <row r="13" spans="1:238" s="8" customFormat="1" ht="14.25" customHeight="1" x14ac:dyDescent="0.2">
      <c r="B13" s="1019" t="str">
        <f>VLOOKUP("T.11.08",HE_label,2,FALSE)</f>
        <v>Variationskoeffizient des Einzelschadens</v>
      </c>
      <c r="C13" s="1020" t="str">
        <f>VLOOKUP("T.11.08a",HE_label,2,FALSE)&amp;MID(HE_prescribed_parameters!C69,1,5)</f>
        <v>Bitte begründen, falls Abweichung vom Standardwert 2.5</v>
      </c>
      <c r="D13" s="63"/>
      <c r="E13"/>
      <c r="F13"/>
    </row>
    <row r="14" spans="1:238" customFormat="1" ht="14.25" customHeight="1" x14ac:dyDescent="0.2">
      <c r="A14" s="48"/>
      <c r="B14" s="1019" t="str">
        <f>VLOOKUP("T.11.09",HE_label,2,FALSE)</f>
        <v>Variationskoeffizient des Zufallsrisikos</v>
      </c>
      <c r="C14" s="1020"/>
      <c r="D14" s="165">
        <f>IF(D12="",0,SQRT(1/D12*(D13^2+1)))</f>
        <v>0</v>
      </c>
    </row>
    <row r="15" spans="1:238" customFormat="1" ht="14.25" customHeight="1" x14ac:dyDescent="0.2">
      <c r="A15" s="48"/>
      <c r="B15" s="1017" t="str">
        <f>VLOOKUP("T.11.10",HE_label,2,FALSE)</f>
        <v>2) Parameterrisiko</v>
      </c>
      <c r="C15" s="1018"/>
      <c r="D15" s="157"/>
    </row>
    <row r="16" spans="1:238" customFormat="1" ht="14.25" customHeight="1" x14ac:dyDescent="0.2">
      <c r="A16" s="48"/>
      <c r="B16" s="1021" t="str">
        <f>VLOOKUP("T.11.11",HE_label,2,FALSE)</f>
        <v>Variationskoeffizient des Parameterrisikos</v>
      </c>
      <c r="C16" s="1020" t="str">
        <f>VLOOKUP("T.11.08a",HE_label,2,FALSE)&amp;MID(HE_prescribed_parameters!C70*100,1,5)&amp;"%"</f>
        <v>Bitte begründen, falls Abweichung vom Standardwert 8%</v>
      </c>
      <c r="D16" s="62"/>
    </row>
    <row r="17" spans="1:9" customFormat="1" ht="14.25" customHeight="1" x14ac:dyDescent="0.2">
      <c r="A17" s="48"/>
      <c r="B17" s="1017" t="str">
        <f>VLOOKUP("T.11.12",HE_label,2,FALSE)</f>
        <v>1) + 2) Zufallsrisiko und Parameterrisiko</v>
      </c>
      <c r="C17" s="1018"/>
      <c r="D17" s="164"/>
    </row>
    <row r="18" spans="1:9" s="68" customFormat="1" ht="14.25" customHeight="1" x14ac:dyDescent="0.2">
      <c r="A18" s="1008"/>
      <c r="B18" s="1022" t="str">
        <f>VLOOKUP("T.11.13",HE_label,2,FALSE)</f>
        <v>Variationskoeffizient der jährlichen Leistungen</v>
      </c>
      <c r="C18" s="1023"/>
      <c r="D18" s="176">
        <f>IF(ISNUMBER(D14),SQRT(D14^2+D16^2),0.1)</f>
        <v>0</v>
      </c>
    </row>
    <row r="19" spans="1:9" ht="14.25" customHeight="1" x14ac:dyDescent="0.2">
      <c r="A19" s="8"/>
      <c r="B19" s="1017"/>
      <c r="C19" s="1018"/>
      <c r="D19" s="64"/>
      <c r="G19" s="8"/>
      <c r="I19" s="6"/>
    </row>
    <row r="20" spans="1:9" ht="14.25" customHeight="1" x14ac:dyDescent="0.2">
      <c r="A20" s="8"/>
      <c r="B20" s="1024" t="str">
        <f>VLOOKUP("T.11.14",HE_label,2,FALSE)</f>
        <v>Standardabweichung der jährlichen Leistungen nach Rückversicherung, in Mio. CHF</v>
      </c>
      <c r="C20" s="1024"/>
      <c r="D20" s="173">
        <f>IF(D7=0,D6,D7)*MAX(D16,D18)</f>
        <v>0</v>
      </c>
      <c r="G20" s="8"/>
      <c r="I20" s="6"/>
    </row>
    <row r="21" spans="1:9" ht="14.25" customHeight="1" x14ac:dyDescent="0.2">
      <c r="A21" s="8"/>
      <c r="B21" s="1025" t="str">
        <f>VLOOKUP("T.00.07",HE_label,2,FALSE)&amp;VLOOKUP("T.00.02b",HE_label,2,FALSE)</f>
        <v>Expected Shortfall, in Mio. CHF</v>
      </c>
      <c r="C21" s="1025"/>
      <c r="D21" s="65">
        <f>-NORMDIST(NORMINV(HE_alpha,0,1),0,1,0)/HE_alpha*D20</f>
        <v>0</v>
      </c>
      <c r="G21" s="8"/>
      <c r="I21" s="6"/>
    </row>
    <row r="22" spans="1:9" ht="14.25" customHeight="1" x14ac:dyDescent="0.2">
      <c r="A22" s="8"/>
      <c r="B22" s="155"/>
      <c r="C22" s="155"/>
      <c r="D22" s="158"/>
      <c r="G22" s="8"/>
      <c r="I22" s="6"/>
    </row>
    <row r="23" spans="1:9" ht="14.25" customHeight="1" x14ac:dyDescent="0.2">
      <c r="A23" s="8"/>
      <c r="B23" s="7"/>
      <c r="C23" s="7"/>
      <c r="D23" s="7"/>
    </row>
    <row r="24" spans="1:9" s="1008" customFormat="1" ht="14.25" customHeight="1" x14ac:dyDescent="0.2">
      <c r="B24" s="1028" t="str">
        <f>VLOOKUP("T.11.15",HE_label,2,FALSE)</f>
        <v>Szenario Krankentaggeld</v>
      </c>
      <c r="C24" s="1027"/>
      <c r="D24" s="1035"/>
    </row>
    <row r="25" spans="1:9" customFormat="1" ht="27" customHeight="1" x14ac:dyDescent="0.2">
      <c r="A25" s="48"/>
      <c r="B25" s="936" t="str">
        <f>VLOOKUP("T.11.16",HE_label,2,FALSE)</f>
        <v>Wert der erwarteten Leistungen nach Ereignis Krankentaggeld, in Mio. CHF</v>
      </c>
      <c r="C25" s="1034" t="str">
        <f>Intro_SM_Health!C50</f>
        <v>Positives Vorzeichen für ausgehenden Cashflow</v>
      </c>
      <c r="D25" s="1036">
        <f>IF(D7=0,D6,D7)*2</f>
        <v>0</v>
      </c>
    </row>
    <row r="26" spans="1:9" customFormat="1" ht="14.25" customHeight="1" x14ac:dyDescent="0.2">
      <c r="A26" s="48"/>
      <c r="B26" s="214" t="str">
        <f>VLOOKUP("T.11.17",HE_label,2,FALSE)</f>
        <v>Auswirkung des Ereignisses Krankentaggeld</v>
      </c>
      <c r="C26" s="1031" t="str">
        <f>VLOOKUP("T.11.17a",HE_label,2,FALSE)</f>
        <v>Negatives Vorzeichen (Verlust)</v>
      </c>
      <c r="D26" s="169">
        <f>IF(D7=0,D6,D7)-D25</f>
        <v>0</v>
      </c>
    </row>
    <row r="27" spans="1:9" ht="14.25" customHeight="1" x14ac:dyDescent="0.2">
      <c r="B27" s="66"/>
      <c r="C27" s="156"/>
      <c r="D27" s="67"/>
    </row>
    <row r="28" spans="1:9" x14ac:dyDescent="0.2">
      <c r="B28"/>
      <c r="C28"/>
      <c r="D28"/>
    </row>
    <row r="29" spans="1:9" x14ac:dyDescent="0.2">
      <c r="B29"/>
      <c r="C29"/>
      <c r="D29"/>
    </row>
    <row r="30" spans="1:9" x14ac:dyDescent="0.2">
      <c r="B30"/>
      <c r="C30"/>
      <c r="D30"/>
    </row>
    <row r="31" spans="1:9" x14ac:dyDescent="0.2">
      <c r="B31"/>
      <c r="C31"/>
      <c r="D31"/>
    </row>
  </sheetData>
  <pageMargins left="0.47244094488188981" right="0.47244094488188981" top="0.59055118110236227" bottom="0.59055118110236227" header="0.35433070866141736" footer="0.35433070866141736"/>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A2D3EE"/>
    <pageSetUpPr fitToPage="1"/>
  </sheetPr>
  <dimension ref="A1:F110"/>
  <sheetViews>
    <sheetView showGridLines="0" zoomScale="90" zoomScaleNormal="90" workbookViewId="0"/>
  </sheetViews>
  <sheetFormatPr defaultColWidth="8.85546875" defaultRowHeight="12.75" customHeight="1" x14ac:dyDescent="0.2"/>
  <cols>
    <col min="1" max="1" width="5.7109375" style="6" customWidth="1"/>
    <col min="2" max="2" width="63" style="6" customWidth="1"/>
    <col min="3" max="3" width="44" style="6" customWidth="1"/>
    <col min="4" max="4" width="34.5703125" style="13" customWidth="1"/>
    <col min="5" max="6" width="34.5703125" style="6" customWidth="1"/>
    <col min="7" max="16384" width="8.85546875" style="6"/>
  </cols>
  <sheetData>
    <row r="1" spans="1:4" s="2" customFormat="1" ht="20.100000000000001" customHeight="1" x14ac:dyDescent="0.2">
      <c r="A1" s="53">
        <v>12</v>
      </c>
      <c r="B1" s="54" t="str">
        <f>VLOOKUP("T.12.01",HE_label,2,FALSE)</f>
        <v>Kranken VVG: Erwartetes Versicherungsergebnis</v>
      </c>
      <c r="C1" s="59"/>
      <c r="D1" s="59"/>
    </row>
    <row r="2" spans="1:4" s="2" customFormat="1" ht="14.25" customHeight="1" x14ac:dyDescent="0.2">
      <c r="A2" s="53"/>
      <c r="B2" s="228" t="str" cm="1">
        <f t="array" ref="B2">HE_company_name&amp;" - SST "&amp;HE_CY&amp;HE_suffix</f>
        <v xml:space="preserve"> - SST 2025</v>
      </c>
      <c r="C2" s="59"/>
      <c r="D2" s="59"/>
    </row>
    <row r="3" spans="1:4" s="2" customFormat="1" ht="14.25" customHeight="1" x14ac:dyDescent="0.2">
      <c r="A3" s="53"/>
      <c r="B3" s="228"/>
      <c r="C3" s="59"/>
      <c r="D3" s="59"/>
    </row>
    <row r="4" spans="1:4" s="2" customFormat="1" ht="14.25" customHeight="1" x14ac:dyDescent="0.2">
      <c r="A4" s="1039"/>
      <c r="B4" s="1037"/>
      <c r="C4" s="59"/>
      <c r="D4" s="59"/>
    </row>
    <row r="5" spans="1:4" s="2" customFormat="1" ht="14.25" customHeight="1" x14ac:dyDescent="0.2">
      <c r="A5" s="1039"/>
      <c r="B5" s="1078" t="str">
        <f>VLOOKUP("T.12.02",HE_label,2,FALSE)</f>
        <v>Erwartetes Versicherungsergebnis des Neugeschäfts Kranken</v>
      </c>
      <c r="C5" s="59"/>
      <c r="D5" s="59"/>
    </row>
    <row r="6" spans="1:4" s="2" customFormat="1" ht="14.25" customHeight="1" x14ac:dyDescent="0.2">
      <c r="A6" s="1039"/>
      <c r="B6" s="1079"/>
      <c r="C6" s="59"/>
      <c r="D6" s="59"/>
    </row>
    <row r="7" spans="1:4" s="2" customFormat="1" ht="14.25" customHeight="1" x14ac:dyDescent="0.2">
      <c r="A7" s="1039"/>
      <c r="B7" s="1084" t="str">
        <f>Intro_SM_Health!C52</f>
        <v>Positives Vorzeichen wenn Gewinn, negatives Vorzeichen wenn Verlust</v>
      </c>
      <c r="C7" s="1080" t="str">
        <f>VLOOKUP("T.00.02a",HE_label,2,FALSE)</f>
        <v>in CHF</v>
      </c>
      <c r="D7" s="59"/>
    </row>
    <row r="8" spans="1:4" s="2" customFormat="1" ht="14.25" customHeight="1" x14ac:dyDescent="0.2">
      <c r="A8" s="1039"/>
      <c r="B8" s="863" t="str">
        <f>B13</f>
        <v>Einzelkrankenversicherung (EK)</v>
      </c>
      <c r="C8" s="1081">
        <f>F36</f>
        <v>0</v>
      </c>
      <c r="D8" s="1193" t="str">
        <f>VLOOKUP("T.12.02a",HE_label,2,FALSE)</f>
        <v>Im SST 2025 sind neue Geschäfte, deren Deckung am 01.01.2025 beginnt, Teil der LZV in der SST-Bilanz, und hier wird ein Nullwert ausgewiesen.</v>
      </c>
    </row>
    <row r="9" spans="1:4" s="2" customFormat="1" ht="14.25" customHeight="1" x14ac:dyDescent="0.2">
      <c r="A9" s="1039"/>
      <c r="B9" s="863" t="str">
        <f>B49</f>
        <v>Kollektivtaggeldversicherung (KTG)</v>
      </c>
      <c r="C9" s="1052">
        <f>D64*10^6</f>
        <v>0</v>
      </c>
      <c r="D9" s="59"/>
    </row>
    <row r="10" spans="1:4" s="2" customFormat="1" ht="14.25" customHeight="1" x14ac:dyDescent="0.2">
      <c r="A10" s="1039"/>
      <c r="B10" s="1082" t="str">
        <f>VLOOKUP("T.12.03",HE_label,2,FALSE)</f>
        <v>Total Krankenversicherung VVG</v>
      </c>
      <c r="C10" s="1083">
        <f>C8+C9</f>
        <v>0</v>
      </c>
      <c r="D10" s="59"/>
    </row>
    <row r="11" spans="1:4" s="2" customFormat="1" ht="14.25" customHeight="1" x14ac:dyDescent="0.2">
      <c r="A11" s="1039"/>
      <c r="B11" s="1037"/>
      <c r="C11" s="59"/>
      <c r="D11" s="59"/>
    </row>
    <row r="12" spans="1:4" s="2" customFormat="1" ht="14.25" customHeight="1" x14ac:dyDescent="0.2">
      <c r="A12" s="1039"/>
      <c r="B12" s="1037"/>
      <c r="C12" s="59"/>
      <c r="D12" s="59"/>
    </row>
    <row r="13" spans="1:4" s="2" customFormat="1" ht="14.25" customHeight="1" x14ac:dyDescent="0.2">
      <c r="A13" s="1039"/>
      <c r="B13" s="1043" t="str">
        <f>VLOOKUP("T.12.04",HE_label,2,FALSE)</f>
        <v>Einzelkrankenversicherung (EK)</v>
      </c>
      <c r="C13" s="59"/>
      <c r="D13" s="59"/>
    </row>
    <row r="14" spans="1:4" s="2" customFormat="1" ht="14.25" customHeight="1" x14ac:dyDescent="0.2">
      <c r="A14" s="1039"/>
      <c r="B14" s="1037"/>
      <c r="C14" s="59"/>
      <c r="D14" s="59"/>
    </row>
    <row r="15" spans="1:4" s="2" customFormat="1" ht="14.25" customHeight="1" x14ac:dyDescent="0.2">
      <c r="A15" s="1039"/>
      <c r="B15" s="1051" t="str">
        <f>VLOOKUP("T.12.05",HE_label,2,FALSE)&amp;HE_CY&amp;VLOOKUP("T.12.06",HE_label,2,FALSE)</f>
        <v>Daten über Anzahl neuer Verträge per 01.01.2025 (ausgenommen garantierte Eintritte)</v>
      </c>
      <c r="C15" s="59"/>
      <c r="D15" s="59"/>
    </row>
    <row r="16" spans="1:4" s="2" customFormat="1" ht="14.25" customHeight="1" x14ac:dyDescent="0.2">
      <c r="A16" s="1039"/>
      <c r="B16" s="1054" t="str">
        <f>VLOOKUP("T.12.06a",HE_label,2,FALSE)</f>
        <v>Tabellenblatt</v>
      </c>
      <c r="C16" s="1076" t="str">
        <f>VLOOKUP("T.12.06b",HE_label,2,FALSE)</f>
        <v>Nr. der PG</v>
      </c>
      <c r="D16" s="1055" t="str">
        <f>VLOOKUP("T.12.06c",HE_label,2,FALSE)</f>
        <v xml:space="preserve">Risikobestand </v>
      </c>
    </row>
    <row r="17" spans="1:4" s="2" customFormat="1" ht="14.25" customHeight="1" x14ac:dyDescent="0.2">
      <c r="A17" s="1039"/>
      <c r="B17" s="1056" t="str">
        <f>HE_contract_groups!K10</f>
        <v>HE_CG1</v>
      </c>
      <c r="C17" s="1057" t="str">
        <f>HE_contract_groups!G10</f>
        <v/>
      </c>
      <c r="D17" s="1058">
        <f>IFERROR(HE_CG1!$G$14+HE_CG1!$H$14,0)</f>
        <v>0</v>
      </c>
    </row>
    <row r="18" spans="1:4" s="2" customFormat="1" ht="14.25" customHeight="1" x14ac:dyDescent="0.2">
      <c r="A18" s="1039"/>
      <c r="B18" s="1059" t="str">
        <f>HE_contract_groups!K11</f>
        <v>HE_CG2</v>
      </c>
      <c r="C18" s="1060" t="str">
        <f>HE_contract_groups!G11</f>
        <v/>
      </c>
      <c r="D18" s="1061">
        <f>IFERROR(HE_CG2!$G$14+HE_CG2!$H$14,0)</f>
        <v>0</v>
      </c>
    </row>
    <row r="19" spans="1:4" s="2" customFormat="1" ht="14.25" customHeight="1" x14ac:dyDescent="0.2">
      <c r="A19" s="1039"/>
      <c r="B19" s="1059" t="str">
        <f>HE_contract_groups!K12</f>
        <v>HE_CG3</v>
      </c>
      <c r="C19" s="1060" t="str">
        <f>HE_contract_groups!G12</f>
        <v/>
      </c>
      <c r="D19" s="1061">
        <f>IFERROR(HE_CG3!$G$14+HE_CG3!$H$14,0)</f>
        <v>0</v>
      </c>
    </row>
    <row r="20" spans="1:4" s="2" customFormat="1" ht="14.25" customHeight="1" x14ac:dyDescent="0.2">
      <c r="A20" s="1039"/>
      <c r="B20" s="1059" t="str">
        <f>HE_contract_groups!K13</f>
        <v>HE_CG4</v>
      </c>
      <c r="C20" s="1060" t="str">
        <f>HE_contract_groups!G13</f>
        <v/>
      </c>
      <c r="D20" s="1061">
        <f>IFERROR(HE_CG4!$G$14+HE_CG4!$H$14,0)</f>
        <v>0</v>
      </c>
    </row>
    <row r="21" spans="1:4" s="2" customFormat="1" ht="14.25" customHeight="1" x14ac:dyDescent="0.2">
      <c r="A21" s="1039"/>
      <c r="B21" s="1059" t="str">
        <f>HE_contract_groups!K14</f>
        <v>HE_CG5</v>
      </c>
      <c r="C21" s="1060" t="str">
        <f>HE_contract_groups!G14</f>
        <v/>
      </c>
      <c r="D21" s="1061">
        <f>IFERROR(HE_CG5!$G$14+HE_CG5!$H$14,0)</f>
        <v>0</v>
      </c>
    </row>
    <row r="22" spans="1:4" s="2" customFormat="1" ht="14.25" customHeight="1" x14ac:dyDescent="0.2">
      <c r="A22" s="1039"/>
      <c r="B22" s="1059" t="str">
        <f>HE_contract_groups!K15</f>
        <v>HE_CG6</v>
      </c>
      <c r="C22" s="1060" t="str">
        <f>HE_contract_groups!G15</f>
        <v/>
      </c>
      <c r="D22" s="1061">
        <f>IFERROR(HE_CG6!$G$14+HE_CG6!$H$14,0)</f>
        <v>0</v>
      </c>
    </row>
    <row r="23" spans="1:4" s="2" customFormat="1" ht="14.25" customHeight="1" x14ac:dyDescent="0.2">
      <c r="A23" s="1039"/>
      <c r="B23" s="1059" t="str">
        <f>HE_contract_groups!K16</f>
        <v>HE_CG7</v>
      </c>
      <c r="C23" s="1060" t="str">
        <f>HE_contract_groups!G16</f>
        <v/>
      </c>
      <c r="D23" s="1061">
        <f>IFERROR(HE_CG7!$G$14+HE_CG7!$H$14,0)</f>
        <v>0</v>
      </c>
    </row>
    <row r="24" spans="1:4" s="2" customFormat="1" ht="14.25" customHeight="1" x14ac:dyDescent="0.2">
      <c r="A24" s="1039"/>
      <c r="B24" s="1059" t="str">
        <f>HE_contract_groups!K17</f>
        <v>HE_CG8</v>
      </c>
      <c r="C24" s="1060" t="str">
        <f>HE_contract_groups!G17</f>
        <v/>
      </c>
      <c r="D24" s="1061">
        <f>IFERROR(HE_CG8!$G$14+HE_CG8!$H$14,0)</f>
        <v>0</v>
      </c>
    </row>
    <row r="25" spans="1:4" s="2" customFormat="1" ht="14.25" customHeight="1" x14ac:dyDescent="0.2">
      <c r="A25" s="1039"/>
      <c r="B25" s="1059" t="str">
        <f>HE_contract_groups!K18</f>
        <v>HE_CG9</v>
      </c>
      <c r="C25" s="1060" t="str">
        <f>HE_contract_groups!G18</f>
        <v/>
      </c>
      <c r="D25" s="1061">
        <f>IFERROR(HE_CG9!$G$14+HE_CG9!$H$14,0)</f>
        <v>0</v>
      </c>
    </row>
    <row r="26" spans="1:4" s="2" customFormat="1" ht="14.25" customHeight="1" x14ac:dyDescent="0.2">
      <c r="A26" s="1039"/>
      <c r="B26" s="1059" t="str">
        <f>HE_contract_groups!K19</f>
        <v>HE_CG10</v>
      </c>
      <c r="C26" s="1060" t="str">
        <f>HE_contract_groups!G19</f>
        <v/>
      </c>
      <c r="D26" s="1061">
        <f>IFERROR(HE_CG10!$G$14+HE_CG10!$H$14,0)</f>
        <v>0</v>
      </c>
    </row>
    <row r="27" spans="1:4" s="2" customFormat="1" ht="14.25" customHeight="1" x14ac:dyDescent="0.2">
      <c r="A27" s="1039"/>
      <c r="B27" s="1059" t="str">
        <f>HE_contract_groups!K20</f>
        <v>HE_CG11</v>
      </c>
      <c r="C27" s="1060" t="str">
        <f>HE_contract_groups!G20</f>
        <v/>
      </c>
      <c r="D27" s="1061">
        <f>IFERROR(HE_CG11!$G$14+HE_CG11!$H$14,0)</f>
        <v>0</v>
      </c>
    </row>
    <row r="28" spans="1:4" s="2" customFormat="1" ht="14.25" customHeight="1" x14ac:dyDescent="0.2">
      <c r="A28" s="1039"/>
      <c r="B28" s="1059" t="str">
        <f>HE_contract_groups!K21</f>
        <v>HE_CG12</v>
      </c>
      <c r="C28" s="1060" t="str">
        <f>HE_contract_groups!G21</f>
        <v/>
      </c>
      <c r="D28" s="1061">
        <f>IFERROR(HE_CG12!$G$14+HE_CG12!$H$14,0)</f>
        <v>0</v>
      </c>
    </row>
    <row r="29" spans="1:4" s="2" customFormat="1" ht="14.25" customHeight="1" x14ac:dyDescent="0.2">
      <c r="A29" s="1039"/>
      <c r="B29" s="1059" t="str">
        <f>HE_contract_groups!K22</f>
        <v>HE_CG13</v>
      </c>
      <c r="C29" s="1060" t="str">
        <f>HE_contract_groups!G22</f>
        <v/>
      </c>
      <c r="D29" s="1061">
        <f>IFERROR(HE_CG13!$G$14+HE_CG13!$H$14,0)</f>
        <v>0</v>
      </c>
    </row>
    <row r="30" spans="1:4" s="2" customFormat="1" ht="14.25" customHeight="1" x14ac:dyDescent="0.2">
      <c r="A30" s="1039"/>
      <c r="B30" s="1059" t="str">
        <f>HE_contract_groups!K23</f>
        <v>HE_CG14</v>
      </c>
      <c r="C30" s="1060" t="str">
        <f>HE_contract_groups!G23</f>
        <v/>
      </c>
      <c r="D30" s="1061">
        <f>IFERROR(HE_CG14!$G$14+HE_CG14!$H$14,0)</f>
        <v>0</v>
      </c>
    </row>
    <row r="31" spans="1:4" s="2" customFormat="1" ht="14.25" customHeight="1" x14ac:dyDescent="0.2">
      <c r="A31" s="1039"/>
      <c r="B31" s="1062" t="str">
        <f>HE_contract_groups!K24</f>
        <v>HE_CG15</v>
      </c>
      <c r="C31" s="1063" t="str">
        <f>HE_contract_groups!G24</f>
        <v/>
      </c>
      <c r="D31" s="1064">
        <f>IFERROR(HE_CG15!$G$14+HE_CG15!$H$14,0)</f>
        <v>0</v>
      </c>
    </row>
    <row r="32" spans="1:4" s="2" customFormat="1" ht="14.25" customHeight="1" x14ac:dyDescent="0.2">
      <c r="A32" s="1039"/>
      <c r="B32" s="1037"/>
      <c r="C32" s="59"/>
      <c r="D32" s="59"/>
    </row>
    <row r="33" spans="1:6" s="2" customFormat="1" ht="14.25" customHeight="1" x14ac:dyDescent="0.2">
      <c r="A33" s="1039"/>
      <c r="B33" s="1051" t="str">
        <f>VLOOKUP("T.12.07",HE_label,2,FALSE)&amp;HE_CY&amp;VLOOKUP("T.12.08",HE_label,2,FALSE)</f>
        <v>Totale erwartete Cashflows der neuen Verträge per 01.01.2025, mit Prämien-Cap und diskontiert</v>
      </c>
      <c r="C33" s="59"/>
      <c r="D33" s="59"/>
    </row>
    <row r="34" spans="1:6" s="2" customFormat="1" ht="66.75" customHeight="1" x14ac:dyDescent="0.2">
      <c r="A34" s="1039"/>
      <c r="B34" s="1068"/>
      <c r="C34" s="1077" t="str">
        <f>VLOOKUP("T.12.09",HE_label,2,FALSE)&amp;HE_CY&amp;VLOOKUP("T.12.10",HE_label,2,FALSE)</f>
        <v>Anzahl neuer Verträge per 01.01.2025 (ausgenommen garantierte Eintritte)</v>
      </c>
      <c r="D34" s="1365" t="str">
        <f>VLOOKUP("T.12.11",HE_label,2,FALSE)&amp;HE_CF_label&amp;VLOOKUP("T.12.12",HE_label,2,FALSE)&amp;VLOOKUP("T.00.02",HE_label,2,FALSE)&amp;" ("&amp;Intro_SM_Health!C52&amp;")"</f>
        <v>Ihre  Prämien - Leistungen - Kosten auf ihrer gesamten Abwicklungsdauer, in CHF (Positives Vorzeichen wenn Gewinn, negatives Vorzeichen wenn Verlust)</v>
      </c>
      <c r="E34" s="1366"/>
      <c r="F34" s="1366"/>
    </row>
    <row r="35" spans="1:6" s="2" customFormat="1" ht="18" customHeight="1" x14ac:dyDescent="0.2">
      <c r="A35" s="1039"/>
      <c r="B35" s="1068"/>
      <c r="C35" s="1077"/>
      <c r="D35" s="1077" t="str">
        <f>VLOOKUP("T.15.17a",HE_label,2,FALSE)</f>
        <v>Standard</v>
      </c>
      <c r="E35" s="1077" t="str">
        <f>VLOOKUP("T.15.17b",HE_label,2,FALSE)</f>
        <v>Alternative</v>
      </c>
      <c r="F35" s="1077" t="str">
        <f>VLOOKUP("T.15.17c",HE_label,2,FALSE)</f>
        <v>Verwendet</v>
      </c>
    </row>
    <row r="36" spans="1:6" s="2" customFormat="1" ht="14.25" customHeight="1" x14ac:dyDescent="0.2">
      <c r="A36" s="1039"/>
      <c r="B36" s="1069" t="str">
        <f>HE_PGTot_label</f>
        <v>Total fünf Produktegruppen</v>
      </c>
      <c r="C36" s="1070">
        <f>SUM(C37:C41)</f>
        <v>0</v>
      </c>
      <c r="D36" s="1067">
        <f>SUM(D37:D41)</f>
        <v>0</v>
      </c>
      <c r="E36" s="1067">
        <f>SUM(E37:E41)</f>
        <v>0</v>
      </c>
      <c r="F36" s="1067">
        <f>SUM(F37:F41)</f>
        <v>0</v>
      </c>
    </row>
    <row r="37" spans="1:6" s="2" customFormat="1" ht="14.25" customHeight="1" x14ac:dyDescent="0.2">
      <c r="A37" s="1039"/>
      <c r="B37" s="860" t="str">
        <f>HE_PG1_label</f>
        <v>PG1 - Stationäre Produkte Halbprivat, Privat und Flex</v>
      </c>
      <c r="C37" s="1071">
        <f>SUMIF($C$17:$C$31,1,$D$17:$D$31)</f>
        <v>0</v>
      </c>
      <c r="D37" s="1052">
        <f>IFERROR((C37/HE_LZV_CF!$G$93)*HE_LZV_CF!D69,0)</f>
        <v>0</v>
      </c>
      <c r="E37" s="337"/>
      <c r="F37" s="1280">
        <f>IF(ISBLANK(E37),D37,E37)</f>
        <v>0</v>
      </c>
    </row>
    <row r="38" spans="1:6" s="2" customFormat="1" ht="14.25" customHeight="1" x14ac:dyDescent="0.2">
      <c r="A38" s="1039"/>
      <c r="B38" s="860" t="str">
        <f>HE_PG2_label</f>
        <v>PG2 - Übrige stationäre Produkte</v>
      </c>
      <c r="C38" s="1071">
        <f>SUMIF($C$17:$C$31,2,$D$17:$D$31)</f>
        <v>0</v>
      </c>
      <c r="D38" s="1052">
        <f>IFERROR((C38/HE_LZV_CF!$G$94)*HE_LZV_CF!D70,0)</f>
        <v>0</v>
      </c>
      <c r="E38" s="337"/>
      <c r="F38" s="1280">
        <f t="shared" ref="F38:F41" si="0">IF(ISBLANK(E38),D38,E38)</f>
        <v>0</v>
      </c>
    </row>
    <row r="39" spans="1:6" s="2" customFormat="1" ht="14.25" customHeight="1" x14ac:dyDescent="0.2">
      <c r="A39" s="1039"/>
      <c r="B39" s="860" t="str">
        <f>HE_PG3_label</f>
        <v>PG3 - Ambulante Produkte</v>
      </c>
      <c r="C39" s="1071">
        <f>SUMIF($C$17:$C$31,3,$D$17:$D$31)</f>
        <v>0</v>
      </c>
      <c r="D39" s="1052">
        <f>IFERROR((C39/HE_LZV_CF!$G$95)*HE_LZV_CF!D71,0)</f>
        <v>0</v>
      </c>
      <c r="E39" s="337"/>
      <c r="F39" s="1280">
        <f t="shared" si="0"/>
        <v>0</v>
      </c>
    </row>
    <row r="40" spans="1:6" s="2" customFormat="1" ht="14.25" customHeight="1" x14ac:dyDescent="0.2">
      <c r="A40" s="1039"/>
      <c r="B40" s="860" t="str">
        <f>HE_PG4_label</f>
        <v>PG4 - Langzeitpflege</v>
      </c>
      <c r="C40" s="1071">
        <f>SUMIF($C$17:$C$31,4,$D$17:$D$31)</f>
        <v>0</v>
      </c>
      <c r="D40" s="1052">
        <f>IFERROR((C40/HE_LZV_CF!$G$96)*HE_LZV_CF!D72,0)</f>
        <v>0</v>
      </c>
      <c r="E40" s="337"/>
      <c r="F40" s="1280">
        <f t="shared" si="0"/>
        <v>0</v>
      </c>
    </row>
    <row r="41" spans="1:6" s="2" customFormat="1" ht="14.25" customHeight="1" x14ac:dyDescent="0.2">
      <c r="A41" s="1039"/>
      <c r="B41" s="861" t="str">
        <f>HE_PG5_label</f>
        <v>PG5 - Einzeltaggeldversicherung</v>
      </c>
      <c r="C41" s="1072">
        <f>SUMIF($C$17:$C$31,5,$D$17:$D$31)</f>
        <v>0</v>
      </c>
      <c r="D41" s="1053">
        <f>IFERROR((C41/HE_LZV_CF!$G$97)*HE_LZV_CF!D73,0)</f>
        <v>0</v>
      </c>
      <c r="E41" s="495"/>
      <c r="F41" s="1281">
        <f t="shared" si="0"/>
        <v>0</v>
      </c>
    </row>
    <row r="42" spans="1:6" s="2" customFormat="1" ht="14.25" customHeight="1" x14ac:dyDescent="0.2">
      <c r="A42" s="1039"/>
      <c r="B42" s="1037"/>
      <c r="C42" s="59"/>
      <c r="D42" s="59"/>
    </row>
    <row r="43" spans="1:6" s="2" customFormat="1" ht="14.25" customHeight="1" x14ac:dyDescent="0.2">
      <c r="A43" s="1073"/>
      <c r="B43" s="1050"/>
      <c r="C43" s="59"/>
      <c r="D43" s="59"/>
    </row>
    <row r="44" spans="1:6" s="2" customFormat="1" ht="14.25" customHeight="1" x14ac:dyDescent="0.2">
      <c r="A44" s="1073"/>
      <c r="B44" s="1051" t="str">
        <f>VLOOKUP("T.12.13",HE_label,2,FALSE)&amp;HE_CY</f>
        <v>Versicherte Personen per 01.01.2025</v>
      </c>
      <c r="C44" s="59"/>
      <c r="D44" s="59"/>
    </row>
    <row r="45" spans="1:6" s="2" customFormat="1" ht="30.75" customHeight="1" x14ac:dyDescent="0.2">
      <c r="A45" s="1073"/>
      <c r="B45" s="1075" t="str">
        <f>VLOOKUP("T.12.14",HE_label,2,FALSE)&amp;HE_CY&amp;VLOOKUP("T.12.15",HE_label,2,FALSE)&amp;HE_CY-1&amp;")"</f>
        <v>Anzahl versicherter Personen per 01.01.2025 (einschliesslich Personen, die schon versichert waren per 31.12.2024)</v>
      </c>
      <c r="C45" s="1074" t="str">
        <f>VLOOKUP("T.12.15a",HE_label,2,FALSE)</f>
        <v>Eine Person mit mehreren Produkten zählt nur einmal (Kopfzählung)</v>
      </c>
      <c r="D45" s="1090"/>
    </row>
    <row r="46" spans="1:6" s="2" customFormat="1" ht="14.25" customHeight="1" x14ac:dyDescent="0.2">
      <c r="A46" s="1073"/>
      <c r="B46" s="1050"/>
      <c r="C46" s="59"/>
      <c r="D46" s="59"/>
    </row>
    <row r="47" spans="1:6" s="2" customFormat="1" ht="14.25" customHeight="1" x14ac:dyDescent="0.2">
      <c r="A47" s="1073"/>
      <c r="B47" s="1050"/>
      <c r="C47" s="59"/>
      <c r="D47" s="59"/>
    </row>
    <row r="48" spans="1:6" s="2" customFormat="1" ht="14.25" customHeight="1" x14ac:dyDescent="0.2">
      <c r="A48" s="1039"/>
      <c r="B48" s="1037"/>
      <c r="C48" s="59"/>
      <c r="D48" s="59"/>
    </row>
    <row r="49" spans="1:4" s="2" customFormat="1" ht="14.25" customHeight="1" x14ac:dyDescent="0.2">
      <c r="A49" s="1039"/>
      <c r="B49" s="1078" t="str">
        <f>VLOOKUP("T.12.16",HE_label,2,FALSE)</f>
        <v>Kollektivtaggeldversicherung (KTG)</v>
      </c>
      <c r="C49" s="59"/>
      <c r="D49" s="59"/>
    </row>
    <row r="50" spans="1:4" s="12" customFormat="1" ht="14.25" customHeight="1" x14ac:dyDescent="0.2">
      <c r="D50" s="1038"/>
    </row>
    <row r="51" spans="1:4" ht="24" customHeight="1" x14ac:dyDescent="0.2">
      <c r="A51" s="8"/>
      <c r="B51" s="111"/>
      <c r="C51" s="1048"/>
      <c r="D51" s="1045" t="str">
        <f>VLOOKUP("T.00.02c",HE_label,2,FALSE)</f>
        <v>in Mio. CHF</v>
      </c>
    </row>
    <row r="52" spans="1:4" ht="14.25" customHeight="1" x14ac:dyDescent="0.2">
      <c r="A52" s="8"/>
      <c r="B52" s="111" t="str">
        <f>VLOOKUP("T.12.17",HE_label,2,FALSE)</f>
        <v xml:space="preserve">Erwartete Prämien (verdiente) vor Rückversicherung </v>
      </c>
      <c r="C52" s="1049" t="str">
        <f>Intro_SM_Health!C49</f>
        <v>Positives Vorzeichen für eingehenden Cashflow</v>
      </c>
      <c r="D52" s="1046"/>
    </row>
    <row r="53" spans="1:4" ht="14.25" customHeight="1" x14ac:dyDescent="0.2">
      <c r="A53" s="8"/>
      <c r="B53" s="111" t="str">
        <f>VLOOKUP("T.12.18",HE_label,2,FALSE)</f>
        <v>Erwartete Prämien (verdiente) nach Rückversicherung</v>
      </c>
      <c r="C53" s="1048"/>
      <c r="D53" s="1046"/>
    </row>
    <row r="54" spans="1:4" ht="14.25" customHeight="1" x14ac:dyDescent="0.2">
      <c r="A54" s="8"/>
      <c r="B54" s="1041" t="str">
        <f>VLOOKUP("T.12.19",HE_label,2,FALSE)</f>
        <v>Versicherungstechnische Erträge (nach Rückversicherung)</v>
      </c>
      <c r="C54" s="1048"/>
      <c r="D54" s="1091">
        <f>IF(D53=0,D52,D53)</f>
        <v>0</v>
      </c>
    </row>
    <row r="55" spans="1:4" ht="14.25" customHeight="1" x14ac:dyDescent="0.2">
      <c r="A55" s="8"/>
      <c r="B55" s="1040"/>
      <c r="C55" s="1048"/>
      <c r="D55" s="169"/>
    </row>
    <row r="56" spans="1:4" ht="14.25" customHeight="1" x14ac:dyDescent="0.2">
      <c r="A56" s="8"/>
      <c r="B56" s="111" t="str">
        <f>VLOOKUP("T.12.20",HE_label,2,FALSE)</f>
        <v>Erwartete Leistungen (Jahressumme) vor Rückversicherung</v>
      </c>
      <c r="C56" s="1049" t="str">
        <f>Intro_SM_Health!C50</f>
        <v>Positives Vorzeichen für ausgehenden Cashflow</v>
      </c>
      <c r="D56" s="169">
        <f>HE_ins_risk_KTG!D6</f>
        <v>0</v>
      </c>
    </row>
    <row r="57" spans="1:4" ht="14.25" customHeight="1" x14ac:dyDescent="0.2">
      <c r="A57" s="8"/>
      <c r="B57" s="111" t="str">
        <f>VLOOKUP("T.12.21",HE_label,2,FALSE)</f>
        <v>Erwartete Leistungen (Jahressumme) nach Rückversicherung</v>
      </c>
      <c r="C57" s="1048"/>
      <c r="D57" s="170">
        <f>HE_ins_risk_KTG!D7</f>
        <v>0</v>
      </c>
    </row>
    <row r="58" spans="1:4" ht="14.25" customHeight="1" x14ac:dyDescent="0.2">
      <c r="A58" s="8"/>
      <c r="B58" s="111" t="str">
        <f>VLOOKUP("T.12.22",HE_label,2,FALSE)</f>
        <v>Veränderung der Schadenrückstellungen (Best-Estimate)</v>
      </c>
      <c r="C58" s="1048"/>
      <c r="D58" s="1047"/>
    </row>
    <row r="59" spans="1:4" ht="14.25" customHeight="1" x14ac:dyDescent="0.2">
      <c r="A59" s="8"/>
      <c r="B59" s="111" t="str">
        <f>VLOOKUP("T.12.23",HE_label,2,FALSE)</f>
        <v>Veränderung der sonstigen Versicherungsrückstellungen (Best-Estimate)</v>
      </c>
      <c r="C59" s="1048"/>
      <c r="D59" s="1046"/>
    </row>
    <row r="60" spans="1:4" ht="14.25" customHeight="1" x14ac:dyDescent="0.2">
      <c r="A60" s="8"/>
      <c r="B60" s="111" t="str">
        <f>VLOOKUP("T.12.24",HE_label,2,FALSE)</f>
        <v>Betriebs- und Verwaltungsaufwendungen</v>
      </c>
      <c r="C60" s="1048"/>
      <c r="D60" s="1046"/>
    </row>
    <row r="61" spans="1:4" ht="14.25" customHeight="1" x14ac:dyDescent="0.2">
      <c r="A61" s="8"/>
      <c r="B61" s="111" t="str">
        <f>VLOOKUP("T.12.25",HE_label,2,FALSE)</f>
        <v>Andere Aufwendungen (marktkonform bewertet)</v>
      </c>
      <c r="C61" s="1048"/>
      <c r="D61" s="1046"/>
    </row>
    <row r="62" spans="1:4" ht="14.25" customHeight="1" x14ac:dyDescent="0.2">
      <c r="A62" s="8"/>
      <c r="B62" s="1041" t="str">
        <f>VLOOKUP("T.12.26",HE_label,2,FALSE)</f>
        <v>Versicherungstechnische Aufwendungen (nach Rückversicherung)</v>
      </c>
      <c r="C62" s="1048"/>
      <c r="D62" s="174">
        <f>IF(D57=0,SUM(D56,D58:D61),SUM(D57,D58:D61))</f>
        <v>0</v>
      </c>
    </row>
    <row r="63" spans="1:4" ht="14.25" customHeight="1" x14ac:dyDescent="0.2">
      <c r="A63" s="8"/>
      <c r="B63" s="1040"/>
      <c r="C63" s="1048"/>
      <c r="D63" s="169"/>
    </row>
    <row r="64" spans="1:4" ht="28.5" customHeight="1" x14ac:dyDescent="0.2">
      <c r="A64" s="8"/>
      <c r="B64" s="1042" t="str">
        <f>VLOOKUP("T.12.27",HE_label,2,FALSE)</f>
        <v>Versicherungsergebnis (nach Rückversicherung)</v>
      </c>
      <c r="C64" s="1232" t="str">
        <f>Intro_SM_Health!C52</f>
        <v>Positives Vorzeichen wenn Gewinn, negatives Vorzeichen wenn Verlust</v>
      </c>
      <c r="D64" s="171">
        <f>D54-D62</f>
        <v>0</v>
      </c>
    </row>
    <row r="65" spans="2:4" ht="12.75" customHeight="1" x14ac:dyDescent="0.2">
      <c r="B65" s="7"/>
      <c r="D65" s="6"/>
    </row>
    <row r="66" spans="2:4" ht="12.75" customHeight="1" x14ac:dyDescent="0.2">
      <c r="D66" s="6"/>
    </row>
    <row r="67" spans="2:4" customFormat="1" ht="12.75" customHeight="1" x14ac:dyDescent="0.2"/>
    <row r="68" spans="2:4" customFormat="1" ht="12.75" customHeight="1" x14ac:dyDescent="0.2"/>
    <row r="69" spans="2:4" customFormat="1" ht="12.75" customHeight="1" x14ac:dyDescent="0.2"/>
    <row r="70" spans="2:4" customFormat="1" ht="12.75" customHeight="1" x14ac:dyDescent="0.2"/>
    <row r="71" spans="2:4" customFormat="1" ht="12.75" customHeight="1" x14ac:dyDescent="0.2"/>
    <row r="72" spans="2:4" customFormat="1" ht="12.75" customHeight="1" x14ac:dyDescent="0.2"/>
    <row r="73" spans="2:4" customFormat="1" ht="12.75" customHeight="1" x14ac:dyDescent="0.2"/>
    <row r="74" spans="2:4" customFormat="1" ht="12.75" customHeight="1" x14ac:dyDescent="0.2"/>
    <row r="75" spans="2:4" ht="12.75" customHeight="1" x14ac:dyDescent="0.2">
      <c r="D75" s="6"/>
    </row>
    <row r="76" spans="2:4" ht="12.75" customHeight="1" x14ac:dyDescent="0.2">
      <c r="D76" s="6"/>
    </row>
    <row r="77" spans="2:4" ht="12.75" customHeight="1" x14ac:dyDescent="0.2">
      <c r="D77" s="6"/>
    </row>
    <row r="78" spans="2:4" ht="12.75" customHeight="1" x14ac:dyDescent="0.2">
      <c r="D78" s="6"/>
    </row>
    <row r="79" spans="2:4" ht="12.75" customHeight="1" x14ac:dyDescent="0.2">
      <c r="D79" s="6"/>
    </row>
    <row r="80" spans="2:4" ht="12.75" customHeight="1" x14ac:dyDescent="0.2">
      <c r="D80" s="6"/>
    </row>
    <row r="81" spans="4:4" ht="12.75" customHeight="1" x14ac:dyDescent="0.2">
      <c r="D81" s="6"/>
    </row>
    <row r="82" spans="4:4" ht="12.75" customHeight="1" x14ac:dyDescent="0.2">
      <c r="D82" s="6"/>
    </row>
    <row r="83" spans="4:4" ht="12.75" customHeight="1" x14ac:dyDescent="0.2">
      <c r="D83" s="6"/>
    </row>
    <row r="84" spans="4:4" ht="12.75" customHeight="1" x14ac:dyDescent="0.2">
      <c r="D84" s="6"/>
    </row>
    <row r="85" spans="4:4" ht="12.75" customHeight="1" x14ac:dyDescent="0.2">
      <c r="D85" s="6"/>
    </row>
    <row r="86" spans="4:4" ht="12.75" customHeight="1" x14ac:dyDescent="0.2">
      <c r="D86" s="6"/>
    </row>
    <row r="87" spans="4:4" ht="12.75" customHeight="1" x14ac:dyDescent="0.2">
      <c r="D87" s="6"/>
    </row>
    <row r="88" spans="4:4" ht="12.75" customHeight="1" x14ac:dyDescent="0.2">
      <c r="D88" s="6"/>
    </row>
    <row r="89" spans="4:4" ht="12.75" customHeight="1" x14ac:dyDescent="0.2">
      <c r="D89" s="6"/>
    </row>
    <row r="90" spans="4:4" ht="12.75" customHeight="1" x14ac:dyDescent="0.2">
      <c r="D90" s="6"/>
    </row>
    <row r="91" spans="4:4" ht="12.75" customHeight="1" x14ac:dyDescent="0.2">
      <c r="D91" s="6"/>
    </row>
    <row r="92" spans="4:4" ht="12.75" customHeight="1" x14ac:dyDescent="0.2">
      <c r="D92" s="6"/>
    </row>
    <row r="93" spans="4:4" ht="12.75" customHeight="1" x14ac:dyDescent="0.2">
      <c r="D93" s="6"/>
    </row>
    <row r="94" spans="4:4" ht="12.75" customHeight="1" x14ac:dyDescent="0.2">
      <c r="D94" s="6"/>
    </row>
    <row r="95" spans="4:4" ht="12.75" customHeight="1" x14ac:dyDescent="0.2">
      <c r="D95" s="6"/>
    </row>
    <row r="96" spans="4:4" ht="12.75" customHeight="1" x14ac:dyDescent="0.2">
      <c r="D96" s="6"/>
    </row>
    <row r="97" spans="4:4" ht="12.75" customHeight="1" x14ac:dyDescent="0.2">
      <c r="D97" s="6"/>
    </row>
    <row r="98" spans="4:4" ht="12.75" customHeight="1" x14ac:dyDescent="0.2">
      <c r="D98" s="6"/>
    </row>
    <row r="99" spans="4:4" ht="12.75" customHeight="1" x14ac:dyDescent="0.2">
      <c r="D99" s="6"/>
    </row>
    <row r="100" spans="4:4" ht="12.75" customHeight="1" x14ac:dyDescent="0.2">
      <c r="D100" s="6"/>
    </row>
    <row r="101" spans="4:4" ht="12.75" customHeight="1" x14ac:dyDescent="0.2">
      <c r="D101" s="6"/>
    </row>
    <row r="102" spans="4:4" ht="12.75" customHeight="1" x14ac:dyDescent="0.2">
      <c r="D102" s="6"/>
    </row>
    <row r="103" spans="4:4" ht="12.75" customHeight="1" x14ac:dyDescent="0.2">
      <c r="D103" s="6"/>
    </row>
    <row r="104" spans="4:4" ht="12.75" customHeight="1" x14ac:dyDescent="0.2">
      <c r="D104" s="6"/>
    </row>
    <row r="105" spans="4:4" ht="12.75" customHeight="1" x14ac:dyDescent="0.2">
      <c r="D105" s="6"/>
    </row>
    <row r="106" spans="4:4" ht="12.75" customHeight="1" x14ac:dyDescent="0.2">
      <c r="D106" s="6"/>
    </row>
    <row r="107" spans="4:4" ht="12.75" customHeight="1" x14ac:dyDescent="0.2">
      <c r="D107" s="6"/>
    </row>
    <row r="108" spans="4:4" ht="12.75" customHeight="1" x14ac:dyDescent="0.2">
      <c r="D108" s="6"/>
    </row>
    <row r="109" spans="4:4" ht="12.75" customHeight="1" x14ac:dyDescent="0.2">
      <c r="D109" s="6"/>
    </row>
    <row r="110" spans="4:4" ht="12.75" customHeight="1" x14ac:dyDescent="0.2">
      <c r="D110" s="6"/>
    </row>
  </sheetData>
  <mergeCells count="1">
    <mergeCell ref="D34:F34"/>
  </mergeCells>
  <conditionalFormatting sqref="E39:E41">
    <cfRule type="expression" dxfId="625" priority="1">
      <formula>IF($G39="Ground-up loss",TRUE,FALSE)</formula>
    </cfRule>
  </conditionalFormatting>
  <conditionalFormatting sqref="E37:E38">
    <cfRule type="expression" dxfId="624" priority="2">
      <formula>IF($G36="Ground-up loss",TRUE,FALSE)</formula>
    </cfRule>
  </conditionalFormatting>
  <pageMargins left="0.47244094488188981" right="0.47244094488188981" top="0.59055118110236227" bottom="0.59055118110236227" header="0.35433070866141736" footer="0.35433070866141736"/>
  <pageSetup paperSize="9" scale="4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539E"/>
    <pageSetUpPr fitToPage="1"/>
  </sheetPr>
  <dimension ref="A1:IX91"/>
  <sheetViews>
    <sheetView showGridLines="0" zoomScale="90" zoomScaleNormal="90" workbookViewId="0"/>
  </sheetViews>
  <sheetFormatPr defaultColWidth="8.85546875" defaultRowHeight="12.75" x14ac:dyDescent="0.2"/>
  <cols>
    <col min="1" max="1" width="5.7109375" style="17" customWidth="1"/>
    <col min="2" max="2" width="62.85546875" style="32" customWidth="1"/>
    <col min="3" max="3" width="28.5703125" style="17" customWidth="1"/>
    <col min="4" max="4" width="23" style="17" customWidth="1"/>
    <col min="5" max="5" width="21.28515625" style="17" customWidth="1"/>
    <col min="6" max="6" width="15.7109375" style="33" customWidth="1"/>
    <col min="7" max="55" width="15.7109375" style="17" customWidth="1"/>
    <col min="56" max="16384" width="8.85546875" style="17"/>
  </cols>
  <sheetData>
    <row r="1" spans="1:258" s="30" customFormat="1" ht="20.100000000000001" customHeight="1" x14ac:dyDescent="0.2">
      <c r="A1" s="53">
        <v>13</v>
      </c>
      <c r="B1" s="54" t="str">
        <f>VLOOKUP("T.13.01",HE_label,2,FALSE)</f>
        <v>Kranken VVG: Mindestbetrag (MVM)</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6"/>
      <c r="BE1" s="6"/>
      <c r="BF1" s="6"/>
      <c r="BG1" s="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18" customFormat="1" ht="14.25" customHeight="1" x14ac:dyDescent="0.2">
      <c r="A2" s="15"/>
      <c r="B2" s="1128" t="str" cm="1">
        <f t="array" ref="B2">HE_company_name&amp;" - SST "&amp;HE_CY&amp;HE_suffix</f>
        <v xml:space="preserve"> - SST 2025</v>
      </c>
      <c r="BD2" s="6"/>
      <c r="BE2" s="6"/>
      <c r="BF2" s="6"/>
      <c r="BG2" s="6"/>
    </row>
    <row r="3" spans="1:258" s="18" customFormat="1" ht="14.25" customHeight="1" x14ac:dyDescent="0.2">
      <c r="A3" s="15"/>
      <c r="B3" s="43"/>
      <c r="BD3" s="6"/>
      <c r="BE3" s="6"/>
      <c r="BF3" s="6"/>
      <c r="BG3" s="6"/>
    </row>
    <row r="4" spans="1:258" customFormat="1" ht="14.25" customHeight="1" x14ac:dyDescent="0.2"/>
    <row r="5" spans="1:258" ht="28.5" customHeight="1" x14ac:dyDescent="0.2">
      <c r="B5" s="1115" t="str">
        <f>VLOOKUP("T.13.02",HE_label,2,FALSE)</f>
        <v>Versicherungsrisiko EK (vor Szenario AS) dividiert durch den Barwert der Leistungen und Verwaltungskosten</v>
      </c>
      <c r="C5" s="1106">
        <f>IF(SUM(D11:BA11)=0,0,ABS((HE_ins_risk_EK!E62*10^6)/SUM(D11:BA11)))</f>
        <v>0</v>
      </c>
      <c r="D5" s="1107">
        <f>IF(SUM(D11:BA11)=0,0,ABS((HE_ins_risk_EK!D92*10^6)/SUM(D11:BA11)))</f>
        <v>0</v>
      </c>
      <c r="F5" s="17"/>
      <c r="BD5" s="6"/>
      <c r="BE5" s="6"/>
      <c r="BF5" s="6"/>
      <c r="BG5" s="6"/>
    </row>
    <row r="6" spans="1:258" ht="14.25" customHeight="1" x14ac:dyDescent="0.2">
      <c r="B6" s="129"/>
      <c r="C6" s="130"/>
      <c r="D6" s="130"/>
      <c r="E6" s="194"/>
      <c r="F6" s="17"/>
      <c r="BD6" s="6"/>
      <c r="BE6" s="6"/>
      <c r="BF6" s="6"/>
      <c r="BG6" s="6"/>
    </row>
    <row r="7" spans="1:258" ht="14.25" customHeight="1" x14ac:dyDescent="0.2">
      <c r="B7" s="112"/>
      <c r="C7" s="110"/>
      <c r="D7" s="110"/>
      <c r="E7" s="194"/>
      <c r="BD7" s="6"/>
      <c r="BE7" s="6"/>
      <c r="BF7" s="6"/>
      <c r="BG7" s="6"/>
    </row>
    <row r="8" spans="1:258" ht="14.25" customHeight="1" x14ac:dyDescent="0.2">
      <c r="B8" s="1367" t="str">
        <f>HE_Leistungen_label&amp;" + "&amp;HE_Kosten_label</f>
        <v>Leistungen + Kosten</v>
      </c>
      <c r="C8" s="1110"/>
      <c r="D8" s="143" t="str">
        <f>VLOOKUP("T.13.03",HE_label,2,FALSE)</f>
        <v>Abwicklungsjahr</v>
      </c>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D8" s="6"/>
      <c r="BE8" s="6"/>
      <c r="BF8" s="6"/>
      <c r="BG8" s="6"/>
    </row>
    <row r="9" spans="1:258" ht="14.25" customHeight="1" x14ac:dyDescent="0.2">
      <c r="B9" s="1368"/>
      <c r="C9" s="1111"/>
      <c r="D9" s="1108">
        <f>HE_CY</f>
        <v>2025</v>
      </c>
      <c r="E9" s="1108">
        <f>D9+1</f>
        <v>2026</v>
      </c>
      <c r="F9" s="1108">
        <f t="shared" ref="F9:BA9" si="0">E9+1</f>
        <v>2027</v>
      </c>
      <c r="G9" s="1108">
        <f t="shared" si="0"/>
        <v>2028</v>
      </c>
      <c r="H9" s="1108">
        <f t="shared" si="0"/>
        <v>2029</v>
      </c>
      <c r="I9" s="1108">
        <f t="shared" si="0"/>
        <v>2030</v>
      </c>
      <c r="J9" s="1108">
        <f t="shared" si="0"/>
        <v>2031</v>
      </c>
      <c r="K9" s="1108">
        <f t="shared" si="0"/>
        <v>2032</v>
      </c>
      <c r="L9" s="1108">
        <f t="shared" si="0"/>
        <v>2033</v>
      </c>
      <c r="M9" s="1108">
        <f t="shared" si="0"/>
        <v>2034</v>
      </c>
      <c r="N9" s="1108">
        <f t="shared" si="0"/>
        <v>2035</v>
      </c>
      <c r="O9" s="1108">
        <f t="shared" si="0"/>
        <v>2036</v>
      </c>
      <c r="P9" s="1108">
        <f t="shared" si="0"/>
        <v>2037</v>
      </c>
      <c r="Q9" s="1108">
        <f t="shared" si="0"/>
        <v>2038</v>
      </c>
      <c r="R9" s="1108">
        <f t="shared" si="0"/>
        <v>2039</v>
      </c>
      <c r="S9" s="1108">
        <f t="shared" si="0"/>
        <v>2040</v>
      </c>
      <c r="T9" s="1108">
        <f t="shared" si="0"/>
        <v>2041</v>
      </c>
      <c r="U9" s="1108">
        <f t="shared" si="0"/>
        <v>2042</v>
      </c>
      <c r="V9" s="1108">
        <f t="shared" si="0"/>
        <v>2043</v>
      </c>
      <c r="W9" s="1108">
        <f t="shared" si="0"/>
        <v>2044</v>
      </c>
      <c r="X9" s="1108">
        <f t="shared" si="0"/>
        <v>2045</v>
      </c>
      <c r="Y9" s="1108">
        <f t="shared" si="0"/>
        <v>2046</v>
      </c>
      <c r="Z9" s="1108">
        <f t="shared" si="0"/>
        <v>2047</v>
      </c>
      <c r="AA9" s="1108">
        <f t="shared" si="0"/>
        <v>2048</v>
      </c>
      <c r="AB9" s="1108">
        <f t="shared" si="0"/>
        <v>2049</v>
      </c>
      <c r="AC9" s="1108">
        <f t="shared" si="0"/>
        <v>2050</v>
      </c>
      <c r="AD9" s="1108">
        <f t="shared" si="0"/>
        <v>2051</v>
      </c>
      <c r="AE9" s="1108">
        <f t="shared" si="0"/>
        <v>2052</v>
      </c>
      <c r="AF9" s="1108">
        <f t="shared" si="0"/>
        <v>2053</v>
      </c>
      <c r="AG9" s="1108">
        <f t="shared" si="0"/>
        <v>2054</v>
      </c>
      <c r="AH9" s="1108">
        <f t="shared" si="0"/>
        <v>2055</v>
      </c>
      <c r="AI9" s="1108">
        <f t="shared" si="0"/>
        <v>2056</v>
      </c>
      <c r="AJ9" s="1108">
        <f t="shared" si="0"/>
        <v>2057</v>
      </c>
      <c r="AK9" s="1108">
        <f t="shared" si="0"/>
        <v>2058</v>
      </c>
      <c r="AL9" s="1108">
        <f t="shared" si="0"/>
        <v>2059</v>
      </c>
      <c r="AM9" s="1108">
        <f t="shared" si="0"/>
        <v>2060</v>
      </c>
      <c r="AN9" s="1108">
        <f t="shared" si="0"/>
        <v>2061</v>
      </c>
      <c r="AO9" s="1108">
        <f t="shared" si="0"/>
        <v>2062</v>
      </c>
      <c r="AP9" s="1108">
        <f t="shared" si="0"/>
        <v>2063</v>
      </c>
      <c r="AQ9" s="1108">
        <f t="shared" si="0"/>
        <v>2064</v>
      </c>
      <c r="AR9" s="1108">
        <f t="shared" si="0"/>
        <v>2065</v>
      </c>
      <c r="AS9" s="1108">
        <f t="shared" si="0"/>
        <v>2066</v>
      </c>
      <c r="AT9" s="1108">
        <f t="shared" si="0"/>
        <v>2067</v>
      </c>
      <c r="AU9" s="1108">
        <f t="shared" si="0"/>
        <v>2068</v>
      </c>
      <c r="AV9" s="1108">
        <f t="shared" si="0"/>
        <v>2069</v>
      </c>
      <c r="AW9" s="1108">
        <f t="shared" si="0"/>
        <v>2070</v>
      </c>
      <c r="AX9" s="1108">
        <f t="shared" si="0"/>
        <v>2071</v>
      </c>
      <c r="AY9" s="1108">
        <f t="shared" si="0"/>
        <v>2072</v>
      </c>
      <c r="AZ9" s="1108">
        <f t="shared" si="0"/>
        <v>2073</v>
      </c>
      <c r="BA9" s="1108">
        <f t="shared" si="0"/>
        <v>2074</v>
      </c>
      <c r="BD9" s="6"/>
      <c r="BE9" s="6"/>
      <c r="BF9" s="6"/>
      <c r="BG9" s="6"/>
    </row>
    <row r="10" spans="1:258" ht="14.25" customHeight="1" x14ac:dyDescent="0.2">
      <c r="B10" s="116" t="str">
        <f>VLOOKUP("T.13.04",HE_label,2,FALSE)</f>
        <v>Undiskontierte Cashflows, in CHF</v>
      </c>
      <c r="C10" s="1109"/>
      <c r="D10" s="98">
        <f>HE_LZV_CF!H24+HE_LZV_CF!H25</f>
        <v>0</v>
      </c>
      <c r="E10" s="98">
        <f>HE_LZV_CF!I24+HE_LZV_CF!I25</f>
        <v>0</v>
      </c>
      <c r="F10" s="98">
        <f>HE_LZV_CF!J24+HE_LZV_CF!J25</f>
        <v>0</v>
      </c>
      <c r="G10" s="98">
        <f>HE_LZV_CF!K24+HE_LZV_CF!K25</f>
        <v>0</v>
      </c>
      <c r="H10" s="98">
        <f>HE_LZV_CF!L24+HE_LZV_CF!L25</f>
        <v>0</v>
      </c>
      <c r="I10" s="98">
        <f>HE_LZV_CF!M24+HE_LZV_CF!M25</f>
        <v>0</v>
      </c>
      <c r="J10" s="98">
        <f>HE_LZV_CF!N24+HE_LZV_CF!N25</f>
        <v>0</v>
      </c>
      <c r="K10" s="98">
        <f>HE_LZV_CF!O24+HE_LZV_CF!O25</f>
        <v>0</v>
      </c>
      <c r="L10" s="98">
        <f>HE_LZV_CF!P24+HE_LZV_CF!P25</f>
        <v>0</v>
      </c>
      <c r="M10" s="98">
        <f>HE_LZV_CF!Q24+HE_LZV_CF!Q25</f>
        <v>0</v>
      </c>
      <c r="N10" s="98">
        <f>HE_LZV_CF!R24+HE_LZV_CF!R25</f>
        <v>0</v>
      </c>
      <c r="O10" s="98">
        <f>HE_LZV_CF!S24+HE_LZV_CF!S25</f>
        <v>0</v>
      </c>
      <c r="P10" s="98">
        <f>HE_LZV_CF!T24+HE_LZV_CF!T25</f>
        <v>0</v>
      </c>
      <c r="Q10" s="98">
        <f>HE_LZV_CF!U24+HE_LZV_CF!U25</f>
        <v>0</v>
      </c>
      <c r="R10" s="98">
        <f>HE_LZV_CF!V24+HE_LZV_CF!V25</f>
        <v>0</v>
      </c>
      <c r="S10" s="98">
        <f>HE_LZV_CF!W24+HE_LZV_CF!W25</f>
        <v>0</v>
      </c>
      <c r="T10" s="98">
        <f>HE_LZV_CF!X24+HE_LZV_CF!X25</f>
        <v>0</v>
      </c>
      <c r="U10" s="98">
        <f>HE_LZV_CF!Y24+HE_LZV_CF!Y25</f>
        <v>0</v>
      </c>
      <c r="V10" s="98">
        <f>HE_LZV_CF!Z24+HE_LZV_CF!Z25</f>
        <v>0</v>
      </c>
      <c r="W10" s="98">
        <f>HE_LZV_CF!AA24+HE_LZV_CF!AA25</f>
        <v>0</v>
      </c>
      <c r="X10" s="98">
        <f>HE_LZV_CF!AB24+HE_LZV_CF!AB25</f>
        <v>0</v>
      </c>
      <c r="Y10" s="98">
        <f>HE_LZV_CF!AC24+HE_LZV_CF!AC25</f>
        <v>0</v>
      </c>
      <c r="Z10" s="98">
        <f>HE_LZV_CF!AD24+HE_LZV_CF!AD25</f>
        <v>0</v>
      </c>
      <c r="AA10" s="98">
        <f>HE_LZV_CF!AE24+HE_LZV_CF!AE25</f>
        <v>0</v>
      </c>
      <c r="AB10" s="98">
        <f>HE_LZV_CF!AF24+HE_LZV_CF!AF25</f>
        <v>0</v>
      </c>
      <c r="AC10" s="98">
        <f>HE_LZV_CF!AG24+HE_LZV_CF!AG25</f>
        <v>0</v>
      </c>
      <c r="AD10" s="98">
        <f>HE_LZV_CF!AH24+HE_LZV_CF!AH25</f>
        <v>0</v>
      </c>
      <c r="AE10" s="98">
        <f>HE_LZV_CF!AI24+HE_LZV_CF!AI25</f>
        <v>0</v>
      </c>
      <c r="AF10" s="98">
        <f>HE_LZV_CF!AJ24+HE_LZV_CF!AJ25</f>
        <v>0</v>
      </c>
      <c r="AG10" s="98">
        <f>HE_LZV_CF!AK24+HE_LZV_CF!AK25</f>
        <v>0</v>
      </c>
      <c r="AH10" s="98">
        <f>HE_LZV_CF!AL24+HE_LZV_CF!AL25</f>
        <v>0</v>
      </c>
      <c r="AI10" s="98">
        <f>HE_LZV_CF!AM24+HE_LZV_CF!AM25</f>
        <v>0</v>
      </c>
      <c r="AJ10" s="98">
        <f>HE_LZV_CF!AN24+HE_LZV_CF!AN25</f>
        <v>0</v>
      </c>
      <c r="AK10" s="98">
        <f>HE_LZV_CF!AO24+HE_LZV_CF!AO25</f>
        <v>0</v>
      </c>
      <c r="AL10" s="98">
        <f>HE_LZV_CF!AP24+HE_LZV_CF!AP25</f>
        <v>0</v>
      </c>
      <c r="AM10" s="98">
        <f>HE_LZV_CF!AQ24+HE_LZV_CF!AQ25</f>
        <v>0</v>
      </c>
      <c r="AN10" s="98">
        <f>HE_LZV_CF!AR24+HE_LZV_CF!AR25</f>
        <v>0</v>
      </c>
      <c r="AO10" s="98">
        <f>HE_LZV_CF!AS24+HE_LZV_CF!AS25</f>
        <v>0</v>
      </c>
      <c r="AP10" s="98">
        <f>HE_LZV_CF!AT24+HE_LZV_CF!AT25</f>
        <v>0</v>
      </c>
      <c r="AQ10" s="98">
        <f>HE_LZV_CF!AU24+HE_LZV_CF!AU25</f>
        <v>0</v>
      </c>
      <c r="AR10" s="98">
        <f>HE_LZV_CF!AV24+HE_LZV_CF!AV25</f>
        <v>0</v>
      </c>
      <c r="AS10" s="98">
        <f>HE_LZV_CF!AW24+HE_LZV_CF!AW25</f>
        <v>0</v>
      </c>
      <c r="AT10" s="98">
        <f>HE_LZV_CF!AX24+HE_LZV_CF!AX25</f>
        <v>0</v>
      </c>
      <c r="AU10" s="98">
        <f>HE_LZV_CF!AY24+HE_LZV_CF!AY25</f>
        <v>0</v>
      </c>
      <c r="AV10" s="98">
        <f>HE_LZV_CF!AZ24+HE_LZV_CF!AZ25</f>
        <v>0</v>
      </c>
      <c r="AW10" s="98">
        <f>HE_LZV_CF!BA24+HE_LZV_CF!BA25</f>
        <v>0</v>
      </c>
      <c r="AX10" s="98">
        <f>HE_LZV_CF!BB24+HE_LZV_CF!BB25</f>
        <v>0</v>
      </c>
      <c r="AY10" s="98">
        <f>HE_LZV_CF!BC24+HE_LZV_CF!BC25</f>
        <v>0</v>
      </c>
      <c r="AZ10" s="98">
        <f>HE_LZV_CF!BD24+HE_LZV_CF!BD25</f>
        <v>0</v>
      </c>
      <c r="BA10" s="98">
        <f>HE_LZV_CF!BE24+HE_LZV_CF!BE25</f>
        <v>0</v>
      </c>
      <c r="BD10" s="6"/>
      <c r="BE10" s="6"/>
      <c r="BF10" s="6"/>
      <c r="BG10" s="6"/>
    </row>
    <row r="11" spans="1:258" ht="14.25" customHeight="1" x14ac:dyDescent="0.2">
      <c r="B11" s="116" t="str">
        <f>VLOOKUP("T.13.05",HE_label,2,FALSE)</f>
        <v>Diskontierte Cashflows, in CHF</v>
      </c>
      <c r="C11" s="1109"/>
      <c r="D11" s="99" cm="1">
        <f t="array" ref="D11">INDEX(HE_disc_curve,,HE_prescribed_parameters!C12)*D10</f>
        <v>0</v>
      </c>
      <c r="E11" s="99" cm="1">
        <f t="array" ref="E11">INDEX(HE_disc_curve,,HE_prescribed_parameters!D12)*E10</f>
        <v>0</v>
      </c>
      <c r="F11" s="99" cm="1">
        <f t="array" ref="F11">INDEX(HE_disc_curve,,HE_prescribed_parameters!E12)*F10</f>
        <v>0</v>
      </c>
      <c r="G11" s="99" cm="1">
        <f t="array" ref="G11">INDEX(HE_disc_curve,,HE_prescribed_parameters!F12)*G10</f>
        <v>0</v>
      </c>
      <c r="H11" s="99" cm="1">
        <f t="array" ref="H11">INDEX(HE_disc_curve,,HE_prescribed_parameters!G12)*H10</f>
        <v>0</v>
      </c>
      <c r="I11" s="99" cm="1">
        <f t="array" ref="I11">INDEX(HE_disc_curve,,HE_prescribed_parameters!H12)*I10</f>
        <v>0</v>
      </c>
      <c r="J11" s="99" cm="1">
        <f t="array" ref="J11">INDEX(HE_disc_curve,,HE_prescribed_parameters!I12)*J10</f>
        <v>0</v>
      </c>
      <c r="K11" s="99" cm="1">
        <f t="array" ref="K11">INDEX(HE_disc_curve,,HE_prescribed_parameters!J12)*K10</f>
        <v>0</v>
      </c>
      <c r="L11" s="99" cm="1">
        <f t="array" ref="L11">INDEX(HE_disc_curve,,HE_prescribed_parameters!K12)*L10</f>
        <v>0</v>
      </c>
      <c r="M11" s="99" cm="1">
        <f t="array" ref="M11">INDEX(HE_disc_curve,,HE_prescribed_parameters!L12)*M10</f>
        <v>0</v>
      </c>
      <c r="N11" s="99" cm="1">
        <f t="array" ref="N11">INDEX(HE_disc_curve,,HE_prescribed_parameters!M12)*N10</f>
        <v>0</v>
      </c>
      <c r="O11" s="99" cm="1">
        <f t="array" ref="O11">INDEX(HE_disc_curve,,HE_prescribed_parameters!N12)*O10</f>
        <v>0</v>
      </c>
      <c r="P11" s="99" cm="1">
        <f t="array" ref="P11">INDEX(HE_disc_curve,,HE_prescribed_parameters!O12)*P10</f>
        <v>0</v>
      </c>
      <c r="Q11" s="99" cm="1">
        <f t="array" ref="Q11">INDEX(HE_disc_curve,,HE_prescribed_parameters!P12)*Q10</f>
        <v>0</v>
      </c>
      <c r="R11" s="99" cm="1">
        <f t="array" ref="R11">INDEX(HE_disc_curve,,HE_prescribed_parameters!Q12)*R10</f>
        <v>0</v>
      </c>
      <c r="S11" s="99" cm="1">
        <f t="array" ref="S11">INDEX(HE_disc_curve,,HE_prescribed_parameters!R12)*S10</f>
        <v>0</v>
      </c>
      <c r="T11" s="99" cm="1">
        <f t="array" ref="T11">INDEX(HE_disc_curve,,HE_prescribed_parameters!S12)*T10</f>
        <v>0</v>
      </c>
      <c r="U11" s="99" cm="1">
        <f t="array" ref="U11">INDEX(HE_disc_curve,,HE_prescribed_parameters!T12)*U10</f>
        <v>0</v>
      </c>
      <c r="V11" s="99" cm="1">
        <f t="array" ref="V11">INDEX(HE_disc_curve,,HE_prescribed_parameters!U12)*V10</f>
        <v>0</v>
      </c>
      <c r="W11" s="99" cm="1">
        <f t="array" ref="W11">INDEX(HE_disc_curve,,HE_prescribed_parameters!V12)*W10</f>
        <v>0</v>
      </c>
      <c r="X11" s="99" cm="1">
        <f t="array" ref="X11">INDEX(HE_disc_curve,,HE_prescribed_parameters!W12)*X10</f>
        <v>0</v>
      </c>
      <c r="Y11" s="99" cm="1">
        <f t="array" ref="Y11">INDEX(HE_disc_curve,,HE_prescribed_parameters!X12)*Y10</f>
        <v>0</v>
      </c>
      <c r="Z11" s="99" cm="1">
        <f t="array" ref="Z11">INDEX(HE_disc_curve,,HE_prescribed_parameters!Y12)*Z10</f>
        <v>0</v>
      </c>
      <c r="AA11" s="99" cm="1">
        <f t="array" ref="AA11">INDEX(HE_disc_curve,,HE_prescribed_parameters!Z12)*AA10</f>
        <v>0</v>
      </c>
      <c r="AB11" s="99" cm="1">
        <f t="array" ref="AB11">INDEX(HE_disc_curve,,HE_prescribed_parameters!AA12)*AB10</f>
        <v>0</v>
      </c>
      <c r="AC11" s="99" cm="1">
        <f t="array" ref="AC11">INDEX(HE_disc_curve,,HE_prescribed_parameters!AB12)*AC10</f>
        <v>0</v>
      </c>
      <c r="AD11" s="99" cm="1">
        <f t="array" ref="AD11">INDEX(HE_disc_curve,,HE_prescribed_parameters!AC12)*AD10</f>
        <v>0</v>
      </c>
      <c r="AE11" s="99" cm="1">
        <f t="array" ref="AE11">INDEX(HE_disc_curve,,HE_prescribed_parameters!AD12)*AE10</f>
        <v>0</v>
      </c>
      <c r="AF11" s="99" cm="1">
        <f t="array" ref="AF11">INDEX(HE_disc_curve,,HE_prescribed_parameters!AE12)*AF10</f>
        <v>0</v>
      </c>
      <c r="AG11" s="99" cm="1">
        <f t="array" ref="AG11">INDEX(HE_disc_curve,,HE_prescribed_parameters!AF12)*AG10</f>
        <v>0</v>
      </c>
      <c r="AH11" s="99" cm="1">
        <f t="array" ref="AH11">INDEX(HE_disc_curve,,HE_prescribed_parameters!AG12)*AH10</f>
        <v>0</v>
      </c>
      <c r="AI11" s="99" cm="1">
        <f t="array" ref="AI11">INDEX(HE_disc_curve,,HE_prescribed_parameters!AH12)*AI10</f>
        <v>0</v>
      </c>
      <c r="AJ11" s="99" cm="1">
        <f t="array" ref="AJ11">INDEX(HE_disc_curve,,HE_prescribed_parameters!AI12)*AJ10</f>
        <v>0</v>
      </c>
      <c r="AK11" s="99" cm="1">
        <f t="array" ref="AK11">INDEX(HE_disc_curve,,HE_prescribed_parameters!AJ12)*AK10</f>
        <v>0</v>
      </c>
      <c r="AL11" s="99" cm="1">
        <f t="array" ref="AL11">INDEX(HE_disc_curve,,HE_prescribed_parameters!AK12)*AL10</f>
        <v>0</v>
      </c>
      <c r="AM11" s="99" cm="1">
        <f t="array" ref="AM11">INDEX(HE_disc_curve,,HE_prescribed_parameters!AL12)*AM10</f>
        <v>0</v>
      </c>
      <c r="AN11" s="99" cm="1">
        <f t="array" ref="AN11">INDEX(HE_disc_curve,,HE_prescribed_parameters!AM12)*AN10</f>
        <v>0</v>
      </c>
      <c r="AO11" s="99" cm="1">
        <f t="array" ref="AO11">INDEX(HE_disc_curve,,HE_prescribed_parameters!AN12)*AO10</f>
        <v>0</v>
      </c>
      <c r="AP11" s="99" cm="1">
        <f t="array" ref="AP11">INDEX(HE_disc_curve,,HE_prescribed_parameters!AO12)*AP10</f>
        <v>0</v>
      </c>
      <c r="AQ11" s="99" cm="1">
        <f t="array" ref="AQ11">INDEX(HE_disc_curve,,HE_prescribed_parameters!AP12)*AQ10</f>
        <v>0</v>
      </c>
      <c r="AR11" s="99" cm="1">
        <f t="array" ref="AR11">INDEX(HE_disc_curve,,HE_prescribed_parameters!AQ12)*AR10</f>
        <v>0</v>
      </c>
      <c r="AS11" s="99" cm="1">
        <f t="array" ref="AS11">INDEX(HE_disc_curve,,HE_prescribed_parameters!AR12)*AS10</f>
        <v>0</v>
      </c>
      <c r="AT11" s="99" cm="1">
        <f t="array" ref="AT11">INDEX(HE_disc_curve,,HE_prescribed_parameters!AS12)*AT10</f>
        <v>0</v>
      </c>
      <c r="AU11" s="99" cm="1">
        <f t="array" ref="AU11">INDEX(HE_disc_curve,,HE_prescribed_parameters!AT12)*AU10</f>
        <v>0</v>
      </c>
      <c r="AV11" s="99" cm="1">
        <f t="array" ref="AV11">INDEX(HE_disc_curve,,HE_prescribed_parameters!AU12)*AV10</f>
        <v>0</v>
      </c>
      <c r="AW11" s="99" cm="1">
        <f t="array" ref="AW11">INDEX(HE_disc_curve,,HE_prescribed_parameters!AV12)*AW10</f>
        <v>0</v>
      </c>
      <c r="AX11" s="99" cm="1">
        <f t="array" ref="AX11">INDEX(HE_disc_curve,,HE_prescribed_parameters!AW12)*AX10</f>
        <v>0</v>
      </c>
      <c r="AY11" s="99" cm="1">
        <f t="array" ref="AY11">INDEX(HE_disc_curve,,HE_prescribed_parameters!AX12)*AY10</f>
        <v>0</v>
      </c>
      <c r="AZ11" s="99" cm="1">
        <f t="array" ref="AZ11">INDEX(HE_disc_curve,,HE_prescribed_parameters!AY12)*AZ10</f>
        <v>0</v>
      </c>
      <c r="BA11" s="99" cm="1">
        <f t="array" ref="BA11">INDEX(HE_disc_curve,,HE_prescribed_parameters!AZ12)*BA10</f>
        <v>0</v>
      </c>
      <c r="BD11" s="6"/>
      <c r="BE11" s="6"/>
      <c r="BF11" s="6"/>
      <c r="BG11" s="6"/>
    </row>
    <row r="12" spans="1:258" ht="15" customHeight="1" x14ac:dyDescent="0.2">
      <c r="A12" s="31"/>
      <c r="B12" s="197" t="str">
        <f>VLOOKUP("T.13.06",HE_label,2,FALSE)</f>
        <v>Diskontierte Cashflows (SST-Stichtag diskontiert), verbleibendes Total zu Beginn des Jahres k, in CHF</v>
      </c>
      <c r="C12" s="113"/>
      <c r="D12" s="99">
        <f>SUM(D11:BA11)</f>
        <v>0</v>
      </c>
      <c r="E12" s="99">
        <f>SUM(E11:$BA$11)</f>
        <v>0</v>
      </c>
      <c r="F12" s="99">
        <f>SUM(F11:$BA$11)</f>
        <v>0</v>
      </c>
      <c r="G12" s="99">
        <f>SUM(G11:$BA$11)</f>
        <v>0</v>
      </c>
      <c r="H12" s="99">
        <f>SUM(H11:$BA$11)</f>
        <v>0</v>
      </c>
      <c r="I12" s="99">
        <f>SUM(I11:$BA$11)</f>
        <v>0</v>
      </c>
      <c r="J12" s="99">
        <f>SUM(J11:$BA$11)</f>
        <v>0</v>
      </c>
      <c r="K12" s="99">
        <f>SUM(K11:$BA$11)</f>
        <v>0</v>
      </c>
      <c r="L12" s="99">
        <f>SUM(L11:$BA$11)</f>
        <v>0</v>
      </c>
      <c r="M12" s="99">
        <f>SUM(M11:$BA$11)</f>
        <v>0</v>
      </c>
      <c r="N12" s="99">
        <f>SUM(N11:$BA$11)</f>
        <v>0</v>
      </c>
      <c r="O12" s="99">
        <f>SUM(O11:$BA$11)</f>
        <v>0</v>
      </c>
      <c r="P12" s="99">
        <f>SUM(P11:$BA$11)</f>
        <v>0</v>
      </c>
      <c r="Q12" s="99">
        <f>SUM(Q11:$BA$11)</f>
        <v>0</v>
      </c>
      <c r="R12" s="99">
        <f>SUM(R11:$BA$11)</f>
        <v>0</v>
      </c>
      <c r="S12" s="99">
        <f>SUM(S11:$BA$11)</f>
        <v>0</v>
      </c>
      <c r="T12" s="99">
        <f>SUM(T11:$BA$11)</f>
        <v>0</v>
      </c>
      <c r="U12" s="99">
        <f>SUM(U11:$BA$11)</f>
        <v>0</v>
      </c>
      <c r="V12" s="99">
        <f>SUM(V11:$BA$11)</f>
        <v>0</v>
      </c>
      <c r="W12" s="99">
        <f>SUM(W11:$BA$11)</f>
        <v>0</v>
      </c>
      <c r="X12" s="99">
        <f>SUM(X11:$BA$11)</f>
        <v>0</v>
      </c>
      <c r="Y12" s="99">
        <f>SUM(Y11:$BA$11)</f>
        <v>0</v>
      </c>
      <c r="Z12" s="99">
        <f>SUM(Z11:$BA$11)</f>
        <v>0</v>
      </c>
      <c r="AA12" s="99">
        <f>SUM(AA11:$BA$11)</f>
        <v>0</v>
      </c>
      <c r="AB12" s="99">
        <f>SUM(AB11:$BA$11)</f>
        <v>0</v>
      </c>
      <c r="AC12" s="99">
        <f>SUM(AC11:$BA$11)</f>
        <v>0</v>
      </c>
      <c r="AD12" s="99">
        <f>SUM(AD11:$BA$11)</f>
        <v>0</v>
      </c>
      <c r="AE12" s="99">
        <f>SUM(AE11:$BA$11)</f>
        <v>0</v>
      </c>
      <c r="AF12" s="99">
        <f>SUM(AF11:$BA$11)</f>
        <v>0</v>
      </c>
      <c r="AG12" s="99">
        <f>SUM(AG11:$BA$11)</f>
        <v>0</v>
      </c>
      <c r="AH12" s="99">
        <f>SUM(AH11:$BA$11)</f>
        <v>0</v>
      </c>
      <c r="AI12" s="99">
        <f>SUM(AI11:$BA$11)</f>
        <v>0</v>
      </c>
      <c r="AJ12" s="99">
        <f>SUM(AJ11:$BA$11)</f>
        <v>0</v>
      </c>
      <c r="AK12" s="99">
        <f>SUM(AK11:$BA$11)</f>
        <v>0</v>
      </c>
      <c r="AL12" s="99">
        <f>SUM(AL11:$BA$11)</f>
        <v>0</v>
      </c>
      <c r="AM12" s="99">
        <f>SUM(AM11:$BA$11)</f>
        <v>0</v>
      </c>
      <c r="AN12" s="99">
        <f>SUM(AN11:$BA$11)</f>
        <v>0</v>
      </c>
      <c r="AO12" s="99">
        <f>SUM(AO11:$BA$11)</f>
        <v>0</v>
      </c>
      <c r="AP12" s="99">
        <f>SUM(AP11:$BA$11)</f>
        <v>0</v>
      </c>
      <c r="AQ12" s="99">
        <f>SUM(AQ11:$BA$11)</f>
        <v>0</v>
      </c>
      <c r="AR12" s="99">
        <f>SUM(AR11:$BA$11)</f>
        <v>0</v>
      </c>
      <c r="AS12" s="99">
        <f>SUM(AS11:$BA$11)</f>
        <v>0</v>
      </c>
      <c r="AT12" s="99">
        <f>SUM(AT11:$BA$11)</f>
        <v>0</v>
      </c>
      <c r="AU12" s="99">
        <f>SUM(AU11:$BA$11)</f>
        <v>0</v>
      </c>
      <c r="AV12" s="99">
        <f>SUM(AV11:$BA$11)</f>
        <v>0</v>
      </c>
      <c r="AW12" s="99">
        <f>SUM(AW11:$BA$11)</f>
        <v>0</v>
      </c>
      <c r="AX12" s="99">
        <f>SUM(AX11:$BA$11)</f>
        <v>0</v>
      </c>
      <c r="AY12" s="99">
        <f>SUM(AY11:$BA$11)</f>
        <v>0</v>
      </c>
      <c r="AZ12" s="99">
        <f>SUM(AZ11:$BA$11)</f>
        <v>0</v>
      </c>
      <c r="BA12" s="99">
        <f>SUM(BA11:$BA$11)</f>
        <v>0</v>
      </c>
      <c r="BD12" s="6"/>
      <c r="BE12" s="6"/>
      <c r="BF12" s="6"/>
      <c r="BG12" s="6"/>
    </row>
    <row r="13" spans="1:258" ht="14.25" customHeight="1" x14ac:dyDescent="0.2">
      <c r="A13" s="31"/>
      <c r="B13" s="114" t="str">
        <f>VLOOKUP("T.13.07",HE_label,2,FALSE)</f>
        <v>Undiskontierte Cashflows, verbleibendes Total zu Beginn des Jahres k, in CHF</v>
      </c>
      <c r="C13" s="114"/>
      <c r="D13" s="115" cm="1">
        <f t="array" ref="D13">D12/INDEX(HE_disc_curve,,HE_prescribed_parameters!C12)</f>
        <v>0</v>
      </c>
      <c r="E13" s="115" cm="1">
        <f t="array" ref="E13">E12/INDEX(HE_disc_curve,,HE_prescribed_parameters!D12)</f>
        <v>0</v>
      </c>
      <c r="F13" s="115" cm="1">
        <f t="array" ref="F13">F12/INDEX(HE_disc_curve,,HE_prescribed_parameters!E12)</f>
        <v>0</v>
      </c>
      <c r="G13" s="115" cm="1">
        <f t="array" ref="G13">G12/INDEX(HE_disc_curve,,HE_prescribed_parameters!F12)</f>
        <v>0</v>
      </c>
      <c r="H13" s="115" cm="1">
        <f t="array" ref="H13">H12/INDEX(HE_disc_curve,,HE_prescribed_parameters!G12)</f>
        <v>0</v>
      </c>
      <c r="I13" s="115" cm="1">
        <f t="array" ref="I13">I12/INDEX(HE_disc_curve,,HE_prescribed_parameters!H12)</f>
        <v>0</v>
      </c>
      <c r="J13" s="115" cm="1">
        <f t="array" ref="J13">J12/INDEX(HE_disc_curve,,HE_prescribed_parameters!I12)</f>
        <v>0</v>
      </c>
      <c r="K13" s="115" cm="1">
        <f t="array" ref="K13">K12/INDEX(HE_disc_curve,,HE_prescribed_parameters!J12)</f>
        <v>0</v>
      </c>
      <c r="L13" s="115" cm="1">
        <f t="array" ref="L13">L12/INDEX(HE_disc_curve,,HE_prescribed_parameters!K12)</f>
        <v>0</v>
      </c>
      <c r="M13" s="115" cm="1">
        <f t="array" ref="M13">M12/INDEX(HE_disc_curve,,HE_prescribed_parameters!L12)</f>
        <v>0</v>
      </c>
      <c r="N13" s="115" cm="1">
        <f t="array" ref="N13">N12/INDEX(HE_disc_curve,,HE_prescribed_parameters!M12)</f>
        <v>0</v>
      </c>
      <c r="O13" s="115" cm="1">
        <f t="array" ref="O13">O12/INDEX(HE_disc_curve,,HE_prescribed_parameters!N12)</f>
        <v>0</v>
      </c>
      <c r="P13" s="115" cm="1">
        <f t="array" ref="P13">P12/INDEX(HE_disc_curve,,HE_prescribed_parameters!O12)</f>
        <v>0</v>
      </c>
      <c r="Q13" s="115" cm="1">
        <f t="array" ref="Q13">Q12/INDEX(HE_disc_curve,,HE_prescribed_parameters!P12)</f>
        <v>0</v>
      </c>
      <c r="R13" s="115" cm="1">
        <f t="array" ref="R13">R12/INDEX(HE_disc_curve,,HE_prescribed_parameters!Q12)</f>
        <v>0</v>
      </c>
      <c r="S13" s="115" cm="1">
        <f t="array" ref="S13">S12/INDEX(HE_disc_curve,,HE_prescribed_parameters!R12)</f>
        <v>0</v>
      </c>
      <c r="T13" s="115" cm="1">
        <f t="array" ref="T13">T12/INDEX(HE_disc_curve,,HE_prescribed_parameters!S12)</f>
        <v>0</v>
      </c>
      <c r="U13" s="115" cm="1">
        <f t="array" ref="U13">U12/INDEX(HE_disc_curve,,HE_prescribed_parameters!T12)</f>
        <v>0</v>
      </c>
      <c r="V13" s="115" cm="1">
        <f t="array" ref="V13">V12/INDEX(HE_disc_curve,,HE_prescribed_parameters!U12)</f>
        <v>0</v>
      </c>
      <c r="W13" s="115" cm="1">
        <f t="array" ref="W13">W12/INDEX(HE_disc_curve,,HE_prescribed_parameters!V12)</f>
        <v>0</v>
      </c>
      <c r="X13" s="115" cm="1">
        <f t="array" ref="X13">X12/INDEX(HE_disc_curve,,HE_prescribed_parameters!W12)</f>
        <v>0</v>
      </c>
      <c r="Y13" s="115" cm="1">
        <f t="array" ref="Y13">Y12/INDEX(HE_disc_curve,,HE_prescribed_parameters!X12)</f>
        <v>0</v>
      </c>
      <c r="Z13" s="115" cm="1">
        <f t="array" ref="Z13">Z12/INDEX(HE_disc_curve,,HE_prescribed_parameters!Y12)</f>
        <v>0</v>
      </c>
      <c r="AA13" s="115" cm="1">
        <f t="array" ref="AA13">AA12/INDEX(HE_disc_curve,,HE_prescribed_parameters!Z12)</f>
        <v>0</v>
      </c>
      <c r="AB13" s="115" cm="1">
        <f t="array" ref="AB13">AB12/INDEX(HE_disc_curve,,HE_prescribed_parameters!AA12)</f>
        <v>0</v>
      </c>
      <c r="AC13" s="115" cm="1">
        <f t="array" ref="AC13">AC12/INDEX(HE_disc_curve,,HE_prescribed_parameters!AB12)</f>
        <v>0</v>
      </c>
      <c r="AD13" s="115" cm="1">
        <f t="array" ref="AD13">AD12/INDEX(HE_disc_curve,,HE_prescribed_parameters!AC12)</f>
        <v>0</v>
      </c>
      <c r="AE13" s="115" cm="1">
        <f t="array" ref="AE13">AE12/INDEX(HE_disc_curve,,HE_prescribed_parameters!AD12)</f>
        <v>0</v>
      </c>
      <c r="AF13" s="115" cm="1">
        <f t="array" ref="AF13">AF12/INDEX(HE_disc_curve,,HE_prescribed_parameters!AE12)</f>
        <v>0</v>
      </c>
      <c r="AG13" s="115" cm="1">
        <f t="array" ref="AG13">AG12/INDEX(HE_disc_curve,,HE_prescribed_parameters!AF12)</f>
        <v>0</v>
      </c>
      <c r="AH13" s="115" cm="1">
        <f t="array" ref="AH13">AH12/INDEX(HE_disc_curve,,HE_prescribed_parameters!AG12)</f>
        <v>0</v>
      </c>
      <c r="AI13" s="115" cm="1">
        <f t="array" ref="AI13">AI12/INDEX(HE_disc_curve,,HE_prescribed_parameters!AH12)</f>
        <v>0</v>
      </c>
      <c r="AJ13" s="115" cm="1">
        <f t="array" ref="AJ13">AJ12/INDEX(HE_disc_curve,,HE_prescribed_parameters!AI12)</f>
        <v>0</v>
      </c>
      <c r="AK13" s="115" cm="1">
        <f t="array" ref="AK13">AK12/INDEX(HE_disc_curve,,HE_prescribed_parameters!AJ12)</f>
        <v>0</v>
      </c>
      <c r="AL13" s="115" cm="1">
        <f t="array" ref="AL13">AL12/INDEX(HE_disc_curve,,HE_prescribed_parameters!AK12)</f>
        <v>0</v>
      </c>
      <c r="AM13" s="115" cm="1">
        <f t="array" ref="AM13">AM12/INDEX(HE_disc_curve,,HE_prescribed_parameters!AL12)</f>
        <v>0</v>
      </c>
      <c r="AN13" s="115" cm="1">
        <f t="array" ref="AN13">AN12/INDEX(HE_disc_curve,,HE_prescribed_parameters!AM12)</f>
        <v>0</v>
      </c>
      <c r="AO13" s="115" cm="1">
        <f t="array" ref="AO13">AO12/INDEX(HE_disc_curve,,HE_prescribed_parameters!AN12)</f>
        <v>0</v>
      </c>
      <c r="AP13" s="115" cm="1">
        <f t="array" ref="AP13">AP12/INDEX(HE_disc_curve,,HE_prescribed_parameters!AO12)</f>
        <v>0</v>
      </c>
      <c r="AQ13" s="115" cm="1">
        <f t="array" ref="AQ13">AQ12/INDEX(HE_disc_curve,,HE_prescribed_parameters!AP12)</f>
        <v>0</v>
      </c>
      <c r="AR13" s="115" cm="1">
        <f t="array" ref="AR13">AR12/INDEX(HE_disc_curve,,HE_prescribed_parameters!AQ12)</f>
        <v>0</v>
      </c>
      <c r="AS13" s="115" cm="1">
        <f t="array" ref="AS13">AS12/INDEX(HE_disc_curve,,HE_prescribed_parameters!AR12)</f>
        <v>0</v>
      </c>
      <c r="AT13" s="115" cm="1">
        <f t="array" ref="AT13">AT12/INDEX(HE_disc_curve,,HE_prescribed_parameters!AS12)</f>
        <v>0</v>
      </c>
      <c r="AU13" s="115" cm="1">
        <f t="array" ref="AU13">AU12/INDEX(HE_disc_curve,,HE_prescribed_parameters!AT12)</f>
        <v>0</v>
      </c>
      <c r="AV13" s="115" cm="1">
        <f t="array" ref="AV13">AV12/INDEX(HE_disc_curve,,HE_prescribed_parameters!AU12)</f>
        <v>0</v>
      </c>
      <c r="AW13" s="115" cm="1">
        <f t="array" ref="AW13">AW12/INDEX(HE_disc_curve,,HE_prescribed_parameters!AV12)</f>
        <v>0</v>
      </c>
      <c r="AX13" s="115" cm="1">
        <f t="array" ref="AX13">AX12/INDEX(HE_disc_curve,,HE_prescribed_parameters!AW12)</f>
        <v>0</v>
      </c>
      <c r="AY13" s="115" cm="1">
        <f t="array" ref="AY13">AY12/INDEX(HE_disc_curve,,HE_prescribed_parameters!AX12)</f>
        <v>0</v>
      </c>
      <c r="AZ13" s="115" cm="1">
        <f t="array" ref="AZ13">AZ12/INDEX(HE_disc_curve,,HE_prescribed_parameters!AY12)</f>
        <v>0</v>
      </c>
      <c r="BA13" s="115" cm="1">
        <f t="array" ref="BA13">BA12/INDEX(HE_disc_curve,,HE_prescribed_parameters!AZ12)</f>
        <v>0</v>
      </c>
      <c r="BD13" s="6"/>
      <c r="BE13" s="6"/>
      <c r="BF13" s="6"/>
      <c r="BG13" s="6"/>
    </row>
    <row r="14" spans="1:258" ht="14.25" customHeight="1" x14ac:dyDescent="0.2">
      <c r="A14" s="31"/>
      <c r="B14" s="129"/>
      <c r="C14" s="129"/>
      <c r="D14" s="129"/>
      <c r="E14" s="129"/>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6"/>
      <c r="BE14" s="6"/>
      <c r="BF14" s="6"/>
      <c r="BG14" s="6"/>
    </row>
    <row r="15" spans="1:258" ht="14.25" customHeight="1" x14ac:dyDescent="0.2">
      <c r="B15" s="17"/>
      <c r="F15" s="17"/>
      <c r="BD15" s="6"/>
      <c r="BE15" s="6"/>
      <c r="BF15" s="6"/>
      <c r="BG15" s="6"/>
    </row>
    <row r="16" spans="1:258" ht="24" customHeight="1" x14ac:dyDescent="0.2">
      <c r="B16" s="1114" t="str">
        <f>VLOOKUP("T.13.08",HE_label,2,FALSE)</f>
        <v>Faktor für Diversifikation</v>
      </c>
      <c r="C16" s="1112" t="str">
        <f>VLOOKUP("T.13.08a",HE_label,2,FALSE)</f>
        <v>Jahre 1 bis 5</v>
      </c>
      <c r="D16" s="1113" t="str">
        <f>VLOOKUP("T.13.08b",HE_label,2,FALSE)</f>
        <v>Ab Jahr 6</v>
      </c>
      <c r="F16" s="17"/>
      <c r="BD16" s="6"/>
      <c r="BE16" s="6"/>
      <c r="BF16" s="6"/>
      <c r="BG16" s="6"/>
    </row>
    <row r="17" spans="1:59" ht="14.25" customHeight="1" x14ac:dyDescent="0.2">
      <c r="B17" s="116" t="str">
        <f>HE_RFq_label</f>
        <v>Sterblichkeit (q)</v>
      </c>
      <c r="C17" s="188">
        <f>IF(HE_ins_risk_EK!E62 &lt;&gt; 0, HE_ins_risk_EK!D40/HE_ins_risk_EK!E62, 0)</f>
        <v>0</v>
      </c>
      <c r="D17" s="196">
        <v>0</v>
      </c>
      <c r="F17" s="17"/>
      <c r="BD17" s="6"/>
      <c r="BE17" s="6"/>
      <c r="BF17" s="6"/>
      <c r="BG17" s="6"/>
    </row>
    <row r="18" spans="1:59" ht="14.25" customHeight="1" x14ac:dyDescent="0.2">
      <c r="B18" s="197" t="str">
        <f>HE_RFs_label</f>
        <v>Storno (s)</v>
      </c>
      <c r="C18" s="191">
        <f>IF(HE_ins_risk_EK!E62 &lt;&gt; 0, HE_ins_risk_EK!D41/HE_ins_risk_EK!E62, 0)</f>
        <v>0</v>
      </c>
      <c r="D18" s="199">
        <f>HE_ins_risk_EK!E90</f>
        <v>0</v>
      </c>
      <c r="F18" s="17"/>
      <c r="BD18" s="6"/>
      <c r="BE18" s="6"/>
      <c r="BF18" s="6"/>
      <c r="BG18" s="6"/>
    </row>
    <row r="19" spans="1:59" ht="14.25" customHeight="1" x14ac:dyDescent="0.2">
      <c r="B19" s="197" t="str">
        <f>HE_RFk_label</f>
        <v>Kosten (k)</v>
      </c>
      <c r="C19" s="191">
        <f>IF(HE_ins_risk_EK!E62 &lt;&gt; 0, HE_ins_risk_EK!D42/HE_ins_risk_EK!E62, 0)</f>
        <v>0</v>
      </c>
      <c r="D19" s="196">
        <v>0</v>
      </c>
      <c r="F19" s="17"/>
      <c r="BD19" s="6"/>
      <c r="BE19" s="6"/>
      <c r="BF19" s="6"/>
      <c r="BG19" s="6"/>
    </row>
    <row r="20" spans="1:59" ht="14.25" customHeight="1" x14ac:dyDescent="0.2">
      <c r="B20" s="206" t="str">
        <f>HE_RFl_label</f>
        <v>Leistungen (l)</v>
      </c>
      <c r="C20" s="191">
        <f>IF(HE_ins_risk_EK!E62 &lt;&gt; 0, HE_ins_risk_EK!D43/HE_ins_risk_EK!E62, 0)</f>
        <v>0</v>
      </c>
      <c r="D20" s="196">
        <v>0</v>
      </c>
      <c r="F20" s="17"/>
      <c r="BD20" s="6"/>
      <c r="BE20" s="6"/>
      <c r="BF20" s="6"/>
      <c r="BG20" s="6"/>
    </row>
    <row r="21" spans="1:59" ht="14.25" customHeight="1" x14ac:dyDescent="0.2">
      <c r="A21" s="31"/>
      <c r="B21" s="197" t="str">
        <f>HE_RFCY_label</f>
        <v>CY-Risiko</v>
      </c>
      <c r="C21" s="191">
        <f>IF(HE_ins_risk_EK!E62 &lt;&gt; 0, HE_ins_risk_EK!E61/HE_ins_risk_EK!E62, 0)</f>
        <v>0</v>
      </c>
      <c r="D21" s="199">
        <f>HE_ins_risk_EK!E91</f>
        <v>0</v>
      </c>
      <c r="BD21" s="6"/>
      <c r="BE21" s="6"/>
      <c r="BF21" s="6"/>
      <c r="BG21" s="6"/>
    </row>
    <row r="22" spans="1:59" ht="14.25" customHeight="1" x14ac:dyDescent="0.2">
      <c r="B22" s="205" t="str">
        <f>VLOOKUP("T.13.09",HE_label,2,FALSE)</f>
        <v>Summe</v>
      </c>
      <c r="C22" s="202">
        <f>SUM(C17:C21)</f>
        <v>0</v>
      </c>
      <c r="D22" s="211">
        <f>SUM(D17:D21)</f>
        <v>0</v>
      </c>
      <c r="F22" s="50"/>
      <c r="BD22" s="6"/>
      <c r="BE22" s="6"/>
      <c r="BF22" s="6"/>
      <c r="BG22" s="6"/>
    </row>
    <row r="23" spans="1:59" ht="14.25" customHeight="1" x14ac:dyDescent="0.2">
      <c r="B23" s="117"/>
      <c r="C23" s="31"/>
      <c r="D23" s="31"/>
      <c r="E23" s="31"/>
      <c r="F23" s="50"/>
      <c r="BD23" s="6"/>
      <c r="BE23" s="6"/>
      <c r="BF23" s="6"/>
      <c r="BG23" s="6"/>
    </row>
    <row r="24" spans="1:59" ht="14.25" customHeight="1" x14ac:dyDescent="0.2">
      <c r="B24" s="118"/>
      <c r="C24" s="110"/>
      <c r="D24" s="110"/>
      <c r="E24" s="110"/>
      <c r="BD24" s="6"/>
      <c r="BE24" s="6"/>
      <c r="BF24" s="6"/>
      <c r="BG24" s="6"/>
    </row>
    <row r="25" spans="1:59" ht="14.25" customHeight="1" x14ac:dyDescent="0.2">
      <c r="B25" s="1367" t="str">
        <f>VLOOKUP("T.13.10",HE_label,2,FALSE)</f>
        <v>Einjahresrisiko, in Mio. CHF</v>
      </c>
      <c r="C25" s="1110"/>
      <c r="D25" s="126" t="str">
        <f>D8</f>
        <v>Abwicklungsjahr</v>
      </c>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5"/>
      <c r="BD25" s="6"/>
      <c r="BE25" s="6"/>
      <c r="BF25" s="6"/>
      <c r="BG25" s="6"/>
    </row>
    <row r="26" spans="1:59" ht="14.25" customHeight="1" x14ac:dyDescent="0.2">
      <c r="B26" s="1368" t="str">
        <f>VLOOKUP("T.13.09",HE_label,2,FALSE)</f>
        <v>Summe</v>
      </c>
      <c r="C26" s="1111"/>
      <c r="D26" s="1108">
        <f>D9</f>
        <v>2025</v>
      </c>
      <c r="E26" s="1108">
        <f t="shared" ref="E26:BA26" si="1">E9</f>
        <v>2026</v>
      </c>
      <c r="F26" s="1108">
        <f t="shared" si="1"/>
        <v>2027</v>
      </c>
      <c r="G26" s="1108">
        <f t="shared" si="1"/>
        <v>2028</v>
      </c>
      <c r="H26" s="1108">
        <f t="shared" si="1"/>
        <v>2029</v>
      </c>
      <c r="I26" s="1108">
        <f t="shared" si="1"/>
        <v>2030</v>
      </c>
      <c r="J26" s="1108">
        <f t="shared" si="1"/>
        <v>2031</v>
      </c>
      <c r="K26" s="1108">
        <f t="shared" si="1"/>
        <v>2032</v>
      </c>
      <c r="L26" s="1108">
        <f t="shared" si="1"/>
        <v>2033</v>
      </c>
      <c r="M26" s="1108">
        <f t="shared" si="1"/>
        <v>2034</v>
      </c>
      <c r="N26" s="1108">
        <f t="shared" si="1"/>
        <v>2035</v>
      </c>
      <c r="O26" s="1108">
        <f t="shared" si="1"/>
        <v>2036</v>
      </c>
      <c r="P26" s="1108">
        <f t="shared" si="1"/>
        <v>2037</v>
      </c>
      <c r="Q26" s="1108">
        <f t="shared" si="1"/>
        <v>2038</v>
      </c>
      <c r="R26" s="1108">
        <f t="shared" si="1"/>
        <v>2039</v>
      </c>
      <c r="S26" s="1108">
        <f t="shared" si="1"/>
        <v>2040</v>
      </c>
      <c r="T26" s="1108">
        <f t="shared" si="1"/>
        <v>2041</v>
      </c>
      <c r="U26" s="1108">
        <f t="shared" si="1"/>
        <v>2042</v>
      </c>
      <c r="V26" s="1108">
        <f t="shared" si="1"/>
        <v>2043</v>
      </c>
      <c r="W26" s="1108">
        <f t="shared" si="1"/>
        <v>2044</v>
      </c>
      <c r="X26" s="1108">
        <f t="shared" si="1"/>
        <v>2045</v>
      </c>
      <c r="Y26" s="1108">
        <f t="shared" si="1"/>
        <v>2046</v>
      </c>
      <c r="Z26" s="1108">
        <f t="shared" si="1"/>
        <v>2047</v>
      </c>
      <c r="AA26" s="1108">
        <f t="shared" si="1"/>
        <v>2048</v>
      </c>
      <c r="AB26" s="1108">
        <f t="shared" si="1"/>
        <v>2049</v>
      </c>
      <c r="AC26" s="1108">
        <f t="shared" si="1"/>
        <v>2050</v>
      </c>
      <c r="AD26" s="1108">
        <f t="shared" si="1"/>
        <v>2051</v>
      </c>
      <c r="AE26" s="1108">
        <f t="shared" si="1"/>
        <v>2052</v>
      </c>
      <c r="AF26" s="1108">
        <f t="shared" si="1"/>
        <v>2053</v>
      </c>
      <c r="AG26" s="1108">
        <f t="shared" si="1"/>
        <v>2054</v>
      </c>
      <c r="AH26" s="1108">
        <f t="shared" si="1"/>
        <v>2055</v>
      </c>
      <c r="AI26" s="1108">
        <f t="shared" si="1"/>
        <v>2056</v>
      </c>
      <c r="AJ26" s="1108">
        <f t="shared" si="1"/>
        <v>2057</v>
      </c>
      <c r="AK26" s="1108">
        <f t="shared" si="1"/>
        <v>2058</v>
      </c>
      <c r="AL26" s="1108">
        <f t="shared" si="1"/>
        <v>2059</v>
      </c>
      <c r="AM26" s="1108">
        <f t="shared" si="1"/>
        <v>2060</v>
      </c>
      <c r="AN26" s="1108">
        <f t="shared" si="1"/>
        <v>2061</v>
      </c>
      <c r="AO26" s="1108">
        <f t="shared" si="1"/>
        <v>2062</v>
      </c>
      <c r="AP26" s="1108">
        <f t="shared" si="1"/>
        <v>2063</v>
      </c>
      <c r="AQ26" s="1108">
        <f t="shared" si="1"/>
        <v>2064</v>
      </c>
      <c r="AR26" s="1108">
        <f t="shared" si="1"/>
        <v>2065</v>
      </c>
      <c r="AS26" s="1108">
        <f t="shared" si="1"/>
        <v>2066</v>
      </c>
      <c r="AT26" s="1108">
        <f t="shared" si="1"/>
        <v>2067</v>
      </c>
      <c r="AU26" s="1108">
        <f t="shared" si="1"/>
        <v>2068</v>
      </c>
      <c r="AV26" s="1108">
        <f t="shared" si="1"/>
        <v>2069</v>
      </c>
      <c r="AW26" s="1108">
        <f t="shared" si="1"/>
        <v>2070</v>
      </c>
      <c r="AX26" s="1108">
        <f t="shared" si="1"/>
        <v>2071</v>
      </c>
      <c r="AY26" s="1108">
        <f t="shared" si="1"/>
        <v>2072</v>
      </c>
      <c r="AZ26" s="1108">
        <f t="shared" si="1"/>
        <v>2073</v>
      </c>
      <c r="BA26" s="1108">
        <f t="shared" si="1"/>
        <v>2074</v>
      </c>
      <c r="BD26" s="6"/>
      <c r="BE26" s="6"/>
      <c r="BF26" s="6"/>
      <c r="BG26" s="6"/>
    </row>
    <row r="27" spans="1:59" s="34" customFormat="1" ht="14.25" customHeight="1" x14ac:dyDescent="0.2">
      <c r="B27" s="187" t="str">
        <f>B17</f>
        <v>Sterblichkeit (q)</v>
      </c>
      <c r="C27" s="116"/>
      <c r="D27" s="189">
        <f>$C17* D$13*$C$5/ 10^6</f>
        <v>0</v>
      </c>
      <c r="E27" s="208">
        <f t="shared" ref="D27:H31" si="2">$C17* E$13*$C$5/ 10^6</f>
        <v>0</v>
      </c>
      <c r="F27" s="208">
        <f t="shared" si="2"/>
        <v>0</v>
      </c>
      <c r="G27" s="208">
        <f t="shared" si="2"/>
        <v>0</v>
      </c>
      <c r="H27" s="208">
        <f>$C17* H$13*$C$5/ 10^6</f>
        <v>0</v>
      </c>
      <c r="I27" s="195">
        <v>0</v>
      </c>
      <c r="J27" s="195">
        <f>I27</f>
        <v>0</v>
      </c>
      <c r="K27" s="195">
        <f t="shared" ref="K27:BA27" si="3">J27</f>
        <v>0</v>
      </c>
      <c r="L27" s="195">
        <f t="shared" si="3"/>
        <v>0</v>
      </c>
      <c r="M27" s="195">
        <f t="shared" si="3"/>
        <v>0</v>
      </c>
      <c r="N27" s="195">
        <f t="shared" si="3"/>
        <v>0</v>
      </c>
      <c r="O27" s="195">
        <f t="shared" si="3"/>
        <v>0</v>
      </c>
      <c r="P27" s="195">
        <f t="shared" si="3"/>
        <v>0</v>
      </c>
      <c r="Q27" s="195">
        <f t="shared" si="3"/>
        <v>0</v>
      </c>
      <c r="R27" s="195">
        <f t="shared" si="3"/>
        <v>0</v>
      </c>
      <c r="S27" s="195">
        <f t="shared" si="3"/>
        <v>0</v>
      </c>
      <c r="T27" s="195">
        <f t="shared" si="3"/>
        <v>0</v>
      </c>
      <c r="U27" s="195">
        <f t="shared" si="3"/>
        <v>0</v>
      </c>
      <c r="V27" s="195">
        <f t="shared" si="3"/>
        <v>0</v>
      </c>
      <c r="W27" s="195">
        <f t="shared" si="3"/>
        <v>0</v>
      </c>
      <c r="X27" s="195">
        <f t="shared" si="3"/>
        <v>0</v>
      </c>
      <c r="Y27" s="195">
        <f t="shared" si="3"/>
        <v>0</v>
      </c>
      <c r="Z27" s="195">
        <f t="shared" si="3"/>
        <v>0</v>
      </c>
      <c r="AA27" s="195">
        <f t="shared" si="3"/>
        <v>0</v>
      </c>
      <c r="AB27" s="195">
        <f t="shared" si="3"/>
        <v>0</v>
      </c>
      <c r="AC27" s="195">
        <f t="shared" si="3"/>
        <v>0</v>
      </c>
      <c r="AD27" s="195">
        <f t="shared" si="3"/>
        <v>0</v>
      </c>
      <c r="AE27" s="195">
        <f t="shared" si="3"/>
        <v>0</v>
      </c>
      <c r="AF27" s="195">
        <f t="shared" si="3"/>
        <v>0</v>
      </c>
      <c r="AG27" s="195">
        <f t="shared" si="3"/>
        <v>0</v>
      </c>
      <c r="AH27" s="195">
        <f t="shared" si="3"/>
        <v>0</v>
      </c>
      <c r="AI27" s="195">
        <f t="shared" si="3"/>
        <v>0</v>
      </c>
      <c r="AJ27" s="195">
        <f t="shared" si="3"/>
        <v>0</v>
      </c>
      <c r="AK27" s="195">
        <f t="shared" si="3"/>
        <v>0</v>
      </c>
      <c r="AL27" s="195">
        <f t="shared" si="3"/>
        <v>0</v>
      </c>
      <c r="AM27" s="195">
        <f t="shared" si="3"/>
        <v>0</v>
      </c>
      <c r="AN27" s="195">
        <f t="shared" si="3"/>
        <v>0</v>
      </c>
      <c r="AO27" s="195">
        <f t="shared" si="3"/>
        <v>0</v>
      </c>
      <c r="AP27" s="195">
        <f t="shared" si="3"/>
        <v>0</v>
      </c>
      <c r="AQ27" s="195">
        <f t="shared" si="3"/>
        <v>0</v>
      </c>
      <c r="AR27" s="195">
        <f t="shared" si="3"/>
        <v>0</v>
      </c>
      <c r="AS27" s="195">
        <f t="shared" si="3"/>
        <v>0</v>
      </c>
      <c r="AT27" s="195">
        <f t="shared" si="3"/>
        <v>0</v>
      </c>
      <c r="AU27" s="195">
        <f t="shared" si="3"/>
        <v>0</v>
      </c>
      <c r="AV27" s="195">
        <f t="shared" si="3"/>
        <v>0</v>
      </c>
      <c r="AW27" s="195">
        <f t="shared" si="3"/>
        <v>0</v>
      </c>
      <c r="AX27" s="195">
        <f t="shared" si="3"/>
        <v>0</v>
      </c>
      <c r="AY27" s="195">
        <f t="shared" si="3"/>
        <v>0</v>
      </c>
      <c r="AZ27" s="195">
        <f t="shared" si="3"/>
        <v>0</v>
      </c>
      <c r="BA27" s="195">
        <f t="shared" si="3"/>
        <v>0</v>
      </c>
      <c r="BD27" s="6"/>
      <c r="BE27" s="6"/>
      <c r="BF27" s="6"/>
      <c r="BG27" s="6"/>
    </row>
    <row r="28" spans="1:59" s="34" customFormat="1" ht="14.25" customHeight="1" x14ac:dyDescent="0.2">
      <c r="B28" s="190" t="str">
        <f t="shared" ref="B28:B31" si="4">B18</f>
        <v>Storno (s)</v>
      </c>
      <c r="C28" s="113"/>
      <c r="D28" s="192">
        <f t="shared" si="2"/>
        <v>0</v>
      </c>
      <c r="E28" s="120">
        <f t="shared" si="2"/>
        <v>0</v>
      </c>
      <c r="F28" s="120">
        <f t="shared" si="2"/>
        <v>0</v>
      </c>
      <c r="G28" s="120">
        <f t="shared" si="2"/>
        <v>0</v>
      </c>
      <c r="H28" s="120">
        <f t="shared" si="2"/>
        <v>0</v>
      </c>
      <c r="I28" s="198">
        <f>$D18* I$13*$D$5/ 10^6</f>
        <v>0</v>
      </c>
      <c r="J28" s="198">
        <f t="shared" ref="J28:BA28" si="5">$D18* J$13*$D$5/ 10^6</f>
        <v>0</v>
      </c>
      <c r="K28" s="198">
        <f t="shared" si="5"/>
        <v>0</v>
      </c>
      <c r="L28" s="198">
        <f t="shared" si="5"/>
        <v>0</v>
      </c>
      <c r="M28" s="198">
        <f t="shared" si="5"/>
        <v>0</v>
      </c>
      <c r="N28" s="198">
        <f t="shared" si="5"/>
        <v>0</v>
      </c>
      <c r="O28" s="198">
        <f t="shared" si="5"/>
        <v>0</v>
      </c>
      <c r="P28" s="198">
        <f t="shared" si="5"/>
        <v>0</v>
      </c>
      <c r="Q28" s="198">
        <f t="shared" si="5"/>
        <v>0</v>
      </c>
      <c r="R28" s="198">
        <f t="shared" si="5"/>
        <v>0</v>
      </c>
      <c r="S28" s="198">
        <f t="shared" si="5"/>
        <v>0</v>
      </c>
      <c r="T28" s="198">
        <f t="shared" si="5"/>
        <v>0</v>
      </c>
      <c r="U28" s="198">
        <f t="shared" si="5"/>
        <v>0</v>
      </c>
      <c r="V28" s="198">
        <f t="shared" si="5"/>
        <v>0</v>
      </c>
      <c r="W28" s="198">
        <f t="shared" si="5"/>
        <v>0</v>
      </c>
      <c r="X28" s="198">
        <f t="shared" si="5"/>
        <v>0</v>
      </c>
      <c r="Y28" s="198">
        <f t="shared" si="5"/>
        <v>0</v>
      </c>
      <c r="Z28" s="198">
        <f t="shared" si="5"/>
        <v>0</v>
      </c>
      <c r="AA28" s="198">
        <f t="shared" si="5"/>
        <v>0</v>
      </c>
      <c r="AB28" s="198">
        <f t="shared" si="5"/>
        <v>0</v>
      </c>
      <c r="AC28" s="198">
        <f t="shared" si="5"/>
        <v>0</v>
      </c>
      <c r="AD28" s="198">
        <f t="shared" si="5"/>
        <v>0</v>
      </c>
      <c r="AE28" s="198">
        <f t="shared" si="5"/>
        <v>0</v>
      </c>
      <c r="AF28" s="198">
        <f t="shared" si="5"/>
        <v>0</v>
      </c>
      <c r="AG28" s="198">
        <f t="shared" si="5"/>
        <v>0</v>
      </c>
      <c r="AH28" s="198">
        <f t="shared" si="5"/>
        <v>0</v>
      </c>
      <c r="AI28" s="198">
        <f t="shared" si="5"/>
        <v>0</v>
      </c>
      <c r="AJ28" s="198">
        <f t="shared" si="5"/>
        <v>0</v>
      </c>
      <c r="AK28" s="198">
        <f t="shared" si="5"/>
        <v>0</v>
      </c>
      <c r="AL28" s="198">
        <f t="shared" si="5"/>
        <v>0</v>
      </c>
      <c r="AM28" s="198">
        <f t="shared" si="5"/>
        <v>0</v>
      </c>
      <c r="AN28" s="198">
        <f t="shared" si="5"/>
        <v>0</v>
      </c>
      <c r="AO28" s="198">
        <f t="shared" si="5"/>
        <v>0</v>
      </c>
      <c r="AP28" s="198">
        <f t="shared" si="5"/>
        <v>0</v>
      </c>
      <c r="AQ28" s="198">
        <f t="shared" si="5"/>
        <v>0</v>
      </c>
      <c r="AR28" s="198">
        <f t="shared" si="5"/>
        <v>0</v>
      </c>
      <c r="AS28" s="198">
        <f t="shared" si="5"/>
        <v>0</v>
      </c>
      <c r="AT28" s="198">
        <f t="shared" si="5"/>
        <v>0</v>
      </c>
      <c r="AU28" s="198">
        <f t="shared" si="5"/>
        <v>0</v>
      </c>
      <c r="AV28" s="198">
        <f t="shared" si="5"/>
        <v>0</v>
      </c>
      <c r="AW28" s="198">
        <f t="shared" si="5"/>
        <v>0</v>
      </c>
      <c r="AX28" s="198">
        <f t="shared" si="5"/>
        <v>0</v>
      </c>
      <c r="AY28" s="198">
        <f t="shared" si="5"/>
        <v>0</v>
      </c>
      <c r="AZ28" s="198">
        <f t="shared" si="5"/>
        <v>0</v>
      </c>
      <c r="BA28" s="198">
        <f t="shared" si="5"/>
        <v>0</v>
      </c>
      <c r="BD28" s="6"/>
      <c r="BE28" s="6"/>
      <c r="BF28" s="6"/>
      <c r="BG28" s="6"/>
    </row>
    <row r="29" spans="1:59" s="34" customFormat="1" ht="14.25" customHeight="1" x14ac:dyDescent="0.2">
      <c r="B29" s="190" t="str">
        <f t="shared" si="4"/>
        <v>Kosten (k)</v>
      </c>
      <c r="C29" s="113"/>
      <c r="D29" s="192">
        <f t="shared" si="2"/>
        <v>0</v>
      </c>
      <c r="E29" s="120">
        <f t="shared" si="2"/>
        <v>0</v>
      </c>
      <c r="F29" s="120">
        <f t="shared" si="2"/>
        <v>0</v>
      </c>
      <c r="G29" s="120">
        <f t="shared" si="2"/>
        <v>0</v>
      </c>
      <c r="H29" s="120">
        <f t="shared" si="2"/>
        <v>0</v>
      </c>
      <c r="I29" s="195">
        <v>0</v>
      </c>
      <c r="J29" s="195">
        <f>I29</f>
        <v>0</v>
      </c>
      <c r="K29" s="195">
        <f t="shared" ref="K29:BA29" si="6">J29</f>
        <v>0</v>
      </c>
      <c r="L29" s="195">
        <f t="shared" si="6"/>
        <v>0</v>
      </c>
      <c r="M29" s="195">
        <f t="shared" si="6"/>
        <v>0</v>
      </c>
      <c r="N29" s="195">
        <f t="shared" si="6"/>
        <v>0</v>
      </c>
      <c r="O29" s="195">
        <f t="shared" si="6"/>
        <v>0</v>
      </c>
      <c r="P29" s="195">
        <f t="shared" si="6"/>
        <v>0</v>
      </c>
      <c r="Q29" s="195">
        <f t="shared" si="6"/>
        <v>0</v>
      </c>
      <c r="R29" s="195">
        <f t="shared" si="6"/>
        <v>0</v>
      </c>
      <c r="S29" s="195">
        <f t="shared" si="6"/>
        <v>0</v>
      </c>
      <c r="T29" s="195">
        <f t="shared" si="6"/>
        <v>0</v>
      </c>
      <c r="U29" s="195">
        <f t="shared" si="6"/>
        <v>0</v>
      </c>
      <c r="V29" s="195">
        <f t="shared" si="6"/>
        <v>0</v>
      </c>
      <c r="W29" s="195">
        <f t="shared" si="6"/>
        <v>0</v>
      </c>
      <c r="X29" s="195">
        <f t="shared" si="6"/>
        <v>0</v>
      </c>
      <c r="Y29" s="195">
        <f t="shared" si="6"/>
        <v>0</v>
      </c>
      <c r="Z29" s="195">
        <f t="shared" si="6"/>
        <v>0</v>
      </c>
      <c r="AA29" s="195">
        <f t="shared" si="6"/>
        <v>0</v>
      </c>
      <c r="AB29" s="195">
        <f t="shared" si="6"/>
        <v>0</v>
      </c>
      <c r="AC29" s="195">
        <f t="shared" si="6"/>
        <v>0</v>
      </c>
      <c r="AD29" s="195">
        <f t="shared" si="6"/>
        <v>0</v>
      </c>
      <c r="AE29" s="195">
        <f t="shared" si="6"/>
        <v>0</v>
      </c>
      <c r="AF29" s="195">
        <f t="shared" si="6"/>
        <v>0</v>
      </c>
      <c r="AG29" s="195">
        <f t="shared" si="6"/>
        <v>0</v>
      </c>
      <c r="AH29" s="195">
        <f t="shared" si="6"/>
        <v>0</v>
      </c>
      <c r="AI29" s="195">
        <f t="shared" si="6"/>
        <v>0</v>
      </c>
      <c r="AJ29" s="195">
        <f t="shared" si="6"/>
        <v>0</v>
      </c>
      <c r="AK29" s="195">
        <f t="shared" si="6"/>
        <v>0</v>
      </c>
      <c r="AL29" s="195">
        <f t="shared" si="6"/>
        <v>0</v>
      </c>
      <c r="AM29" s="195">
        <f t="shared" si="6"/>
        <v>0</v>
      </c>
      <c r="AN29" s="195">
        <f t="shared" si="6"/>
        <v>0</v>
      </c>
      <c r="AO29" s="195">
        <f t="shared" si="6"/>
        <v>0</v>
      </c>
      <c r="AP29" s="195">
        <f t="shared" si="6"/>
        <v>0</v>
      </c>
      <c r="AQ29" s="195">
        <f t="shared" si="6"/>
        <v>0</v>
      </c>
      <c r="AR29" s="195">
        <f t="shared" si="6"/>
        <v>0</v>
      </c>
      <c r="AS29" s="195">
        <f t="shared" si="6"/>
        <v>0</v>
      </c>
      <c r="AT29" s="195">
        <f t="shared" si="6"/>
        <v>0</v>
      </c>
      <c r="AU29" s="195">
        <f t="shared" si="6"/>
        <v>0</v>
      </c>
      <c r="AV29" s="195">
        <f t="shared" si="6"/>
        <v>0</v>
      </c>
      <c r="AW29" s="195">
        <f t="shared" si="6"/>
        <v>0</v>
      </c>
      <c r="AX29" s="195">
        <f t="shared" si="6"/>
        <v>0</v>
      </c>
      <c r="AY29" s="195">
        <f t="shared" si="6"/>
        <v>0</v>
      </c>
      <c r="AZ29" s="195">
        <f t="shared" si="6"/>
        <v>0</v>
      </c>
      <c r="BA29" s="195">
        <f t="shared" si="6"/>
        <v>0</v>
      </c>
      <c r="BD29" s="6"/>
      <c r="BE29" s="6"/>
      <c r="BF29" s="6"/>
      <c r="BG29" s="6"/>
    </row>
    <row r="30" spans="1:59" s="34" customFormat="1" ht="14.25" customHeight="1" x14ac:dyDescent="0.2">
      <c r="B30" s="190" t="str">
        <f t="shared" si="4"/>
        <v>Leistungen (l)</v>
      </c>
      <c r="C30" s="113"/>
      <c r="D30" s="192">
        <f t="shared" si="2"/>
        <v>0</v>
      </c>
      <c r="E30" s="120">
        <f t="shared" si="2"/>
        <v>0</v>
      </c>
      <c r="F30" s="120">
        <f t="shared" si="2"/>
        <v>0</v>
      </c>
      <c r="G30" s="120">
        <f t="shared" si="2"/>
        <v>0</v>
      </c>
      <c r="H30" s="120">
        <f t="shared" si="2"/>
        <v>0</v>
      </c>
      <c r="I30" s="195">
        <v>0</v>
      </c>
      <c r="J30" s="195">
        <f>I30</f>
        <v>0</v>
      </c>
      <c r="K30" s="195">
        <f t="shared" ref="K30:BA30" si="7">J30</f>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5">
        <f t="shared" si="7"/>
        <v>0</v>
      </c>
      <c r="AN30" s="195">
        <f t="shared" si="7"/>
        <v>0</v>
      </c>
      <c r="AO30" s="195">
        <f t="shared" si="7"/>
        <v>0</v>
      </c>
      <c r="AP30" s="195">
        <f t="shared" si="7"/>
        <v>0</v>
      </c>
      <c r="AQ30" s="195">
        <f t="shared" si="7"/>
        <v>0</v>
      </c>
      <c r="AR30" s="195">
        <f t="shared" si="7"/>
        <v>0</v>
      </c>
      <c r="AS30" s="195">
        <f t="shared" si="7"/>
        <v>0</v>
      </c>
      <c r="AT30" s="195">
        <f t="shared" si="7"/>
        <v>0</v>
      </c>
      <c r="AU30" s="195">
        <f t="shared" si="7"/>
        <v>0</v>
      </c>
      <c r="AV30" s="195">
        <f t="shared" si="7"/>
        <v>0</v>
      </c>
      <c r="AW30" s="195">
        <f t="shared" si="7"/>
        <v>0</v>
      </c>
      <c r="AX30" s="195">
        <f t="shared" si="7"/>
        <v>0</v>
      </c>
      <c r="AY30" s="195">
        <f t="shared" si="7"/>
        <v>0</v>
      </c>
      <c r="AZ30" s="195">
        <f t="shared" si="7"/>
        <v>0</v>
      </c>
      <c r="BA30" s="195">
        <f t="shared" si="7"/>
        <v>0</v>
      </c>
      <c r="BD30" s="6"/>
      <c r="BE30" s="6"/>
      <c r="BF30" s="6"/>
      <c r="BG30" s="6"/>
    </row>
    <row r="31" spans="1:59" s="34" customFormat="1" ht="14.25" customHeight="1" x14ac:dyDescent="0.2">
      <c r="B31" s="190" t="str">
        <f t="shared" si="4"/>
        <v>CY-Risiko</v>
      </c>
      <c r="C31" s="113"/>
      <c r="D31" s="192">
        <f t="shared" si="2"/>
        <v>0</v>
      </c>
      <c r="E31" s="120">
        <f t="shared" si="2"/>
        <v>0</v>
      </c>
      <c r="F31" s="120">
        <f t="shared" si="2"/>
        <v>0</v>
      </c>
      <c r="G31" s="120">
        <f t="shared" si="2"/>
        <v>0</v>
      </c>
      <c r="H31" s="120">
        <f t="shared" si="2"/>
        <v>0</v>
      </c>
      <c r="I31" s="198">
        <f t="shared" ref="I31:BA31" si="8">$D21* I$13*$D$5/ 10^6</f>
        <v>0</v>
      </c>
      <c r="J31" s="198">
        <f t="shared" si="8"/>
        <v>0</v>
      </c>
      <c r="K31" s="198">
        <f t="shared" si="8"/>
        <v>0</v>
      </c>
      <c r="L31" s="198">
        <f t="shared" si="8"/>
        <v>0</v>
      </c>
      <c r="M31" s="198">
        <f t="shared" si="8"/>
        <v>0</v>
      </c>
      <c r="N31" s="198">
        <f t="shared" si="8"/>
        <v>0</v>
      </c>
      <c r="O31" s="198">
        <f t="shared" si="8"/>
        <v>0</v>
      </c>
      <c r="P31" s="198">
        <f t="shared" si="8"/>
        <v>0</v>
      </c>
      <c r="Q31" s="198">
        <f t="shared" si="8"/>
        <v>0</v>
      </c>
      <c r="R31" s="198">
        <f t="shared" si="8"/>
        <v>0</v>
      </c>
      <c r="S31" s="198">
        <f t="shared" si="8"/>
        <v>0</v>
      </c>
      <c r="T31" s="198">
        <f t="shared" si="8"/>
        <v>0</v>
      </c>
      <c r="U31" s="198">
        <f t="shared" si="8"/>
        <v>0</v>
      </c>
      <c r="V31" s="198">
        <f t="shared" si="8"/>
        <v>0</v>
      </c>
      <c r="W31" s="198">
        <f t="shared" si="8"/>
        <v>0</v>
      </c>
      <c r="X31" s="198">
        <f t="shared" si="8"/>
        <v>0</v>
      </c>
      <c r="Y31" s="198">
        <f t="shared" si="8"/>
        <v>0</v>
      </c>
      <c r="Z31" s="198">
        <f t="shared" si="8"/>
        <v>0</v>
      </c>
      <c r="AA31" s="198">
        <f t="shared" si="8"/>
        <v>0</v>
      </c>
      <c r="AB31" s="198">
        <f t="shared" si="8"/>
        <v>0</v>
      </c>
      <c r="AC31" s="198">
        <f t="shared" si="8"/>
        <v>0</v>
      </c>
      <c r="AD31" s="198">
        <f t="shared" si="8"/>
        <v>0</v>
      </c>
      <c r="AE31" s="198">
        <f t="shared" si="8"/>
        <v>0</v>
      </c>
      <c r="AF31" s="198">
        <f t="shared" si="8"/>
        <v>0</v>
      </c>
      <c r="AG31" s="198">
        <f t="shared" si="8"/>
        <v>0</v>
      </c>
      <c r="AH31" s="198">
        <f t="shared" si="8"/>
        <v>0</v>
      </c>
      <c r="AI31" s="198">
        <f t="shared" si="8"/>
        <v>0</v>
      </c>
      <c r="AJ31" s="198">
        <f t="shared" si="8"/>
        <v>0</v>
      </c>
      <c r="AK31" s="198">
        <f t="shared" si="8"/>
        <v>0</v>
      </c>
      <c r="AL31" s="198">
        <f t="shared" si="8"/>
        <v>0</v>
      </c>
      <c r="AM31" s="198">
        <f t="shared" si="8"/>
        <v>0</v>
      </c>
      <c r="AN31" s="198">
        <f t="shared" si="8"/>
        <v>0</v>
      </c>
      <c r="AO31" s="198">
        <f t="shared" si="8"/>
        <v>0</v>
      </c>
      <c r="AP31" s="198">
        <f t="shared" si="8"/>
        <v>0</v>
      </c>
      <c r="AQ31" s="198">
        <f t="shared" si="8"/>
        <v>0</v>
      </c>
      <c r="AR31" s="198">
        <f t="shared" si="8"/>
        <v>0</v>
      </c>
      <c r="AS31" s="198">
        <f t="shared" si="8"/>
        <v>0</v>
      </c>
      <c r="AT31" s="198">
        <f t="shared" si="8"/>
        <v>0</v>
      </c>
      <c r="AU31" s="198">
        <f t="shared" si="8"/>
        <v>0</v>
      </c>
      <c r="AV31" s="198">
        <f t="shared" si="8"/>
        <v>0</v>
      </c>
      <c r="AW31" s="198">
        <f t="shared" si="8"/>
        <v>0</v>
      </c>
      <c r="AX31" s="198">
        <f t="shared" si="8"/>
        <v>0</v>
      </c>
      <c r="AY31" s="198">
        <f t="shared" si="8"/>
        <v>0</v>
      </c>
      <c r="AZ31" s="198">
        <f t="shared" si="8"/>
        <v>0</v>
      </c>
      <c r="BA31" s="198">
        <f t="shared" si="8"/>
        <v>0</v>
      </c>
      <c r="BD31" s="6"/>
      <c r="BE31" s="6"/>
      <c r="BF31" s="6"/>
      <c r="BG31" s="6"/>
    </row>
    <row r="32" spans="1:59" s="34" customFormat="1" ht="14.25" customHeight="1" x14ac:dyDescent="0.2">
      <c r="B32" s="193" t="str">
        <f>VLOOKUP("T.13.11",HE_label,2,FALSE)</f>
        <v>Versicherungsrisiko EK (vor Szenario AS)</v>
      </c>
      <c r="C32" s="113"/>
      <c r="D32" s="192">
        <f>IF($C$22=0,0,SUM(D27:D31)/$C$22)</f>
        <v>0</v>
      </c>
      <c r="E32" s="192">
        <f>IF($C$22=0,0,SUM(E27:E31)/$C$22)</f>
        <v>0</v>
      </c>
      <c r="F32" s="192">
        <f>IF($C$22=0,0,SUM(F27:F31)/$C$22)</f>
        <v>0</v>
      </c>
      <c r="G32" s="192">
        <f>IF($C$22=0,0,SUM(G27:G31)/$C$22)</f>
        <v>0</v>
      </c>
      <c r="H32" s="192">
        <f>IF($C$22=0,0,SUM(H27:H31)/$C$22)</f>
        <v>0</v>
      </c>
      <c r="I32" s="198">
        <f>IF($D$22=0,0,SUM(I27:I31)/$D$22)</f>
        <v>0</v>
      </c>
      <c r="J32" s="198">
        <f t="shared" ref="J32:BA32" si="9">IF($D$22=0,0,SUM(J27:J31)/$D$22)</f>
        <v>0</v>
      </c>
      <c r="K32" s="198">
        <f t="shared" si="9"/>
        <v>0</v>
      </c>
      <c r="L32" s="198">
        <f t="shared" si="9"/>
        <v>0</v>
      </c>
      <c r="M32" s="198">
        <f t="shared" si="9"/>
        <v>0</v>
      </c>
      <c r="N32" s="198">
        <f t="shared" si="9"/>
        <v>0</v>
      </c>
      <c r="O32" s="198">
        <f t="shared" si="9"/>
        <v>0</v>
      </c>
      <c r="P32" s="198">
        <f t="shared" si="9"/>
        <v>0</v>
      </c>
      <c r="Q32" s="198">
        <f t="shared" si="9"/>
        <v>0</v>
      </c>
      <c r="R32" s="198">
        <f t="shared" si="9"/>
        <v>0</v>
      </c>
      <c r="S32" s="198">
        <f t="shared" si="9"/>
        <v>0</v>
      </c>
      <c r="T32" s="198">
        <f t="shared" si="9"/>
        <v>0</v>
      </c>
      <c r="U32" s="198">
        <f t="shared" si="9"/>
        <v>0</v>
      </c>
      <c r="V32" s="198">
        <f t="shared" si="9"/>
        <v>0</v>
      </c>
      <c r="W32" s="198">
        <f t="shared" si="9"/>
        <v>0</v>
      </c>
      <c r="X32" s="198">
        <f t="shared" si="9"/>
        <v>0</v>
      </c>
      <c r="Y32" s="198">
        <f t="shared" si="9"/>
        <v>0</v>
      </c>
      <c r="Z32" s="198">
        <f t="shared" si="9"/>
        <v>0</v>
      </c>
      <c r="AA32" s="198">
        <f t="shared" si="9"/>
        <v>0</v>
      </c>
      <c r="AB32" s="198">
        <f t="shared" si="9"/>
        <v>0</v>
      </c>
      <c r="AC32" s="198">
        <f t="shared" si="9"/>
        <v>0</v>
      </c>
      <c r="AD32" s="198">
        <f t="shared" si="9"/>
        <v>0</v>
      </c>
      <c r="AE32" s="198">
        <f t="shared" si="9"/>
        <v>0</v>
      </c>
      <c r="AF32" s="198">
        <f t="shared" si="9"/>
        <v>0</v>
      </c>
      <c r="AG32" s="198">
        <f t="shared" si="9"/>
        <v>0</v>
      </c>
      <c r="AH32" s="198">
        <f t="shared" si="9"/>
        <v>0</v>
      </c>
      <c r="AI32" s="198">
        <f t="shared" si="9"/>
        <v>0</v>
      </c>
      <c r="AJ32" s="198">
        <f t="shared" si="9"/>
        <v>0</v>
      </c>
      <c r="AK32" s="198">
        <f t="shared" si="9"/>
        <v>0</v>
      </c>
      <c r="AL32" s="198">
        <f t="shared" si="9"/>
        <v>0</v>
      </c>
      <c r="AM32" s="198">
        <f t="shared" si="9"/>
        <v>0</v>
      </c>
      <c r="AN32" s="198">
        <f t="shared" si="9"/>
        <v>0</v>
      </c>
      <c r="AO32" s="198">
        <f t="shared" si="9"/>
        <v>0</v>
      </c>
      <c r="AP32" s="198">
        <f t="shared" si="9"/>
        <v>0</v>
      </c>
      <c r="AQ32" s="198">
        <f t="shared" si="9"/>
        <v>0</v>
      </c>
      <c r="AR32" s="198">
        <f t="shared" si="9"/>
        <v>0</v>
      </c>
      <c r="AS32" s="198">
        <f t="shared" si="9"/>
        <v>0</v>
      </c>
      <c r="AT32" s="198">
        <f t="shared" si="9"/>
        <v>0</v>
      </c>
      <c r="AU32" s="198">
        <f t="shared" si="9"/>
        <v>0</v>
      </c>
      <c r="AV32" s="198">
        <f t="shared" si="9"/>
        <v>0</v>
      </c>
      <c r="AW32" s="198">
        <f t="shared" si="9"/>
        <v>0</v>
      </c>
      <c r="AX32" s="198">
        <f t="shared" si="9"/>
        <v>0</v>
      </c>
      <c r="AY32" s="198">
        <f t="shared" si="9"/>
        <v>0</v>
      </c>
      <c r="AZ32" s="198">
        <f t="shared" si="9"/>
        <v>0</v>
      </c>
      <c r="BA32" s="198">
        <f t="shared" si="9"/>
        <v>0</v>
      </c>
      <c r="BD32" s="6"/>
      <c r="BE32" s="6"/>
      <c r="BF32" s="6"/>
      <c r="BG32" s="6"/>
    </row>
    <row r="33" spans="2:59" ht="14.25" customHeight="1" x14ac:dyDescent="0.2">
      <c r="B33" s="121"/>
      <c r="C33" s="113"/>
      <c r="D33" s="123"/>
      <c r="E33" s="122"/>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2"/>
      <c r="BD33" s="6"/>
      <c r="BE33" s="6"/>
      <c r="BF33" s="6"/>
      <c r="BG33" s="6"/>
    </row>
    <row r="34" spans="2:59" s="23" customFormat="1" ht="14.25" customHeight="1" x14ac:dyDescent="0.2">
      <c r="B34" s="127" t="str">
        <f>VLOOKUP("T.13.12",HE_label,2,FALSE)</f>
        <v>Jährliche Kapitalkosten für das projizierte Risiko</v>
      </c>
      <c r="C34" s="113"/>
      <c r="D34" s="120">
        <f t="shared" ref="D34:AI34" si="10">D32*HE_CoC_rate</f>
        <v>0</v>
      </c>
      <c r="E34" s="120">
        <f t="shared" si="10"/>
        <v>0</v>
      </c>
      <c r="F34" s="120">
        <f t="shared" si="10"/>
        <v>0</v>
      </c>
      <c r="G34" s="120">
        <f t="shared" si="10"/>
        <v>0</v>
      </c>
      <c r="H34" s="120">
        <f t="shared" si="10"/>
        <v>0</v>
      </c>
      <c r="I34" s="120">
        <f t="shared" si="10"/>
        <v>0</v>
      </c>
      <c r="J34" s="120">
        <f t="shared" si="10"/>
        <v>0</v>
      </c>
      <c r="K34" s="120">
        <f t="shared" si="10"/>
        <v>0</v>
      </c>
      <c r="L34" s="120">
        <f t="shared" si="10"/>
        <v>0</v>
      </c>
      <c r="M34" s="120">
        <f t="shared" si="10"/>
        <v>0</v>
      </c>
      <c r="N34" s="120">
        <f t="shared" si="10"/>
        <v>0</v>
      </c>
      <c r="O34" s="120">
        <f t="shared" si="10"/>
        <v>0</v>
      </c>
      <c r="P34" s="120">
        <f t="shared" si="10"/>
        <v>0</v>
      </c>
      <c r="Q34" s="120">
        <f t="shared" si="10"/>
        <v>0</v>
      </c>
      <c r="R34" s="120">
        <f t="shared" si="10"/>
        <v>0</v>
      </c>
      <c r="S34" s="120">
        <f t="shared" si="10"/>
        <v>0</v>
      </c>
      <c r="T34" s="120">
        <f t="shared" si="10"/>
        <v>0</v>
      </c>
      <c r="U34" s="120">
        <f t="shared" si="10"/>
        <v>0</v>
      </c>
      <c r="V34" s="120">
        <f t="shared" si="10"/>
        <v>0</v>
      </c>
      <c r="W34" s="120">
        <f t="shared" si="10"/>
        <v>0</v>
      </c>
      <c r="X34" s="120">
        <f t="shared" si="10"/>
        <v>0</v>
      </c>
      <c r="Y34" s="120">
        <f t="shared" si="10"/>
        <v>0</v>
      </c>
      <c r="Z34" s="120">
        <f t="shared" si="10"/>
        <v>0</v>
      </c>
      <c r="AA34" s="120">
        <f t="shared" si="10"/>
        <v>0</v>
      </c>
      <c r="AB34" s="120">
        <f t="shared" si="10"/>
        <v>0</v>
      </c>
      <c r="AC34" s="120">
        <f t="shared" si="10"/>
        <v>0</v>
      </c>
      <c r="AD34" s="120">
        <f t="shared" si="10"/>
        <v>0</v>
      </c>
      <c r="AE34" s="120">
        <f t="shared" si="10"/>
        <v>0</v>
      </c>
      <c r="AF34" s="120">
        <f t="shared" si="10"/>
        <v>0</v>
      </c>
      <c r="AG34" s="120">
        <f t="shared" si="10"/>
        <v>0</v>
      </c>
      <c r="AH34" s="120">
        <f t="shared" si="10"/>
        <v>0</v>
      </c>
      <c r="AI34" s="120">
        <f t="shared" si="10"/>
        <v>0</v>
      </c>
      <c r="AJ34" s="120">
        <f t="shared" ref="AJ34:BA34" si="11">AJ32*HE_CoC_rate</f>
        <v>0</v>
      </c>
      <c r="AK34" s="120">
        <f t="shared" si="11"/>
        <v>0</v>
      </c>
      <c r="AL34" s="120">
        <f t="shared" si="11"/>
        <v>0</v>
      </c>
      <c r="AM34" s="120">
        <f t="shared" si="11"/>
        <v>0</v>
      </c>
      <c r="AN34" s="120">
        <f t="shared" si="11"/>
        <v>0</v>
      </c>
      <c r="AO34" s="120">
        <f t="shared" si="11"/>
        <v>0</v>
      </c>
      <c r="AP34" s="120">
        <f t="shared" si="11"/>
        <v>0</v>
      </c>
      <c r="AQ34" s="120">
        <f t="shared" si="11"/>
        <v>0</v>
      </c>
      <c r="AR34" s="120">
        <f t="shared" si="11"/>
        <v>0</v>
      </c>
      <c r="AS34" s="120">
        <f t="shared" si="11"/>
        <v>0</v>
      </c>
      <c r="AT34" s="120">
        <f t="shared" si="11"/>
        <v>0</v>
      </c>
      <c r="AU34" s="120">
        <f t="shared" si="11"/>
        <v>0</v>
      </c>
      <c r="AV34" s="120">
        <f t="shared" si="11"/>
        <v>0</v>
      </c>
      <c r="AW34" s="120">
        <f t="shared" si="11"/>
        <v>0</v>
      </c>
      <c r="AX34" s="120">
        <f t="shared" si="11"/>
        <v>0</v>
      </c>
      <c r="AY34" s="120">
        <f t="shared" si="11"/>
        <v>0</v>
      </c>
      <c r="AZ34" s="120">
        <f t="shared" si="11"/>
        <v>0</v>
      </c>
      <c r="BA34" s="120">
        <f t="shared" si="11"/>
        <v>0</v>
      </c>
      <c r="BD34" s="6"/>
      <c r="BE34" s="6"/>
      <c r="BF34" s="6"/>
      <c r="BG34" s="6"/>
    </row>
    <row r="35" spans="2:59" s="23" customFormat="1" ht="14.25" customHeight="1" x14ac:dyDescent="0.2">
      <c r="B35" s="121"/>
      <c r="C35" s="11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D35" s="6"/>
      <c r="BE35" s="6"/>
      <c r="BF35" s="6"/>
      <c r="BG35" s="6"/>
    </row>
    <row r="36" spans="2:59" ht="14.25" customHeight="1" x14ac:dyDescent="0.2">
      <c r="B36" s="128" t="str">
        <f>VLOOKUP("T.13.13",HE_label,2,FALSE)</f>
        <v>Diskontierter Wert der zukünftigen Kapitalkosten</v>
      </c>
      <c r="C36" s="204"/>
      <c r="D36" s="133">
        <f>D34*HE_prescribed_parameters!C13</f>
        <v>0</v>
      </c>
      <c r="E36" s="133">
        <f>E34*HE_prescribed_parameters!D13</f>
        <v>0</v>
      </c>
      <c r="F36" s="133">
        <f>F34*HE_prescribed_parameters!E13</f>
        <v>0</v>
      </c>
      <c r="G36" s="133">
        <f>G34*HE_prescribed_parameters!F13</f>
        <v>0</v>
      </c>
      <c r="H36" s="133">
        <f>H34*HE_prescribed_parameters!G13</f>
        <v>0</v>
      </c>
      <c r="I36" s="133">
        <f>I34*HE_prescribed_parameters!H13</f>
        <v>0</v>
      </c>
      <c r="J36" s="133">
        <f>J34*HE_prescribed_parameters!I13</f>
        <v>0</v>
      </c>
      <c r="K36" s="133">
        <f>K34*HE_prescribed_parameters!J13</f>
        <v>0</v>
      </c>
      <c r="L36" s="133">
        <f>L34*HE_prescribed_parameters!K13</f>
        <v>0</v>
      </c>
      <c r="M36" s="133">
        <f>M34*HE_prescribed_parameters!L13</f>
        <v>0</v>
      </c>
      <c r="N36" s="133">
        <f>N34*HE_prescribed_parameters!M13</f>
        <v>0</v>
      </c>
      <c r="O36" s="133">
        <f>O34*HE_prescribed_parameters!N13</f>
        <v>0</v>
      </c>
      <c r="P36" s="133">
        <f>P34*HE_prescribed_parameters!O13</f>
        <v>0</v>
      </c>
      <c r="Q36" s="133">
        <f>Q34*HE_prescribed_parameters!P13</f>
        <v>0</v>
      </c>
      <c r="R36" s="133">
        <f>R34*HE_prescribed_parameters!Q13</f>
        <v>0</v>
      </c>
      <c r="S36" s="133">
        <f>S34*HE_prescribed_parameters!R13</f>
        <v>0</v>
      </c>
      <c r="T36" s="133">
        <f>T34*HE_prescribed_parameters!S13</f>
        <v>0</v>
      </c>
      <c r="U36" s="133">
        <f>U34*HE_prescribed_parameters!T13</f>
        <v>0</v>
      </c>
      <c r="V36" s="133">
        <f>V34*HE_prescribed_parameters!U13</f>
        <v>0</v>
      </c>
      <c r="W36" s="133">
        <f>W34*HE_prescribed_parameters!V13</f>
        <v>0</v>
      </c>
      <c r="X36" s="133">
        <f>X34*HE_prescribed_parameters!W13</f>
        <v>0</v>
      </c>
      <c r="Y36" s="133">
        <f>Y34*HE_prescribed_parameters!X13</f>
        <v>0</v>
      </c>
      <c r="Z36" s="133">
        <f>Z34*HE_prescribed_parameters!Y13</f>
        <v>0</v>
      </c>
      <c r="AA36" s="133">
        <f>AA34*HE_prescribed_parameters!Z13</f>
        <v>0</v>
      </c>
      <c r="AB36" s="133">
        <f>AB34*HE_prescribed_parameters!AA13</f>
        <v>0</v>
      </c>
      <c r="AC36" s="133">
        <f>AC34*HE_prescribed_parameters!AB13</f>
        <v>0</v>
      </c>
      <c r="AD36" s="133">
        <f>AD34*HE_prescribed_parameters!AC13</f>
        <v>0</v>
      </c>
      <c r="AE36" s="133">
        <f>AE34*HE_prescribed_parameters!AD13</f>
        <v>0</v>
      </c>
      <c r="AF36" s="133">
        <f>AF34*HE_prescribed_parameters!AE13</f>
        <v>0</v>
      </c>
      <c r="AG36" s="133">
        <f>AG34*HE_prescribed_parameters!AF13</f>
        <v>0</v>
      </c>
      <c r="AH36" s="133">
        <f>AH34*HE_prescribed_parameters!AG13</f>
        <v>0</v>
      </c>
      <c r="AI36" s="133">
        <f>AI34*HE_prescribed_parameters!AH13</f>
        <v>0</v>
      </c>
      <c r="AJ36" s="133">
        <f>AJ34*HE_prescribed_parameters!AI13</f>
        <v>0</v>
      </c>
      <c r="AK36" s="133">
        <f>AK34*HE_prescribed_parameters!AJ13</f>
        <v>0</v>
      </c>
      <c r="AL36" s="133">
        <f>AL34*HE_prescribed_parameters!AK13</f>
        <v>0</v>
      </c>
      <c r="AM36" s="133">
        <f>AM34*HE_prescribed_parameters!AL13</f>
        <v>0</v>
      </c>
      <c r="AN36" s="133">
        <f>AN34*HE_prescribed_parameters!AM13</f>
        <v>0</v>
      </c>
      <c r="AO36" s="133">
        <f>AO34*HE_prescribed_parameters!AN13</f>
        <v>0</v>
      </c>
      <c r="AP36" s="133">
        <f>AP34*HE_prescribed_parameters!AO13</f>
        <v>0</v>
      </c>
      <c r="AQ36" s="133">
        <f>AQ34*HE_prescribed_parameters!AP13</f>
        <v>0</v>
      </c>
      <c r="AR36" s="133">
        <f>AR34*HE_prescribed_parameters!AQ13</f>
        <v>0</v>
      </c>
      <c r="AS36" s="133">
        <f>AS34*HE_prescribed_parameters!AR13</f>
        <v>0</v>
      </c>
      <c r="AT36" s="133">
        <f>AT34*HE_prescribed_parameters!AS13</f>
        <v>0</v>
      </c>
      <c r="AU36" s="133">
        <f>AU34*HE_prescribed_parameters!AT13</f>
        <v>0</v>
      </c>
      <c r="AV36" s="133">
        <f>AV34*HE_prescribed_parameters!AU13</f>
        <v>0</v>
      </c>
      <c r="AW36" s="133">
        <f>AW34*HE_prescribed_parameters!AV13</f>
        <v>0</v>
      </c>
      <c r="AX36" s="133">
        <f>AX34*HE_prescribed_parameters!AW13</f>
        <v>0</v>
      </c>
      <c r="AY36" s="133">
        <f>AY34*HE_prescribed_parameters!AX13</f>
        <v>0</v>
      </c>
      <c r="AZ36" s="133">
        <f>AZ34*HE_prescribed_parameters!AY13</f>
        <v>0</v>
      </c>
      <c r="BA36" s="133">
        <f>BA34*HE_prescribed_parameters!AZ13</f>
        <v>0</v>
      </c>
      <c r="BD36" s="6"/>
      <c r="BE36" s="6"/>
      <c r="BF36" s="6"/>
      <c r="BG36" s="6"/>
    </row>
    <row r="37" spans="2:59" ht="14.25" customHeight="1" x14ac:dyDescent="0.2">
      <c r="B37" s="31"/>
      <c r="C37" s="33"/>
      <c r="D37" s="33"/>
      <c r="E37" s="33"/>
      <c r="F37" s="17"/>
      <c r="BD37" s="6"/>
      <c r="BE37" s="6"/>
      <c r="BF37" s="6"/>
      <c r="BG37" s="6"/>
    </row>
    <row r="38" spans="2:59" ht="15" customHeight="1" x14ac:dyDescent="0.2">
      <c r="B38" s="17"/>
    </row>
    <row r="39" spans="2:59" ht="20.45" customHeight="1" x14ac:dyDescent="0.2">
      <c r="B39" s="1117" t="str">
        <f>VLOOKUP("T.13.14",HE_label,2,FALSE)</f>
        <v>Mindestbetrag (Summe der diskontierten Kapitalkosten), in Mio. CHF</v>
      </c>
      <c r="C39" s="1116">
        <f>SUM(D36:BA36)</f>
        <v>0</v>
      </c>
      <c r="D39" s="35"/>
      <c r="E39" s="35"/>
      <c r="F39" s="36"/>
      <c r="G39" s="37"/>
    </row>
    <row r="40" spans="2:59" s="6" customFormat="1" x14ac:dyDescent="0.2"/>
    <row r="41" spans="2:59" s="6" customFormat="1" x14ac:dyDescent="0.2"/>
    <row r="42" spans="2:59" x14ac:dyDescent="0.2">
      <c r="B42" s="17"/>
      <c r="F42" s="17"/>
    </row>
    <row r="43" spans="2:59" x14ac:dyDescent="0.2">
      <c r="B43" s="17"/>
      <c r="F43" s="17"/>
    </row>
    <row r="44" spans="2:59" x14ac:dyDescent="0.2">
      <c r="B44" s="17"/>
      <c r="F44" s="17"/>
    </row>
    <row r="45" spans="2:59" x14ac:dyDescent="0.2">
      <c r="B45" s="17"/>
      <c r="F45" s="17"/>
      <c r="G45" s="38"/>
      <c r="H45" s="38"/>
      <c r="I45" s="38"/>
      <c r="J45" s="38"/>
      <c r="K45" s="38"/>
      <c r="L45" s="38"/>
      <c r="M45" s="38"/>
      <c r="N45" s="38"/>
      <c r="O45" s="38"/>
      <c r="P45" s="38"/>
      <c r="Q45" s="38"/>
      <c r="R45" s="38"/>
      <c r="S45" s="38"/>
    </row>
    <row r="46" spans="2:59" x14ac:dyDescent="0.2">
      <c r="B46" s="17"/>
      <c r="F46" s="17"/>
    </row>
    <row r="47" spans="2:59" x14ac:dyDescent="0.2">
      <c r="B47" s="17"/>
      <c r="F47" s="17"/>
    </row>
    <row r="48" spans="2:59" x14ac:dyDescent="0.2">
      <c r="B48" s="17"/>
      <c r="F48" s="17"/>
    </row>
    <row r="49" s="17" customFormat="1" x14ac:dyDescent="0.2"/>
    <row r="50" s="17" customFormat="1" x14ac:dyDescent="0.2"/>
    <row r="51" s="17" customFormat="1" x14ac:dyDescent="0.2"/>
    <row r="52" s="17" customFormat="1" x14ac:dyDescent="0.2"/>
    <row r="53" s="17" customFormat="1" x14ac:dyDescent="0.2"/>
    <row r="54" s="17" customFormat="1" x14ac:dyDescent="0.2"/>
    <row r="55" s="17" customFormat="1" x14ac:dyDescent="0.2"/>
    <row r="56" s="17" customFormat="1" x14ac:dyDescent="0.2"/>
    <row r="57" s="17" customFormat="1" x14ac:dyDescent="0.2"/>
    <row r="58" s="17" customFormat="1" x14ac:dyDescent="0.2"/>
    <row r="59" s="17" customFormat="1" x14ac:dyDescent="0.2"/>
    <row r="60" s="17" customFormat="1" x14ac:dyDescent="0.2"/>
    <row r="61" s="17" customFormat="1" x14ac:dyDescent="0.2"/>
    <row r="62" s="17" customFormat="1" x14ac:dyDescent="0.2"/>
    <row r="63" s="17" customFormat="1" x14ac:dyDescent="0.2"/>
    <row r="64"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sheetData>
  <mergeCells count="2">
    <mergeCell ref="B8:B9"/>
    <mergeCell ref="B25:B26"/>
  </mergeCells>
  <pageMargins left="0.47244094488188981" right="0.47244094488188981" top="0.59055118110236227" bottom="0.59055118110236227" header="0.35433070866141736" footer="0.35433070866141736"/>
  <pageSetup paperSize="9" scale="30"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539E"/>
  </sheetPr>
  <dimension ref="A1:IV54"/>
  <sheetViews>
    <sheetView showGridLines="0" zoomScale="90" zoomScaleNormal="90" workbookViewId="0"/>
  </sheetViews>
  <sheetFormatPr defaultColWidth="8.85546875" defaultRowHeight="12.75" x14ac:dyDescent="0.2"/>
  <cols>
    <col min="1" max="1" width="5.7109375" customWidth="1"/>
    <col min="2" max="2" width="83.5703125" customWidth="1"/>
    <col min="3" max="3" width="13.42578125" customWidth="1"/>
    <col min="4" max="52" width="10.7109375" customWidth="1"/>
  </cols>
  <sheetData>
    <row r="1" spans="1:256" s="30" customFormat="1" ht="20.25" x14ac:dyDescent="0.2">
      <c r="A1" s="53">
        <v>14</v>
      </c>
      <c r="B1" s="54" t="str">
        <f>VLOOKUP("T.14.01",HE_label,2,FALSE)</f>
        <v>Kranken VVG: Inputs für das SST-Template</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c r="BB1"/>
      <c r="BC1"/>
      <c r="BD1"/>
      <c r="BE1"/>
      <c r="BF1"/>
      <c r="BG1"/>
      <c r="BH1"/>
      <c r="BI1"/>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4.25" customHeight="1" x14ac:dyDescent="0.2">
      <c r="B2" s="229" t="str">
        <f>HE_company_name&amp;" - SST "&amp;HE_CY&amp;HE_suffix</f>
        <v xml:space="preserve"> - SST 2025</v>
      </c>
    </row>
    <row r="3" spans="1:256" ht="14.25" customHeight="1" x14ac:dyDescent="0.2">
      <c r="B3" s="44"/>
    </row>
    <row r="4" spans="1:256" ht="14.25" customHeight="1" x14ac:dyDescent="0.2">
      <c r="B4" s="1092" t="str">
        <f>VLOOKUP("T.14.02",HE_label,2,FALSE)</f>
        <v>Die Inhalte dieses Tabellenblatts sind Outputs des Standardmodells Kranken, die in die entsprechenden Eingabefelder des SST-Templates zu übertragen sind. Die monetären Beträge sind in Millionen CHF, wie vom SST-Template verlangt.</v>
      </c>
    </row>
    <row r="5" spans="1:256" ht="14.25" customHeight="1" x14ac:dyDescent="0.2">
      <c r="B5" s="1092" t="str">
        <f>VLOOKUP("T.14.03",HE_label,2,FALSE)</f>
        <v>Jeder Abschnitt dieses Tabellenblatts entspricht einem Tabellenblatt des SST-Templates.</v>
      </c>
    </row>
    <row r="6" spans="1:256" ht="14.25" customHeight="1" x14ac:dyDescent="0.2">
      <c r="B6" s="44"/>
    </row>
    <row r="7" spans="1:256" ht="14.25" customHeight="1" x14ac:dyDescent="0.2">
      <c r="A7" s="222">
        <v>1</v>
      </c>
      <c r="B7" s="222" t="str">
        <f>VLOOKUP("T.14.04",HE_label,2,FALSE)</f>
        <v>Outputs des Standardmodells Kranken für das Tabellenblatt «General Inputs» des SST-Templates</v>
      </c>
    </row>
    <row r="8" spans="1:256" ht="14.25" customHeight="1" x14ac:dyDescent="0.2">
      <c r="B8" s="44"/>
    </row>
    <row r="9" spans="1:256" ht="14.25" customHeight="1" x14ac:dyDescent="0.2">
      <c r="B9" s="139" t="str">
        <f>VLOOKUP("T.14.05",HE_label,2,FALSE)</f>
        <v>SST-Währung</v>
      </c>
      <c r="C9" s="1095" t="s">
        <v>31</v>
      </c>
    </row>
    <row r="10" spans="1:256" ht="14.25" customHeight="1" x14ac:dyDescent="0.2">
      <c r="B10" s="139" t="str">
        <f>VLOOKUP("T.14.06",HE_label,2,FALSE)</f>
        <v>Erwartetes Versicherungsergebnis</v>
      </c>
      <c r="C10" s="141">
        <f>HE_expected_result!C10/10^6</f>
        <v>0</v>
      </c>
    </row>
    <row r="11" spans="1:256" ht="14.25" customHeight="1" x14ac:dyDescent="0.2">
      <c r="B11" s="1188" t="str">
        <f>VLOOKUP("T.14.07",HE_label,2,FALSE)</f>
        <v>BE Tilde Kranken</v>
      </c>
      <c r="C11" s="141">
        <f xml:space="preserve"> IF(-HE_LZV_CF!D68 &gt;= 0, -HE_LZV_CF!D68, MAX(-SUMPRODUCT(HE_disc_curve,HE_prescribed_parameters!E50:BB50,HE_LZV_CF!H68:BE68),0))/10^6</f>
        <v>0</v>
      </c>
    </row>
    <row r="12" spans="1:256" ht="14.25" customHeight="1" x14ac:dyDescent="0.2">
      <c r="B12" s="163" t="str">
        <f>VLOOKUP("T.14.07bis",HE_label,2,FALSE)</f>
        <v>MVM Kranken</v>
      </c>
      <c r="C12" s="213">
        <f>HE_MVM!C39</f>
        <v>0</v>
      </c>
    </row>
    <row r="13" spans="1:256" ht="14.25" customHeight="1" x14ac:dyDescent="0.2">
      <c r="B13" s="1094"/>
      <c r="C13" s="1093"/>
    </row>
    <row r="14" spans="1:256" ht="14.25" customHeight="1" x14ac:dyDescent="0.2">
      <c r="B14" s="44"/>
    </row>
    <row r="15" spans="1:256" ht="14.25" customHeight="1" x14ac:dyDescent="0.2">
      <c r="A15" s="222">
        <v>2</v>
      </c>
      <c r="B15" s="222" t="str">
        <f>VLOOKUP("T.14.08",HE_label,2,FALSE)</f>
        <v>Outputs des Standardmodels Kranken für das Tabellenblatt «SST Balance Sheet» des SST-Templates</v>
      </c>
    </row>
    <row r="16" spans="1:256" ht="14.25" customHeight="1" x14ac:dyDescent="0.2">
      <c r="B16" s="44"/>
    </row>
    <row r="17" spans="1:55" ht="14.25" customHeight="1" x14ac:dyDescent="0.2">
      <c r="B17" s="1104" t="str">
        <f>VLOOKUP("T.14.09",HE_label,2,FALSE)</f>
        <v>Best-Estimate der Langzeitverpflichtungen (Kranken)</v>
      </c>
      <c r="C17" s="138">
        <f>HE_ins_risk_EK!D8/10^6</f>
        <v>0</v>
      </c>
    </row>
    <row r="18" spans="1:55" s="48" customFormat="1" ht="14.25" customHeight="1" x14ac:dyDescent="0.2">
      <c r="B18" s="1094"/>
      <c r="C18" s="1093"/>
    </row>
    <row r="19" spans="1:55" ht="14.25" customHeight="1" x14ac:dyDescent="0.2"/>
    <row r="20" spans="1:55" ht="14.25" customHeight="1" x14ac:dyDescent="0.2">
      <c r="A20" s="222">
        <v>3</v>
      </c>
      <c r="B20" s="222" t="str">
        <f>VLOOKUP("T.14.10",HE_label,2,FALSE)</f>
        <v>Outputs des Standardmodells Kranken für das Tabellenblatt «Insurance Cashflows» des SST-Templates</v>
      </c>
    </row>
    <row r="21" spans="1:55" ht="14.25" customHeight="1" x14ac:dyDescent="0.2">
      <c r="B21" s="51"/>
    </row>
    <row r="22" spans="1:55" ht="14.25" customHeight="1" x14ac:dyDescent="0.2">
      <c r="B22" s="1097"/>
      <c r="C22" s="1098">
        <v>1</v>
      </c>
      <c r="D22" s="1096">
        <v>2</v>
      </c>
      <c r="E22" s="1096">
        <v>3</v>
      </c>
      <c r="F22" s="1096">
        <v>4</v>
      </c>
      <c r="G22" s="1096">
        <v>5</v>
      </c>
      <c r="H22" s="1096">
        <v>6</v>
      </c>
      <c r="I22" s="1096">
        <v>7</v>
      </c>
      <c r="J22" s="1096">
        <v>8</v>
      </c>
      <c r="K22" s="1096">
        <v>9</v>
      </c>
      <c r="L22" s="1096">
        <v>10</v>
      </c>
      <c r="M22" s="1096">
        <v>11</v>
      </c>
      <c r="N22" s="1096">
        <v>12</v>
      </c>
      <c r="O22" s="1096">
        <v>13</v>
      </c>
      <c r="P22" s="1096">
        <v>14</v>
      </c>
      <c r="Q22" s="1096">
        <v>15</v>
      </c>
      <c r="R22" s="1096">
        <v>16</v>
      </c>
      <c r="S22" s="1096">
        <v>17</v>
      </c>
      <c r="T22" s="1096">
        <v>18</v>
      </c>
      <c r="U22" s="1096">
        <v>19</v>
      </c>
      <c r="V22" s="1096">
        <v>20</v>
      </c>
      <c r="W22" s="1096">
        <v>21</v>
      </c>
      <c r="X22" s="1096">
        <v>22</v>
      </c>
      <c r="Y22" s="1096">
        <v>23</v>
      </c>
      <c r="Z22" s="1096">
        <v>24</v>
      </c>
      <c r="AA22" s="1096">
        <v>25</v>
      </c>
      <c r="AB22" s="1096">
        <v>26</v>
      </c>
      <c r="AC22" s="1096">
        <v>27</v>
      </c>
      <c r="AD22" s="1096">
        <v>28</v>
      </c>
      <c r="AE22" s="1096">
        <v>29</v>
      </c>
      <c r="AF22" s="1096">
        <v>30</v>
      </c>
      <c r="AG22" s="1096">
        <v>31</v>
      </c>
      <c r="AH22" s="1096">
        <v>32</v>
      </c>
      <c r="AI22" s="1096">
        <v>33</v>
      </c>
      <c r="AJ22" s="1096">
        <v>34</v>
      </c>
      <c r="AK22" s="1096">
        <v>35</v>
      </c>
      <c r="AL22" s="1096">
        <v>36</v>
      </c>
      <c r="AM22" s="1096">
        <v>37</v>
      </c>
      <c r="AN22" s="1096">
        <v>38</v>
      </c>
      <c r="AO22" s="1096">
        <v>39</v>
      </c>
      <c r="AP22" s="1096">
        <v>40</v>
      </c>
      <c r="AQ22" s="1096">
        <v>41</v>
      </c>
      <c r="AR22" s="1096">
        <v>42</v>
      </c>
      <c r="AS22" s="1096">
        <v>43</v>
      </c>
      <c r="AT22" s="1096">
        <v>44</v>
      </c>
      <c r="AU22" s="1096">
        <v>45</v>
      </c>
      <c r="AV22" s="1096">
        <v>46</v>
      </c>
      <c r="AW22" s="1096">
        <v>47</v>
      </c>
      <c r="AX22" s="1096">
        <v>48</v>
      </c>
      <c r="AY22" s="1096">
        <v>49</v>
      </c>
      <c r="AZ22" s="143">
        <v>50</v>
      </c>
    </row>
    <row r="23" spans="1:55" ht="14.25" customHeight="1" x14ac:dyDescent="0.2">
      <c r="B23" s="1099" t="str">
        <f>VLOOKUP("T.14.11",HE_label,2,FALSE)</f>
        <v>Kranken CHF</v>
      </c>
      <c r="C23" s="135">
        <f>-HE_LZV_CF!H68/10^6-HE_expected_result!C9/10^6</f>
        <v>0</v>
      </c>
      <c r="D23" s="135">
        <f>-HE_LZV_CF!I68/10^6</f>
        <v>0</v>
      </c>
      <c r="E23" s="135">
        <f>-HE_LZV_CF!J68/10^6</f>
        <v>0</v>
      </c>
      <c r="F23" s="135">
        <f>-HE_LZV_CF!K68/10^6</f>
        <v>0</v>
      </c>
      <c r="G23" s="135">
        <f>-HE_LZV_CF!L68/10^6</f>
        <v>0</v>
      </c>
      <c r="H23" s="135">
        <f>-HE_LZV_CF!M68/10^6</f>
        <v>0</v>
      </c>
      <c r="I23" s="135">
        <f>-HE_LZV_CF!N68/10^6</f>
        <v>0</v>
      </c>
      <c r="J23" s="135">
        <f>-HE_LZV_CF!O68/10^6</f>
        <v>0</v>
      </c>
      <c r="K23" s="135">
        <f>-HE_LZV_CF!P68/10^6</f>
        <v>0</v>
      </c>
      <c r="L23" s="135">
        <f>-HE_LZV_CF!Q68/10^6</f>
        <v>0</v>
      </c>
      <c r="M23" s="135">
        <f>-HE_LZV_CF!R68/10^6</f>
        <v>0</v>
      </c>
      <c r="N23" s="135">
        <f>-HE_LZV_CF!S68/10^6</f>
        <v>0</v>
      </c>
      <c r="O23" s="135">
        <f>-HE_LZV_CF!T68/10^6</f>
        <v>0</v>
      </c>
      <c r="P23" s="135">
        <f>-HE_LZV_CF!U68/10^6</f>
        <v>0</v>
      </c>
      <c r="Q23" s="135">
        <f>-HE_LZV_CF!V68/10^6</f>
        <v>0</v>
      </c>
      <c r="R23" s="135">
        <f>-HE_LZV_CF!W68/10^6</f>
        <v>0</v>
      </c>
      <c r="S23" s="135">
        <f>-HE_LZV_CF!X68/10^6</f>
        <v>0</v>
      </c>
      <c r="T23" s="135">
        <f>-HE_LZV_CF!Y68/10^6</f>
        <v>0</v>
      </c>
      <c r="U23" s="135">
        <f>-HE_LZV_CF!Z68/10^6</f>
        <v>0</v>
      </c>
      <c r="V23" s="135">
        <f>-HE_LZV_CF!AA68/10^6</f>
        <v>0</v>
      </c>
      <c r="W23" s="135">
        <f>-HE_LZV_CF!AB68/10^6</f>
        <v>0</v>
      </c>
      <c r="X23" s="135">
        <f>-HE_LZV_CF!AC68/10^6</f>
        <v>0</v>
      </c>
      <c r="Y23" s="135">
        <f>-HE_LZV_CF!AD68/10^6</f>
        <v>0</v>
      </c>
      <c r="Z23" s="135">
        <f>-HE_LZV_CF!AE68/10^6</f>
        <v>0</v>
      </c>
      <c r="AA23" s="135">
        <f>-HE_LZV_CF!AF68/10^6</f>
        <v>0</v>
      </c>
      <c r="AB23" s="135">
        <f>-HE_LZV_CF!AG68/10^6</f>
        <v>0</v>
      </c>
      <c r="AC23" s="135">
        <f>-HE_LZV_CF!AH68/10^6</f>
        <v>0</v>
      </c>
      <c r="AD23" s="135">
        <f>-HE_LZV_CF!AI68/10^6</f>
        <v>0</v>
      </c>
      <c r="AE23" s="135">
        <f>-HE_LZV_CF!AJ68/10^6</f>
        <v>0</v>
      </c>
      <c r="AF23" s="135">
        <f>-HE_LZV_CF!AK68/10^6</f>
        <v>0</v>
      </c>
      <c r="AG23" s="135">
        <f>-HE_LZV_CF!AL68/10^6</f>
        <v>0</v>
      </c>
      <c r="AH23" s="135">
        <f>-HE_LZV_CF!AM68/10^6</f>
        <v>0</v>
      </c>
      <c r="AI23" s="135">
        <f>-HE_LZV_CF!AN68/10^6</f>
        <v>0</v>
      </c>
      <c r="AJ23" s="135">
        <f>-HE_LZV_CF!AO68/10^6</f>
        <v>0</v>
      </c>
      <c r="AK23" s="135">
        <f>-HE_LZV_CF!AP68/10^6</f>
        <v>0</v>
      </c>
      <c r="AL23" s="135">
        <f>-HE_LZV_CF!AQ68/10^6</f>
        <v>0</v>
      </c>
      <c r="AM23" s="135">
        <f>-HE_LZV_CF!AR68/10^6</f>
        <v>0</v>
      </c>
      <c r="AN23" s="135">
        <f>-HE_LZV_CF!AS68/10^6</f>
        <v>0</v>
      </c>
      <c r="AO23" s="135">
        <f>-HE_LZV_CF!AT68/10^6</f>
        <v>0</v>
      </c>
      <c r="AP23" s="135">
        <f>-HE_LZV_CF!AU68/10^6</f>
        <v>0</v>
      </c>
      <c r="AQ23" s="135">
        <f>-HE_LZV_CF!AV68/10^6</f>
        <v>0</v>
      </c>
      <c r="AR23" s="135">
        <f>-HE_LZV_CF!AW68/10^6</f>
        <v>0</v>
      </c>
      <c r="AS23" s="135">
        <f>-HE_LZV_CF!AX68/10^6</f>
        <v>0</v>
      </c>
      <c r="AT23" s="135">
        <f>-HE_LZV_CF!AY68/10^6</f>
        <v>0</v>
      </c>
      <c r="AU23" s="135">
        <f>-HE_LZV_CF!AZ68/10^6</f>
        <v>0</v>
      </c>
      <c r="AV23" s="135">
        <f>-HE_LZV_CF!BA68/10^6</f>
        <v>0</v>
      </c>
      <c r="AW23" s="135">
        <f>-HE_LZV_CF!BB68/10^6</f>
        <v>0</v>
      </c>
      <c r="AX23" s="135">
        <f>-HE_LZV_CF!BC68/10^6</f>
        <v>0</v>
      </c>
      <c r="AY23" s="135">
        <f>-HE_LZV_CF!BD68/10^6</f>
        <v>0</v>
      </c>
      <c r="AZ23" s="135">
        <f>-HE_LZV_CF!BE68/10^6</f>
        <v>0</v>
      </c>
      <c r="BA23" s="52"/>
      <c r="BB23" s="52"/>
      <c r="BC23" s="52"/>
    </row>
    <row r="24" spans="1:55" ht="14.25" customHeight="1" x14ac:dyDescent="0.2"/>
    <row r="25" spans="1:55" ht="14.25" customHeight="1" x14ac:dyDescent="0.2"/>
    <row r="26" spans="1:55" ht="14.25" customHeight="1" x14ac:dyDescent="0.2">
      <c r="A26" s="222">
        <v>4</v>
      </c>
      <c r="B26" s="222" t="str">
        <f>VLOOKUP("T.14.12",HE_label,2,FALSE)</f>
        <v>Outputs des Standardmodells Kranken für das Tabellenblatt «Health» des SST-Templates</v>
      </c>
    </row>
    <row r="27" spans="1:55" ht="14.25" customHeight="1" x14ac:dyDescent="0.2">
      <c r="A27" s="222"/>
      <c r="B27" s="222"/>
    </row>
    <row r="28" spans="1:55" ht="14.25" customHeight="1" x14ac:dyDescent="0.2">
      <c r="B28" s="228" t="str">
        <f>VLOOKUP("T.14.13",HE_label,2,FALSE)</f>
        <v xml:space="preserve">Sensitivität </v>
      </c>
      <c r="C28" s="136"/>
    </row>
    <row r="29" spans="1:55" ht="14.25" customHeight="1" x14ac:dyDescent="0.2">
      <c r="B29" s="140" t="str">
        <f>VLOOKUP("T.04.43",HE_label,2,FALSE)&amp;" ("&amp;VLOOKUP("T.00.04a",HE_label,2,FALSE)&amp;")"</f>
        <v>Einzelkranken (Standardabweichung)</v>
      </c>
      <c r="C29" s="141">
        <f>HE_ins_risk_EK!C62</f>
        <v>0</v>
      </c>
    </row>
    <row r="30" spans="1:55" ht="14.25" customHeight="1" x14ac:dyDescent="0.2">
      <c r="B30" s="212" t="str">
        <f>VLOOKUP("T.04.44",HE_label,2,FALSE)&amp;" ("&amp;VLOOKUP("T.00.04a",HE_label,2,FALSE)&amp;")"</f>
        <v>Kollektivtaggeld (Standardabweichung)</v>
      </c>
      <c r="C30" s="213">
        <f>HE_ins_risk_KTG!D20</f>
        <v>0</v>
      </c>
    </row>
    <row r="31" spans="1:55" s="48" customFormat="1" ht="14.25" customHeight="1" x14ac:dyDescent="0.2">
      <c r="B31" s="1100"/>
      <c r="C31" s="1093"/>
    </row>
    <row r="32" spans="1:55" s="48" customFormat="1" ht="14.25" customHeight="1" x14ac:dyDescent="0.2">
      <c r="B32" s="1101" t="str">
        <f>VLOOKUP("T.14.14",HE_label,2,FALSE)</f>
        <v>Auswirkungen der Szenarien des Standardmodells Kranken</v>
      </c>
      <c r="C32" s="1093"/>
    </row>
    <row r="33" spans="1:3" ht="14.25" customHeight="1" x14ac:dyDescent="0.2">
      <c r="B33" s="139" t="str">
        <f>VLOOKUP("T.14.15",HE_label,2,FALSE)</f>
        <v>Szenario AS</v>
      </c>
      <c r="C33" s="141">
        <f>HE_ins_risk_EK!C68/10^6</f>
        <v>0</v>
      </c>
    </row>
    <row r="34" spans="1:3" ht="14.25" customHeight="1" x14ac:dyDescent="0.2">
      <c r="B34" s="163" t="str">
        <f>VLOOKUP("T.14.16",HE_label,2,FALSE)</f>
        <v>Szenario KTG</v>
      </c>
      <c r="C34" s="138">
        <f>MIN(HE_ins_risk_KTG!D26, 0)</f>
        <v>0</v>
      </c>
    </row>
    <row r="35" spans="1:3" ht="14.25" customHeight="1" x14ac:dyDescent="0.2">
      <c r="B35" s="51"/>
    </row>
    <row r="36" spans="1:3" ht="14.25" customHeight="1" x14ac:dyDescent="0.2">
      <c r="B36" s="228" t="str">
        <f>VLOOKUP("T.14.17",HE_label,2,FALSE)</f>
        <v>Eintrittswahrscheinlichkeiten der Szenarien des Standardmodells Kranken</v>
      </c>
    </row>
    <row r="37" spans="1:3" x14ac:dyDescent="0.2">
      <c r="B37" s="139" t="str">
        <f>B33</f>
        <v>Szenario AS</v>
      </c>
      <c r="C37" s="1102">
        <f>HE_prescribed_parameters!C58</f>
        <v>5.0000000000000001E-3</v>
      </c>
    </row>
    <row r="38" spans="1:3" x14ac:dyDescent="0.2">
      <c r="B38" s="163" t="str">
        <f>B34</f>
        <v>Szenario KTG</v>
      </c>
      <c r="C38" s="1103">
        <f>HE_prescribed_parameters!C71</f>
        <v>5.0000000000000001E-3</v>
      </c>
    </row>
    <row r="39" spans="1:3" s="48" customFormat="1" x14ac:dyDescent="0.2">
      <c r="B39" s="1094"/>
      <c r="C39" s="1093"/>
    </row>
    <row r="40" spans="1:3" s="48" customFormat="1" x14ac:dyDescent="0.2">
      <c r="B40" s="1094"/>
      <c r="C40" s="1093"/>
    </row>
    <row r="41" spans="1:3" ht="14.25" customHeight="1" x14ac:dyDescent="0.2">
      <c r="A41" s="222">
        <v>5</v>
      </c>
      <c r="B41" s="222" t="str">
        <f>VLOOKUP("T.14.18",HE_label,2,FALSE)</f>
        <v>Outputs des Standardmodells Kranken für das Tabellenblatt «Other Data» des SST-Templates</v>
      </c>
    </row>
    <row r="42" spans="1:3" x14ac:dyDescent="0.2">
      <c r="B42" s="142"/>
      <c r="C42" s="136"/>
    </row>
    <row r="43" spans="1:3" x14ac:dyDescent="0.2">
      <c r="B43" s="140" t="str">
        <f>VLOOKUP("T.14.19",HE_label,2,FALSE)</f>
        <v>Versicherungsrisiko Einzelkranken: LZV-Risiko (Expected Shortfall)</v>
      </c>
      <c r="C43" s="141">
        <f>-HE_ins_risk_EK!E60</f>
        <v>0</v>
      </c>
    </row>
    <row r="44" spans="1:3" x14ac:dyDescent="0.2">
      <c r="B44" s="216" t="str">
        <f>VLOOKUP("T.14.20",HE_label,2,FALSE)</f>
        <v>davon Sterblichkeit (Expected Shortfall)</v>
      </c>
      <c r="C44" s="137">
        <f>-HE_ins_risk_EK!D40</f>
        <v>0</v>
      </c>
    </row>
    <row r="45" spans="1:3" x14ac:dyDescent="0.2">
      <c r="B45" s="216" t="str">
        <f>VLOOKUP("T.14.21",HE_label,2,FALSE)</f>
        <v>davon Storno (Expected Shortfall)</v>
      </c>
      <c r="C45" s="137">
        <f>-HE_ins_risk_EK!D41</f>
        <v>0</v>
      </c>
    </row>
    <row r="46" spans="1:3" x14ac:dyDescent="0.2">
      <c r="B46" s="216" t="str">
        <f>VLOOKUP("T.14.22",HE_label,2,FALSE)</f>
        <v>davon Verwaltungskosten (Expected Shortfall)</v>
      </c>
      <c r="C46" s="137">
        <f>-HE_ins_risk_EK!D42</f>
        <v>0</v>
      </c>
    </row>
    <row r="47" spans="1:3" x14ac:dyDescent="0.2">
      <c r="B47" s="216" t="str">
        <f>VLOOKUP("T.14.23",HE_label,2,FALSE)</f>
        <v>davon Leistungen (Expected Shortfall)</v>
      </c>
      <c r="C47" s="137">
        <f>-HE_ins_risk_EK!D43</f>
        <v>0</v>
      </c>
    </row>
    <row r="48" spans="1:3" x14ac:dyDescent="0.2">
      <c r="B48" s="140" t="str">
        <f>VLOOKUP("T.14.24",HE_label,2,FALSE)</f>
        <v>Versicherungsrisiko Einzelkranken: CY-Risiko (Expected Shortfall)</v>
      </c>
      <c r="C48" s="137">
        <f>-HE_ins_risk_EK!E61</f>
        <v>0</v>
      </c>
    </row>
    <row r="49" spans="2:3" x14ac:dyDescent="0.2">
      <c r="B49" s="140" t="str">
        <f>VLOOKUP("T.14.25",HE_label,2,FALSE)</f>
        <v xml:space="preserve">Einzelkranken: Anzahl Versicherte (Kopfzählung)  </v>
      </c>
      <c r="C49" s="1105">
        <f>HE_expected_result!D45</f>
        <v>0</v>
      </c>
    </row>
    <row r="50" spans="2:3" x14ac:dyDescent="0.2">
      <c r="B50" s="140" t="str">
        <f>VLOOKUP("T.14.26",HE_label,2,FALSE)</f>
        <v>Kollektivtaggeld: Erwartete Prämien (vor Rückversicherung)</v>
      </c>
      <c r="C50" s="137">
        <f>HE_expected_result!D52</f>
        <v>0</v>
      </c>
    </row>
    <row r="51" spans="2:3" x14ac:dyDescent="0.2">
      <c r="B51" s="215" t="str">
        <f>VLOOKUP("T.14.27",HE_label,2,FALSE)</f>
        <v>Kollektivtaggeld: Erwartete Leistungen (vor Rückversicherung)</v>
      </c>
      <c r="C51" s="138">
        <f>HE_ins_risk_KTG!D6</f>
        <v>0</v>
      </c>
    </row>
    <row r="52" spans="2:3" x14ac:dyDescent="0.2">
      <c r="B52" s="51"/>
    </row>
    <row r="53" spans="2:3" x14ac:dyDescent="0.2">
      <c r="B53" s="51"/>
    </row>
    <row r="54" spans="2:3" x14ac:dyDescent="0.2">
      <c r="C54" s="4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D80-0A08-452C-9DBA-67FA3197714E}">
  <sheetPr codeName="Sheet6">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f>
        <v>15.1</v>
      </c>
      <c r="B1" s="54" t="str">
        <f>VLOOKUP("T.15.01",HE_label,2,FALSE)&amp;$N$3&amp;IF($N$5="",""," ("&amp;$N$5&amp;")")</f>
        <v>Kranken VVG: Daten nach Alter und Vertragsgruppe 1</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v>
      </c>
      <c r="O6" s="348" t="s">
        <v>327</v>
      </c>
      <c r="P6" s="683" cm="1">
        <f t="array" ref="P6">IFERROR(INDEX(HE_AsIfCY,$L$3,8), 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 t="shared" ref="T14:T45" si="2">IF(E14&gt;0,R14/E14,0)</f>
        <v>0</v>
      </c>
      <c r="U14" s="515">
        <f t="shared" ref="U14:U45" si="3">IF(F14&gt;0,S14/F14,0)</f>
        <v>0</v>
      </c>
      <c r="V14" s="389"/>
      <c r="W14" s="389"/>
      <c r="X14" s="389"/>
      <c r="Y14" s="515"/>
      <c r="Z14" s="532"/>
      <c r="AA14" s="389"/>
      <c r="AB14" s="515"/>
      <c r="AC14" s="389"/>
      <c r="AD14" s="389"/>
      <c r="AE14" s="389"/>
      <c r="AF14" s="515"/>
      <c r="AG14" s="532"/>
      <c r="AH14" s="1270">
        <f t="shared" ref="AH14:AQ14" si="4">SUM(AH15:AH125)</f>
        <v>0</v>
      </c>
      <c r="AI14" s="1270">
        <f t="shared" si="4"/>
        <v>0</v>
      </c>
      <c r="AJ14" s="389">
        <f t="shared" ref="AJ14:AK14" si="5">SUM(AJ15:AJ125)</f>
        <v>0</v>
      </c>
      <c r="AK14" s="389">
        <f t="shared" si="5"/>
        <v>0</v>
      </c>
      <c r="AL14" s="1270">
        <f t="shared" ref="AL14:AM14" si="6">SUM(AL15:AL125)</f>
        <v>0</v>
      </c>
      <c r="AM14" s="1270">
        <f t="shared" si="6"/>
        <v>0</v>
      </c>
      <c r="AN14" s="516">
        <f>IF(AH14&gt;0,$P$3+(1-$P$3)*(AJ14-AL14)/AH14,1)</f>
        <v>1</v>
      </c>
      <c r="AO14" s="516">
        <f t="shared" ref="AO14" si="7">IF(AI14&gt;0,$P$3+(1-$P$3)*(AK14-AM14)/AI14,1)</f>
        <v>1</v>
      </c>
      <c r="AP14" s="389">
        <f t="shared" si="4"/>
        <v>0</v>
      </c>
      <c r="AQ14" s="389">
        <f t="shared" si="4"/>
        <v>0</v>
      </c>
      <c r="AR14" s="389">
        <f>IF(AH14&gt;0,AP14/(AN14*AH14),0)</f>
        <v>0</v>
      </c>
      <c r="AS14" s="677">
        <f>IF(AI14&gt;0,AQ14/(AO14*AI14),0)</f>
        <v>0</v>
      </c>
      <c r="AT14" s="389">
        <f>AR14*$P$5</f>
        <v>0</v>
      </c>
      <c r="AU14" s="515">
        <f t="shared" ref="AU14" si="8">AS14*$P$5</f>
        <v>0</v>
      </c>
      <c r="AV14" s="532"/>
      <c r="AW14" s="1270">
        <f t="shared" ref="AW14:AX14" si="9">SUM(AW15:AW125)</f>
        <v>0</v>
      </c>
      <c r="AX14" s="1270">
        <f t="shared" si="9"/>
        <v>0</v>
      </c>
      <c r="AY14" s="389">
        <f t="shared" ref="AY14:BB14" si="10">SUM(AY15:AY125)</f>
        <v>0</v>
      </c>
      <c r="AZ14" s="389">
        <f t="shared" si="10"/>
        <v>0</v>
      </c>
      <c r="BA14" s="1270">
        <f t="shared" si="10"/>
        <v>0</v>
      </c>
      <c r="BB14" s="1270">
        <f t="shared" si="10"/>
        <v>0</v>
      </c>
      <c r="BC14" s="516">
        <f>IF(AW14&gt;0,$P$3+(1-$P$3)*(AY14-BA14)/AW14,1)</f>
        <v>1</v>
      </c>
      <c r="BD14" s="516">
        <f t="shared" ref="BD14" si="11">IF(AX14&gt;0,$P$3+(1-$P$3)*(AZ14-BB14)/AX14,1)</f>
        <v>1</v>
      </c>
      <c r="BE14" s="389">
        <f t="shared" ref="BE14:BF14" si="12">SUM(BE15:BE125)</f>
        <v>0</v>
      </c>
      <c r="BF14" s="389">
        <f t="shared" si="12"/>
        <v>0</v>
      </c>
      <c r="BG14" s="389">
        <f>IF(AW14&gt;0,BE14/(BC14*AW14),0)</f>
        <v>0</v>
      </c>
      <c r="BH14" s="677">
        <f>IF(AX14&gt;0,BF14/(BD14*AX14),0)</f>
        <v>0</v>
      </c>
      <c r="BI14" s="389">
        <f>BG14*$P$6</f>
        <v>0</v>
      </c>
      <c r="BJ14" s="515">
        <f>BH14*$P$6</f>
        <v>0</v>
      </c>
      <c r="BK14" s="532"/>
      <c r="BL14" s="1270">
        <f t="shared" ref="BL14:BM14" si="13">SUM(BL15:BL125)</f>
        <v>0</v>
      </c>
      <c r="BM14" s="1270">
        <f t="shared" si="13"/>
        <v>0</v>
      </c>
      <c r="BN14" s="389">
        <f t="shared" ref="BN14:BQ14" si="14">SUM(BN15:BN125)</f>
        <v>0</v>
      </c>
      <c r="BO14" s="389">
        <f t="shared" si="14"/>
        <v>0</v>
      </c>
      <c r="BP14" s="1270">
        <f t="shared" si="14"/>
        <v>0</v>
      </c>
      <c r="BQ14" s="1270">
        <f t="shared" si="14"/>
        <v>0</v>
      </c>
      <c r="BR14" s="516">
        <f>IF(BL14&gt;0,$P$3+(1-$P$3)*(BN14-BP14)/BL14,1)</f>
        <v>1</v>
      </c>
      <c r="BS14" s="516">
        <f t="shared" ref="BS14" si="15">IF(BM14&gt;0,$P$3+(1-$P$3)*(BO14-BQ14)/BM14,1)</f>
        <v>1</v>
      </c>
      <c r="BT14" s="389">
        <f t="shared" ref="BT14:BU14" si="16">SUM(BT15:BT125)</f>
        <v>0</v>
      </c>
      <c r="BU14" s="389">
        <f t="shared" si="16"/>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46" si="17">HE_CY-$B15</f>
        <v>2025</v>
      </c>
      <c r="E15" s="337"/>
      <c r="F15" s="338"/>
      <c r="G15" s="1271">
        <v>0</v>
      </c>
      <c r="H15" s="1289">
        <v>0</v>
      </c>
      <c r="I15" s="394">
        <f>E15-G15</f>
        <v>0</v>
      </c>
      <c r="J15" s="395">
        <f t="shared" ref="J15" si="18">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46" si="19">HE_CY-$B15</f>
        <v>2025</v>
      </c>
      <c r="R15" s="337"/>
      <c r="S15" s="339"/>
      <c r="T15" s="668">
        <f t="shared" si="2"/>
        <v>0</v>
      </c>
      <c r="U15" s="669">
        <f t="shared" si="3"/>
        <v>0</v>
      </c>
      <c r="V15" s="337"/>
      <c r="W15" s="339"/>
      <c r="X15" s="653">
        <f>IFERROR(X16,0)</f>
        <v>0</v>
      </c>
      <c r="Y15" s="653">
        <f>IFERROR(Y16,0)</f>
        <v>0</v>
      </c>
      <c r="Z15" s="533">
        <f t="shared" ref="Z15:Z46" si="20">HE_CY-$B15</f>
        <v>2025</v>
      </c>
      <c r="AA15" s="668">
        <f>$P$4*X15</f>
        <v>0</v>
      </c>
      <c r="AB15" s="669">
        <f>$P$4*Y15</f>
        <v>0</v>
      </c>
      <c r="AC15" s="337"/>
      <c r="AD15" s="339"/>
      <c r="AE15" s="382">
        <f>IF(ISBLANK(AC15),AA15,AC15)</f>
        <v>0</v>
      </c>
      <c r="AF15" s="382">
        <f>IF(ISBLANK(AD15),AB15,AD15)</f>
        <v>0</v>
      </c>
      <c r="AG15" s="533">
        <f t="shared" ref="AG15:AG46" si="21">HE_PY1-$B15</f>
        <v>2024</v>
      </c>
      <c r="AH15" s="1271">
        <f>AJ15</f>
        <v>0</v>
      </c>
      <c r="AI15" s="1272">
        <f>AK15</f>
        <v>0</v>
      </c>
      <c r="AJ15" s="337"/>
      <c r="AK15" s="339"/>
      <c r="AL15" s="1271">
        <v>0</v>
      </c>
      <c r="AM15" s="1272">
        <v>0</v>
      </c>
      <c r="AN15" s="393">
        <f t="shared" ref="AN15:AN78" si="22">IF(AH15&gt;0,$P$3+(1-$P$3)*(AJ15-AL15)/AH15,1)</f>
        <v>1</v>
      </c>
      <c r="AO15" s="513">
        <f t="shared" ref="AO15:AO78" si="23">IF(AI15&gt;0,$P$3+(1-$P$3)*(AK15-AM15)/AI15,1)</f>
        <v>1</v>
      </c>
      <c r="AP15" s="337"/>
      <c r="AQ15" s="339"/>
      <c r="AR15" s="662">
        <f>IF(AJ15&gt;0,AP15/(AJ15/2),0)</f>
        <v>0</v>
      </c>
      <c r="AS15" s="678">
        <f t="shared" ref="AS15" si="24">IF(AK15&gt;0,AQ15/(AK15/2),0)</f>
        <v>0</v>
      </c>
      <c r="AT15" s="382">
        <f>AR15*$P$5</f>
        <v>0</v>
      </c>
      <c r="AU15" s="385">
        <f t="shared" ref="AU15" si="25">AS15*$P$5</f>
        <v>0</v>
      </c>
      <c r="AV15" s="533">
        <f t="shared" ref="AV15:AV46" si="26">HE_PY2-$B15</f>
        <v>2023</v>
      </c>
      <c r="AW15" s="1271">
        <f>AY15</f>
        <v>0</v>
      </c>
      <c r="AX15" s="1272">
        <f>AZ15</f>
        <v>0</v>
      </c>
      <c r="AY15" s="337"/>
      <c r="AZ15" s="339"/>
      <c r="BA15" s="1271">
        <v>0</v>
      </c>
      <c r="BB15" s="1272">
        <v>0</v>
      </c>
      <c r="BC15" s="393">
        <f t="shared" ref="BC15:BC78" si="27">IF(AW15&gt;0,$P$3+(1-$P$3)*(AY15-BA15)/AW15,1)</f>
        <v>1</v>
      </c>
      <c r="BD15" s="513">
        <f t="shared" ref="BD15:BD78" si="28">IF(AX15&gt;0,$P$3+(1-$P$3)*(AZ15-BB15)/AX15,1)</f>
        <v>1</v>
      </c>
      <c r="BE15" s="337"/>
      <c r="BF15" s="339"/>
      <c r="BG15" s="662">
        <f>IF(AY15&gt;0,BE15/(AY15/2),0)</f>
        <v>0</v>
      </c>
      <c r="BH15" s="678">
        <f t="shared" ref="BH15" si="29">IF(AZ15&gt;0,BF15/(AZ15/2),0)</f>
        <v>0</v>
      </c>
      <c r="BI15" s="382">
        <f>BG15*$P$6</f>
        <v>0</v>
      </c>
      <c r="BJ15" s="385">
        <f>BH15*$P$6</f>
        <v>0</v>
      </c>
      <c r="BK15" s="533">
        <f t="shared" ref="BK15:BK46" si="30">HE_PY3-$B15</f>
        <v>2022</v>
      </c>
      <c r="BL15" s="1271">
        <f>BN15</f>
        <v>0</v>
      </c>
      <c r="BM15" s="1272">
        <f>BO15</f>
        <v>0</v>
      </c>
      <c r="BN15" s="337"/>
      <c r="BO15" s="339"/>
      <c r="BP15" s="1271">
        <v>0</v>
      </c>
      <c r="BQ15" s="1272">
        <v>0</v>
      </c>
      <c r="BR15" s="393">
        <f t="shared" ref="BR15:BR78" si="31">IF(BL15&gt;0,$P$3+(1-$P$3)*(BN15-BP15)/BL15,1)</f>
        <v>1</v>
      </c>
      <c r="BS15" s="513">
        <f t="shared" ref="BS15:BS78" si="32">IF(BM15&gt;0,$P$3+(1-$P$3)*(BO15-BQ15)/BM15,1)</f>
        <v>1</v>
      </c>
      <c r="BT15" s="337"/>
      <c r="BU15" s="339"/>
      <c r="BV15" s="662">
        <f>IF(BN15&gt;0,BT15/(BN15/2),0)</f>
        <v>0</v>
      </c>
      <c r="BW15" s="678">
        <f t="shared" ref="BW15" si="33">IF(BO15&gt;0,BU15/(BO15/2),0)</f>
        <v>0</v>
      </c>
      <c r="BX15" s="382">
        <f>BV15*$P$7</f>
        <v>0</v>
      </c>
      <c r="BY15" s="385">
        <f>BW15*$P$7</f>
        <v>0</v>
      </c>
      <c r="BZ15" s="533">
        <f t="shared" ref="BZ15:BZ78" si="34">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35">B16+1</f>
        <v>2</v>
      </c>
      <c r="D16" s="534">
        <f t="shared" si="17"/>
        <v>2024</v>
      </c>
      <c r="E16" s="337"/>
      <c r="F16" s="338"/>
      <c r="G16" s="1271">
        <v>0</v>
      </c>
      <c r="H16" s="1289">
        <v>0</v>
      </c>
      <c r="I16" s="400">
        <f>E16-G16</f>
        <v>0</v>
      </c>
      <c r="J16" s="401">
        <f t="shared" ref="J16:J79" si="36">F16-H16</f>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O79" si="37">$P$3+(1-$P$3)*(1-K16)</f>
        <v>0.99911853373827042</v>
      </c>
      <c r="P16" s="1143">
        <f t="shared" ref="P16:P79" si="38">$P$3+(1-$P$3)*(1-L16)</f>
        <v>0.99926893705793307</v>
      </c>
      <c r="Q16" s="356">
        <f t="shared" si="19"/>
        <v>2024</v>
      </c>
      <c r="R16" s="337"/>
      <c r="S16" s="338"/>
      <c r="T16" s="664">
        <f t="shared" si="2"/>
        <v>0</v>
      </c>
      <c r="U16" s="665">
        <f t="shared" si="3"/>
        <v>0</v>
      </c>
      <c r="V16" s="337"/>
      <c r="W16" s="338"/>
      <c r="X16" s="383">
        <f t="shared" ref="X16:X79" si="39">IF(ISBLANK(V16),T16,V16)</f>
        <v>0</v>
      </c>
      <c r="Y16" s="386">
        <f t="shared" ref="Y16:Y79" si="40">IF(ISBLANK(W16),U16,W16)</f>
        <v>0</v>
      </c>
      <c r="Z16" s="534">
        <f t="shared" si="20"/>
        <v>2024</v>
      </c>
      <c r="AA16" s="664">
        <f t="shared" ref="AA16:AA79" si="41">$P$4*X16</f>
        <v>0</v>
      </c>
      <c r="AB16" s="665">
        <f t="shared" ref="AB16:AB79" si="42">$P$4*Y16</f>
        <v>0</v>
      </c>
      <c r="AC16" s="337"/>
      <c r="AD16" s="338"/>
      <c r="AE16" s="383">
        <f t="shared" ref="AE16:AE79" si="43">IF(ISBLANK(AC16),AA16,AC16)</f>
        <v>0</v>
      </c>
      <c r="AF16" s="386">
        <f t="shared" ref="AF16:AF79" si="44">IF(ISBLANK(AD16),AB16,AD16)</f>
        <v>0</v>
      </c>
      <c r="AG16" s="534">
        <f t="shared" si="21"/>
        <v>2023</v>
      </c>
      <c r="AH16" s="1271">
        <f t="shared" ref="AH16:AH79" si="45">AJ16</f>
        <v>0</v>
      </c>
      <c r="AI16" s="1272">
        <f t="shared" ref="AI16:AI79" si="46">AK16</f>
        <v>0</v>
      </c>
      <c r="AJ16" s="337"/>
      <c r="AK16" s="338"/>
      <c r="AL16" s="1271">
        <v>0</v>
      </c>
      <c r="AM16" s="1272">
        <v>0</v>
      </c>
      <c r="AN16" s="412">
        <f t="shared" si="22"/>
        <v>1</v>
      </c>
      <c r="AO16" s="413">
        <f t="shared" si="23"/>
        <v>1</v>
      </c>
      <c r="AP16" s="337"/>
      <c r="AQ16" s="338"/>
      <c r="AR16" s="664">
        <f>IF(AH16&gt;0,AP16/(AH16*AN16),0)</f>
        <v>0</v>
      </c>
      <c r="AS16" s="679">
        <f>IF(AI16&gt;0,AQ16/(AI16*AO16),0)</f>
        <v>0</v>
      </c>
      <c r="AT16" s="383">
        <f t="shared" ref="AT16:AT79" si="47">AR16*$P$5</f>
        <v>0</v>
      </c>
      <c r="AU16" s="386">
        <f t="shared" ref="AU16:AU79" si="48">AS16*$P$5</f>
        <v>0</v>
      </c>
      <c r="AV16" s="534">
        <f t="shared" si="26"/>
        <v>2022</v>
      </c>
      <c r="AW16" s="1271">
        <f t="shared" ref="AW16:AW79" si="49">AY16</f>
        <v>0</v>
      </c>
      <c r="AX16" s="1272">
        <f t="shared" ref="AX16:AX79" si="50">AZ16</f>
        <v>0</v>
      </c>
      <c r="AY16" s="337"/>
      <c r="AZ16" s="338"/>
      <c r="BA16" s="1271">
        <v>0</v>
      </c>
      <c r="BB16" s="1272">
        <v>0</v>
      </c>
      <c r="BC16" s="412">
        <f t="shared" si="27"/>
        <v>1</v>
      </c>
      <c r="BD16" s="413">
        <f t="shared" si="28"/>
        <v>1</v>
      </c>
      <c r="BE16" s="337"/>
      <c r="BF16" s="338"/>
      <c r="BG16" s="664">
        <f>IF(AW16&gt;0,BE16/(AW16*BC16),0)</f>
        <v>0</v>
      </c>
      <c r="BH16" s="679">
        <f>IF(AX16&gt;0,BF16/(AX16*BD16),0)</f>
        <v>0</v>
      </c>
      <c r="BI16" s="383">
        <f t="shared" ref="BI16:BI79" si="51">BG16*$P$6</f>
        <v>0</v>
      </c>
      <c r="BJ16" s="386">
        <f t="shared" ref="BJ16:BJ79" si="52">BH16*$P$6</f>
        <v>0</v>
      </c>
      <c r="BK16" s="534">
        <f t="shared" si="30"/>
        <v>2021</v>
      </c>
      <c r="BL16" s="1271">
        <f t="shared" ref="BL16:BL79" si="53">BN16</f>
        <v>0</v>
      </c>
      <c r="BM16" s="1272">
        <f t="shared" ref="BM16:BM79" si="54">BO16</f>
        <v>0</v>
      </c>
      <c r="BN16" s="337"/>
      <c r="BO16" s="338"/>
      <c r="BP16" s="1271">
        <v>0</v>
      </c>
      <c r="BQ16" s="1272">
        <v>0</v>
      </c>
      <c r="BR16" s="412">
        <f t="shared" si="31"/>
        <v>1</v>
      </c>
      <c r="BS16" s="413">
        <f t="shared" si="32"/>
        <v>1</v>
      </c>
      <c r="BT16" s="337"/>
      <c r="BU16" s="338"/>
      <c r="BV16" s="664">
        <f>IF(BL16&gt;0,BT16/(BL16*BR16),0)</f>
        <v>0</v>
      </c>
      <c r="BW16" s="679">
        <f>IF(BM16&gt;0,BU16/(BM16*BS16),0)</f>
        <v>0</v>
      </c>
      <c r="BX16" s="383">
        <f t="shared" ref="BX16:BX79" si="55">BV16*$P$7</f>
        <v>0</v>
      </c>
      <c r="BY16" s="386">
        <f t="shared" ref="BY16:BY79" si="56">BW16*$P$7</f>
        <v>0</v>
      </c>
      <c r="BZ16" s="534">
        <f t="shared" si="34"/>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G79" si="57">IF(ISBLANK(CE16),CC16,CE16)</f>
        <v>0</v>
      </c>
      <c r="CH16" s="386">
        <f t="shared" ref="CH16:CH79" si="58">IF(ISBLANK(CF16),CD16,CF16)</f>
        <v>0</v>
      </c>
    </row>
    <row r="17" spans="2:86" x14ac:dyDescent="0.2">
      <c r="B17" s="276">
        <v>2</v>
      </c>
      <c r="C17" s="320">
        <f t="shared" si="35"/>
        <v>3</v>
      </c>
      <c r="D17" s="534">
        <f t="shared" si="17"/>
        <v>2023</v>
      </c>
      <c r="E17" s="337"/>
      <c r="F17" s="338"/>
      <c r="G17" s="1271">
        <v>0</v>
      </c>
      <c r="H17" s="1289">
        <v>0</v>
      </c>
      <c r="I17" s="400">
        <f t="shared" ref="I17:I47" si="59">E17-G17</f>
        <v>0</v>
      </c>
      <c r="J17" s="401">
        <f t="shared" si="36"/>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7"/>
        <v>0.99992956377967723</v>
      </c>
      <c r="P17" s="1143">
        <f t="shared" si="38"/>
        <v>0.99993261157954449</v>
      </c>
      <c r="Q17" s="356">
        <f t="shared" si="19"/>
        <v>2023</v>
      </c>
      <c r="R17" s="337"/>
      <c r="S17" s="338"/>
      <c r="T17" s="664">
        <f t="shared" si="2"/>
        <v>0</v>
      </c>
      <c r="U17" s="665">
        <f t="shared" si="3"/>
        <v>0</v>
      </c>
      <c r="V17" s="337"/>
      <c r="W17" s="338"/>
      <c r="X17" s="383">
        <f t="shared" si="39"/>
        <v>0</v>
      </c>
      <c r="Y17" s="386">
        <f t="shared" si="40"/>
        <v>0</v>
      </c>
      <c r="Z17" s="534">
        <f t="shared" si="20"/>
        <v>2023</v>
      </c>
      <c r="AA17" s="664">
        <f t="shared" si="41"/>
        <v>0</v>
      </c>
      <c r="AB17" s="665">
        <f t="shared" si="42"/>
        <v>0</v>
      </c>
      <c r="AC17" s="337"/>
      <c r="AD17" s="338"/>
      <c r="AE17" s="383">
        <f t="shared" si="43"/>
        <v>0</v>
      </c>
      <c r="AF17" s="386">
        <f t="shared" si="44"/>
        <v>0</v>
      </c>
      <c r="AG17" s="534">
        <f t="shared" si="21"/>
        <v>2022</v>
      </c>
      <c r="AH17" s="1271">
        <f t="shared" si="45"/>
        <v>0</v>
      </c>
      <c r="AI17" s="1272">
        <f t="shared" si="46"/>
        <v>0</v>
      </c>
      <c r="AJ17" s="337"/>
      <c r="AK17" s="338"/>
      <c r="AL17" s="1271">
        <v>0</v>
      </c>
      <c r="AM17" s="1272">
        <v>0</v>
      </c>
      <c r="AN17" s="414">
        <f t="shared" si="22"/>
        <v>1</v>
      </c>
      <c r="AO17" s="413">
        <f t="shared" si="23"/>
        <v>1</v>
      </c>
      <c r="AP17" s="337"/>
      <c r="AQ17" s="338"/>
      <c r="AR17" s="664">
        <f t="shared" ref="AR17:AR80" si="60">IF(AH17&gt;0,AP17/(AH17*AN17),0)</f>
        <v>0</v>
      </c>
      <c r="AS17" s="679">
        <f t="shared" ref="AS17:AS80" si="61">IF(AI17&gt;0,AQ17/(AI17*AO17),0)</f>
        <v>0</v>
      </c>
      <c r="AT17" s="383">
        <f t="shared" si="47"/>
        <v>0</v>
      </c>
      <c r="AU17" s="386">
        <f t="shared" si="48"/>
        <v>0</v>
      </c>
      <c r="AV17" s="534">
        <f t="shared" si="26"/>
        <v>2021</v>
      </c>
      <c r="AW17" s="1271">
        <f t="shared" si="49"/>
        <v>0</v>
      </c>
      <c r="AX17" s="1272">
        <f t="shared" si="50"/>
        <v>0</v>
      </c>
      <c r="AY17" s="337"/>
      <c r="AZ17" s="338"/>
      <c r="BA17" s="1271">
        <v>0</v>
      </c>
      <c r="BB17" s="1272">
        <v>0</v>
      </c>
      <c r="BC17" s="414">
        <f t="shared" si="27"/>
        <v>1</v>
      </c>
      <c r="BD17" s="413">
        <f t="shared" si="28"/>
        <v>1</v>
      </c>
      <c r="BE17" s="337"/>
      <c r="BF17" s="338"/>
      <c r="BG17" s="664">
        <f t="shared" ref="BG17:BG80" si="62">IF(AW17&gt;0,BE17/(AW17*BC17),0)</f>
        <v>0</v>
      </c>
      <c r="BH17" s="679">
        <f t="shared" ref="BH17:BH80" si="63">IF(AX17&gt;0,BF17/(AX17*BD17),0)</f>
        <v>0</v>
      </c>
      <c r="BI17" s="383">
        <f t="shared" si="51"/>
        <v>0</v>
      </c>
      <c r="BJ17" s="386">
        <f t="shared" si="52"/>
        <v>0</v>
      </c>
      <c r="BK17" s="534">
        <f t="shared" si="30"/>
        <v>2020</v>
      </c>
      <c r="BL17" s="1271">
        <f t="shared" si="53"/>
        <v>0</v>
      </c>
      <c r="BM17" s="1272">
        <f t="shared" si="54"/>
        <v>0</v>
      </c>
      <c r="BN17" s="337"/>
      <c r="BO17" s="338"/>
      <c r="BP17" s="1271">
        <v>0</v>
      </c>
      <c r="BQ17" s="1272">
        <v>0</v>
      </c>
      <c r="BR17" s="414">
        <f t="shared" si="31"/>
        <v>1</v>
      </c>
      <c r="BS17" s="413">
        <f t="shared" si="32"/>
        <v>1</v>
      </c>
      <c r="BT17" s="337"/>
      <c r="BU17" s="338"/>
      <c r="BV17" s="664">
        <f t="shared" ref="BV17:BV80" si="64">IF(BL17&gt;0,BT17/(BL17*BR17),0)</f>
        <v>0</v>
      </c>
      <c r="BW17" s="679">
        <f t="shared" ref="BW17:BW80" si="65">IF(BM17&gt;0,BU17/(BM17*BS17),0)</f>
        <v>0</v>
      </c>
      <c r="BX17" s="383">
        <f t="shared" si="55"/>
        <v>0</v>
      </c>
      <c r="BY17" s="386">
        <f t="shared" si="56"/>
        <v>0</v>
      </c>
      <c r="BZ17" s="534">
        <f t="shared" si="34"/>
        <v>2023</v>
      </c>
      <c r="CA17" s="664">
        <f t="shared" ref="CA17:CA80" si="66">IFERROR((AH17*AN17*AT17+AW17*BC17*BI17+BL17*BR17*BX17)/(AH17*AN17+AW17*BC17+BL17*BR17),0)</f>
        <v>0</v>
      </c>
      <c r="CB17" s="665">
        <f t="shared" ref="CB17:CB80" si="67">IFERROR((AI17*AO17*AU17+AX17*BD17*BJ17+BM17*BS17*BY17)/(AI17*AO17+AX17*BD17+BM17*BS17),0)</f>
        <v>0</v>
      </c>
      <c r="CC17" s="664">
        <f>IFERROR(AVERAGE(CA16:CA18),0)</f>
        <v>0</v>
      </c>
      <c r="CD17" s="665">
        <f>IFERROR(AVERAGE(CB16:CB18),0)</f>
        <v>0</v>
      </c>
      <c r="CE17" s="337"/>
      <c r="CF17" s="338"/>
      <c r="CG17" s="383">
        <f t="shared" si="57"/>
        <v>0</v>
      </c>
      <c r="CH17" s="386">
        <f t="shared" si="58"/>
        <v>0</v>
      </c>
    </row>
    <row r="18" spans="2:86" x14ac:dyDescent="0.2">
      <c r="B18" s="276">
        <v>3</v>
      </c>
      <c r="C18" s="320">
        <f t="shared" si="35"/>
        <v>4</v>
      </c>
      <c r="D18" s="534">
        <f t="shared" si="17"/>
        <v>2022</v>
      </c>
      <c r="E18" s="337"/>
      <c r="F18" s="338"/>
      <c r="G18" s="1271">
        <v>0</v>
      </c>
      <c r="H18" s="1289">
        <v>0</v>
      </c>
      <c r="I18" s="400">
        <f t="shared" si="59"/>
        <v>0</v>
      </c>
      <c r="J18" s="401">
        <f t="shared" si="36"/>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7"/>
        <v>0.99994704029654802</v>
      </c>
      <c r="P18" s="1143">
        <f t="shared" si="38"/>
        <v>0.9999499304557562</v>
      </c>
      <c r="Q18" s="356">
        <f t="shared" si="19"/>
        <v>2022</v>
      </c>
      <c r="R18" s="337"/>
      <c r="S18" s="338"/>
      <c r="T18" s="664">
        <f t="shared" si="2"/>
        <v>0</v>
      </c>
      <c r="U18" s="665">
        <f t="shared" si="3"/>
        <v>0</v>
      </c>
      <c r="V18" s="337"/>
      <c r="W18" s="338"/>
      <c r="X18" s="383">
        <f t="shared" si="39"/>
        <v>0</v>
      </c>
      <c r="Y18" s="386">
        <f t="shared" si="40"/>
        <v>0</v>
      </c>
      <c r="Z18" s="534">
        <f t="shared" si="20"/>
        <v>2022</v>
      </c>
      <c r="AA18" s="664">
        <f t="shared" si="41"/>
        <v>0</v>
      </c>
      <c r="AB18" s="665">
        <f t="shared" si="42"/>
        <v>0</v>
      </c>
      <c r="AC18" s="337"/>
      <c r="AD18" s="338"/>
      <c r="AE18" s="383">
        <f t="shared" si="43"/>
        <v>0</v>
      </c>
      <c r="AF18" s="386">
        <f t="shared" si="44"/>
        <v>0</v>
      </c>
      <c r="AG18" s="534">
        <f t="shared" si="21"/>
        <v>2021</v>
      </c>
      <c r="AH18" s="1271">
        <f t="shared" si="45"/>
        <v>0</v>
      </c>
      <c r="AI18" s="1272">
        <f t="shared" si="46"/>
        <v>0</v>
      </c>
      <c r="AJ18" s="337"/>
      <c r="AK18" s="338"/>
      <c r="AL18" s="1271">
        <v>0</v>
      </c>
      <c r="AM18" s="1272">
        <v>0</v>
      </c>
      <c r="AN18" s="414">
        <f t="shared" si="22"/>
        <v>1</v>
      </c>
      <c r="AO18" s="413">
        <f t="shared" si="23"/>
        <v>1</v>
      </c>
      <c r="AP18" s="337"/>
      <c r="AQ18" s="338"/>
      <c r="AR18" s="664">
        <f t="shared" si="60"/>
        <v>0</v>
      </c>
      <c r="AS18" s="679">
        <f t="shared" si="61"/>
        <v>0</v>
      </c>
      <c r="AT18" s="383">
        <f t="shared" si="47"/>
        <v>0</v>
      </c>
      <c r="AU18" s="386">
        <f t="shared" si="48"/>
        <v>0</v>
      </c>
      <c r="AV18" s="534">
        <f t="shared" si="26"/>
        <v>2020</v>
      </c>
      <c r="AW18" s="1271">
        <f t="shared" si="49"/>
        <v>0</v>
      </c>
      <c r="AX18" s="1272">
        <f t="shared" si="50"/>
        <v>0</v>
      </c>
      <c r="AY18" s="337"/>
      <c r="AZ18" s="338"/>
      <c r="BA18" s="1271">
        <v>0</v>
      </c>
      <c r="BB18" s="1272">
        <v>0</v>
      </c>
      <c r="BC18" s="414">
        <f t="shared" si="27"/>
        <v>1</v>
      </c>
      <c r="BD18" s="413">
        <f t="shared" si="28"/>
        <v>1</v>
      </c>
      <c r="BE18" s="337"/>
      <c r="BF18" s="338"/>
      <c r="BG18" s="664">
        <f t="shared" si="62"/>
        <v>0</v>
      </c>
      <c r="BH18" s="679">
        <f t="shared" si="63"/>
        <v>0</v>
      </c>
      <c r="BI18" s="383">
        <f t="shared" si="51"/>
        <v>0</v>
      </c>
      <c r="BJ18" s="386">
        <f t="shared" si="52"/>
        <v>0</v>
      </c>
      <c r="BK18" s="534">
        <f t="shared" si="30"/>
        <v>2019</v>
      </c>
      <c r="BL18" s="1271">
        <f t="shared" si="53"/>
        <v>0</v>
      </c>
      <c r="BM18" s="1272">
        <f t="shared" si="54"/>
        <v>0</v>
      </c>
      <c r="BN18" s="337"/>
      <c r="BO18" s="338"/>
      <c r="BP18" s="1271">
        <v>0</v>
      </c>
      <c r="BQ18" s="1272">
        <v>0</v>
      </c>
      <c r="BR18" s="414">
        <f t="shared" si="31"/>
        <v>1</v>
      </c>
      <c r="BS18" s="413">
        <f t="shared" si="32"/>
        <v>1</v>
      </c>
      <c r="BT18" s="337"/>
      <c r="BU18" s="338"/>
      <c r="BV18" s="664">
        <f t="shared" si="64"/>
        <v>0</v>
      </c>
      <c r="BW18" s="679">
        <f t="shared" si="65"/>
        <v>0</v>
      </c>
      <c r="BX18" s="383">
        <f t="shared" si="55"/>
        <v>0</v>
      </c>
      <c r="BY18" s="386">
        <f t="shared" si="56"/>
        <v>0</v>
      </c>
      <c r="BZ18" s="534">
        <f t="shared" si="34"/>
        <v>2022</v>
      </c>
      <c r="CA18" s="664">
        <f t="shared" si="66"/>
        <v>0</v>
      </c>
      <c r="CB18" s="665">
        <f t="shared" si="67"/>
        <v>0</v>
      </c>
      <c r="CC18" s="664">
        <f t="shared" ref="CC18:CC81" si="68">IFERROR(AVERAGE(CA17:CA19),0)</f>
        <v>0</v>
      </c>
      <c r="CD18" s="665">
        <f t="shared" ref="CD18:CD81" si="69">IFERROR(AVERAGE(CB17:CB19),0)</f>
        <v>0</v>
      </c>
      <c r="CE18" s="337"/>
      <c r="CF18" s="338"/>
      <c r="CG18" s="383">
        <f t="shared" si="57"/>
        <v>0</v>
      </c>
      <c r="CH18" s="386">
        <f t="shared" si="58"/>
        <v>0</v>
      </c>
    </row>
    <row r="19" spans="2:86" x14ac:dyDescent="0.2">
      <c r="B19" s="276">
        <v>4</v>
      </c>
      <c r="C19" s="320">
        <f t="shared" si="35"/>
        <v>5</v>
      </c>
      <c r="D19" s="534">
        <f t="shared" si="17"/>
        <v>2021</v>
      </c>
      <c r="E19" s="337"/>
      <c r="F19" s="338"/>
      <c r="G19" s="1271">
        <v>0</v>
      </c>
      <c r="H19" s="1289">
        <v>0</v>
      </c>
      <c r="I19" s="400">
        <f t="shared" si="59"/>
        <v>0</v>
      </c>
      <c r="J19" s="401">
        <f t="shared" si="36"/>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7"/>
        <v>0.99995204525575876</v>
      </c>
      <c r="P19" s="1143">
        <f t="shared" si="38"/>
        <v>0.99995611687441033</v>
      </c>
      <c r="Q19" s="356">
        <f t="shared" si="19"/>
        <v>2021</v>
      </c>
      <c r="R19" s="337"/>
      <c r="S19" s="338"/>
      <c r="T19" s="664">
        <f t="shared" si="2"/>
        <v>0</v>
      </c>
      <c r="U19" s="665">
        <f t="shared" si="3"/>
        <v>0</v>
      </c>
      <c r="V19" s="337"/>
      <c r="W19" s="338"/>
      <c r="X19" s="383">
        <f t="shared" si="39"/>
        <v>0</v>
      </c>
      <c r="Y19" s="386">
        <f t="shared" si="40"/>
        <v>0</v>
      </c>
      <c r="Z19" s="534">
        <f t="shared" si="20"/>
        <v>2021</v>
      </c>
      <c r="AA19" s="664">
        <f t="shared" si="41"/>
        <v>0</v>
      </c>
      <c r="AB19" s="665">
        <f t="shared" si="42"/>
        <v>0</v>
      </c>
      <c r="AC19" s="337"/>
      <c r="AD19" s="338"/>
      <c r="AE19" s="383">
        <f t="shared" si="43"/>
        <v>0</v>
      </c>
      <c r="AF19" s="386">
        <f t="shared" si="44"/>
        <v>0</v>
      </c>
      <c r="AG19" s="534">
        <f t="shared" si="21"/>
        <v>2020</v>
      </c>
      <c r="AH19" s="1271">
        <f t="shared" si="45"/>
        <v>0</v>
      </c>
      <c r="AI19" s="1272">
        <f t="shared" si="46"/>
        <v>0</v>
      </c>
      <c r="AJ19" s="337"/>
      <c r="AK19" s="338"/>
      <c r="AL19" s="1271">
        <v>0</v>
      </c>
      <c r="AM19" s="1272">
        <v>0</v>
      </c>
      <c r="AN19" s="414">
        <f t="shared" si="22"/>
        <v>1</v>
      </c>
      <c r="AO19" s="413">
        <f t="shared" si="23"/>
        <v>1</v>
      </c>
      <c r="AP19" s="337"/>
      <c r="AQ19" s="338"/>
      <c r="AR19" s="664">
        <f t="shared" si="60"/>
        <v>0</v>
      </c>
      <c r="AS19" s="679">
        <f t="shared" si="61"/>
        <v>0</v>
      </c>
      <c r="AT19" s="383">
        <f t="shared" si="47"/>
        <v>0</v>
      </c>
      <c r="AU19" s="386">
        <f t="shared" si="48"/>
        <v>0</v>
      </c>
      <c r="AV19" s="534">
        <f t="shared" si="26"/>
        <v>2019</v>
      </c>
      <c r="AW19" s="1271">
        <f t="shared" si="49"/>
        <v>0</v>
      </c>
      <c r="AX19" s="1272">
        <f t="shared" si="50"/>
        <v>0</v>
      </c>
      <c r="AY19" s="337"/>
      <c r="AZ19" s="338"/>
      <c r="BA19" s="1271">
        <v>0</v>
      </c>
      <c r="BB19" s="1272">
        <v>0</v>
      </c>
      <c r="BC19" s="414">
        <f t="shared" si="27"/>
        <v>1</v>
      </c>
      <c r="BD19" s="413">
        <f t="shared" si="28"/>
        <v>1</v>
      </c>
      <c r="BE19" s="337"/>
      <c r="BF19" s="338"/>
      <c r="BG19" s="664">
        <f t="shared" si="62"/>
        <v>0</v>
      </c>
      <c r="BH19" s="679">
        <f t="shared" si="63"/>
        <v>0</v>
      </c>
      <c r="BI19" s="383">
        <f t="shared" si="51"/>
        <v>0</v>
      </c>
      <c r="BJ19" s="386">
        <f t="shared" si="52"/>
        <v>0</v>
      </c>
      <c r="BK19" s="534">
        <f t="shared" si="30"/>
        <v>2018</v>
      </c>
      <c r="BL19" s="1271">
        <f t="shared" si="53"/>
        <v>0</v>
      </c>
      <c r="BM19" s="1272">
        <f t="shared" si="54"/>
        <v>0</v>
      </c>
      <c r="BN19" s="337"/>
      <c r="BO19" s="338"/>
      <c r="BP19" s="1271">
        <v>0</v>
      </c>
      <c r="BQ19" s="1272">
        <v>0</v>
      </c>
      <c r="BR19" s="414">
        <f t="shared" si="31"/>
        <v>1</v>
      </c>
      <c r="BS19" s="413">
        <f t="shared" si="32"/>
        <v>1</v>
      </c>
      <c r="BT19" s="337"/>
      <c r="BU19" s="338"/>
      <c r="BV19" s="664">
        <f t="shared" si="64"/>
        <v>0</v>
      </c>
      <c r="BW19" s="679">
        <f t="shared" si="65"/>
        <v>0</v>
      </c>
      <c r="BX19" s="383">
        <f t="shared" si="55"/>
        <v>0</v>
      </c>
      <c r="BY19" s="386">
        <f t="shared" si="56"/>
        <v>0</v>
      </c>
      <c r="BZ19" s="534">
        <f t="shared" si="34"/>
        <v>2021</v>
      </c>
      <c r="CA19" s="664">
        <f t="shared" si="66"/>
        <v>0</v>
      </c>
      <c r="CB19" s="665">
        <f t="shared" si="67"/>
        <v>0</v>
      </c>
      <c r="CC19" s="664">
        <f t="shared" si="68"/>
        <v>0</v>
      </c>
      <c r="CD19" s="665">
        <f t="shared" si="69"/>
        <v>0</v>
      </c>
      <c r="CE19" s="337"/>
      <c r="CF19" s="338"/>
      <c r="CG19" s="383">
        <f t="shared" si="57"/>
        <v>0</v>
      </c>
      <c r="CH19" s="386">
        <f t="shared" si="58"/>
        <v>0</v>
      </c>
    </row>
    <row r="20" spans="2:86" x14ac:dyDescent="0.2">
      <c r="B20" s="276">
        <v>5</v>
      </c>
      <c r="C20" s="320">
        <f t="shared" si="35"/>
        <v>6</v>
      </c>
      <c r="D20" s="534">
        <f t="shared" si="17"/>
        <v>2020</v>
      </c>
      <c r="E20" s="337"/>
      <c r="F20" s="338"/>
      <c r="G20" s="1271">
        <v>0</v>
      </c>
      <c r="H20" s="1289">
        <v>0</v>
      </c>
      <c r="I20" s="400">
        <f t="shared" si="59"/>
        <v>0</v>
      </c>
      <c r="J20" s="401">
        <f t="shared" si="36"/>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7"/>
        <v>0.99995825478008071</v>
      </c>
      <c r="P20" s="1143">
        <f t="shared" si="38"/>
        <v>0.99996299966986046</v>
      </c>
      <c r="Q20" s="356">
        <f t="shared" si="19"/>
        <v>2020</v>
      </c>
      <c r="R20" s="337"/>
      <c r="S20" s="338"/>
      <c r="T20" s="664">
        <f t="shared" si="2"/>
        <v>0</v>
      </c>
      <c r="U20" s="665">
        <f t="shared" si="3"/>
        <v>0</v>
      </c>
      <c r="V20" s="337"/>
      <c r="W20" s="338"/>
      <c r="X20" s="383">
        <f t="shared" si="39"/>
        <v>0</v>
      </c>
      <c r="Y20" s="386">
        <f t="shared" si="40"/>
        <v>0</v>
      </c>
      <c r="Z20" s="534">
        <f t="shared" si="20"/>
        <v>2020</v>
      </c>
      <c r="AA20" s="664">
        <f t="shared" si="41"/>
        <v>0</v>
      </c>
      <c r="AB20" s="665">
        <f t="shared" si="42"/>
        <v>0</v>
      </c>
      <c r="AC20" s="337"/>
      <c r="AD20" s="338"/>
      <c r="AE20" s="383">
        <f t="shared" si="43"/>
        <v>0</v>
      </c>
      <c r="AF20" s="386">
        <f t="shared" si="44"/>
        <v>0</v>
      </c>
      <c r="AG20" s="534">
        <f t="shared" si="21"/>
        <v>2019</v>
      </c>
      <c r="AH20" s="1271">
        <f t="shared" si="45"/>
        <v>0</v>
      </c>
      <c r="AI20" s="1272">
        <f t="shared" si="46"/>
        <v>0</v>
      </c>
      <c r="AJ20" s="337"/>
      <c r="AK20" s="338"/>
      <c r="AL20" s="1271">
        <v>0</v>
      </c>
      <c r="AM20" s="1272">
        <v>0</v>
      </c>
      <c r="AN20" s="414">
        <f t="shared" si="22"/>
        <v>1</v>
      </c>
      <c r="AO20" s="413">
        <f t="shared" si="23"/>
        <v>1</v>
      </c>
      <c r="AP20" s="337"/>
      <c r="AQ20" s="338"/>
      <c r="AR20" s="664">
        <f t="shared" si="60"/>
        <v>0</v>
      </c>
      <c r="AS20" s="679">
        <f t="shared" si="61"/>
        <v>0</v>
      </c>
      <c r="AT20" s="383">
        <f t="shared" si="47"/>
        <v>0</v>
      </c>
      <c r="AU20" s="386">
        <f t="shared" si="48"/>
        <v>0</v>
      </c>
      <c r="AV20" s="534">
        <f t="shared" si="26"/>
        <v>2018</v>
      </c>
      <c r="AW20" s="1271">
        <f t="shared" si="49"/>
        <v>0</v>
      </c>
      <c r="AX20" s="1272">
        <f t="shared" si="50"/>
        <v>0</v>
      </c>
      <c r="AY20" s="337"/>
      <c r="AZ20" s="338"/>
      <c r="BA20" s="1271">
        <v>0</v>
      </c>
      <c r="BB20" s="1272">
        <v>0</v>
      </c>
      <c r="BC20" s="414">
        <f t="shared" si="27"/>
        <v>1</v>
      </c>
      <c r="BD20" s="413">
        <f t="shared" si="28"/>
        <v>1</v>
      </c>
      <c r="BE20" s="337"/>
      <c r="BF20" s="338"/>
      <c r="BG20" s="664">
        <f t="shared" si="62"/>
        <v>0</v>
      </c>
      <c r="BH20" s="679">
        <f t="shared" si="63"/>
        <v>0</v>
      </c>
      <c r="BI20" s="383">
        <f t="shared" si="51"/>
        <v>0</v>
      </c>
      <c r="BJ20" s="386">
        <f t="shared" si="52"/>
        <v>0</v>
      </c>
      <c r="BK20" s="534">
        <f t="shared" si="30"/>
        <v>2017</v>
      </c>
      <c r="BL20" s="1271">
        <f t="shared" si="53"/>
        <v>0</v>
      </c>
      <c r="BM20" s="1272">
        <f t="shared" si="54"/>
        <v>0</v>
      </c>
      <c r="BN20" s="337"/>
      <c r="BO20" s="338"/>
      <c r="BP20" s="1271">
        <v>0</v>
      </c>
      <c r="BQ20" s="1272">
        <v>0</v>
      </c>
      <c r="BR20" s="414">
        <f t="shared" si="31"/>
        <v>1</v>
      </c>
      <c r="BS20" s="413">
        <f t="shared" si="32"/>
        <v>1</v>
      </c>
      <c r="BT20" s="337"/>
      <c r="BU20" s="338"/>
      <c r="BV20" s="664">
        <f t="shared" si="64"/>
        <v>0</v>
      </c>
      <c r="BW20" s="679">
        <f t="shared" si="65"/>
        <v>0</v>
      </c>
      <c r="BX20" s="383">
        <f t="shared" si="55"/>
        <v>0</v>
      </c>
      <c r="BY20" s="386">
        <f t="shared" si="56"/>
        <v>0</v>
      </c>
      <c r="BZ20" s="534">
        <f t="shared" si="34"/>
        <v>2020</v>
      </c>
      <c r="CA20" s="664">
        <f t="shared" si="66"/>
        <v>0</v>
      </c>
      <c r="CB20" s="665">
        <f t="shared" si="67"/>
        <v>0</v>
      </c>
      <c r="CC20" s="664">
        <f t="shared" si="68"/>
        <v>0</v>
      </c>
      <c r="CD20" s="665">
        <f t="shared" si="69"/>
        <v>0</v>
      </c>
      <c r="CE20" s="337"/>
      <c r="CF20" s="338"/>
      <c r="CG20" s="383">
        <f t="shared" si="57"/>
        <v>0</v>
      </c>
      <c r="CH20" s="386">
        <f t="shared" si="58"/>
        <v>0</v>
      </c>
    </row>
    <row r="21" spans="2:86" x14ac:dyDescent="0.2">
      <c r="B21" s="276">
        <v>6</v>
      </c>
      <c r="C21" s="320">
        <f t="shared" si="35"/>
        <v>7</v>
      </c>
      <c r="D21" s="534">
        <f t="shared" si="17"/>
        <v>2019</v>
      </c>
      <c r="E21" s="337"/>
      <c r="F21" s="338"/>
      <c r="G21" s="1271">
        <v>0</v>
      </c>
      <c r="H21" s="1289">
        <v>0</v>
      </c>
      <c r="I21" s="400">
        <f t="shared" si="59"/>
        <v>0</v>
      </c>
      <c r="J21" s="401">
        <f t="shared" si="36"/>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7"/>
        <v>0.99996434432191439</v>
      </c>
      <c r="P21" s="1143">
        <f t="shared" si="38"/>
        <v>0.99996924260183606</v>
      </c>
      <c r="Q21" s="356">
        <f t="shared" si="19"/>
        <v>2019</v>
      </c>
      <c r="R21" s="337"/>
      <c r="S21" s="338"/>
      <c r="T21" s="664">
        <f t="shared" si="2"/>
        <v>0</v>
      </c>
      <c r="U21" s="665">
        <f t="shared" si="3"/>
        <v>0</v>
      </c>
      <c r="V21" s="337"/>
      <c r="W21" s="338"/>
      <c r="X21" s="383">
        <f t="shared" si="39"/>
        <v>0</v>
      </c>
      <c r="Y21" s="386">
        <f t="shared" si="40"/>
        <v>0</v>
      </c>
      <c r="Z21" s="534">
        <f t="shared" si="20"/>
        <v>2019</v>
      </c>
      <c r="AA21" s="664">
        <f t="shared" si="41"/>
        <v>0</v>
      </c>
      <c r="AB21" s="665">
        <f t="shared" si="42"/>
        <v>0</v>
      </c>
      <c r="AC21" s="337"/>
      <c r="AD21" s="338"/>
      <c r="AE21" s="383">
        <f t="shared" si="43"/>
        <v>0</v>
      </c>
      <c r="AF21" s="386">
        <f t="shared" si="44"/>
        <v>0</v>
      </c>
      <c r="AG21" s="534">
        <f t="shared" si="21"/>
        <v>2018</v>
      </c>
      <c r="AH21" s="1271">
        <f t="shared" si="45"/>
        <v>0</v>
      </c>
      <c r="AI21" s="1272">
        <f t="shared" si="46"/>
        <v>0</v>
      </c>
      <c r="AJ21" s="337"/>
      <c r="AK21" s="338"/>
      <c r="AL21" s="1271">
        <v>0</v>
      </c>
      <c r="AM21" s="1272">
        <v>0</v>
      </c>
      <c r="AN21" s="414">
        <f t="shared" si="22"/>
        <v>1</v>
      </c>
      <c r="AO21" s="413">
        <f t="shared" si="23"/>
        <v>1</v>
      </c>
      <c r="AP21" s="337"/>
      <c r="AQ21" s="338"/>
      <c r="AR21" s="664">
        <f t="shared" si="60"/>
        <v>0</v>
      </c>
      <c r="AS21" s="679">
        <f t="shared" si="61"/>
        <v>0</v>
      </c>
      <c r="AT21" s="383">
        <f t="shared" si="47"/>
        <v>0</v>
      </c>
      <c r="AU21" s="386">
        <f t="shared" si="48"/>
        <v>0</v>
      </c>
      <c r="AV21" s="534">
        <f t="shared" si="26"/>
        <v>2017</v>
      </c>
      <c r="AW21" s="1271">
        <f t="shared" si="49"/>
        <v>0</v>
      </c>
      <c r="AX21" s="1272">
        <f t="shared" si="50"/>
        <v>0</v>
      </c>
      <c r="AY21" s="337"/>
      <c r="AZ21" s="338"/>
      <c r="BA21" s="1271">
        <v>0</v>
      </c>
      <c r="BB21" s="1272">
        <v>0</v>
      </c>
      <c r="BC21" s="414">
        <f t="shared" si="27"/>
        <v>1</v>
      </c>
      <c r="BD21" s="413">
        <f t="shared" si="28"/>
        <v>1</v>
      </c>
      <c r="BE21" s="337"/>
      <c r="BF21" s="338"/>
      <c r="BG21" s="664">
        <f t="shared" si="62"/>
        <v>0</v>
      </c>
      <c r="BH21" s="679">
        <f t="shared" si="63"/>
        <v>0</v>
      </c>
      <c r="BI21" s="383">
        <f t="shared" si="51"/>
        <v>0</v>
      </c>
      <c r="BJ21" s="386">
        <f t="shared" si="52"/>
        <v>0</v>
      </c>
      <c r="BK21" s="534">
        <f t="shared" si="30"/>
        <v>2016</v>
      </c>
      <c r="BL21" s="1271">
        <f t="shared" si="53"/>
        <v>0</v>
      </c>
      <c r="BM21" s="1272">
        <f t="shared" si="54"/>
        <v>0</v>
      </c>
      <c r="BN21" s="337"/>
      <c r="BO21" s="338"/>
      <c r="BP21" s="1271">
        <v>0</v>
      </c>
      <c r="BQ21" s="1272">
        <v>0</v>
      </c>
      <c r="BR21" s="414">
        <f t="shared" si="31"/>
        <v>1</v>
      </c>
      <c r="BS21" s="413">
        <f t="shared" si="32"/>
        <v>1</v>
      </c>
      <c r="BT21" s="337"/>
      <c r="BU21" s="338"/>
      <c r="BV21" s="664">
        <f t="shared" si="64"/>
        <v>0</v>
      </c>
      <c r="BW21" s="679">
        <f t="shared" si="65"/>
        <v>0</v>
      </c>
      <c r="BX21" s="383">
        <f t="shared" si="55"/>
        <v>0</v>
      </c>
      <c r="BY21" s="386">
        <f t="shared" si="56"/>
        <v>0</v>
      </c>
      <c r="BZ21" s="534">
        <f t="shared" si="34"/>
        <v>2019</v>
      </c>
      <c r="CA21" s="664">
        <f t="shared" si="66"/>
        <v>0</v>
      </c>
      <c r="CB21" s="665">
        <f t="shared" si="67"/>
        <v>0</v>
      </c>
      <c r="CC21" s="664">
        <f t="shared" si="68"/>
        <v>0</v>
      </c>
      <c r="CD21" s="665">
        <f t="shared" si="69"/>
        <v>0</v>
      </c>
      <c r="CE21" s="337"/>
      <c r="CF21" s="338"/>
      <c r="CG21" s="383">
        <f t="shared" si="57"/>
        <v>0</v>
      </c>
      <c r="CH21" s="386">
        <f t="shared" si="58"/>
        <v>0</v>
      </c>
    </row>
    <row r="22" spans="2:86" x14ac:dyDescent="0.2">
      <c r="B22" s="276">
        <v>7</v>
      </c>
      <c r="C22" s="320">
        <f t="shared" si="35"/>
        <v>8</v>
      </c>
      <c r="D22" s="534">
        <f t="shared" si="17"/>
        <v>2018</v>
      </c>
      <c r="E22" s="337"/>
      <c r="F22" s="338"/>
      <c r="G22" s="1271">
        <v>0</v>
      </c>
      <c r="H22" s="1289">
        <v>0</v>
      </c>
      <c r="I22" s="400">
        <f t="shared" si="59"/>
        <v>0</v>
      </c>
      <c r="J22" s="401">
        <f t="shared" si="36"/>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7"/>
        <v>0.99996948484506265</v>
      </c>
      <c r="P22" s="1143">
        <f t="shared" si="38"/>
        <v>0.99997421635652239</v>
      </c>
      <c r="Q22" s="356">
        <f t="shared" si="19"/>
        <v>2018</v>
      </c>
      <c r="R22" s="337"/>
      <c r="S22" s="338"/>
      <c r="T22" s="664">
        <f t="shared" si="2"/>
        <v>0</v>
      </c>
      <c r="U22" s="665">
        <f t="shared" si="3"/>
        <v>0</v>
      </c>
      <c r="V22" s="337"/>
      <c r="W22" s="338"/>
      <c r="X22" s="383">
        <f t="shared" si="39"/>
        <v>0</v>
      </c>
      <c r="Y22" s="386">
        <f t="shared" si="40"/>
        <v>0</v>
      </c>
      <c r="Z22" s="534">
        <f t="shared" si="20"/>
        <v>2018</v>
      </c>
      <c r="AA22" s="664">
        <f t="shared" si="41"/>
        <v>0</v>
      </c>
      <c r="AB22" s="665">
        <f t="shared" si="42"/>
        <v>0</v>
      </c>
      <c r="AC22" s="337"/>
      <c r="AD22" s="338"/>
      <c r="AE22" s="383">
        <f t="shared" si="43"/>
        <v>0</v>
      </c>
      <c r="AF22" s="386">
        <f t="shared" si="44"/>
        <v>0</v>
      </c>
      <c r="AG22" s="534">
        <f t="shared" si="21"/>
        <v>2017</v>
      </c>
      <c r="AH22" s="1271">
        <f t="shared" si="45"/>
        <v>0</v>
      </c>
      <c r="AI22" s="1272">
        <f t="shared" si="46"/>
        <v>0</v>
      </c>
      <c r="AJ22" s="337"/>
      <c r="AK22" s="338"/>
      <c r="AL22" s="1271">
        <v>0</v>
      </c>
      <c r="AM22" s="1272">
        <v>0</v>
      </c>
      <c r="AN22" s="414">
        <f t="shared" si="22"/>
        <v>1</v>
      </c>
      <c r="AO22" s="413">
        <f t="shared" si="23"/>
        <v>1</v>
      </c>
      <c r="AP22" s="337"/>
      <c r="AQ22" s="338"/>
      <c r="AR22" s="664">
        <f t="shared" si="60"/>
        <v>0</v>
      </c>
      <c r="AS22" s="679">
        <f t="shared" si="61"/>
        <v>0</v>
      </c>
      <c r="AT22" s="383">
        <f t="shared" si="47"/>
        <v>0</v>
      </c>
      <c r="AU22" s="386">
        <f t="shared" si="48"/>
        <v>0</v>
      </c>
      <c r="AV22" s="534">
        <f t="shared" si="26"/>
        <v>2016</v>
      </c>
      <c r="AW22" s="1271">
        <f t="shared" si="49"/>
        <v>0</v>
      </c>
      <c r="AX22" s="1272">
        <f t="shared" si="50"/>
        <v>0</v>
      </c>
      <c r="AY22" s="337"/>
      <c r="AZ22" s="338"/>
      <c r="BA22" s="1271">
        <v>0</v>
      </c>
      <c r="BB22" s="1272">
        <v>0</v>
      </c>
      <c r="BC22" s="414">
        <f t="shared" si="27"/>
        <v>1</v>
      </c>
      <c r="BD22" s="413">
        <f t="shared" si="28"/>
        <v>1</v>
      </c>
      <c r="BE22" s="337"/>
      <c r="BF22" s="338"/>
      <c r="BG22" s="664">
        <f t="shared" si="62"/>
        <v>0</v>
      </c>
      <c r="BH22" s="679">
        <f t="shared" si="63"/>
        <v>0</v>
      </c>
      <c r="BI22" s="383">
        <f t="shared" si="51"/>
        <v>0</v>
      </c>
      <c r="BJ22" s="386">
        <f t="shared" si="52"/>
        <v>0</v>
      </c>
      <c r="BK22" s="534">
        <f t="shared" si="30"/>
        <v>2015</v>
      </c>
      <c r="BL22" s="1271">
        <f t="shared" si="53"/>
        <v>0</v>
      </c>
      <c r="BM22" s="1272">
        <f t="shared" si="54"/>
        <v>0</v>
      </c>
      <c r="BN22" s="337"/>
      <c r="BO22" s="338"/>
      <c r="BP22" s="1271">
        <v>0</v>
      </c>
      <c r="BQ22" s="1272">
        <v>0</v>
      </c>
      <c r="BR22" s="414">
        <f t="shared" si="31"/>
        <v>1</v>
      </c>
      <c r="BS22" s="413">
        <f t="shared" si="32"/>
        <v>1</v>
      </c>
      <c r="BT22" s="337"/>
      <c r="BU22" s="338"/>
      <c r="BV22" s="664">
        <f t="shared" si="64"/>
        <v>0</v>
      </c>
      <c r="BW22" s="679">
        <f t="shared" si="65"/>
        <v>0</v>
      </c>
      <c r="BX22" s="383">
        <f t="shared" si="55"/>
        <v>0</v>
      </c>
      <c r="BY22" s="386">
        <f t="shared" si="56"/>
        <v>0</v>
      </c>
      <c r="BZ22" s="534">
        <f t="shared" si="34"/>
        <v>2018</v>
      </c>
      <c r="CA22" s="664">
        <f t="shared" si="66"/>
        <v>0</v>
      </c>
      <c r="CB22" s="665">
        <f t="shared" si="67"/>
        <v>0</v>
      </c>
      <c r="CC22" s="664">
        <f t="shared" si="68"/>
        <v>0</v>
      </c>
      <c r="CD22" s="665">
        <f t="shared" si="69"/>
        <v>0</v>
      </c>
      <c r="CE22" s="337"/>
      <c r="CF22" s="338"/>
      <c r="CG22" s="383">
        <f t="shared" si="57"/>
        <v>0</v>
      </c>
      <c r="CH22" s="386">
        <f t="shared" si="58"/>
        <v>0</v>
      </c>
    </row>
    <row r="23" spans="2:86" x14ac:dyDescent="0.2">
      <c r="B23" s="276">
        <v>8</v>
      </c>
      <c r="C23" s="320">
        <f t="shared" si="35"/>
        <v>9</v>
      </c>
      <c r="D23" s="534">
        <f t="shared" si="17"/>
        <v>2017</v>
      </c>
      <c r="E23" s="337"/>
      <c r="F23" s="338"/>
      <c r="G23" s="1271">
        <v>0</v>
      </c>
      <c r="H23" s="1289">
        <v>0</v>
      </c>
      <c r="I23" s="400">
        <f t="shared" si="59"/>
        <v>0</v>
      </c>
      <c r="J23" s="401">
        <f t="shared" si="36"/>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7"/>
        <v>0.99997332886813428</v>
      </c>
      <c r="P23" s="1143">
        <f t="shared" si="38"/>
        <v>0.99997778747296051</v>
      </c>
      <c r="Q23" s="356">
        <f t="shared" si="19"/>
        <v>2017</v>
      </c>
      <c r="R23" s="337"/>
      <c r="S23" s="338"/>
      <c r="T23" s="664">
        <f t="shared" si="2"/>
        <v>0</v>
      </c>
      <c r="U23" s="665">
        <f t="shared" si="3"/>
        <v>0</v>
      </c>
      <c r="V23" s="337"/>
      <c r="W23" s="338"/>
      <c r="X23" s="383">
        <f t="shared" si="39"/>
        <v>0</v>
      </c>
      <c r="Y23" s="386">
        <f t="shared" si="40"/>
        <v>0</v>
      </c>
      <c r="Z23" s="534">
        <f t="shared" si="20"/>
        <v>2017</v>
      </c>
      <c r="AA23" s="664">
        <f t="shared" si="41"/>
        <v>0</v>
      </c>
      <c r="AB23" s="665">
        <f t="shared" si="42"/>
        <v>0</v>
      </c>
      <c r="AC23" s="337"/>
      <c r="AD23" s="338"/>
      <c r="AE23" s="383">
        <f t="shared" si="43"/>
        <v>0</v>
      </c>
      <c r="AF23" s="386">
        <f t="shared" si="44"/>
        <v>0</v>
      </c>
      <c r="AG23" s="534">
        <f t="shared" si="21"/>
        <v>2016</v>
      </c>
      <c r="AH23" s="1271">
        <f t="shared" si="45"/>
        <v>0</v>
      </c>
      <c r="AI23" s="1272">
        <f t="shared" si="46"/>
        <v>0</v>
      </c>
      <c r="AJ23" s="337"/>
      <c r="AK23" s="338"/>
      <c r="AL23" s="1271">
        <v>0</v>
      </c>
      <c r="AM23" s="1272">
        <v>0</v>
      </c>
      <c r="AN23" s="414">
        <f t="shared" si="22"/>
        <v>1</v>
      </c>
      <c r="AO23" s="413">
        <f t="shared" si="23"/>
        <v>1</v>
      </c>
      <c r="AP23" s="337"/>
      <c r="AQ23" s="338"/>
      <c r="AR23" s="664">
        <f t="shared" si="60"/>
        <v>0</v>
      </c>
      <c r="AS23" s="679">
        <f t="shared" si="61"/>
        <v>0</v>
      </c>
      <c r="AT23" s="383">
        <f t="shared" si="47"/>
        <v>0</v>
      </c>
      <c r="AU23" s="386">
        <f t="shared" si="48"/>
        <v>0</v>
      </c>
      <c r="AV23" s="534">
        <f t="shared" si="26"/>
        <v>2015</v>
      </c>
      <c r="AW23" s="1271">
        <f t="shared" si="49"/>
        <v>0</v>
      </c>
      <c r="AX23" s="1272">
        <f t="shared" si="50"/>
        <v>0</v>
      </c>
      <c r="AY23" s="337"/>
      <c r="AZ23" s="338"/>
      <c r="BA23" s="1271">
        <v>0</v>
      </c>
      <c r="BB23" s="1272">
        <v>0</v>
      </c>
      <c r="BC23" s="414">
        <f t="shared" si="27"/>
        <v>1</v>
      </c>
      <c r="BD23" s="413">
        <f t="shared" si="28"/>
        <v>1</v>
      </c>
      <c r="BE23" s="337"/>
      <c r="BF23" s="338"/>
      <c r="BG23" s="664">
        <f t="shared" si="62"/>
        <v>0</v>
      </c>
      <c r="BH23" s="679">
        <f t="shared" si="63"/>
        <v>0</v>
      </c>
      <c r="BI23" s="383">
        <f t="shared" si="51"/>
        <v>0</v>
      </c>
      <c r="BJ23" s="386">
        <f t="shared" si="52"/>
        <v>0</v>
      </c>
      <c r="BK23" s="534">
        <f t="shared" si="30"/>
        <v>2014</v>
      </c>
      <c r="BL23" s="1271">
        <f t="shared" si="53"/>
        <v>0</v>
      </c>
      <c r="BM23" s="1272">
        <f t="shared" si="54"/>
        <v>0</v>
      </c>
      <c r="BN23" s="337"/>
      <c r="BO23" s="338"/>
      <c r="BP23" s="1271">
        <v>0</v>
      </c>
      <c r="BQ23" s="1272">
        <v>0</v>
      </c>
      <c r="BR23" s="414">
        <f t="shared" si="31"/>
        <v>1</v>
      </c>
      <c r="BS23" s="413">
        <f t="shared" si="32"/>
        <v>1</v>
      </c>
      <c r="BT23" s="337"/>
      <c r="BU23" s="338"/>
      <c r="BV23" s="664">
        <f t="shared" si="64"/>
        <v>0</v>
      </c>
      <c r="BW23" s="679">
        <f t="shared" si="65"/>
        <v>0</v>
      </c>
      <c r="BX23" s="383">
        <f t="shared" si="55"/>
        <v>0</v>
      </c>
      <c r="BY23" s="386">
        <f t="shared" si="56"/>
        <v>0</v>
      </c>
      <c r="BZ23" s="534">
        <f t="shared" si="34"/>
        <v>2017</v>
      </c>
      <c r="CA23" s="664">
        <f t="shared" si="66"/>
        <v>0</v>
      </c>
      <c r="CB23" s="665">
        <f t="shared" si="67"/>
        <v>0</v>
      </c>
      <c r="CC23" s="664">
        <f t="shared" si="68"/>
        <v>0</v>
      </c>
      <c r="CD23" s="665">
        <f t="shared" si="69"/>
        <v>0</v>
      </c>
      <c r="CE23" s="337"/>
      <c r="CF23" s="338"/>
      <c r="CG23" s="383">
        <f t="shared" si="57"/>
        <v>0</v>
      </c>
      <c r="CH23" s="386">
        <f t="shared" si="58"/>
        <v>0</v>
      </c>
    </row>
    <row r="24" spans="2:86" x14ac:dyDescent="0.2">
      <c r="B24" s="276">
        <v>9</v>
      </c>
      <c r="C24" s="320">
        <f t="shared" si="35"/>
        <v>10</v>
      </c>
      <c r="D24" s="534">
        <f t="shared" si="17"/>
        <v>2016</v>
      </c>
      <c r="E24" s="337"/>
      <c r="F24" s="338"/>
      <c r="G24" s="1271">
        <v>0</v>
      </c>
      <c r="H24" s="1289">
        <v>0</v>
      </c>
      <c r="I24" s="400">
        <f t="shared" si="59"/>
        <v>0</v>
      </c>
      <c r="J24" s="401">
        <f t="shared" si="36"/>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7"/>
        <v>0.99997579824584903</v>
      </c>
      <c r="P24" s="1143">
        <f t="shared" si="38"/>
        <v>0.99998003551516945</v>
      </c>
      <c r="Q24" s="356">
        <f t="shared" si="19"/>
        <v>2016</v>
      </c>
      <c r="R24" s="337"/>
      <c r="S24" s="338"/>
      <c r="T24" s="664">
        <f t="shared" si="2"/>
        <v>0</v>
      </c>
      <c r="U24" s="665">
        <f t="shared" si="3"/>
        <v>0</v>
      </c>
      <c r="V24" s="337"/>
      <c r="W24" s="338"/>
      <c r="X24" s="383">
        <f t="shared" si="39"/>
        <v>0</v>
      </c>
      <c r="Y24" s="386">
        <f t="shared" si="40"/>
        <v>0</v>
      </c>
      <c r="Z24" s="534">
        <f t="shared" si="20"/>
        <v>2016</v>
      </c>
      <c r="AA24" s="664">
        <f t="shared" si="41"/>
        <v>0</v>
      </c>
      <c r="AB24" s="665">
        <f t="shared" si="42"/>
        <v>0</v>
      </c>
      <c r="AC24" s="337"/>
      <c r="AD24" s="338"/>
      <c r="AE24" s="383">
        <f t="shared" si="43"/>
        <v>0</v>
      </c>
      <c r="AF24" s="386">
        <f t="shared" si="44"/>
        <v>0</v>
      </c>
      <c r="AG24" s="534">
        <f t="shared" si="21"/>
        <v>2015</v>
      </c>
      <c r="AH24" s="1271">
        <f t="shared" si="45"/>
        <v>0</v>
      </c>
      <c r="AI24" s="1272">
        <f t="shared" si="46"/>
        <v>0</v>
      </c>
      <c r="AJ24" s="337"/>
      <c r="AK24" s="338"/>
      <c r="AL24" s="1271">
        <v>0</v>
      </c>
      <c r="AM24" s="1272">
        <v>0</v>
      </c>
      <c r="AN24" s="414">
        <f t="shared" si="22"/>
        <v>1</v>
      </c>
      <c r="AO24" s="413">
        <f t="shared" si="23"/>
        <v>1</v>
      </c>
      <c r="AP24" s="337"/>
      <c r="AQ24" s="338"/>
      <c r="AR24" s="664">
        <f t="shared" si="60"/>
        <v>0</v>
      </c>
      <c r="AS24" s="679">
        <f t="shared" si="61"/>
        <v>0</v>
      </c>
      <c r="AT24" s="383">
        <f t="shared" si="47"/>
        <v>0</v>
      </c>
      <c r="AU24" s="386">
        <f t="shared" si="48"/>
        <v>0</v>
      </c>
      <c r="AV24" s="534">
        <f t="shared" si="26"/>
        <v>2014</v>
      </c>
      <c r="AW24" s="1271">
        <f t="shared" si="49"/>
        <v>0</v>
      </c>
      <c r="AX24" s="1272">
        <f t="shared" si="50"/>
        <v>0</v>
      </c>
      <c r="AY24" s="337"/>
      <c r="AZ24" s="338"/>
      <c r="BA24" s="1271">
        <v>0</v>
      </c>
      <c r="BB24" s="1272">
        <v>0</v>
      </c>
      <c r="BC24" s="414">
        <f t="shared" si="27"/>
        <v>1</v>
      </c>
      <c r="BD24" s="413">
        <f t="shared" si="28"/>
        <v>1</v>
      </c>
      <c r="BE24" s="337"/>
      <c r="BF24" s="338"/>
      <c r="BG24" s="664">
        <f t="shared" si="62"/>
        <v>0</v>
      </c>
      <c r="BH24" s="679">
        <f t="shared" si="63"/>
        <v>0</v>
      </c>
      <c r="BI24" s="383">
        <f t="shared" si="51"/>
        <v>0</v>
      </c>
      <c r="BJ24" s="386">
        <f t="shared" si="52"/>
        <v>0</v>
      </c>
      <c r="BK24" s="534">
        <f t="shared" si="30"/>
        <v>2013</v>
      </c>
      <c r="BL24" s="1271">
        <f t="shared" si="53"/>
        <v>0</v>
      </c>
      <c r="BM24" s="1272">
        <f t="shared" si="54"/>
        <v>0</v>
      </c>
      <c r="BN24" s="337"/>
      <c r="BO24" s="338"/>
      <c r="BP24" s="1271">
        <v>0</v>
      </c>
      <c r="BQ24" s="1272">
        <v>0</v>
      </c>
      <c r="BR24" s="414">
        <f t="shared" si="31"/>
        <v>1</v>
      </c>
      <c r="BS24" s="413">
        <f t="shared" si="32"/>
        <v>1</v>
      </c>
      <c r="BT24" s="337"/>
      <c r="BU24" s="338"/>
      <c r="BV24" s="664">
        <f t="shared" si="64"/>
        <v>0</v>
      </c>
      <c r="BW24" s="679">
        <f t="shared" si="65"/>
        <v>0</v>
      </c>
      <c r="BX24" s="383">
        <f t="shared" si="55"/>
        <v>0</v>
      </c>
      <c r="BY24" s="386">
        <f t="shared" si="56"/>
        <v>0</v>
      </c>
      <c r="BZ24" s="534">
        <f t="shared" si="34"/>
        <v>2016</v>
      </c>
      <c r="CA24" s="664">
        <f t="shared" si="66"/>
        <v>0</v>
      </c>
      <c r="CB24" s="665">
        <f t="shared" si="67"/>
        <v>0</v>
      </c>
      <c r="CC24" s="664">
        <f t="shared" si="68"/>
        <v>0</v>
      </c>
      <c r="CD24" s="665">
        <f t="shared" si="69"/>
        <v>0</v>
      </c>
      <c r="CE24" s="337"/>
      <c r="CF24" s="338"/>
      <c r="CG24" s="383">
        <f t="shared" si="57"/>
        <v>0</v>
      </c>
      <c r="CH24" s="386">
        <f t="shared" si="58"/>
        <v>0</v>
      </c>
    </row>
    <row r="25" spans="2:86" x14ac:dyDescent="0.2">
      <c r="B25" s="276">
        <v>10</v>
      </c>
      <c r="C25" s="320">
        <f t="shared" si="35"/>
        <v>11</v>
      </c>
      <c r="D25" s="534">
        <f t="shared" si="17"/>
        <v>2015</v>
      </c>
      <c r="E25" s="337"/>
      <c r="F25" s="338"/>
      <c r="G25" s="1271">
        <v>0</v>
      </c>
      <c r="H25" s="1289">
        <v>0</v>
      </c>
      <c r="I25" s="400">
        <f t="shared" si="59"/>
        <v>0</v>
      </c>
      <c r="J25" s="401">
        <f t="shared" si="36"/>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7"/>
        <v>0.99997686567311872</v>
      </c>
      <c r="P25" s="1143">
        <f t="shared" si="38"/>
        <v>0.99998104057973958</v>
      </c>
      <c r="Q25" s="356">
        <f t="shared" si="19"/>
        <v>2015</v>
      </c>
      <c r="R25" s="337"/>
      <c r="S25" s="338"/>
      <c r="T25" s="664">
        <f t="shared" si="2"/>
        <v>0</v>
      </c>
      <c r="U25" s="665">
        <f t="shared" si="3"/>
        <v>0</v>
      </c>
      <c r="V25" s="337"/>
      <c r="W25" s="338"/>
      <c r="X25" s="383">
        <f t="shared" si="39"/>
        <v>0</v>
      </c>
      <c r="Y25" s="386">
        <f t="shared" si="40"/>
        <v>0</v>
      </c>
      <c r="Z25" s="534">
        <f t="shared" si="20"/>
        <v>2015</v>
      </c>
      <c r="AA25" s="664">
        <f t="shared" si="41"/>
        <v>0</v>
      </c>
      <c r="AB25" s="665">
        <f t="shared" si="42"/>
        <v>0</v>
      </c>
      <c r="AC25" s="337"/>
      <c r="AD25" s="338"/>
      <c r="AE25" s="383">
        <f t="shared" si="43"/>
        <v>0</v>
      </c>
      <c r="AF25" s="386">
        <f t="shared" si="44"/>
        <v>0</v>
      </c>
      <c r="AG25" s="534">
        <f t="shared" si="21"/>
        <v>2014</v>
      </c>
      <c r="AH25" s="1271">
        <f t="shared" si="45"/>
        <v>0</v>
      </c>
      <c r="AI25" s="1272">
        <f t="shared" si="46"/>
        <v>0</v>
      </c>
      <c r="AJ25" s="337"/>
      <c r="AK25" s="338"/>
      <c r="AL25" s="1271">
        <v>0</v>
      </c>
      <c r="AM25" s="1272">
        <v>0</v>
      </c>
      <c r="AN25" s="414">
        <f t="shared" si="22"/>
        <v>1</v>
      </c>
      <c r="AO25" s="413">
        <f t="shared" si="23"/>
        <v>1</v>
      </c>
      <c r="AP25" s="337"/>
      <c r="AQ25" s="338"/>
      <c r="AR25" s="664">
        <f t="shared" si="60"/>
        <v>0</v>
      </c>
      <c r="AS25" s="679">
        <f t="shared" si="61"/>
        <v>0</v>
      </c>
      <c r="AT25" s="383">
        <f t="shared" si="47"/>
        <v>0</v>
      </c>
      <c r="AU25" s="386">
        <f t="shared" si="48"/>
        <v>0</v>
      </c>
      <c r="AV25" s="534">
        <f t="shared" si="26"/>
        <v>2013</v>
      </c>
      <c r="AW25" s="1271">
        <f t="shared" si="49"/>
        <v>0</v>
      </c>
      <c r="AX25" s="1272">
        <f t="shared" si="50"/>
        <v>0</v>
      </c>
      <c r="AY25" s="337"/>
      <c r="AZ25" s="338"/>
      <c r="BA25" s="1271">
        <v>0</v>
      </c>
      <c r="BB25" s="1272">
        <v>0</v>
      </c>
      <c r="BC25" s="414">
        <f t="shared" si="27"/>
        <v>1</v>
      </c>
      <c r="BD25" s="413">
        <f t="shared" si="28"/>
        <v>1</v>
      </c>
      <c r="BE25" s="337"/>
      <c r="BF25" s="338"/>
      <c r="BG25" s="664">
        <f t="shared" si="62"/>
        <v>0</v>
      </c>
      <c r="BH25" s="679">
        <f t="shared" si="63"/>
        <v>0</v>
      </c>
      <c r="BI25" s="383">
        <f t="shared" si="51"/>
        <v>0</v>
      </c>
      <c r="BJ25" s="386">
        <f t="shared" si="52"/>
        <v>0</v>
      </c>
      <c r="BK25" s="534">
        <f t="shared" si="30"/>
        <v>2012</v>
      </c>
      <c r="BL25" s="1271">
        <f t="shared" si="53"/>
        <v>0</v>
      </c>
      <c r="BM25" s="1272">
        <f t="shared" si="54"/>
        <v>0</v>
      </c>
      <c r="BN25" s="337"/>
      <c r="BO25" s="338"/>
      <c r="BP25" s="1271">
        <v>0</v>
      </c>
      <c r="BQ25" s="1272">
        <v>0</v>
      </c>
      <c r="BR25" s="414">
        <f t="shared" si="31"/>
        <v>1</v>
      </c>
      <c r="BS25" s="413">
        <f t="shared" si="32"/>
        <v>1</v>
      </c>
      <c r="BT25" s="337"/>
      <c r="BU25" s="338"/>
      <c r="BV25" s="664">
        <f t="shared" si="64"/>
        <v>0</v>
      </c>
      <c r="BW25" s="679">
        <f t="shared" si="65"/>
        <v>0</v>
      </c>
      <c r="BX25" s="383">
        <f t="shared" si="55"/>
        <v>0</v>
      </c>
      <c r="BY25" s="386">
        <f t="shared" si="56"/>
        <v>0</v>
      </c>
      <c r="BZ25" s="534">
        <f t="shared" si="34"/>
        <v>2015</v>
      </c>
      <c r="CA25" s="664">
        <f t="shared" si="66"/>
        <v>0</v>
      </c>
      <c r="CB25" s="665">
        <f t="shared" si="67"/>
        <v>0</v>
      </c>
      <c r="CC25" s="664">
        <f t="shared" si="68"/>
        <v>0</v>
      </c>
      <c r="CD25" s="665">
        <f t="shared" si="69"/>
        <v>0</v>
      </c>
      <c r="CE25" s="337"/>
      <c r="CF25" s="338"/>
      <c r="CG25" s="383">
        <f t="shared" si="57"/>
        <v>0</v>
      </c>
      <c r="CH25" s="386">
        <f t="shared" si="58"/>
        <v>0</v>
      </c>
    </row>
    <row r="26" spans="2:86" x14ac:dyDescent="0.2">
      <c r="B26" s="276">
        <v>11</v>
      </c>
      <c r="C26" s="320">
        <f t="shared" si="35"/>
        <v>12</v>
      </c>
      <c r="D26" s="534">
        <f t="shared" si="17"/>
        <v>2014</v>
      </c>
      <c r="E26" s="337"/>
      <c r="F26" s="338"/>
      <c r="G26" s="1271">
        <v>0</v>
      </c>
      <c r="H26" s="1289">
        <v>0</v>
      </c>
      <c r="I26" s="400">
        <f t="shared" si="59"/>
        <v>0</v>
      </c>
      <c r="J26" s="401">
        <f t="shared" si="36"/>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7"/>
        <v>0.99997636774857468</v>
      </c>
      <c r="P26" s="1143">
        <f t="shared" si="38"/>
        <v>0.9999807315098066</v>
      </c>
      <c r="Q26" s="356">
        <f t="shared" si="19"/>
        <v>2014</v>
      </c>
      <c r="R26" s="337"/>
      <c r="S26" s="338"/>
      <c r="T26" s="664">
        <f t="shared" si="2"/>
        <v>0</v>
      </c>
      <c r="U26" s="665">
        <f t="shared" si="3"/>
        <v>0</v>
      </c>
      <c r="V26" s="337"/>
      <c r="W26" s="338"/>
      <c r="X26" s="383">
        <f t="shared" si="39"/>
        <v>0</v>
      </c>
      <c r="Y26" s="386">
        <f t="shared" si="40"/>
        <v>0</v>
      </c>
      <c r="Z26" s="534">
        <f t="shared" si="20"/>
        <v>2014</v>
      </c>
      <c r="AA26" s="664">
        <f t="shared" si="41"/>
        <v>0</v>
      </c>
      <c r="AB26" s="665">
        <f t="shared" si="42"/>
        <v>0</v>
      </c>
      <c r="AC26" s="337"/>
      <c r="AD26" s="338"/>
      <c r="AE26" s="383">
        <f t="shared" si="43"/>
        <v>0</v>
      </c>
      <c r="AF26" s="386">
        <f t="shared" si="44"/>
        <v>0</v>
      </c>
      <c r="AG26" s="534">
        <f t="shared" si="21"/>
        <v>2013</v>
      </c>
      <c r="AH26" s="1271">
        <f t="shared" si="45"/>
        <v>0</v>
      </c>
      <c r="AI26" s="1272">
        <f t="shared" si="46"/>
        <v>0</v>
      </c>
      <c r="AJ26" s="337"/>
      <c r="AK26" s="338"/>
      <c r="AL26" s="1271">
        <v>0</v>
      </c>
      <c r="AM26" s="1272">
        <v>0</v>
      </c>
      <c r="AN26" s="414">
        <f t="shared" si="22"/>
        <v>1</v>
      </c>
      <c r="AO26" s="413">
        <f t="shared" si="23"/>
        <v>1</v>
      </c>
      <c r="AP26" s="337"/>
      <c r="AQ26" s="338"/>
      <c r="AR26" s="664">
        <f t="shared" si="60"/>
        <v>0</v>
      </c>
      <c r="AS26" s="679">
        <f t="shared" si="61"/>
        <v>0</v>
      </c>
      <c r="AT26" s="383">
        <f t="shared" si="47"/>
        <v>0</v>
      </c>
      <c r="AU26" s="386">
        <f t="shared" si="48"/>
        <v>0</v>
      </c>
      <c r="AV26" s="534">
        <f t="shared" si="26"/>
        <v>2012</v>
      </c>
      <c r="AW26" s="1271">
        <f t="shared" si="49"/>
        <v>0</v>
      </c>
      <c r="AX26" s="1272">
        <f t="shared" si="50"/>
        <v>0</v>
      </c>
      <c r="AY26" s="337"/>
      <c r="AZ26" s="338"/>
      <c r="BA26" s="1271">
        <v>0</v>
      </c>
      <c r="BB26" s="1272">
        <v>0</v>
      </c>
      <c r="BC26" s="414">
        <f t="shared" si="27"/>
        <v>1</v>
      </c>
      <c r="BD26" s="413">
        <f t="shared" si="28"/>
        <v>1</v>
      </c>
      <c r="BE26" s="337"/>
      <c r="BF26" s="338"/>
      <c r="BG26" s="664">
        <f t="shared" si="62"/>
        <v>0</v>
      </c>
      <c r="BH26" s="679">
        <f t="shared" si="63"/>
        <v>0</v>
      </c>
      <c r="BI26" s="383">
        <f t="shared" si="51"/>
        <v>0</v>
      </c>
      <c r="BJ26" s="386">
        <f t="shared" si="52"/>
        <v>0</v>
      </c>
      <c r="BK26" s="534">
        <f t="shared" si="30"/>
        <v>2011</v>
      </c>
      <c r="BL26" s="1271">
        <f t="shared" si="53"/>
        <v>0</v>
      </c>
      <c r="BM26" s="1272">
        <f t="shared" si="54"/>
        <v>0</v>
      </c>
      <c r="BN26" s="337"/>
      <c r="BO26" s="338"/>
      <c r="BP26" s="1271">
        <v>0</v>
      </c>
      <c r="BQ26" s="1272">
        <v>0</v>
      </c>
      <c r="BR26" s="414">
        <f t="shared" si="31"/>
        <v>1</v>
      </c>
      <c r="BS26" s="413">
        <f t="shared" si="32"/>
        <v>1</v>
      </c>
      <c r="BT26" s="337"/>
      <c r="BU26" s="338"/>
      <c r="BV26" s="664">
        <f t="shared" si="64"/>
        <v>0</v>
      </c>
      <c r="BW26" s="679">
        <f t="shared" si="65"/>
        <v>0</v>
      </c>
      <c r="BX26" s="383">
        <f t="shared" si="55"/>
        <v>0</v>
      </c>
      <c r="BY26" s="386">
        <f t="shared" si="56"/>
        <v>0</v>
      </c>
      <c r="BZ26" s="534">
        <f t="shared" si="34"/>
        <v>2014</v>
      </c>
      <c r="CA26" s="664">
        <f t="shared" si="66"/>
        <v>0</v>
      </c>
      <c r="CB26" s="665">
        <f t="shared" si="67"/>
        <v>0</v>
      </c>
      <c r="CC26" s="664">
        <f t="shared" si="68"/>
        <v>0</v>
      </c>
      <c r="CD26" s="665">
        <f t="shared" si="69"/>
        <v>0</v>
      </c>
      <c r="CE26" s="337"/>
      <c r="CF26" s="338"/>
      <c r="CG26" s="383">
        <f t="shared" si="57"/>
        <v>0</v>
      </c>
      <c r="CH26" s="386">
        <f t="shared" si="58"/>
        <v>0</v>
      </c>
    </row>
    <row r="27" spans="2:86" x14ac:dyDescent="0.2">
      <c r="B27" s="276">
        <v>12</v>
      </c>
      <c r="C27" s="320">
        <f t="shared" si="35"/>
        <v>13</v>
      </c>
      <c r="D27" s="534">
        <f t="shared" si="17"/>
        <v>2013</v>
      </c>
      <c r="E27" s="337"/>
      <c r="F27" s="338"/>
      <c r="G27" s="1271">
        <v>0</v>
      </c>
      <c r="H27" s="1289">
        <v>0</v>
      </c>
      <c r="I27" s="400">
        <f t="shared" si="59"/>
        <v>0</v>
      </c>
      <c r="J27" s="401">
        <f t="shared" si="36"/>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7"/>
        <v>0.99997376885366762</v>
      </c>
      <c r="P27" s="1143">
        <f t="shared" si="38"/>
        <v>0.99997870085216167</v>
      </c>
      <c r="Q27" s="356">
        <f t="shared" si="19"/>
        <v>2013</v>
      </c>
      <c r="R27" s="337"/>
      <c r="S27" s="338"/>
      <c r="T27" s="664">
        <f t="shared" si="2"/>
        <v>0</v>
      </c>
      <c r="U27" s="665">
        <f t="shared" si="3"/>
        <v>0</v>
      </c>
      <c r="V27" s="337"/>
      <c r="W27" s="338"/>
      <c r="X27" s="383">
        <f t="shared" si="39"/>
        <v>0</v>
      </c>
      <c r="Y27" s="386">
        <f t="shared" si="40"/>
        <v>0</v>
      </c>
      <c r="Z27" s="534">
        <f t="shared" si="20"/>
        <v>2013</v>
      </c>
      <c r="AA27" s="664">
        <f t="shared" si="41"/>
        <v>0</v>
      </c>
      <c r="AB27" s="665">
        <f t="shared" si="42"/>
        <v>0</v>
      </c>
      <c r="AC27" s="337"/>
      <c r="AD27" s="338"/>
      <c r="AE27" s="383">
        <f t="shared" si="43"/>
        <v>0</v>
      </c>
      <c r="AF27" s="386">
        <f t="shared" si="44"/>
        <v>0</v>
      </c>
      <c r="AG27" s="534">
        <f t="shared" si="21"/>
        <v>2012</v>
      </c>
      <c r="AH27" s="1271">
        <f t="shared" si="45"/>
        <v>0</v>
      </c>
      <c r="AI27" s="1272">
        <f t="shared" si="46"/>
        <v>0</v>
      </c>
      <c r="AJ27" s="337"/>
      <c r="AK27" s="338"/>
      <c r="AL27" s="1271">
        <v>0</v>
      </c>
      <c r="AM27" s="1272">
        <v>0</v>
      </c>
      <c r="AN27" s="414">
        <f t="shared" si="22"/>
        <v>1</v>
      </c>
      <c r="AO27" s="413">
        <f t="shared" si="23"/>
        <v>1</v>
      </c>
      <c r="AP27" s="337"/>
      <c r="AQ27" s="338"/>
      <c r="AR27" s="664">
        <f t="shared" si="60"/>
        <v>0</v>
      </c>
      <c r="AS27" s="679">
        <f t="shared" si="61"/>
        <v>0</v>
      </c>
      <c r="AT27" s="383">
        <f t="shared" si="47"/>
        <v>0</v>
      </c>
      <c r="AU27" s="386">
        <f t="shared" si="48"/>
        <v>0</v>
      </c>
      <c r="AV27" s="534">
        <f t="shared" si="26"/>
        <v>2011</v>
      </c>
      <c r="AW27" s="1271">
        <f t="shared" si="49"/>
        <v>0</v>
      </c>
      <c r="AX27" s="1272">
        <f t="shared" si="50"/>
        <v>0</v>
      </c>
      <c r="AY27" s="337"/>
      <c r="AZ27" s="338"/>
      <c r="BA27" s="1271">
        <v>0</v>
      </c>
      <c r="BB27" s="1272">
        <v>0</v>
      </c>
      <c r="BC27" s="414">
        <f t="shared" si="27"/>
        <v>1</v>
      </c>
      <c r="BD27" s="413">
        <f t="shared" si="28"/>
        <v>1</v>
      </c>
      <c r="BE27" s="337"/>
      <c r="BF27" s="338"/>
      <c r="BG27" s="664">
        <f t="shared" si="62"/>
        <v>0</v>
      </c>
      <c r="BH27" s="679">
        <f t="shared" si="63"/>
        <v>0</v>
      </c>
      <c r="BI27" s="383">
        <f t="shared" si="51"/>
        <v>0</v>
      </c>
      <c r="BJ27" s="386">
        <f t="shared" si="52"/>
        <v>0</v>
      </c>
      <c r="BK27" s="534">
        <f t="shared" si="30"/>
        <v>2010</v>
      </c>
      <c r="BL27" s="1271">
        <f t="shared" si="53"/>
        <v>0</v>
      </c>
      <c r="BM27" s="1272">
        <f t="shared" si="54"/>
        <v>0</v>
      </c>
      <c r="BN27" s="337"/>
      <c r="BO27" s="338"/>
      <c r="BP27" s="1271">
        <v>0</v>
      </c>
      <c r="BQ27" s="1272">
        <v>0</v>
      </c>
      <c r="BR27" s="414">
        <f t="shared" si="31"/>
        <v>1</v>
      </c>
      <c r="BS27" s="413">
        <f t="shared" si="32"/>
        <v>1</v>
      </c>
      <c r="BT27" s="337"/>
      <c r="BU27" s="338"/>
      <c r="BV27" s="664">
        <f t="shared" si="64"/>
        <v>0</v>
      </c>
      <c r="BW27" s="679">
        <f t="shared" si="65"/>
        <v>0</v>
      </c>
      <c r="BX27" s="383">
        <f t="shared" si="55"/>
        <v>0</v>
      </c>
      <c r="BY27" s="386">
        <f t="shared" si="56"/>
        <v>0</v>
      </c>
      <c r="BZ27" s="534">
        <f t="shared" si="34"/>
        <v>2013</v>
      </c>
      <c r="CA27" s="664">
        <f t="shared" si="66"/>
        <v>0</v>
      </c>
      <c r="CB27" s="665">
        <f t="shared" si="67"/>
        <v>0</v>
      </c>
      <c r="CC27" s="664">
        <f t="shared" si="68"/>
        <v>0</v>
      </c>
      <c r="CD27" s="665">
        <f t="shared" si="69"/>
        <v>0</v>
      </c>
      <c r="CE27" s="337"/>
      <c r="CF27" s="338"/>
      <c r="CG27" s="383">
        <f t="shared" si="57"/>
        <v>0</v>
      </c>
      <c r="CH27" s="386">
        <f t="shared" si="58"/>
        <v>0</v>
      </c>
    </row>
    <row r="28" spans="2:86" x14ac:dyDescent="0.2">
      <c r="B28" s="276">
        <v>13</v>
      </c>
      <c r="C28" s="320">
        <f t="shared" si="35"/>
        <v>14</v>
      </c>
      <c r="D28" s="534">
        <f t="shared" si="17"/>
        <v>2012</v>
      </c>
      <c r="E28" s="337"/>
      <c r="F28" s="338"/>
      <c r="G28" s="1271">
        <v>0</v>
      </c>
      <c r="H28" s="1289">
        <v>0</v>
      </c>
      <c r="I28" s="400">
        <f t="shared" si="59"/>
        <v>0</v>
      </c>
      <c r="J28" s="401">
        <f t="shared" si="36"/>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7"/>
        <v>0.99996782557940755</v>
      </c>
      <c r="P28" s="1143">
        <f t="shared" si="38"/>
        <v>0.9999739988758154</v>
      </c>
      <c r="Q28" s="356">
        <f t="shared" si="19"/>
        <v>2012</v>
      </c>
      <c r="R28" s="337"/>
      <c r="S28" s="338"/>
      <c r="T28" s="664">
        <f t="shared" si="2"/>
        <v>0</v>
      </c>
      <c r="U28" s="665">
        <f t="shared" si="3"/>
        <v>0</v>
      </c>
      <c r="V28" s="337"/>
      <c r="W28" s="338"/>
      <c r="X28" s="383">
        <f t="shared" si="39"/>
        <v>0</v>
      </c>
      <c r="Y28" s="386">
        <f t="shared" si="40"/>
        <v>0</v>
      </c>
      <c r="Z28" s="534">
        <f t="shared" si="20"/>
        <v>2012</v>
      </c>
      <c r="AA28" s="664">
        <f t="shared" si="41"/>
        <v>0</v>
      </c>
      <c r="AB28" s="665">
        <f t="shared" si="42"/>
        <v>0</v>
      </c>
      <c r="AC28" s="337"/>
      <c r="AD28" s="338"/>
      <c r="AE28" s="383">
        <f t="shared" si="43"/>
        <v>0</v>
      </c>
      <c r="AF28" s="386">
        <f t="shared" si="44"/>
        <v>0</v>
      </c>
      <c r="AG28" s="534">
        <f t="shared" si="21"/>
        <v>2011</v>
      </c>
      <c r="AH28" s="1271">
        <f t="shared" si="45"/>
        <v>0</v>
      </c>
      <c r="AI28" s="1272">
        <f t="shared" si="46"/>
        <v>0</v>
      </c>
      <c r="AJ28" s="337"/>
      <c r="AK28" s="338"/>
      <c r="AL28" s="1271">
        <v>0</v>
      </c>
      <c r="AM28" s="1272">
        <v>0</v>
      </c>
      <c r="AN28" s="414">
        <f t="shared" si="22"/>
        <v>1</v>
      </c>
      <c r="AO28" s="413">
        <f t="shared" si="23"/>
        <v>1</v>
      </c>
      <c r="AP28" s="337"/>
      <c r="AQ28" s="338"/>
      <c r="AR28" s="664">
        <f t="shared" si="60"/>
        <v>0</v>
      </c>
      <c r="AS28" s="679">
        <f t="shared" si="61"/>
        <v>0</v>
      </c>
      <c r="AT28" s="383">
        <f t="shared" si="47"/>
        <v>0</v>
      </c>
      <c r="AU28" s="386">
        <f t="shared" si="48"/>
        <v>0</v>
      </c>
      <c r="AV28" s="534">
        <f t="shared" si="26"/>
        <v>2010</v>
      </c>
      <c r="AW28" s="1271">
        <f t="shared" si="49"/>
        <v>0</v>
      </c>
      <c r="AX28" s="1272">
        <f t="shared" si="50"/>
        <v>0</v>
      </c>
      <c r="AY28" s="337"/>
      <c r="AZ28" s="338"/>
      <c r="BA28" s="1271">
        <v>0</v>
      </c>
      <c r="BB28" s="1272">
        <v>0</v>
      </c>
      <c r="BC28" s="414">
        <f t="shared" si="27"/>
        <v>1</v>
      </c>
      <c r="BD28" s="413">
        <f t="shared" si="28"/>
        <v>1</v>
      </c>
      <c r="BE28" s="337"/>
      <c r="BF28" s="338"/>
      <c r="BG28" s="664">
        <f t="shared" si="62"/>
        <v>0</v>
      </c>
      <c r="BH28" s="679">
        <f t="shared" si="63"/>
        <v>0</v>
      </c>
      <c r="BI28" s="383">
        <f t="shared" si="51"/>
        <v>0</v>
      </c>
      <c r="BJ28" s="386">
        <f t="shared" si="52"/>
        <v>0</v>
      </c>
      <c r="BK28" s="534">
        <f t="shared" si="30"/>
        <v>2009</v>
      </c>
      <c r="BL28" s="1271">
        <f t="shared" si="53"/>
        <v>0</v>
      </c>
      <c r="BM28" s="1272">
        <f t="shared" si="54"/>
        <v>0</v>
      </c>
      <c r="BN28" s="337"/>
      <c r="BO28" s="338"/>
      <c r="BP28" s="1271">
        <v>0</v>
      </c>
      <c r="BQ28" s="1272">
        <v>0</v>
      </c>
      <c r="BR28" s="414">
        <f t="shared" si="31"/>
        <v>1</v>
      </c>
      <c r="BS28" s="413">
        <f t="shared" si="32"/>
        <v>1</v>
      </c>
      <c r="BT28" s="337"/>
      <c r="BU28" s="338"/>
      <c r="BV28" s="664">
        <f t="shared" si="64"/>
        <v>0</v>
      </c>
      <c r="BW28" s="679">
        <f t="shared" si="65"/>
        <v>0</v>
      </c>
      <c r="BX28" s="383">
        <f t="shared" si="55"/>
        <v>0</v>
      </c>
      <c r="BY28" s="386">
        <f t="shared" si="56"/>
        <v>0</v>
      </c>
      <c r="BZ28" s="534">
        <f t="shared" si="34"/>
        <v>2012</v>
      </c>
      <c r="CA28" s="664">
        <f t="shared" si="66"/>
        <v>0</v>
      </c>
      <c r="CB28" s="665">
        <f t="shared" si="67"/>
        <v>0</v>
      </c>
      <c r="CC28" s="664">
        <f t="shared" si="68"/>
        <v>0</v>
      </c>
      <c r="CD28" s="665">
        <f t="shared" si="69"/>
        <v>0</v>
      </c>
      <c r="CE28" s="337"/>
      <c r="CF28" s="338"/>
      <c r="CG28" s="383">
        <f t="shared" si="57"/>
        <v>0</v>
      </c>
      <c r="CH28" s="386">
        <f t="shared" si="58"/>
        <v>0</v>
      </c>
    </row>
    <row r="29" spans="2:86" x14ac:dyDescent="0.2">
      <c r="B29" s="276">
        <v>14</v>
      </c>
      <c r="C29" s="320">
        <f t="shared" si="35"/>
        <v>15</v>
      </c>
      <c r="D29" s="534">
        <f t="shared" si="17"/>
        <v>2011</v>
      </c>
      <c r="E29" s="337"/>
      <c r="F29" s="338"/>
      <c r="G29" s="1271">
        <v>0</v>
      </c>
      <c r="H29" s="1289">
        <v>0</v>
      </c>
      <c r="I29" s="400">
        <f t="shared" si="59"/>
        <v>0</v>
      </c>
      <c r="J29" s="401">
        <f t="shared" si="36"/>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7"/>
        <v>0.99995675311456866</v>
      </c>
      <c r="P29" s="1143">
        <f t="shared" si="38"/>
        <v>0.99996569956467285</v>
      </c>
      <c r="Q29" s="356">
        <f t="shared" si="19"/>
        <v>2011</v>
      </c>
      <c r="R29" s="337"/>
      <c r="S29" s="338"/>
      <c r="T29" s="664">
        <f t="shared" si="2"/>
        <v>0</v>
      </c>
      <c r="U29" s="665">
        <f t="shared" si="3"/>
        <v>0</v>
      </c>
      <c r="V29" s="337"/>
      <c r="W29" s="338"/>
      <c r="X29" s="383">
        <f t="shared" si="39"/>
        <v>0</v>
      </c>
      <c r="Y29" s="386">
        <f t="shared" si="40"/>
        <v>0</v>
      </c>
      <c r="Z29" s="534">
        <f t="shared" si="20"/>
        <v>2011</v>
      </c>
      <c r="AA29" s="664">
        <f t="shared" si="41"/>
        <v>0</v>
      </c>
      <c r="AB29" s="665">
        <f t="shared" si="42"/>
        <v>0</v>
      </c>
      <c r="AC29" s="337"/>
      <c r="AD29" s="338"/>
      <c r="AE29" s="383">
        <f t="shared" si="43"/>
        <v>0</v>
      </c>
      <c r="AF29" s="386">
        <f t="shared" si="44"/>
        <v>0</v>
      </c>
      <c r="AG29" s="534">
        <f t="shared" si="21"/>
        <v>2010</v>
      </c>
      <c r="AH29" s="1271">
        <f t="shared" si="45"/>
        <v>0</v>
      </c>
      <c r="AI29" s="1272">
        <f t="shared" si="46"/>
        <v>0</v>
      </c>
      <c r="AJ29" s="337"/>
      <c r="AK29" s="338"/>
      <c r="AL29" s="1271">
        <v>0</v>
      </c>
      <c r="AM29" s="1272">
        <v>0</v>
      </c>
      <c r="AN29" s="414">
        <f t="shared" si="22"/>
        <v>1</v>
      </c>
      <c r="AO29" s="413">
        <f t="shared" si="23"/>
        <v>1</v>
      </c>
      <c r="AP29" s="337"/>
      <c r="AQ29" s="338"/>
      <c r="AR29" s="664">
        <f t="shared" si="60"/>
        <v>0</v>
      </c>
      <c r="AS29" s="679">
        <f t="shared" si="61"/>
        <v>0</v>
      </c>
      <c r="AT29" s="383">
        <f t="shared" si="47"/>
        <v>0</v>
      </c>
      <c r="AU29" s="386">
        <f t="shared" si="48"/>
        <v>0</v>
      </c>
      <c r="AV29" s="534">
        <f t="shared" si="26"/>
        <v>2009</v>
      </c>
      <c r="AW29" s="1271">
        <f t="shared" si="49"/>
        <v>0</v>
      </c>
      <c r="AX29" s="1272">
        <f t="shared" si="50"/>
        <v>0</v>
      </c>
      <c r="AY29" s="337"/>
      <c r="AZ29" s="338"/>
      <c r="BA29" s="1271">
        <v>0</v>
      </c>
      <c r="BB29" s="1272">
        <v>0</v>
      </c>
      <c r="BC29" s="414">
        <f t="shared" si="27"/>
        <v>1</v>
      </c>
      <c r="BD29" s="413">
        <f t="shared" si="28"/>
        <v>1</v>
      </c>
      <c r="BE29" s="337"/>
      <c r="BF29" s="338"/>
      <c r="BG29" s="664">
        <f t="shared" si="62"/>
        <v>0</v>
      </c>
      <c r="BH29" s="679">
        <f t="shared" si="63"/>
        <v>0</v>
      </c>
      <c r="BI29" s="383">
        <f t="shared" si="51"/>
        <v>0</v>
      </c>
      <c r="BJ29" s="386">
        <f t="shared" si="52"/>
        <v>0</v>
      </c>
      <c r="BK29" s="534">
        <f t="shared" si="30"/>
        <v>2008</v>
      </c>
      <c r="BL29" s="1271">
        <f t="shared" si="53"/>
        <v>0</v>
      </c>
      <c r="BM29" s="1272">
        <f t="shared" si="54"/>
        <v>0</v>
      </c>
      <c r="BN29" s="337"/>
      <c r="BO29" s="338"/>
      <c r="BP29" s="1271">
        <v>0</v>
      </c>
      <c r="BQ29" s="1272">
        <v>0</v>
      </c>
      <c r="BR29" s="414">
        <f t="shared" si="31"/>
        <v>1</v>
      </c>
      <c r="BS29" s="413">
        <f t="shared" si="32"/>
        <v>1</v>
      </c>
      <c r="BT29" s="337"/>
      <c r="BU29" s="338"/>
      <c r="BV29" s="664">
        <f t="shared" si="64"/>
        <v>0</v>
      </c>
      <c r="BW29" s="679">
        <f t="shared" si="65"/>
        <v>0</v>
      </c>
      <c r="BX29" s="383">
        <f t="shared" si="55"/>
        <v>0</v>
      </c>
      <c r="BY29" s="386">
        <f t="shared" si="56"/>
        <v>0</v>
      </c>
      <c r="BZ29" s="534">
        <f t="shared" si="34"/>
        <v>2011</v>
      </c>
      <c r="CA29" s="664">
        <f t="shared" si="66"/>
        <v>0</v>
      </c>
      <c r="CB29" s="665">
        <f t="shared" si="67"/>
        <v>0</v>
      </c>
      <c r="CC29" s="664">
        <f t="shared" si="68"/>
        <v>0</v>
      </c>
      <c r="CD29" s="665">
        <f t="shared" si="69"/>
        <v>0</v>
      </c>
      <c r="CE29" s="337"/>
      <c r="CF29" s="338"/>
      <c r="CG29" s="383">
        <f t="shared" si="57"/>
        <v>0</v>
      </c>
      <c r="CH29" s="386">
        <f t="shared" si="58"/>
        <v>0</v>
      </c>
    </row>
    <row r="30" spans="2:86" x14ac:dyDescent="0.2">
      <c r="B30" s="276">
        <v>15</v>
      </c>
      <c r="C30" s="320">
        <f t="shared" si="35"/>
        <v>16</v>
      </c>
      <c r="D30" s="534">
        <f t="shared" si="17"/>
        <v>2010</v>
      </c>
      <c r="E30" s="337"/>
      <c r="F30" s="338"/>
      <c r="G30" s="1271">
        <v>0</v>
      </c>
      <c r="H30" s="1289">
        <v>0</v>
      </c>
      <c r="I30" s="400">
        <f t="shared" si="59"/>
        <v>0</v>
      </c>
      <c r="J30" s="401">
        <f t="shared" si="36"/>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7"/>
        <v>0.99993907929998738</v>
      </c>
      <c r="P30" s="1143">
        <f t="shared" si="38"/>
        <v>0.99995424154387735</v>
      </c>
      <c r="Q30" s="356">
        <f t="shared" si="19"/>
        <v>2010</v>
      </c>
      <c r="R30" s="337"/>
      <c r="S30" s="338"/>
      <c r="T30" s="664">
        <f t="shared" si="2"/>
        <v>0</v>
      </c>
      <c r="U30" s="665">
        <f t="shared" si="3"/>
        <v>0</v>
      </c>
      <c r="V30" s="337"/>
      <c r="W30" s="338"/>
      <c r="X30" s="383">
        <f t="shared" si="39"/>
        <v>0</v>
      </c>
      <c r="Y30" s="386">
        <f t="shared" si="40"/>
        <v>0</v>
      </c>
      <c r="Z30" s="534">
        <f t="shared" si="20"/>
        <v>2010</v>
      </c>
      <c r="AA30" s="664">
        <f t="shared" si="41"/>
        <v>0</v>
      </c>
      <c r="AB30" s="665">
        <f t="shared" si="42"/>
        <v>0</v>
      </c>
      <c r="AC30" s="337"/>
      <c r="AD30" s="338"/>
      <c r="AE30" s="383">
        <f t="shared" si="43"/>
        <v>0</v>
      </c>
      <c r="AF30" s="386">
        <f t="shared" si="44"/>
        <v>0</v>
      </c>
      <c r="AG30" s="534">
        <f t="shared" si="21"/>
        <v>2009</v>
      </c>
      <c r="AH30" s="1271">
        <f t="shared" si="45"/>
        <v>0</v>
      </c>
      <c r="AI30" s="1272">
        <f t="shared" si="46"/>
        <v>0</v>
      </c>
      <c r="AJ30" s="337"/>
      <c r="AK30" s="338"/>
      <c r="AL30" s="1271">
        <v>0</v>
      </c>
      <c r="AM30" s="1272">
        <v>0</v>
      </c>
      <c r="AN30" s="414">
        <f t="shared" si="22"/>
        <v>1</v>
      </c>
      <c r="AO30" s="413">
        <f t="shared" si="23"/>
        <v>1</v>
      </c>
      <c r="AP30" s="337"/>
      <c r="AQ30" s="338"/>
      <c r="AR30" s="664">
        <f t="shared" si="60"/>
        <v>0</v>
      </c>
      <c r="AS30" s="679">
        <f t="shared" si="61"/>
        <v>0</v>
      </c>
      <c r="AT30" s="383">
        <f t="shared" si="47"/>
        <v>0</v>
      </c>
      <c r="AU30" s="386">
        <f t="shared" si="48"/>
        <v>0</v>
      </c>
      <c r="AV30" s="534">
        <f t="shared" si="26"/>
        <v>2008</v>
      </c>
      <c r="AW30" s="1271">
        <f t="shared" si="49"/>
        <v>0</v>
      </c>
      <c r="AX30" s="1272">
        <f t="shared" si="50"/>
        <v>0</v>
      </c>
      <c r="AY30" s="337"/>
      <c r="AZ30" s="338"/>
      <c r="BA30" s="1271">
        <v>0</v>
      </c>
      <c r="BB30" s="1272">
        <v>0</v>
      </c>
      <c r="BC30" s="414">
        <f t="shared" si="27"/>
        <v>1</v>
      </c>
      <c r="BD30" s="413">
        <f t="shared" si="28"/>
        <v>1</v>
      </c>
      <c r="BE30" s="337"/>
      <c r="BF30" s="338"/>
      <c r="BG30" s="664">
        <f t="shared" si="62"/>
        <v>0</v>
      </c>
      <c r="BH30" s="679">
        <f t="shared" si="63"/>
        <v>0</v>
      </c>
      <c r="BI30" s="383">
        <f t="shared" si="51"/>
        <v>0</v>
      </c>
      <c r="BJ30" s="386">
        <f t="shared" si="52"/>
        <v>0</v>
      </c>
      <c r="BK30" s="534">
        <f t="shared" si="30"/>
        <v>2007</v>
      </c>
      <c r="BL30" s="1271">
        <f t="shared" si="53"/>
        <v>0</v>
      </c>
      <c r="BM30" s="1272">
        <f t="shared" si="54"/>
        <v>0</v>
      </c>
      <c r="BN30" s="337"/>
      <c r="BO30" s="338"/>
      <c r="BP30" s="1271">
        <v>0</v>
      </c>
      <c r="BQ30" s="1272">
        <v>0</v>
      </c>
      <c r="BR30" s="414">
        <f t="shared" si="31"/>
        <v>1</v>
      </c>
      <c r="BS30" s="413">
        <f t="shared" si="32"/>
        <v>1</v>
      </c>
      <c r="BT30" s="337"/>
      <c r="BU30" s="338"/>
      <c r="BV30" s="664">
        <f t="shared" si="64"/>
        <v>0</v>
      </c>
      <c r="BW30" s="679">
        <f t="shared" si="65"/>
        <v>0</v>
      </c>
      <c r="BX30" s="383">
        <f t="shared" si="55"/>
        <v>0</v>
      </c>
      <c r="BY30" s="386">
        <f t="shared" si="56"/>
        <v>0</v>
      </c>
      <c r="BZ30" s="534">
        <f t="shared" si="34"/>
        <v>2010</v>
      </c>
      <c r="CA30" s="664">
        <f t="shared" si="66"/>
        <v>0</v>
      </c>
      <c r="CB30" s="665">
        <f t="shared" si="67"/>
        <v>0</v>
      </c>
      <c r="CC30" s="664">
        <f t="shared" si="68"/>
        <v>0</v>
      </c>
      <c r="CD30" s="665">
        <f t="shared" si="69"/>
        <v>0</v>
      </c>
      <c r="CE30" s="337"/>
      <c r="CF30" s="338"/>
      <c r="CG30" s="383">
        <f t="shared" si="57"/>
        <v>0</v>
      </c>
      <c r="CH30" s="386">
        <f t="shared" si="58"/>
        <v>0</v>
      </c>
    </row>
    <row r="31" spans="2:86" x14ac:dyDescent="0.2">
      <c r="B31" s="276">
        <v>16</v>
      </c>
      <c r="C31" s="320">
        <f t="shared" si="35"/>
        <v>17</v>
      </c>
      <c r="D31" s="534">
        <f t="shared" si="17"/>
        <v>2009</v>
      </c>
      <c r="E31" s="337"/>
      <c r="F31" s="338"/>
      <c r="G31" s="1271">
        <v>0</v>
      </c>
      <c r="H31" s="1289">
        <v>0</v>
      </c>
      <c r="I31" s="400">
        <f t="shared" si="59"/>
        <v>0</v>
      </c>
      <c r="J31" s="401">
        <f t="shared" si="36"/>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7"/>
        <v>0.99991538044383177</v>
      </c>
      <c r="P31" s="1143">
        <f t="shared" si="38"/>
        <v>0.99994262751946672</v>
      </c>
      <c r="Q31" s="356">
        <f t="shared" si="19"/>
        <v>2009</v>
      </c>
      <c r="R31" s="337"/>
      <c r="S31" s="338"/>
      <c r="T31" s="664">
        <f t="shared" si="2"/>
        <v>0</v>
      </c>
      <c r="U31" s="665">
        <f t="shared" si="3"/>
        <v>0</v>
      </c>
      <c r="V31" s="337"/>
      <c r="W31" s="338"/>
      <c r="X31" s="383">
        <f t="shared" si="39"/>
        <v>0</v>
      </c>
      <c r="Y31" s="386">
        <f t="shared" si="40"/>
        <v>0</v>
      </c>
      <c r="Z31" s="534">
        <f t="shared" si="20"/>
        <v>2009</v>
      </c>
      <c r="AA31" s="664">
        <f t="shared" si="41"/>
        <v>0</v>
      </c>
      <c r="AB31" s="665">
        <f t="shared" si="42"/>
        <v>0</v>
      </c>
      <c r="AC31" s="337"/>
      <c r="AD31" s="338"/>
      <c r="AE31" s="383">
        <f t="shared" si="43"/>
        <v>0</v>
      </c>
      <c r="AF31" s="386">
        <f t="shared" si="44"/>
        <v>0</v>
      </c>
      <c r="AG31" s="534">
        <f t="shared" si="21"/>
        <v>2008</v>
      </c>
      <c r="AH31" s="1271">
        <f t="shared" si="45"/>
        <v>0</v>
      </c>
      <c r="AI31" s="1272">
        <f t="shared" si="46"/>
        <v>0</v>
      </c>
      <c r="AJ31" s="337"/>
      <c r="AK31" s="338"/>
      <c r="AL31" s="1271">
        <v>0</v>
      </c>
      <c r="AM31" s="1272">
        <v>0</v>
      </c>
      <c r="AN31" s="414">
        <f t="shared" si="22"/>
        <v>1</v>
      </c>
      <c r="AO31" s="413">
        <f t="shared" si="23"/>
        <v>1</v>
      </c>
      <c r="AP31" s="337"/>
      <c r="AQ31" s="338"/>
      <c r="AR31" s="664">
        <f t="shared" si="60"/>
        <v>0</v>
      </c>
      <c r="AS31" s="679">
        <f t="shared" si="61"/>
        <v>0</v>
      </c>
      <c r="AT31" s="383">
        <f t="shared" si="47"/>
        <v>0</v>
      </c>
      <c r="AU31" s="386">
        <f t="shared" si="48"/>
        <v>0</v>
      </c>
      <c r="AV31" s="534">
        <f t="shared" si="26"/>
        <v>2007</v>
      </c>
      <c r="AW31" s="1271">
        <f t="shared" si="49"/>
        <v>0</v>
      </c>
      <c r="AX31" s="1272">
        <f t="shared" si="50"/>
        <v>0</v>
      </c>
      <c r="AY31" s="337"/>
      <c r="AZ31" s="338"/>
      <c r="BA31" s="1271">
        <v>0</v>
      </c>
      <c r="BB31" s="1272">
        <v>0</v>
      </c>
      <c r="BC31" s="414">
        <f t="shared" si="27"/>
        <v>1</v>
      </c>
      <c r="BD31" s="413">
        <f t="shared" si="28"/>
        <v>1</v>
      </c>
      <c r="BE31" s="337"/>
      <c r="BF31" s="338"/>
      <c r="BG31" s="664">
        <f t="shared" si="62"/>
        <v>0</v>
      </c>
      <c r="BH31" s="679">
        <f t="shared" si="63"/>
        <v>0</v>
      </c>
      <c r="BI31" s="383">
        <f t="shared" si="51"/>
        <v>0</v>
      </c>
      <c r="BJ31" s="386">
        <f t="shared" si="52"/>
        <v>0</v>
      </c>
      <c r="BK31" s="534">
        <f t="shared" si="30"/>
        <v>2006</v>
      </c>
      <c r="BL31" s="1271">
        <f t="shared" si="53"/>
        <v>0</v>
      </c>
      <c r="BM31" s="1272">
        <f t="shared" si="54"/>
        <v>0</v>
      </c>
      <c r="BN31" s="337"/>
      <c r="BO31" s="338"/>
      <c r="BP31" s="1271">
        <v>0</v>
      </c>
      <c r="BQ31" s="1272">
        <v>0</v>
      </c>
      <c r="BR31" s="414">
        <f t="shared" si="31"/>
        <v>1</v>
      </c>
      <c r="BS31" s="413">
        <f t="shared" si="32"/>
        <v>1</v>
      </c>
      <c r="BT31" s="337"/>
      <c r="BU31" s="338"/>
      <c r="BV31" s="664">
        <f t="shared" si="64"/>
        <v>0</v>
      </c>
      <c r="BW31" s="679">
        <f t="shared" si="65"/>
        <v>0</v>
      </c>
      <c r="BX31" s="383">
        <f t="shared" si="55"/>
        <v>0</v>
      </c>
      <c r="BY31" s="386">
        <f t="shared" si="56"/>
        <v>0</v>
      </c>
      <c r="BZ31" s="534">
        <f t="shared" si="34"/>
        <v>2009</v>
      </c>
      <c r="CA31" s="664">
        <f t="shared" si="66"/>
        <v>0</v>
      </c>
      <c r="CB31" s="665">
        <f t="shared" si="67"/>
        <v>0</v>
      </c>
      <c r="CC31" s="664">
        <f t="shared" si="68"/>
        <v>0</v>
      </c>
      <c r="CD31" s="665">
        <f t="shared" si="69"/>
        <v>0</v>
      </c>
      <c r="CE31" s="337"/>
      <c r="CF31" s="338"/>
      <c r="CG31" s="383">
        <f t="shared" si="57"/>
        <v>0</v>
      </c>
      <c r="CH31" s="386">
        <f t="shared" si="58"/>
        <v>0</v>
      </c>
    </row>
    <row r="32" spans="2:86" x14ac:dyDescent="0.2">
      <c r="B32" s="276">
        <v>17</v>
      </c>
      <c r="C32" s="320">
        <f t="shared" si="35"/>
        <v>18</v>
      </c>
      <c r="D32" s="534">
        <f t="shared" si="17"/>
        <v>2008</v>
      </c>
      <c r="E32" s="337"/>
      <c r="F32" s="338"/>
      <c r="G32" s="1271">
        <v>0</v>
      </c>
      <c r="H32" s="1289">
        <v>0</v>
      </c>
      <c r="I32" s="400">
        <f t="shared" si="59"/>
        <v>0</v>
      </c>
      <c r="J32" s="401">
        <f t="shared" si="36"/>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7"/>
        <v>0.99988828967307475</v>
      </c>
      <c r="P32" s="1143">
        <f t="shared" si="38"/>
        <v>0.9999342206698757</v>
      </c>
      <c r="Q32" s="356">
        <f t="shared" si="19"/>
        <v>2008</v>
      </c>
      <c r="R32" s="337"/>
      <c r="S32" s="338"/>
      <c r="T32" s="664">
        <f t="shared" si="2"/>
        <v>0</v>
      </c>
      <c r="U32" s="665">
        <f t="shared" si="3"/>
        <v>0</v>
      </c>
      <c r="V32" s="337"/>
      <c r="W32" s="338"/>
      <c r="X32" s="383">
        <f t="shared" si="39"/>
        <v>0</v>
      </c>
      <c r="Y32" s="386">
        <f t="shared" si="40"/>
        <v>0</v>
      </c>
      <c r="Z32" s="534">
        <f t="shared" si="20"/>
        <v>2008</v>
      </c>
      <c r="AA32" s="664">
        <f t="shared" si="41"/>
        <v>0</v>
      </c>
      <c r="AB32" s="665">
        <f t="shared" si="42"/>
        <v>0</v>
      </c>
      <c r="AC32" s="337"/>
      <c r="AD32" s="338"/>
      <c r="AE32" s="383">
        <f t="shared" si="43"/>
        <v>0</v>
      </c>
      <c r="AF32" s="386">
        <f t="shared" si="44"/>
        <v>0</v>
      </c>
      <c r="AG32" s="534">
        <f t="shared" si="21"/>
        <v>2007</v>
      </c>
      <c r="AH32" s="1271">
        <f t="shared" si="45"/>
        <v>0</v>
      </c>
      <c r="AI32" s="1272">
        <f t="shared" si="46"/>
        <v>0</v>
      </c>
      <c r="AJ32" s="337"/>
      <c r="AK32" s="338"/>
      <c r="AL32" s="1271">
        <v>0</v>
      </c>
      <c r="AM32" s="1272">
        <v>0</v>
      </c>
      <c r="AN32" s="414">
        <f t="shared" si="22"/>
        <v>1</v>
      </c>
      <c r="AO32" s="413">
        <f t="shared" si="23"/>
        <v>1</v>
      </c>
      <c r="AP32" s="337"/>
      <c r="AQ32" s="338"/>
      <c r="AR32" s="664">
        <f t="shared" si="60"/>
        <v>0</v>
      </c>
      <c r="AS32" s="679">
        <f t="shared" si="61"/>
        <v>0</v>
      </c>
      <c r="AT32" s="383">
        <f t="shared" si="47"/>
        <v>0</v>
      </c>
      <c r="AU32" s="386">
        <f t="shared" si="48"/>
        <v>0</v>
      </c>
      <c r="AV32" s="534">
        <f t="shared" si="26"/>
        <v>2006</v>
      </c>
      <c r="AW32" s="1271">
        <f t="shared" si="49"/>
        <v>0</v>
      </c>
      <c r="AX32" s="1272">
        <f t="shared" si="50"/>
        <v>0</v>
      </c>
      <c r="AY32" s="337"/>
      <c r="AZ32" s="338"/>
      <c r="BA32" s="1271">
        <v>0</v>
      </c>
      <c r="BB32" s="1272">
        <v>0</v>
      </c>
      <c r="BC32" s="414">
        <f t="shared" si="27"/>
        <v>1</v>
      </c>
      <c r="BD32" s="413">
        <f t="shared" si="28"/>
        <v>1</v>
      </c>
      <c r="BE32" s="337"/>
      <c r="BF32" s="338"/>
      <c r="BG32" s="664">
        <f t="shared" si="62"/>
        <v>0</v>
      </c>
      <c r="BH32" s="679">
        <f t="shared" si="63"/>
        <v>0</v>
      </c>
      <c r="BI32" s="383">
        <f t="shared" si="51"/>
        <v>0</v>
      </c>
      <c r="BJ32" s="386">
        <f t="shared" si="52"/>
        <v>0</v>
      </c>
      <c r="BK32" s="534">
        <f t="shared" si="30"/>
        <v>2005</v>
      </c>
      <c r="BL32" s="1271">
        <f t="shared" si="53"/>
        <v>0</v>
      </c>
      <c r="BM32" s="1272">
        <f t="shared" si="54"/>
        <v>0</v>
      </c>
      <c r="BN32" s="337"/>
      <c r="BO32" s="338"/>
      <c r="BP32" s="1271">
        <v>0</v>
      </c>
      <c r="BQ32" s="1272">
        <v>0</v>
      </c>
      <c r="BR32" s="414">
        <f t="shared" si="31"/>
        <v>1</v>
      </c>
      <c r="BS32" s="413">
        <f t="shared" si="32"/>
        <v>1</v>
      </c>
      <c r="BT32" s="337"/>
      <c r="BU32" s="338"/>
      <c r="BV32" s="664">
        <f t="shared" si="64"/>
        <v>0</v>
      </c>
      <c r="BW32" s="679">
        <f t="shared" si="65"/>
        <v>0</v>
      </c>
      <c r="BX32" s="383">
        <f t="shared" si="55"/>
        <v>0</v>
      </c>
      <c r="BY32" s="386">
        <f t="shared" si="56"/>
        <v>0</v>
      </c>
      <c r="BZ32" s="534">
        <f t="shared" si="34"/>
        <v>2008</v>
      </c>
      <c r="CA32" s="664">
        <f t="shared" si="66"/>
        <v>0</v>
      </c>
      <c r="CB32" s="665">
        <f t="shared" si="67"/>
        <v>0</v>
      </c>
      <c r="CC32" s="664">
        <f t="shared" si="68"/>
        <v>0</v>
      </c>
      <c r="CD32" s="665">
        <f t="shared" si="69"/>
        <v>0</v>
      </c>
      <c r="CE32" s="337"/>
      <c r="CF32" s="338"/>
      <c r="CG32" s="383">
        <f t="shared" si="57"/>
        <v>0</v>
      </c>
      <c r="CH32" s="386">
        <f t="shared" si="58"/>
        <v>0</v>
      </c>
    </row>
    <row r="33" spans="2:86" ht="13.5" thickBot="1" x14ac:dyDescent="0.25">
      <c r="B33" s="313">
        <v>18</v>
      </c>
      <c r="C33" s="321">
        <f t="shared" si="35"/>
        <v>19</v>
      </c>
      <c r="D33" s="535">
        <f t="shared" si="17"/>
        <v>2007</v>
      </c>
      <c r="E33" s="341"/>
      <c r="F33" s="340"/>
      <c r="G33" s="1277">
        <v>0</v>
      </c>
      <c r="H33" s="1290">
        <v>0</v>
      </c>
      <c r="I33" s="406">
        <f t="shared" si="59"/>
        <v>0</v>
      </c>
      <c r="J33" s="407">
        <f t="shared" si="36"/>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7"/>
        <v>0.99986077611062485</v>
      </c>
      <c r="P33" s="1144">
        <f t="shared" si="38"/>
        <v>0.9999298889169097</v>
      </c>
      <c r="Q33" s="313">
        <f t="shared" si="19"/>
        <v>2007</v>
      </c>
      <c r="R33" s="341"/>
      <c r="S33" s="340"/>
      <c r="T33" s="666">
        <f t="shared" si="2"/>
        <v>0</v>
      </c>
      <c r="U33" s="667">
        <f t="shared" si="3"/>
        <v>0</v>
      </c>
      <c r="V33" s="341"/>
      <c r="W33" s="340"/>
      <c r="X33" s="384">
        <f t="shared" si="39"/>
        <v>0</v>
      </c>
      <c r="Y33" s="387">
        <f t="shared" si="40"/>
        <v>0</v>
      </c>
      <c r="Z33" s="535">
        <f t="shared" si="20"/>
        <v>2007</v>
      </c>
      <c r="AA33" s="666">
        <f t="shared" si="41"/>
        <v>0</v>
      </c>
      <c r="AB33" s="667">
        <f t="shared" si="42"/>
        <v>0</v>
      </c>
      <c r="AC33" s="341"/>
      <c r="AD33" s="340"/>
      <c r="AE33" s="384">
        <f t="shared" si="43"/>
        <v>0</v>
      </c>
      <c r="AF33" s="387">
        <f t="shared" si="44"/>
        <v>0</v>
      </c>
      <c r="AG33" s="535">
        <f t="shared" si="21"/>
        <v>2006</v>
      </c>
      <c r="AH33" s="1271">
        <f t="shared" si="45"/>
        <v>0</v>
      </c>
      <c r="AI33" s="1272">
        <f t="shared" si="46"/>
        <v>0</v>
      </c>
      <c r="AJ33" s="341"/>
      <c r="AK33" s="340"/>
      <c r="AL33" s="1271">
        <v>0</v>
      </c>
      <c r="AM33" s="1272">
        <v>0</v>
      </c>
      <c r="AN33" s="415">
        <f t="shared" si="22"/>
        <v>1</v>
      </c>
      <c r="AO33" s="416">
        <f t="shared" si="23"/>
        <v>1</v>
      </c>
      <c r="AP33" s="341"/>
      <c r="AQ33" s="340"/>
      <c r="AR33" s="666">
        <f t="shared" si="60"/>
        <v>0</v>
      </c>
      <c r="AS33" s="680">
        <f t="shared" si="61"/>
        <v>0</v>
      </c>
      <c r="AT33" s="384">
        <f t="shared" si="47"/>
        <v>0</v>
      </c>
      <c r="AU33" s="387">
        <f t="shared" si="48"/>
        <v>0</v>
      </c>
      <c r="AV33" s="535">
        <f t="shared" si="26"/>
        <v>2005</v>
      </c>
      <c r="AW33" s="1271">
        <f t="shared" si="49"/>
        <v>0</v>
      </c>
      <c r="AX33" s="1272">
        <f t="shared" si="50"/>
        <v>0</v>
      </c>
      <c r="AY33" s="341"/>
      <c r="AZ33" s="340"/>
      <c r="BA33" s="1271">
        <v>0</v>
      </c>
      <c r="BB33" s="1272">
        <v>0</v>
      </c>
      <c r="BC33" s="415">
        <f t="shared" si="27"/>
        <v>1</v>
      </c>
      <c r="BD33" s="416">
        <f t="shared" si="28"/>
        <v>1</v>
      </c>
      <c r="BE33" s="341"/>
      <c r="BF33" s="340"/>
      <c r="BG33" s="666">
        <f t="shared" si="62"/>
        <v>0</v>
      </c>
      <c r="BH33" s="680">
        <f t="shared" si="63"/>
        <v>0</v>
      </c>
      <c r="BI33" s="384">
        <f t="shared" si="51"/>
        <v>0</v>
      </c>
      <c r="BJ33" s="387">
        <f t="shared" si="52"/>
        <v>0</v>
      </c>
      <c r="BK33" s="535">
        <f t="shared" si="30"/>
        <v>2004</v>
      </c>
      <c r="BL33" s="1271">
        <f t="shared" si="53"/>
        <v>0</v>
      </c>
      <c r="BM33" s="1272">
        <f t="shared" si="54"/>
        <v>0</v>
      </c>
      <c r="BN33" s="341"/>
      <c r="BO33" s="340"/>
      <c r="BP33" s="1271">
        <v>0</v>
      </c>
      <c r="BQ33" s="1272">
        <v>0</v>
      </c>
      <c r="BR33" s="415">
        <f t="shared" si="31"/>
        <v>1</v>
      </c>
      <c r="BS33" s="416">
        <f t="shared" si="32"/>
        <v>1</v>
      </c>
      <c r="BT33" s="341"/>
      <c r="BU33" s="340"/>
      <c r="BV33" s="666">
        <f t="shared" si="64"/>
        <v>0</v>
      </c>
      <c r="BW33" s="680">
        <f t="shared" si="65"/>
        <v>0</v>
      </c>
      <c r="BX33" s="384">
        <f t="shared" si="55"/>
        <v>0</v>
      </c>
      <c r="BY33" s="387">
        <f t="shared" si="56"/>
        <v>0</v>
      </c>
      <c r="BZ33" s="535">
        <f t="shared" si="34"/>
        <v>2007</v>
      </c>
      <c r="CA33" s="666">
        <f t="shared" si="66"/>
        <v>0</v>
      </c>
      <c r="CB33" s="667">
        <f t="shared" si="67"/>
        <v>0</v>
      </c>
      <c r="CC33" s="666">
        <f t="shared" si="68"/>
        <v>0</v>
      </c>
      <c r="CD33" s="667">
        <f t="shared" si="69"/>
        <v>0</v>
      </c>
      <c r="CE33" s="341"/>
      <c r="CF33" s="340"/>
      <c r="CG33" s="384">
        <f t="shared" si="57"/>
        <v>0</v>
      </c>
      <c r="CH33" s="387">
        <f t="shared" si="58"/>
        <v>0</v>
      </c>
    </row>
    <row r="34" spans="2:86" ht="13.5" thickTop="1" x14ac:dyDescent="0.2">
      <c r="B34" s="312">
        <v>19</v>
      </c>
      <c r="C34" s="322">
        <f t="shared" si="35"/>
        <v>20</v>
      </c>
      <c r="D34" s="533">
        <f t="shared" si="17"/>
        <v>2006</v>
      </c>
      <c r="E34" s="337"/>
      <c r="F34" s="339"/>
      <c r="G34" s="1271">
        <v>0</v>
      </c>
      <c r="H34" s="1289">
        <v>0</v>
      </c>
      <c r="I34" s="394">
        <f t="shared" si="59"/>
        <v>0</v>
      </c>
      <c r="J34" s="395">
        <f t="shared" si="36"/>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7"/>
        <v>0.99983598685218933</v>
      </c>
      <c r="P34" s="1142">
        <f t="shared" si="38"/>
        <v>0.99992861312454995</v>
      </c>
      <c r="Q34" s="1139">
        <f t="shared" si="19"/>
        <v>2006</v>
      </c>
      <c r="R34" s="337"/>
      <c r="S34" s="339"/>
      <c r="T34" s="668">
        <f t="shared" si="2"/>
        <v>0</v>
      </c>
      <c r="U34" s="669">
        <f t="shared" si="3"/>
        <v>0</v>
      </c>
      <c r="V34" s="337"/>
      <c r="W34" s="339"/>
      <c r="X34" s="382">
        <f t="shared" si="39"/>
        <v>0</v>
      </c>
      <c r="Y34" s="385">
        <f t="shared" si="40"/>
        <v>0</v>
      </c>
      <c r="Z34" s="533">
        <f t="shared" si="20"/>
        <v>2006</v>
      </c>
      <c r="AA34" s="668">
        <f t="shared" si="41"/>
        <v>0</v>
      </c>
      <c r="AB34" s="669">
        <f t="shared" si="42"/>
        <v>0</v>
      </c>
      <c r="AC34" s="337"/>
      <c r="AD34" s="339"/>
      <c r="AE34" s="382">
        <f t="shared" si="43"/>
        <v>0</v>
      </c>
      <c r="AF34" s="385">
        <f t="shared" si="44"/>
        <v>0</v>
      </c>
      <c r="AG34" s="533">
        <f t="shared" si="21"/>
        <v>2005</v>
      </c>
      <c r="AH34" s="1271">
        <f t="shared" si="45"/>
        <v>0</v>
      </c>
      <c r="AI34" s="1272">
        <f t="shared" si="46"/>
        <v>0</v>
      </c>
      <c r="AJ34" s="337"/>
      <c r="AK34" s="339"/>
      <c r="AL34" s="1271">
        <v>0</v>
      </c>
      <c r="AM34" s="1272">
        <v>0</v>
      </c>
      <c r="AN34" s="412">
        <f t="shared" si="22"/>
        <v>1</v>
      </c>
      <c r="AO34" s="417">
        <f t="shared" si="23"/>
        <v>1</v>
      </c>
      <c r="AP34" s="337"/>
      <c r="AQ34" s="339"/>
      <c r="AR34" s="668">
        <f t="shared" si="60"/>
        <v>0</v>
      </c>
      <c r="AS34" s="681">
        <f t="shared" si="61"/>
        <v>0</v>
      </c>
      <c r="AT34" s="382">
        <f t="shared" si="47"/>
        <v>0</v>
      </c>
      <c r="AU34" s="385">
        <f t="shared" si="48"/>
        <v>0</v>
      </c>
      <c r="AV34" s="533">
        <f t="shared" si="26"/>
        <v>2004</v>
      </c>
      <c r="AW34" s="1271">
        <f t="shared" si="49"/>
        <v>0</v>
      </c>
      <c r="AX34" s="1272">
        <f t="shared" si="50"/>
        <v>0</v>
      </c>
      <c r="AY34" s="337"/>
      <c r="AZ34" s="339"/>
      <c r="BA34" s="1271">
        <v>0</v>
      </c>
      <c r="BB34" s="1272">
        <v>0</v>
      </c>
      <c r="BC34" s="412">
        <f t="shared" si="27"/>
        <v>1</v>
      </c>
      <c r="BD34" s="417">
        <f t="shared" si="28"/>
        <v>1</v>
      </c>
      <c r="BE34" s="337"/>
      <c r="BF34" s="339"/>
      <c r="BG34" s="668">
        <f t="shared" si="62"/>
        <v>0</v>
      </c>
      <c r="BH34" s="681">
        <f t="shared" si="63"/>
        <v>0</v>
      </c>
      <c r="BI34" s="382">
        <f t="shared" si="51"/>
        <v>0</v>
      </c>
      <c r="BJ34" s="385">
        <f t="shared" si="52"/>
        <v>0</v>
      </c>
      <c r="BK34" s="533">
        <f t="shared" si="30"/>
        <v>2003</v>
      </c>
      <c r="BL34" s="1271">
        <f t="shared" si="53"/>
        <v>0</v>
      </c>
      <c r="BM34" s="1272">
        <f t="shared" si="54"/>
        <v>0</v>
      </c>
      <c r="BN34" s="337"/>
      <c r="BO34" s="339"/>
      <c r="BP34" s="1271">
        <v>0</v>
      </c>
      <c r="BQ34" s="1272">
        <v>0</v>
      </c>
      <c r="BR34" s="412">
        <f t="shared" si="31"/>
        <v>1</v>
      </c>
      <c r="BS34" s="417">
        <f t="shared" si="32"/>
        <v>1</v>
      </c>
      <c r="BT34" s="337"/>
      <c r="BU34" s="339"/>
      <c r="BV34" s="668">
        <f t="shared" si="64"/>
        <v>0</v>
      </c>
      <c r="BW34" s="681">
        <f t="shared" si="65"/>
        <v>0</v>
      </c>
      <c r="BX34" s="382">
        <f t="shared" si="55"/>
        <v>0</v>
      </c>
      <c r="BY34" s="385">
        <f t="shared" si="56"/>
        <v>0</v>
      </c>
      <c r="BZ34" s="533">
        <f t="shared" si="34"/>
        <v>2006</v>
      </c>
      <c r="CA34" s="668">
        <f t="shared" si="66"/>
        <v>0</v>
      </c>
      <c r="CB34" s="669">
        <f t="shared" si="67"/>
        <v>0</v>
      </c>
      <c r="CC34" s="668">
        <f t="shared" si="68"/>
        <v>0</v>
      </c>
      <c r="CD34" s="669">
        <f t="shared" si="69"/>
        <v>0</v>
      </c>
      <c r="CE34" s="337"/>
      <c r="CF34" s="339"/>
      <c r="CG34" s="382">
        <f t="shared" si="57"/>
        <v>0</v>
      </c>
      <c r="CH34" s="385">
        <f t="shared" si="58"/>
        <v>0</v>
      </c>
    </row>
    <row r="35" spans="2:86" x14ac:dyDescent="0.2">
      <c r="B35" s="276">
        <v>20</v>
      </c>
      <c r="C35" s="320">
        <f t="shared" si="35"/>
        <v>21</v>
      </c>
      <c r="D35" s="534">
        <f t="shared" si="17"/>
        <v>2005</v>
      </c>
      <c r="E35" s="337"/>
      <c r="F35" s="338"/>
      <c r="G35" s="1271">
        <v>0</v>
      </c>
      <c r="H35" s="1289">
        <v>0</v>
      </c>
      <c r="I35" s="400">
        <f t="shared" si="59"/>
        <v>0</v>
      </c>
      <c r="J35" s="401">
        <f t="shared" si="36"/>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7"/>
        <v>0.99981740518784135</v>
      </c>
      <c r="P35" s="1143">
        <f t="shared" si="38"/>
        <v>0.99992877290043569</v>
      </c>
      <c r="Q35" s="356">
        <f t="shared" si="19"/>
        <v>2005</v>
      </c>
      <c r="R35" s="337"/>
      <c r="S35" s="338"/>
      <c r="T35" s="664">
        <f t="shared" si="2"/>
        <v>0</v>
      </c>
      <c r="U35" s="665">
        <f t="shared" si="3"/>
        <v>0</v>
      </c>
      <c r="V35" s="337"/>
      <c r="W35" s="338"/>
      <c r="X35" s="383">
        <f t="shared" si="39"/>
        <v>0</v>
      </c>
      <c r="Y35" s="386">
        <f t="shared" si="40"/>
        <v>0</v>
      </c>
      <c r="Z35" s="534">
        <f t="shared" si="20"/>
        <v>2005</v>
      </c>
      <c r="AA35" s="664">
        <f t="shared" si="41"/>
        <v>0</v>
      </c>
      <c r="AB35" s="665">
        <f t="shared" si="42"/>
        <v>0</v>
      </c>
      <c r="AC35" s="337"/>
      <c r="AD35" s="338"/>
      <c r="AE35" s="383">
        <f t="shared" si="43"/>
        <v>0</v>
      </c>
      <c r="AF35" s="386">
        <f t="shared" si="44"/>
        <v>0</v>
      </c>
      <c r="AG35" s="534">
        <f t="shared" si="21"/>
        <v>2004</v>
      </c>
      <c r="AH35" s="1271">
        <f t="shared" si="45"/>
        <v>0</v>
      </c>
      <c r="AI35" s="1272">
        <f t="shared" si="46"/>
        <v>0</v>
      </c>
      <c r="AJ35" s="337"/>
      <c r="AK35" s="338"/>
      <c r="AL35" s="1271">
        <v>0</v>
      </c>
      <c r="AM35" s="1272">
        <v>0</v>
      </c>
      <c r="AN35" s="414">
        <f t="shared" si="22"/>
        <v>1</v>
      </c>
      <c r="AO35" s="413">
        <f t="shared" si="23"/>
        <v>1</v>
      </c>
      <c r="AP35" s="337"/>
      <c r="AQ35" s="338"/>
      <c r="AR35" s="664">
        <f t="shared" si="60"/>
        <v>0</v>
      </c>
      <c r="AS35" s="679">
        <f t="shared" si="61"/>
        <v>0</v>
      </c>
      <c r="AT35" s="383">
        <f t="shared" si="47"/>
        <v>0</v>
      </c>
      <c r="AU35" s="386">
        <f t="shared" si="48"/>
        <v>0</v>
      </c>
      <c r="AV35" s="534">
        <f t="shared" si="26"/>
        <v>2003</v>
      </c>
      <c r="AW35" s="1271">
        <f t="shared" si="49"/>
        <v>0</v>
      </c>
      <c r="AX35" s="1272">
        <f t="shared" si="50"/>
        <v>0</v>
      </c>
      <c r="AY35" s="337"/>
      <c r="AZ35" s="338"/>
      <c r="BA35" s="1271">
        <v>0</v>
      </c>
      <c r="BB35" s="1272">
        <v>0</v>
      </c>
      <c r="BC35" s="414">
        <f t="shared" si="27"/>
        <v>1</v>
      </c>
      <c r="BD35" s="413">
        <f t="shared" si="28"/>
        <v>1</v>
      </c>
      <c r="BE35" s="337"/>
      <c r="BF35" s="338"/>
      <c r="BG35" s="664">
        <f t="shared" si="62"/>
        <v>0</v>
      </c>
      <c r="BH35" s="679">
        <f t="shared" si="63"/>
        <v>0</v>
      </c>
      <c r="BI35" s="383">
        <f t="shared" si="51"/>
        <v>0</v>
      </c>
      <c r="BJ35" s="386">
        <f t="shared" si="52"/>
        <v>0</v>
      </c>
      <c r="BK35" s="534">
        <f t="shared" si="30"/>
        <v>2002</v>
      </c>
      <c r="BL35" s="1271">
        <f t="shared" si="53"/>
        <v>0</v>
      </c>
      <c r="BM35" s="1272">
        <f t="shared" si="54"/>
        <v>0</v>
      </c>
      <c r="BN35" s="337"/>
      <c r="BO35" s="338"/>
      <c r="BP35" s="1271">
        <v>0</v>
      </c>
      <c r="BQ35" s="1272">
        <v>0</v>
      </c>
      <c r="BR35" s="414">
        <f t="shared" si="31"/>
        <v>1</v>
      </c>
      <c r="BS35" s="413">
        <f t="shared" si="32"/>
        <v>1</v>
      </c>
      <c r="BT35" s="337"/>
      <c r="BU35" s="338"/>
      <c r="BV35" s="664">
        <f t="shared" si="64"/>
        <v>0</v>
      </c>
      <c r="BW35" s="679">
        <f t="shared" si="65"/>
        <v>0</v>
      </c>
      <c r="BX35" s="383">
        <f t="shared" si="55"/>
        <v>0</v>
      </c>
      <c r="BY35" s="386">
        <f t="shared" si="56"/>
        <v>0</v>
      </c>
      <c r="BZ35" s="534">
        <f t="shared" si="34"/>
        <v>2005</v>
      </c>
      <c r="CA35" s="664">
        <f t="shared" si="66"/>
        <v>0</v>
      </c>
      <c r="CB35" s="665">
        <f t="shared" si="67"/>
        <v>0</v>
      </c>
      <c r="CC35" s="664">
        <f t="shared" si="68"/>
        <v>0</v>
      </c>
      <c r="CD35" s="665">
        <f t="shared" si="69"/>
        <v>0</v>
      </c>
      <c r="CE35" s="337"/>
      <c r="CF35" s="338"/>
      <c r="CG35" s="383">
        <f t="shared" si="57"/>
        <v>0</v>
      </c>
      <c r="CH35" s="386">
        <f t="shared" si="58"/>
        <v>0</v>
      </c>
    </row>
    <row r="36" spans="2:86" x14ac:dyDescent="0.2">
      <c r="B36" s="276">
        <v>21</v>
      </c>
      <c r="C36" s="320">
        <f t="shared" si="35"/>
        <v>22</v>
      </c>
      <c r="D36" s="534">
        <f t="shared" si="17"/>
        <v>2004</v>
      </c>
      <c r="E36" s="337"/>
      <c r="F36" s="338"/>
      <c r="G36" s="1271">
        <v>0</v>
      </c>
      <c r="H36" s="1289">
        <v>0</v>
      </c>
      <c r="I36" s="400">
        <f t="shared" si="59"/>
        <v>0</v>
      </c>
      <c r="J36" s="401">
        <f t="shared" si="36"/>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7"/>
        <v>0.99980688230809855</v>
      </c>
      <c r="P36" s="1143">
        <f t="shared" si="38"/>
        <v>0.99992922282200603</v>
      </c>
      <c r="Q36" s="356">
        <f t="shared" si="19"/>
        <v>2004</v>
      </c>
      <c r="R36" s="337"/>
      <c r="S36" s="338"/>
      <c r="T36" s="664">
        <f t="shared" si="2"/>
        <v>0</v>
      </c>
      <c r="U36" s="665">
        <f t="shared" si="3"/>
        <v>0</v>
      </c>
      <c r="V36" s="337"/>
      <c r="W36" s="338"/>
      <c r="X36" s="383">
        <f t="shared" si="39"/>
        <v>0</v>
      </c>
      <c r="Y36" s="386">
        <f t="shared" si="40"/>
        <v>0</v>
      </c>
      <c r="Z36" s="534">
        <f t="shared" si="20"/>
        <v>2004</v>
      </c>
      <c r="AA36" s="664">
        <f t="shared" si="41"/>
        <v>0</v>
      </c>
      <c r="AB36" s="665">
        <f t="shared" si="42"/>
        <v>0</v>
      </c>
      <c r="AC36" s="337"/>
      <c r="AD36" s="338"/>
      <c r="AE36" s="383">
        <f t="shared" si="43"/>
        <v>0</v>
      </c>
      <c r="AF36" s="386">
        <f t="shared" si="44"/>
        <v>0</v>
      </c>
      <c r="AG36" s="534">
        <f t="shared" si="21"/>
        <v>2003</v>
      </c>
      <c r="AH36" s="1271">
        <f t="shared" si="45"/>
        <v>0</v>
      </c>
      <c r="AI36" s="1272">
        <f t="shared" si="46"/>
        <v>0</v>
      </c>
      <c r="AJ36" s="337"/>
      <c r="AK36" s="338"/>
      <c r="AL36" s="1271">
        <v>0</v>
      </c>
      <c r="AM36" s="1272">
        <v>0</v>
      </c>
      <c r="AN36" s="414">
        <f t="shared" si="22"/>
        <v>1</v>
      </c>
      <c r="AO36" s="413">
        <f t="shared" si="23"/>
        <v>1</v>
      </c>
      <c r="AP36" s="337"/>
      <c r="AQ36" s="338"/>
      <c r="AR36" s="664">
        <f t="shared" si="60"/>
        <v>0</v>
      </c>
      <c r="AS36" s="679">
        <f t="shared" si="61"/>
        <v>0</v>
      </c>
      <c r="AT36" s="383">
        <f t="shared" si="47"/>
        <v>0</v>
      </c>
      <c r="AU36" s="386">
        <f t="shared" si="48"/>
        <v>0</v>
      </c>
      <c r="AV36" s="534">
        <f t="shared" si="26"/>
        <v>2002</v>
      </c>
      <c r="AW36" s="1271">
        <f t="shared" si="49"/>
        <v>0</v>
      </c>
      <c r="AX36" s="1272">
        <f t="shared" si="50"/>
        <v>0</v>
      </c>
      <c r="AY36" s="337"/>
      <c r="AZ36" s="338"/>
      <c r="BA36" s="1271">
        <v>0</v>
      </c>
      <c r="BB36" s="1272">
        <v>0</v>
      </c>
      <c r="BC36" s="414">
        <f t="shared" si="27"/>
        <v>1</v>
      </c>
      <c r="BD36" s="413">
        <f t="shared" si="28"/>
        <v>1</v>
      </c>
      <c r="BE36" s="337"/>
      <c r="BF36" s="338"/>
      <c r="BG36" s="664">
        <f t="shared" si="62"/>
        <v>0</v>
      </c>
      <c r="BH36" s="679">
        <f t="shared" si="63"/>
        <v>0</v>
      </c>
      <c r="BI36" s="383">
        <f t="shared" si="51"/>
        <v>0</v>
      </c>
      <c r="BJ36" s="386">
        <f t="shared" si="52"/>
        <v>0</v>
      </c>
      <c r="BK36" s="534">
        <f t="shared" si="30"/>
        <v>2001</v>
      </c>
      <c r="BL36" s="1271">
        <f t="shared" si="53"/>
        <v>0</v>
      </c>
      <c r="BM36" s="1272">
        <f t="shared" si="54"/>
        <v>0</v>
      </c>
      <c r="BN36" s="337"/>
      <c r="BO36" s="338"/>
      <c r="BP36" s="1271">
        <v>0</v>
      </c>
      <c r="BQ36" s="1272">
        <v>0</v>
      </c>
      <c r="BR36" s="414">
        <f t="shared" si="31"/>
        <v>1</v>
      </c>
      <c r="BS36" s="413">
        <f t="shared" si="32"/>
        <v>1</v>
      </c>
      <c r="BT36" s="337"/>
      <c r="BU36" s="338"/>
      <c r="BV36" s="664">
        <f t="shared" si="64"/>
        <v>0</v>
      </c>
      <c r="BW36" s="679">
        <f t="shared" si="65"/>
        <v>0</v>
      </c>
      <c r="BX36" s="383">
        <f t="shared" si="55"/>
        <v>0</v>
      </c>
      <c r="BY36" s="386">
        <f t="shared" si="56"/>
        <v>0</v>
      </c>
      <c r="BZ36" s="534">
        <f t="shared" si="34"/>
        <v>2004</v>
      </c>
      <c r="CA36" s="664">
        <f t="shared" si="66"/>
        <v>0</v>
      </c>
      <c r="CB36" s="665">
        <f t="shared" si="67"/>
        <v>0</v>
      </c>
      <c r="CC36" s="664">
        <f t="shared" si="68"/>
        <v>0</v>
      </c>
      <c r="CD36" s="665">
        <f t="shared" si="69"/>
        <v>0</v>
      </c>
      <c r="CE36" s="337"/>
      <c r="CF36" s="338"/>
      <c r="CG36" s="383">
        <f t="shared" si="57"/>
        <v>0</v>
      </c>
      <c r="CH36" s="386">
        <f t="shared" si="58"/>
        <v>0</v>
      </c>
    </row>
    <row r="37" spans="2:86" x14ac:dyDescent="0.2">
      <c r="B37" s="276">
        <v>22</v>
      </c>
      <c r="C37" s="320">
        <f t="shared" si="35"/>
        <v>23</v>
      </c>
      <c r="D37" s="534">
        <f t="shared" si="17"/>
        <v>2003</v>
      </c>
      <c r="E37" s="337"/>
      <c r="F37" s="338"/>
      <c r="G37" s="1271">
        <v>0</v>
      </c>
      <c r="H37" s="1289">
        <v>0</v>
      </c>
      <c r="I37" s="400">
        <f t="shared" si="59"/>
        <v>0</v>
      </c>
      <c r="J37" s="401">
        <f t="shared" si="36"/>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7"/>
        <v>0.99980328272465613</v>
      </c>
      <c r="P37" s="1143">
        <f t="shared" si="38"/>
        <v>0.99992946946265238</v>
      </c>
      <c r="Q37" s="356">
        <f t="shared" si="19"/>
        <v>2003</v>
      </c>
      <c r="R37" s="337"/>
      <c r="S37" s="338"/>
      <c r="T37" s="664">
        <f t="shared" si="2"/>
        <v>0</v>
      </c>
      <c r="U37" s="665">
        <f t="shared" si="3"/>
        <v>0</v>
      </c>
      <c r="V37" s="337"/>
      <c r="W37" s="338"/>
      <c r="X37" s="383">
        <f t="shared" si="39"/>
        <v>0</v>
      </c>
      <c r="Y37" s="386">
        <f t="shared" si="40"/>
        <v>0</v>
      </c>
      <c r="Z37" s="534">
        <f t="shared" si="20"/>
        <v>2003</v>
      </c>
      <c r="AA37" s="664">
        <f t="shared" si="41"/>
        <v>0</v>
      </c>
      <c r="AB37" s="665">
        <f t="shared" si="42"/>
        <v>0</v>
      </c>
      <c r="AC37" s="337"/>
      <c r="AD37" s="338"/>
      <c r="AE37" s="383">
        <f t="shared" si="43"/>
        <v>0</v>
      </c>
      <c r="AF37" s="386">
        <f t="shared" si="44"/>
        <v>0</v>
      </c>
      <c r="AG37" s="534">
        <f t="shared" si="21"/>
        <v>2002</v>
      </c>
      <c r="AH37" s="1271">
        <f t="shared" si="45"/>
        <v>0</v>
      </c>
      <c r="AI37" s="1272">
        <f t="shared" si="46"/>
        <v>0</v>
      </c>
      <c r="AJ37" s="337"/>
      <c r="AK37" s="338"/>
      <c r="AL37" s="1271">
        <v>0</v>
      </c>
      <c r="AM37" s="1272">
        <v>0</v>
      </c>
      <c r="AN37" s="414">
        <f t="shared" si="22"/>
        <v>1</v>
      </c>
      <c r="AO37" s="413">
        <f t="shared" si="23"/>
        <v>1</v>
      </c>
      <c r="AP37" s="337"/>
      <c r="AQ37" s="338"/>
      <c r="AR37" s="664">
        <f t="shared" si="60"/>
        <v>0</v>
      </c>
      <c r="AS37" s="679">
        <f t="shared" si="61"/>
        <v>0</v>
      </c>
      <c r="AT37" s="383">
        <f t="shared" si="47"/>
        <v>0</v>
      </c>
      <c r="AU37" s="386">
        <f t="shared" si="48"/>
        <v>0</v>
      </c>
      <c r="AV37" s="534">
        <f t="shared" si="26"/>
        <v>2001</v>
      </c>
      <c r="AW37" s="1271">
        <f t="shared" si="49"/>
        <v>0</v>
      </c>
      <c r="AX37" s="1272">
        <f t="shared" si="50"/>
        <v>0</v>
      </c>
      <c r="AY37" s="337"/>
      <c r="AZ37" s="338"/>
      <c r="BA37" s="1271">
        <v>0</v>
      </c>
      <c r="BB37" s="1272">
        <v>0</v>
      </c>
      <c r="BC37" s="414">
        <f t="shared" si="27"/>
        <v>1</v>
      </c>
      <c r="BD37" s="413">
        <f t="shared" si="28"/>
        <v>1</v>
      </c>
      <c r="BE37" s="337"/>
      <c r="BF37" s="338"/>
      <c r="BG37" s="664">
        <f t="shared" si="62"/>
        <v>0</v>
      </c>
      <c r="BH37" s="679">
        <f t="shared" si="63"/>
        <v>0</v>
      </c>
      <c r="BI37" s="383">
        <f t="shared" si="51"/>
        <v>0</v>
      </c>
      <c r="BJ37" s="386">
        <f t="shared" si="52"/>
        <v>0</v>
      </c>
      <c r="BK37" s="534">
        <f t="shared" si="30"/>
        <v>2000</v>
      </c>
      <c r="BL37" s="1271">
        <f t="shared" si="53"/>
        <v>0</v>
      </c>
      <c r="BM37" s="1272">
        <f t="shared" si="54"/>
        <v>0</v>
      </c>
      <c r="BN37" s="337"/>
      <c r="BO37" s="338"/>
      <c r="BP37" s="1271">
        <v>0</v>
      </c>
      <c r="BQ37" s="1272">
        <v>0</v>
      </c>
      <c r="BR37" s="414">
        <f t="shared" si="31"/>
        <v>1</v>
      </c>
      <c r="BS37" s="413">
        <f t="shared" si="32"/>
        <v>1</v>
      </c>
      <c r="BT37" s="337"/>
      <c r="BU37" s="338"/>
      <c r="BV37" s="664">
        <f t="shared" si="64"/>
        <v>0</v>
      </c>
      <c r="BW37" s="679">
        <f t="shared" si="65"/>
        <v>0</v>
      </c>
      <c r="BX37" s="383">
        <f t="shared" si="55"/>
        <v>0</v>
      </c>
      <c r="BY37" s="386">
        <f t="shared" si="56"/>
        <v>0</v>
      </c>
      <c r="BZ37" s="534">
        <f t="shared" si="34"/>
        <v>2003</v>
      </c>
      <c r="CA37" s="664">
        <f t="shared" si="66"/>
        <v>0</v>
      </c>
      <c r="CB37" s="665">
        <f t="shared" si="67"/>
        <v>0</v>
      </c>
      <c r="CC37" s="664">
        <f t="shared" si="68"/>
        <v>0</v>
      </c>
      <c r="CD37" s="665">
        <f t="shared" si="69"/>
        <v>0</v>
      </c>
      <c r="CE37" s="337"/>
      <c r="CF37" s="338"/>
      <c r="CG37" s="383">
        <f t="shared" si="57"/>
        <v>0</v>
      </c>
      <c r="CH37" s="386">
        <f t="shared" si="58"/>
        <v>0</v>
      </c>
    </row>
    <row r="38" spans="2:86" x14ac:dyDescent="0.2">
      <c r="B38" s="276">
        <v>23</v>
      </c>
      <c r="C38" s="320">
        <f t="shared" si="35"/>
        <v>24</v>
      </c>
      <c r="D38" s="534">
        <f t="shared" si="17"/>
        <v>2002</v>
      </c>
      <c r="E38" s="337"/>
      <c r="F38" s="338"/>
      <c r="G38" s="1271">
        <v>0</v>
      </c>
      <c r="H38" s="1289">
        <v>0</v>
      </c>
      <c r="I38" s="400">
        <f t="shared" si="59"/>
        <v>0</v>
      </c>
      <c r="J38" s="401">
        <f t="shared" si="36"/>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7"/>
        <v>0.9998037904607382</v>
      </c>
      <c r="P38" s="1143">
        <f t="shared" si="38"/>
        <v>0.99992923342576912</v>
      </c>
      <c r="Q38" s="356">
        <f t="shared" si="19"/>
        <v>2002</v>
      </c>
      <c r="R38" s="337"/>
      <c r="S38" s="338"/>
      <c r="T38" s="664">
        <f t="shared" si="2"/>
        <v>0</v>
      </c>
      <c r="U38" s="665">
        <f t="shared" si="3"/>
        <v>0</v>
      </c>
      <c r="V38" s="337"/>
      <c r="W38" s="338"/>
      <c r="X38" s="383">
        <f t="shared" si="39"/>
        <v>0</v>
      </c>
      <c r="Y38" s="386">
        <f t="shared" si="40"/>
        <v>0</v>
      </c>
      <c r="Z38" s="534">
        <f t="shared" si="20"/>
        <v>2002</v>
      </c>
      <c r="AA38" s="664">
        <f t="shared" si="41"/>
        <v>0</v>
      </c>
      <c r="AB38" s="665">
        <f t="shared" si="42"/>
        <v>0</v>
      </c>
      <c r="AC38" s="337"/>
      <c r="AD38" s="338"/>
      <c r="AE38" s="383">
        <f t="shared" si="43"/>
        <v>0</v>
      </c>
      <c r="AF38" s="386">
        <f t="shared" si="44"/>
        <v>0</v>
      </c>
      <c r="AG38" s="534">
        <f t="shared" si="21"/>
        <v>2001</v>
      </c>
      <c r="AH38" s="1271">
        <f t="shared" si="45"/>
        <v>0</v>
      </c>
      <c r="AI38" s="1272">
        <f t="shared" si="46"/>
        <v>0</v>
      </c>
      <c r="AJ38" s="337"/>
      <c r="AK38" s="338"/>
      <c r="AL38" s="1271">
        <v>0</v>
      </c>
      <c r="AM38" s="1272">
        <v>0</v>
      </c>
      <c r="AN38" s="414">
        <f t="shared" si="22"/>
        <v>1</v>
      </c>
      <c r="AO38" s="413">
        <f t="shared" si="23"/>
        <v>1</v>
      </c>
      <c r="AP38" s="337"/>
      <c r="AQ38" s="338"/>
      <c r="AR38" s="664">
        <f t="shared" si="60"/>
        <v>0</v>
      </c>
      <c r="AS38" s="679">
        <f t="shared" si="61"/>
        <v>0</v>
      </c>
      <c r="AT38" s="383">
        <f t="shared" si="47"/>
        <v>0</v>
      </c>
      <c r="AU38" s="386">
        <f t="shared" si="48"/>
        <v>0</v>
      </c>
      <c r="AV38" s="534">
        <f t="shared" si="26"/>
        <v>2000</v>
      </c>
      <c r="AW38" s="1271">
        <f t="shared" si="49"/>
        <v>0</v>
      </c>
      <c r="AX38" s="1272">
        <f t="shared" si="50"/>
        <v>0</v>
      </c>
      <c r="AY38" s="337"/>
      <c r="AZ38" s="338"/>
      <c r="BA38" s="1271">
        <v>0</v>
      </c>
      <c r="BB38" s="1272">
        <v>0</v>
      </c>
      <c r="BC38" s="414">
        <f t="shared" si="27"/>
        <v>1</v>
      </c>
      <c r="BD38" s="413">
        <f t="shared" si="28"/>
        <v>1</v>
      </c>
      <c r="BE38" s="337"/>
      <c r="BF38" s="338"/>
      <c r="BG38" s="664">
        <f t="shared" si="62"/>
        <v>0</v>
      </c>
      <c r="BH38" s="679">
        <f t="shared" si="63"/>
        <v>0</v>
      </c>
      <c r="BI38" s="383">
        <f t="shared" si="51"/>
        <v>0</v>
      </c>
      <c r="BJ38" s="386">
        <f t="shared" si="52"/>
        <v>0</v>
      </c>
      <c r="BK38" s="534">
        <f t="shared" si="30"/>
        <v>1999</v>
      </c>
      <c r="BL38" s="1271">
        <f t="shared" si="53"/>
        <v>0</v>
      </c>
      <c r="BM38" s="1272">
        <f t="shared" si="54"/>
        <v>0</v>
      </c>
      <c r="BN38" s="337"/>
      <c r="BO38" s="338"/>
      <c r="BP38" s="1271">
        <v>0</v>
      </c>
      <c r="BQ38" s="1272">
        <v>0</v>
      </c>
      <c r="BR38" s="414">
        <f t="shared" si="31"/>
        <v>1</v>
      </c>
      <c r="BS38" s="413">
        <f t="shared" si="32"/>
        <v>1</v>
      </c>
      <c r="BT38" s="337"/>
      <c r="BU38" s="338"/>
      <c r="BV38" s="664">
        <f t="shared" si="64"/>
        <v>0</v>
      </c>
      <c r="BW38" s="679">
        <f t="shared" si="65"/>
        <v>0</v>
      </c>
      <c r="BX38" s="383">
        <f t="shared" si="55"/>
        <v>0</v>
      </c>
      <c r="BY38" s="386">
        <f t="shared" si="56"/>
        <v>0</v>
      </c>
      <c r="BZ38" s="534">
        <f t="shared" si="34"/>
        <v>2002</v>
      </c>
      <c r="CA38" s="664">
        <f t="shared" si="66"/>
        <v>0</v>
      </c>
      <c r="CB38" s="665">
        <f t="shared" si="67"/>
        <v>0</v>
      </c>
      <c r="CC38" s="664">
        <f t="shared" si="68"/>
        <v>0</v>
      </c>
      <c r="CD38" s="665">
        <f t="shared" si="69"/>
        <v>0</v>
      </c>
      <c r="CE38" s="337"/>
      <c r="CF38" s="338"/>
      <c r="CG38" s="383">
        <f t="shared" si="57"/>
        <v>0</v>
      </c>
      <c r="CH38" s="386">
        <f t="shared" si="58"/>
        <v>0</v>
      </c>
    </row>
    <row r="39" spans="2:86" x14ac:dyDescent="0.2">
      <c r="B39" s="276">
        <v>24</v>
      </c>
      <c r="C39" s="320">
        <f t="shared" si="35"/>
        <v>25</v>
      </c>
      <c r="D39" s="534">
        <f t="shared" si="17"/>
        <v>2001</v>
      </c>
      <c r="E39" s="337"/>
      <c r="F39" s="338"/>
      <c r="G39" s="1271">
        <v>0</v>
      </c>
      <c r="H39" s="1289">
        <v>0</v>
      </c>
      <c r="I39" s="400">
        <f t="shared" si="59"/>
        <v>0</v>
      </c>
      <c r="J39" s="401">
        <f t="shared" si="36"/>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7"/>
        <v>0.99980545749316863</v>
      </c>
      <c r="P39" s="1143">
        <f t="shared" si="38"/>
        <v>0.99992838492606362</v>
      </c>
      <c r="Q39" s="356">
        <f t="shared" si="19"/>
        <v>2001</v>
      </c>
      <c r="R39" s="337"/>
      <c r="S39" s="338"/>
      <c r="T39" s="664">
        <f t="shared" si="2"/>
        <v>0</v>
      </c>
      <c r="U39" s="665">
        <f t="shared" si="3"/>
        <v>0</v>
      </c>
      <c r="V39" s="337"/>
      <c r="W39" s="338"/>
      <c r="X39" s="383">
        <f t="shared" si="39"/>
        <v>0</v>
      </c>
      <c r="Y39" s="386">
        <f t="shared" si="40"/>
        <v>0</v>
      </c>
      <c r="Z39" s="534">
        <f t="shared" si="20"/>
        <v>2001</v>
      </c>
      <c r="AA39" s="664">
        <f t="shared" si="41"/>
        <v>0</v>
      </c>
      <c r="AB39" s="665">
        <f t="shared" si="42"/>
        <v>0</v>
      </c>
      <c r="AC39" s="337"/>
      <c r="AD39" s="338"/>
      <c r="AE39" s="383">
        <f t="shared" si="43"/>
        <v>0</v>
      </c>
      <c r="AF39" s="386">
        <f t="shared" si="44"/>
        <v>0</v>
      </c>
      <c r="AG39" s="534">
        <f t="shared" si="21"/>
        <v>2000</v>
      </c>
      <c r="AH39" s="1271">
        <f t="shared" si="45"/>
        <v>0</v>
      </c>
      <c r="AI39" s="1272">
        <f t="shared" si="46"/>
        <v>0</v>
      </c>
      <c r="AJ39" s="337"/>
      <c r="AK39" s="338"/>
      <c r="AL39" s="1271">
        <v>0</v>
      </c>
      <c r="AM39" s="1272">
        <v>0</v>
      </c>
      <c r="AN39" s="414">
        <f t="shared" si="22"/>
        <v>1</v>
      </c>
      <c r="AO39" s="413">
        <f t="shared" si="23"/>
        <v>1</v>
      </c>
      <c r="AP39" s="337"/>
      <c r="AQ39" s="338"/>
      <c r="AR39" s="664">
        <f t="shared" si="60"/>
        <v>0</v>
      </c>
      <c r="AS39" s="679">
        <f t="shared" si="61"/>
        <v>0</v>
      </c>
      <c r="AT39" s="383">
        <f t="shared" si="47"/>
        <v>0</v>
      </c>
      <c r="AU39" s="386">
        <f t="shared" si="48"/>
        <v>0</v>
      </c>
      <c r="AV39" s="534">
        <f t="shared" si="26"/>
        <v>1999</v>
      </c>
      <c r="AW39" s="1271">
        <f t="shared" si="49"/>
        <v>0</v>
      </c>
      <c r="AX39" s="1272">
        <f t="shared" si="50"/>
        <v>0</v>
      </c>
      <c r="AY39" s="337"/>
      <c r="AZ39" s="338"/>
      <c r="BA39" s="1271">
        <v>0</v>
      </c>
      <c r="BB39" s="1272">
        <v>0</v>
      </c>
      <c r="BC39" s="414">
        <f t="shared" si="27"/>
        <v>1</v>
      </c>
      <c r="BD39" s="413">
        <f t="shared" si="28"/>
        <v>1</v>
      </c>
      <c r="BE39" s="337"/>
      <c r="BF39" s="338"/>
      <c r="BG39" s="664">
        <f t="shared" si="62"/>
        <v>0</v>
      </c>
      <c r="BH39" s="679">
        <f t="shared" si="63"/>
        <v>0</v>
      </c>
      <c r="BI39" s="383">
        <f t="shared" si="51"/>
        <v>0</v>
      </c>
      <c r="BJ39" s="386">
        <f t="shared" si="52"/>
        <v>0</v>
      </c>
      <c r="BK39" s="534">
        <f t="shared" si="30"/>
        <v>1998</v>
      </c>
      <c r="BL39" s="1271">
        <f t="shared" si="53"/>
        <v>0</v>
      </c>
      <c r="BM39" s="1272">
        <f t="shared" si="54"/>
        <v>0</v>
      </c>
      <c r="BN39" s="337"/>
      <c r="BO39" s="338"/>
      <c r="BP39" s="1271">
        <v>0</v>
      </c>
      <c r="BQ39" s="1272">
        <v>0</v>
      </c>
      <c r="BR39" s="414">
        <f t="shared" si="31"/>
        <v>1</v>
      </c>
      <c r="BS39" s="413">
        <f t="shared" si="32"/>
        <v>1</v>
      </c>
      <c r="BT39" s="337"/>
      <c r="BU39" s="338"/>
      <c r="BV39" s="664">
        <f t="shared" si="64"/>
        <v>0</v>
      </c>
      <c r="BW39" s="679">
        <f t="shared" si="65"/>
        <v>0</v>
      </c>
      <c r="BX39" s="383">
        <f t="shared" si="55"/>
        <v>0</v>
      </c>
      <c r="BY39" s="386">
        <f t="shared" si="56"/>
        <v>0</v>
      </c>
      <c r="BZ39" s="534">
        <f t="shared" si="34"/>
        <v>2001</v>
      </c>
      <c r="CA39" s="664">
        <f t="shared" si="66"/>
        <v>0</v>
      </c>
      <c r="CB39" s="665">
        <f t="shared" si="67"/>
        <v>0</v>
      </c>
      <c r="CC39" s="664">
        <f t="shared" si="68"/>
        <v>0</v>
      </c>
      <c r="CD39" s="665">
        <f t="shared" si="69"/>
        <v>0</v>
      </c>
      <c r="CE39" s="337"/>
      <c r="CF39" s="338"/>
      <c r="CG39" s="383">
        <f t="shared" si="57"/>
        <v>0</v>
      </c>
      <c r="CH39" s="386">
        <f t="shared" si="58"/>
        <v>0</v>
      </c>
    </row>
    <row r="40" spans="2:86" ht="13.5" thickBot="1" x14ac:dyDescent="0.25">
      <c r="B40" s="313">
        <v>25</v>
      </c>
      <c r="C40" s="321">
        <f t="shared" si="35"/>
        <v>26</v>
      </c>
      <c r="D40" s="535">
        <f t="shared" si="17"/>
        <v>2000</v>
      </c>
      <c r="E40" s="341"/>
      <c r="F40" s="340"/>
      <c r="G40" s="1277">
        <v>0</v>
      </c>
      <c r="H40" s="1290">
        <v>0</v>
      </c>
      <c r="I40" s="406">
        <f t="shared" si="59"/>
        <v>0</v>
      </c>
      <c r="J40" s="407">
        <f t="shared" si="36"/>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7"/>
        <v>0.99980669695244995</v>
      </c>
      <c r="P40" s="1144">
        <f t="shared" si="38"/>
        <v>0.99992693818428235</v>
      </c>
      <c r="Q40" s="313">
        <f t="shared" si="19"/>
        <v>2000</v>
      </c>
      <c r="R40" s="341"/>
      <c r="S40" s="340"/>
      <c r="T40" s="666">
        <f t="shared" si="2"/>
        <v>0</v>
      </c>
      <c r="U40" s="667">
        <f t="shared" si="3"/>
        <v>0</v>
      </c>
      <c r="V40" s="341"/>
      <c r="W40" s="340"/>
      <c r="X40" s="384">
        <f t="shared" si="39"/>
        <v>0</v>
      </c>
      <c r="Y40" s="387">
        <f t="shared" si="40"/>
        <v>0</v>
      </c>
      <c r="Z40" s="535">
        <f t="shared" si="20"/>
        <v>2000</v>
      </c>
      <c r="AA40" s="666">
        <f t="shared" si="41"/>
        <v>0</v>
      </c>
      <c r="AB40" s="667">
        <f t="shared" si="42"/>
        <v>0</v>
      </c>
      <c r="AC40" s="341"/>
      <c r="AD40" s="340"/>
      <c r="AE40" s="384">
        <f t="shared" si="43"/>
        <v>0</v>
      </c>
      <c r="AF40" s="387">
        <f t="shared" si="44"/>
        <v>0</v>
      </c>
      <c r="AG40" s="535">
        <f t="shared" si="21"/>
        <v>1999</v>
      </c>
      <c r="AH40" s="1271">
        <f t="shared" si="45"/>
        <v>0</v>
      </c>
      <c r="AI40" s="1272">
        <f t="shared" si="46"/>
        <v>0</v>
      </c>
      <c r="AJ40" s="341"/>
      <c r="AK40" s="340"/>
      <c r="AL40" s="1271">
        <v>0</v>
      </c>
      <c r="AM40" s="1272">
        <v>0</v>
      </c>
      <c r="AN40" s="415">
        <f t="shared" si="22"/>
        <v>1</v>
      </c>
      <c r="AO40" s="416">
        <f t="shared" si="23"/>
        <v>1</v>
      </c>
      <c r="AP40" s="341"/>
      <c r="AQ40" s="340"/>
      <c r="AR40" s="666">
        <f t="shared" si="60"/>
        <v>0</v>
      </c>
      <c r="AS40" s="680">
        <f t="shared" si="61"/>
        <v>0</v>
      </c>
      <c r="AT40" s="384">
        <f t="shared" si="47"/>
        <v>0</v>
      </c>
      <c r="AU40" s="387">
        <f t="shared" si="48"/>
        <v>0</v>
      </c>
      <c r="AV40" s="535">
        <f t="shared" si="26"/>
        <v>1998</v>
      </c>
      <c r="AW40" s="1271">
        <f t="shared" si="49"/>
        <v>0</v>
      </c>
      <c r="AX40" s="1272">
        <f t="shared" si="50"/>
        <v>0</v>
      </c>
      <c r="AY40" s="341"/>
      <c r="AZ40" s="340"/>
      <c r="BA40" s="1271">
        <v>0</v>
      </c>
      <c r="BB40" s="1272">
        <v>0</v>
      </c>
      <c r="BC40" s="415">
        <f t="shared" si="27"/>
        <v>1</v>
      </c>
      <c r="BD40" s="416">
        <f t="shared" si="28"/>
        <v>1</v>
      </c>
      <c r="BE40" s="341"/>
      <c r="BF40" s="340"/>
      <c r="BG40" s="666">
        <f t="shared" si="62"/>
        <v>0</v>
      </c>
      <c r="BH40" s="680">
        <f t="shared" si="63"/>
        <v>0</v>
      </c>
      <c r="BI40" s="384">
        <f t="shared" si="51"/>
        <v>0</v>
      </c>
      <c r="BJ40" s="387">
        <f t="shared" si="52"/>
        <v>0</v>
      </c>
      <c r="BK40" s="535">
        <f t="shared" si="30"/>
        <v>1997</v>
      </c>
      <c r="BL40" s="1271">
        <f t="shared" si="53"/>
        <v>0</v>
      </c>
      <c r="BM40" s="1272">
        <f t="shared" si="54"/>
        <v>0</v>
      </c>
      <c r="BN40" s="341"/>
      <c r="BO40" s="340"/>
      <c r="BP40" s="1271">
        <v>0</v>
      </c>
      <c r="BQ40" s="1272">
        <v>0</v>
      </c>
      <c r="BR40" s="415">
        <f t="shared" si="31"/>
        <v>1</v>
      </c>
      <c r="BS40" s="416">
        <f t="shared" si="32"/>
        <v>1</v>
      </c>
      <c r="BT40" s="341"/>
      <c r="BU40" s="340"/>
      <c r="BV40" s="666">
        <f t="shared" si="64"/>
        <v>0</v>
      </c>
      <c r="BW40" s="680">
        <f t="shared" si="65"/>
        <v>0</v>
      </c>
      <c r="BX40" s="384">
        <f t="shared" si="55"/>
        <v>0</v>
      </c>
      <c r="BY40" s="387">
        <f t="shared" si="56"/>
        <v>0</v>
      </c>
      <c r="BZ40" s="535">
        <f t="shared" si="34"/>
        <v>2000</v>
      </c>
      <c r="CA40" s="666">
        <f t="shared" si="66"/>
        <v>0</v>
      </c>
      <c r="CB40" s="667">
        <f t="shared" si="67"/>
        <v>0</v>
      </c>
      <c r="CC40" s="666">
        <f t="shared" si="68"/>
        <v>0</v>
      </c>
      <c r="CD40" s="667">
        <f t="shared" si="69"/>
        <v>0</v>
      </c>
      <c r="CE40" s="341"/>
      <c r="CF40" s="340"/>
      <c r="CG40" s="384">
        <f t="shared" si="57"/>
        <v>0</v>
      </c>
      <c r="CH40" s="387">
        <f t="shared" si="58"/>
        <v>0</v>
      </c>
    </row>
    <row r="41" spans="2:86" ht="13.5" thickTop="1" x14ac:dyDescent="0.2">
      <c r="B41" s="312">
        <v>26</v>
      </c>
      <c r="C41" s="322">
        <f t="shared" si="35"/>
        <v>27</v>
      </c>
      <c r="D41" s="533">
        <f t="shared" si="17"/>
        <v>1999</v>
      </c>
      <c r="E41" s="337"/>
      <c r="F41" s="338"/>
      <c r="G41" s="1271">
        <v>0</v>
      </c>
      <c r="H41" s="1289">
        <v>0</v>
      </c>
      <c r="I41" s="394">
        <f t="shared" si="59"/>
        <v>0</v>
      </c>
      <c r="J41" s="395">
        <f t="shared" si="36"/>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7"/>
        <v>0.99980724216247507</v>
      </c>
      <c r="P41" s="1142">
        <f t="shared" si="38"/>
        <v>0.9999249448059444</v>
      </c>
      <c r="Q41" s="1139">
        <f t="shared" si="19"/>
        <v>1999</v>
      </c>
      <c r="R41" s="337"/>
      <c r="S41" s="338"/>
      <c r="T41" s="668">
        <f t="shared" si="2"/>
        <v>0</v>
      </c>
      <c r="U41" s="669">
        <f t="shared" si="3"/>
        <v>0</v>
      </c>
      <c r="V41" s="337"/>
      <c r="W41" s="338"/>
      <c r="X41" s="382">
        <f t="shared" si="39"/>
        <v>0</v>
      </c>
      <c r="Y41" s="385">
        <f t="shared" si="40"/>
        <v>0</v>
      </c>
      <c r="Z41" s="533">
        <f t="shared" si="20"/>
        <v>1999</v>
      </c>
      <c r="AA41" s="668">
        <f t="shared" si="41"/>
        <v>0</v>
      </c>
      <c r="AB41" s="669">
        <f t="shared" si="42"/>
        <v>0</v>
      </c>
      <c r="AC41" s="337"/>
      <c r="AD41" s="338"/>
      <c r="AE41" s="382">
        <f t="shared" si="43"/>
        <v>0</v>
      </c>
      <c r="AF41" s="385">
        <f t="shared" si="44"/>
        <v>0</v>
      </c>
      <c r="AG41" s="533">
        <f t="shared" si="21"/>
        <v>1998</v>
      </c>
      <c r="AH41" s="1271">
        <f t="shared" si="45"/>
        <v>0</v>
      </c>
      <c r="AI41" s="1272">
        <f t="shared" si="46"/>
        <v>0</v>
      </c>
      <c r="AJ41" s="337"/>
      <c r="AK41" s="338"/>
      <c r="AL41" s="1271">
        <v>0</v>
      </c>
      <c r="AM41" s="1272">
        <v>0</v>
      </c>
      <c r="AN41" s="412">
        <f t="shared" si="22"/>
        <v>1</v>
      </c>
      <c r="AO41" s="417">
        <f t="shared" si="23"/>
        <v>1</v>
      </c>
      <c r="AP41" s="337"/>
      <c r="AQ41" s="338"/>
      <c r="AR41" s="668">
        <f t="shared" si="60"/>
        <v>0</v>
      </c>
      <c r="AS41" s="681">
        <f t="shared" si="61"/>
        <v>0</v>
      </c>
      <c r="AT41" s="382">
        <f t="shared" si="47"/>
        <v>0</v>
      </c>
      <c r="AU41" s="385">
        <f t="shared" si="48"/>
        <v>0</v>
      </c>
      <c r="AV41" s="533">
        <f t="shared" si="26"/>
        <v>1997</v>
      </c>
      <c r="AW41" s="1271">
        <f t="shared" si="49"/>
        <v>0</v>
      </c>
      <c r="AX41" s="1272">
        <f t="shared" si="50"/>
        <v>0</v>
      </c>
      <c r="AY41" s="337"/>
      <c r="AZ41" s="338"/>
      <c r="BA41" s="1271">
        <v>0</v>
      </c>
      <c r="BB41" s="1272">
        <v>0</v>
      </c>
      <c r="BC41" s="412">
        <f t="shared" si="27"/>
        <v>1</v>
      </c>
      <c r="BD41" s="417">
        <f t="shared" si="28"/>
        <v>1</v>
      </c>
      <c r="BE41" s="337"/>
      <c r="BF41" s="338"/>
      <c r="BG41" s="668">
        <f t="shared" si="62"/>
        <v>0</v>
      </c>
      <c r="BH41" s="681">
        <f t="shared" si="63"/>
        <v>0</v>
      </c>
      <c r="BI41" s="382">
        <f t="shared" si="51"/>
        <v>0</v>
      </c>
      <c r="BJ41" s="385">
        <f t="shared" si="52"/>
        <v>0</v>
      </c>
      <c r="BK41" s="533">
        <f t="shared" si="30"/>
        <v>1996</v>
      </c>
      <c r="BL41" s="1271">
        <f t="shared" si="53"/>
        <v>0</v>
      </c>
      <c r="BM41" s="1272">
        <f t="shared" si="54"/>
        <v>0</v>
      </c>
      <c r="BN41" s="337"/>
      <c r="BO41" s="338"/>
      <c r="BP41" s="1271">
        <v>0</v>
      </c>
      <c r="BQ41" s="1272">
        <v>0</v>
      </c>
      <c r="BR41" s="412">
        <f t="shared" si="31"/>
        <v>1</v>
      </c>
      <c r="BS41" s="417">
        <f t="shared" si="32"/>
        <v>1</v>
      </c>
      <c r="BT41" s="337"/>
      <c r="BU41" s="338"/>
      <c r="BV41" s="668">
        <f t="shared" si="64"/>
        <v>0</v>
      </c>
      <c r="BW41" s="681">
        <f t="shared" si="65"/>
        <v>0</v>
      </c>
      <c r="BX41" s="382">
        <f t="shared" si="55"/>
        <v>0</v>
      </c>
      <c r="BY41" s="385">
        <f t="shared" si="56"/>
        <v>0</v>
      </c>
      <c r="BZ41" s="533">
        <f t="shared" si="34"/>
        <v>1999</v>
      </c>
      <c r="CA41" s="668">
        <f t="shared" si="66"/>
        <v>0</v>
      </c>
      <c r="CB41" s="669">
        <f t="shared" si="67"/>
        <v>0</v>
      </c>
      <c r="CC41" s="668">
        <f t="shared" si="68"/>
        <v>0</v>
      </c>
      <c r="CD41" s="669">
        <f t="shared" si="69"/>
        <v>0</v>
      </c>
      <c r="CE41" s="337"/>
      <c r="CF41" s="338"/>
      <c r="CG41" s="382">
        <f t="shared" si="57"/>
        <v>0</v>
      </c>
      <c r="CH41" s="385">
        <f t="shared" si="58"/>
        <v>0</v>
      </c>
    </row>
    <row r="42" spans="2:86" x14ac:dyDescent="0.2">
      <c r="B42" s="276">
        <v>27</v>
      </c>
      <c r="C42" s="320">
        <f t="shared" si="35"/>
        <v>28</v>
      </c>
      <c r="D42" s="534">
        <f t="shared" si="17"/>
        <v>1998</v>
      </c>
      <c r="E42" s="337"/>
      <c r="F42" s="338"/>
      <c r="G42" s="1271">
        <v>0</v>
      </c>
      <c r="H42" s="1289">
        <v>0</v>
      </c>
      <c r="I42" s="400">
        <f t="shared" si="59"/>
        <v>0</v>
      </c>
      <c r="J42" s="401">
        <f t="shared" si="36"/>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7"/>
        <v>0.99980703610954968</v>
      </c>
      <c r="P42" s="1143">
        <f t="shared" si="38"/>
        <v>0.99992240187534986</v>
      </c>
      <c r="Q42" s="356">
        <f t="shared" si="19"/>
        <v>1998</v>
      </c>
      <c r="R42" s="337"/>
      <c r="S42" s="338"/>
      <c r="T42" s="664">
        <f t="shared" si="2"/>
        <v>0</v>
      </c>
      <c r="U42" s="665">
        <f t="shared" si="3"/>
        <v>0</v>
      </c>
      <c r="V42" s="337"/>
      <c r="W42" s="338"/>
      <c r="X42" s="383">
        <f t="shared" si="39"/>
        <v>0</v>
      </c>
      <c r="Y42" s="386">
        <f t="shared" si="40"/>
        <v>0</v>
      </c>
      <c r="Z42" s="534">
        <f t="shared" si="20"/>
        <v>1998</v>
      </c>
      <c r="AA42" s="664">
        <f t="shared" si="41"/>
        <v>0</v>
      </c>
      <c r="AB42" s="665">
        <f t="shared" si="42"/>
        <v>0</v>
      </c>
      <c r="AC42" s="337"/>
      <c r="AD42" s="338"/>
      <c r="AE42" s="383">
        <f t="shared" si="43"/>
        <v>0</v>
      </c>
      <c r="AF42" s="386">
        <f t="shared" si="44"/>
        <v>0</v>
      </c>
      <c r="AG42" s="534">
        <f t="shared" si="21"/>
        <v>1997</v>
      </c>
      <c r="AH42" s="1271">
        <f t="shared" si="45"/>
        <v>0</v>
      </c>
      <c r="AI42" s="1272">
        <f t="shared" si="46"/>
        <v>0</v>
      </c>
      <c r="AJ42" s="337"/>
      <c r="AK42" s="338"/>
      <c r="AL42" s="1271">
        <v>0</v>
      </c>
      <c r="AM42" s="1272">
        <v>0</v>
      </c>
      <c r="AN42" s="414">
        <f t="shared" si="22"/>
        <v>1</v>
      </c>
      <c r="AO42" s="413">
        <f t="shared" si="23"/>
        <v>1</v>
      </c>
      <c r="AP42" s="337"/>
      <c r="AQ42" s="338"/>
      <c r="AR42" s="664">
        <f t="shared" si="60"/>
        <v>0</v>
      </c>
      <c r="AS42" s="679">
        <f t="shared" si="61"/>
        <v>0</v>
      </c>
      <c r="AT42" s="383">
        <f t="shared" si="47"/>
        <v>0</v>
      </c>
      <c r="AU42" s="386">
        <f t="shared" si="48"/>
        <v>0</v>
      </c>
      <c r="AV42" s="534">
        <f t="shared" si="26"/>
        <v>1996</v>
      </c>
      <c r="AW42" s="1271">
        <f t="shared" si="49"/>
        <v>0</v>
      </c>
      <c r="AX42" s="1272">
        <f t="shared" si="50"/>
        <v>0</v>
      </c>
      <c r="AY42" s="337"/>
      <c r="AZ42" s="338"/>
      <c r="BA42" s="1271">
        <v>0</v>
      </c>
      <c r="BB42" s="1272">
        <v>0</v>
      </c>
      <c r="BC42" s="414">
        <f t="shared" si="27"/>
        <v>1</v>
      </c>
      <c r="BD42" s="413">
        <f t="shared" si="28"/>
        <v>1</v>
      </c>
      <c r="BE42" s="337"/>
      <c r="BF42" s="338"/>
      <c r="BG42" s="664">
        <f t="shared" si="62"/>
        <v>0</v>
      </c>
      <c r="BH42" s="679">
        <f t="shared" si="63"/>
        <v>0</v>
      </c>
      <c r="BI42" s="383">
        <f t="shared" si="51"/>
        <v>0</v>
      </c>
      <c r="BJ42" s="386">
        <f t="shared" si="52"/>
        <v>0</v>
      </c>
      <c r="BK42" s="534">
        <f t="shared" si="30"/>
        <v>1995</v>
      </c>
      <c r="BL42" s="1271">
        <f t="shared" si="53"/>
        <v>0</v>
      </c>
      <c r="BM42" s="1272">
        <f t="shared" si="54"/>
        <v>0</v>
      </c>
      <c r="BN42" s="337"/>
      <c r="BO42" s="338"/>
      <c r="BP42" s="1271">
        <v>0</v>
      </c>
      <c r="BQ42" s="1272">
        <v>0</v>
      </c>
      <c r="BR42" s="414">
        <f t="shared" si="31"/>
        <v>1</v>
      </c>
      <c r="BS42" s="413">
        <f t="shared" si="32"/>
        <v>1</v>
      </c>
      <c r="BT42" s="337"/>
      <c r="BU42" s="338"/>
      <c r="BV42" s="664">
        <f t="shared" si="64"/>
        <v>0</v>
      </c>
      <c r="BW42" s="679">
        <f t="shared" si="65"/>
        <v>0</v>
      </c>
      <c r="BX42" s="383">
        <f t="shared" si="55"/>
        <v>0</v>
      </c>
      <c r="BY42" s="386">
        <f t="shared" si="56"/>
        <v>0</v>
      </c>
      <c r="BZ42" s="534">
        <f t="shared" si="34"/>
        <v>1998</v>
      </c>
      <c r="CA42" s="664">
        <f t="shared" si="66"/>
        <v>0</v>
      </c>
      <c r="CB42" s="665">
        <f t="shared" si="67"/>
        <v>0</v>
      </c>
      <c r="CC42" s="664">
        <f t="shared" si="68"/>
        <v>0</v>
      </c>
      <c r="CD42" s="665">
        <f t="shared" si="69"/>
        <v>0</v>
      </c>
      <c r="CE42" s="337"/>
      <c r="CF42" s="338"/>
      <c r="CG42" s="383">
        <f t="shared" si="57"/>
        <v>0</v>
      </c>
      <c r="CH42" s="386">
        <f t="shared" si="58"/>
        <v>0</v>
      </c>
    </row>
    <row r="43" spans="2:86" x14ac:dyDescent="0.2">
      <c r="B43" s="276">
        <v>28</v>
      </c>
      <c r="C43" s="320">
        <f t="shared" si="35"/>
        <v>29</v>
      </c>
      <c r="D43" s="534">
        <f t="shared" si="17"/>
        <v>1997</v>
      </c>
      <c r="E43" s="337"/>
      <c r="F43" s="338"/>
      <c r="G43" s="1271">
        <v>0</v>
      </c>
      <c r="H43" s="1289">
        <v>0</v>
      </c>
      <c r="I43" s="400">
        <f t="shared" si="59"/>
        <v>0</v>
      </c>
      <c r="J43" s="401">
        <f t="shared" si="36"/>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7"/>
        <v>0.99980598448166969</v>
      </c>
      <c r="P43" s="1143">
        <f t="shared" si="38"/>
        <v>0.99991925964491035</v>
      </c>
      <c r="Q43" s="356">
        <f t="shared" si="19"/>
        <v>1997</v>
      </c>
      <c r="R43" s="337"/>
      <c r="S43" s="338"/>
      <c r="T43" s="664">
        <f t="shared" si="2"/>
        <v>0</v>
      </c>
      <c r="U43" s="665">
        <f t="shared" si="3"/>
        <v>0</v>
      </c>
      <c r="V43" s="337"/>
      <c r="W43" s="338"/>
      <c r="X43" s="383">
        <f t="shared" si="39"/>
        <v>0</v>
      </c>
      <c r="Y43" s="386">
        <f t="shared" si="40"/>
        <v>0</v>
      </c>
      <c r="Z43" s="534">
        <f t="shared" si="20"/>
        <v>1997</v>
      </c>
      <c r="AA43" s="664">
        <f t="shared" si="41"/>
        <v>0</v>
      </c>
      <c r="AB43" s="665">
        <f t="shared" si="42"/>
        <v>0</v>
      </c>
      <c r="AC43" s="337"/>
      <c r="AD43" s="338"/>
      <c r="AE43" s="383">
        <f t="shared" si="43"/>
        <v>0</v>
      </c>
      <c r="AF43" s="386">
        <f t="shared" si="44"/>
        <v>0</v>
      </c>
      <c r="AG43" s="534">
        <f t="shared" si="21"/>
        <v>1996</v>
      </c>
      <c r="AH43" s="1271">
        <f t="shared" si="45"/>
        <v>0</v>
      </c>
      <c r="AI43" s="1272">
        <f t="shared" si="46"/>
        <v>0</v>
      </c>
      <c r="AJ43" s="337"/>
      <c r="AK43" s="338"/>
      <c r="AL43" s="1271">
        <v>0</v>
      </c>
      <c r="AM43" s="1272">
        <v>0</v>
      </c>
      <c r="AN43" s="414">
        <f t="shared" si="22"/>
        <v>1</v>
      </c>
      <c r="AO43" s="413">
        <f t="shared" si="23"/>
        <v>1</v>
      </c>
      <c r="AP43" s="337"/>
      <c r="AQ43" s="338"/>
      <c r="AR43" s="664">
        <f t="shared" si="60"/>
        <v>0</v>
      </c>
      <c r="AS43" s="679">
        <f t="shared" si="61"/>
        <v>0</v>
      </c>
      <c r="AT43" s="383">
        <f t="shared" si="47"/>
        <v>0</v>
      </c>
      <c r="AU43" s="386">
        <f t="shared" si="48"/>
        <v>0</v>
      </c>
      <c r="AV43" s="534">
        <f t="shared" si="26"/>
        <v>1995</v>
      </c>
      <c r="AW43" s="1271">
        <f t="shared" si="49"/>
        <v>0</v>
      </c>
      <c r="AX43" s="1272">
        <f t="shared" si="50"/>
        <v>0</v>
      </c>
      <c r="AY43" s="337"/>
      <c r="AZ43" s="338"/>
      <c r="BA43" s="1271">
        <v>0</v>
      </c>
      <c r="BB43" s="1272">
        <v>0</v>
      </c>
      <c r="BC43" s="414">
        <f t="shared" si="27"/>
        <v>1</v>
      </c>
      <c r="BD43" s="413">
        <f t="shared" si="28"/>
        <v>1</v>
      </c>
      <c r="BE43" s="337"/>
      <c r="BF43" s="338"/>
      <c r="BG43" s="664">
        <f t="shared" si="62"/>
        <v>0</v>
      </c>
      <c r="BH43" s="679">
        <f t="shared" si="63"/>
        <v>0</v>
      </c>
      <c r="BI43" s="383">
        <f t="shared" si="51"/>
        <v>0</v>
      </c>
      <c r="BJ43" s="386">
        <f t="shared" si="52"/>
        <v>0</v>
      </c>
      <c r="BK43" s="534">
        <f t="shared" si="30"/>
        <v>1994</v>
      </c>
      <c r="BL43" s="1271">
        <f t="shared" si="53"/>
        <v>0</v>
      </c>
      <c r="BM43" s="1272">
        <f t="shared" si="54"/>
        <v>0</v>
      </c>
      <c r="BN43" s="337"/>
      <c r="BO43" s="338"/>
      <c r="BP43" s="1271">
        <v>0</v>
      </c>
      <c r="BQ43" s="1272">
        <v>0</v>
      </c>
      <c r="BR43" s="414">
        <f t="shared" si="31"/>
        <v>1</v>
      </c>
      <c r="BS43" s="413">
        <f t="shared" si="32"/>
        <v>1</v>
      </c>
      <c r="BT43" s="337"/>
      <c r="BU43" s="338"/>
      <c r="BV43" s="664">
        <f t="shared" si="64"/>
        <v>0</v>
      </c>
      <c r="BW43" s="679">
        <f t="shared" si="65"/>
        <v>0</v>
      </c>
      <c r="BX43" s="383">
        <f t="shared" si="55"/>
        <v>0</v>
      </c>
      <c r="BY43" s="386">
        <f t="shared" si="56"/>
        <v>0</v>
      </c>
      <c r="BZ43" s="534">
        <f t="shared" si="34"/>
        <v>1997</v>
      </c>
      <c r="CA43" s="664">
        <f t="shared" si="66"/>
        <v>0</v>
      </c>
      <c r="CB43" s="665">
        <f t="shared" si="67"/>
        <v>0</v>
      </c>
      <c r="CC43" s="664">
        <f t="shared" si="68"/>
        <v>0</v>
      </c>
      <c r="CD43" s="665">
        <f t="shared" si="69"/>
        <v>0</v>
      </c>
      <c r="CE43" s="337"/>
      <c r="CF43" s="338"/>
      <c r="CG43" s="383">
        <f t="shared" si="57"/>
        <v>0</v>
      </c>
      <c r="CH43" s="386">
        <f t="shared" si="58"/>
        <v>0</v>
      </c>
    </row>
    <row r="44" spans="2:86" x14ac:dyDescent="0.2">
      <c r="B44" s="276">
        <v>29</v>
      </c>
      <c r="C44" s="320">
        <f t="shared" si="35"/>
        <v>30</v>
      </c>
      <c r="D44" s="534">
        <f t="shared" si="17"/>
        <v>1996</v>
      </c>
      <c r="E44" s="337"/>
      <c r="F44" s="338"/>
      <c r="G44" s="1271">
        <v>0</v>
      </c>
      <c r="H44" s="1289">
        <v>0</v>
      </c>
      <c r="I44" s="400">
        <f t="shared" si="59"/>
        <v>0</v>
      </c>
      <c r="J44" s="401">
        <f t="shared" si="36"/>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7"/>
        <v>0.99980397128872933</v>
      </c>
      <c r="P44" s="1143">
        <f t="shared" si="38"/>
        <v>0.99991544370999219</v>
      </c>
      <c r="Q44" s="356">
        <f t="shared" si="19"/>
        <v>1996</v>
      </c>
      <c r="R44" s="337"/>
      <c r="S44" s="338"/>
      <c r="T44" s="664">
        <f t="shared" si="2"/>
        <v>0</v>
      </c>
      <c r="U44" s="665">
        <f t="shared" si="3"/>
        <v>0</v>
      </c>
      <c r="V44" s="337"/>
      <c r="W44" s="338"/>
      <c r="X44" s="383">
        <f t="shared" si="39"/>
        <v>0</v>
      </c>
      <c r="Y44" s="386">
        <f t="shared" si="40"/>
        <v>0</v>
      </c>
      <c r="Z44" s="534">
        <f t="shared" si="20"/>
        <v>1996</v>
      </c>
      <c r="AA44" s="664">
        <f t="shared" si="41"/>
        <v>0</v>
      </c>
      <c r="AB44" s="665">
        <f t="shared" si="42"/>
        <v>0</v>
      </c>
      <c r="AC44" s="337"/>
      <c r="AD44" s="338"/>
      <c r="AE44" s="383">
        <f t="shared" si="43"/>
        <v>0</v>
      </c>
      <c r="AF44" s="386">
        <f t="shared" si="44"/>
        <v>0</v>
      </c>
      <c r="AG44" s="534">
        <f t="shared" si="21"/>
        <v>1995</v>
      </c>
      <c r="AH44" s="1271">
        <f t="shared" si="45"/>
        <v>0</v>
      </c>
      <c r="AI44" s="1272">
        <f t="shared" si="46"/>
        <v>0</v>
      </c>
      <c r="AJ44" s="337"/>
      <c r="AK44" s="338"/>
      <c r="AL44" s="1271">
        <v>0</v>
      </c>
      <c r="AM44" s="1272">
        <v>0</v>
      </c>
      <c r="AN44" s="414">
        <f t="shared" si="22"/>
        <v>1</v>
      </c>
      <c r="AO44" s="413">
        <f t="shared" si="23"/>
        <v>1</v>
      </c>
      <c r="AP44" s="337"/>
      <c r="AQ44" s="338"/>
      <c r="AR44" s="664">
        <f t="shared" si="60"/>
        <v>0</v>
      </c>
      <c r="AS44" s="679">
        <f t="shared" si="61"/>
        <v>0</v>
      </c>
      <c r="AT44" s="383">
        <f t="shared" si="47"/>
        <v>0</v>
      </c>
      <c r="AU44" s="386">
        <f t="shared" si="48"/>
        <v>0</v>
      </c>
      <c r="AV44" s="534">
        <f t="shared" si="26"/>
        <v>1994</v>
      </c>
      <c r="AW44" s="1271">
        <f t="shared" si="49"/>
        <v>0</v>
      </c>
      <c r="AX44" s="1272">
        <f t="shared" si="50"/>
        <v>0</v>
      </c>
      <c r="AY44" s="337"/>
      <c r="AZ44" s="338"/>
      <c r="BA44" s="1271">
        <v>0</v>
      </c>
      <c r="BB44" s="1272">
        <v>0</v>
      </c>
      <c r="BC44" s="414">
        <f t="shared" si="27"/>
        <v>1</v>
      </c>
      <c r="BD44" s="413">
        <f t="shared" si="28"/>
        <v>1</v>
      </c>
      <c r="BE44" s="337"/>
      <c r="BF44" s="338"/>
      <c r="BG44" s="664">
        <f t="shared" si="62"/>
        <v>0</v>
      </c>
      <c r="BH44" s="679">
        <f t="shared" si="63"/>
        <v>0</v>
      </c>
      <c r="BI44" s="383">
        <f t="shared" si="51"/>
        <v>0</v>
      </c>
      <c r="BJ44" s="386">
        <f t="shared" si="52"/>
        <v>0</v>
      </c>
      <c r="BK44" s="534">
        <f t="shared" si="30"/>
        <v>1993</v>
      </c>
      <c r="BL44" s="1271">
        <f t="shared" si="53"/>
        <v>0</v>
      </c>
      <c r="BM44" s="1272">
        <f t="shared" si="54"/>
        <v>0</v>
      </c>
      <c r="BN44" s="337"/>
      <c r="BO44" s="338"/>
      <c r="BP44" s="1271">
        <v>0</v>
      </c>
      <c r="BQ44" s="1272">
        <v>0</v>
      </c>
      <c r="BR44" s="414">
        <f t="shared" si="31"/>
        <v>1</v>
      </c>
      <c r="BS44" s="413">
        <f t="shared" si="32"/>
        <v>1</v>
      </c>
      <c r="BT44" s="337"/>
      <c r="BU44" s="338"/>
      <c r="BV44" s="664">
        <f t="shared" si="64"/>
        <v>0</v>
      </c>
      <c r="BW44" s="679">
        <f t="shared" si="65"/>
        <v>0</v>
      </c>
      <c r="BX44" s="383">
        <f t="shared" si="55"/>
        <v>0</v>
      </c>
      <c r="BY44" s="386">
        <f t="shared" si="56"/>
        <v>0</v>
      </c>
      <c r="BZ44" s="534">
        <f t="shared" si="34"/>
        <v>1996</v>
      </c>
      <c r="CA44" s="664">
        <f t="shared" si="66"/>
        <v>0</v>
      </c>
      <c r="CB44" s="665">
        <f t="shared" si="67"/>
        <v>0</v>
      </c>
      <c r="CC44" s="664">
        <f t="shared" si="68"/>
        <v>0</v>
      </c>
      <c r="CD44" s="665">
        <f t="shared" si="69"/>
        <v>0</v>
      </c>
      <c r="CE44" s="337"/>
      <c r="CF44" s="338"/>
      <c r="CG44" s="383">
        <f t="shared" si="57"/>
        <v>0</v>
      </c>
      <c r="CH44" s="386">
        <f t="shared" si="58"/>
        <v>0</v>
      </c>
    </row>
    <row r="45" spans="2:86" ht="13.5" thickBot="1" x14ac:dyDescent="0.25">
      <c r="B45" s="313">
        <v>30</v>
      </c>
      <c r="C45" s="321">
        <f t="shared" si="35"/>
        <v>31</v>
      </c>
      <c r="D45" s="535">
        <f t="shared" si="17"/>
        <v>1995</v>
      </c>
      <c r="E45" s="341"/>
      <c r="F45" s="340"/>
      <c r="G45" s="1277">
        <v>0</v>
      </c>
      <c r="H45" s="1290">
        <v>0</v>
      </c>
      <c r="I45" s="406">
        <f t="shared" si="59"/>
        <v>0</v>
      </c>
      <c r="J45" s="407">
        <f t="shared" si="36"/>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7"/>
        <v>0.99980086872123386</v>
      </c>
      <c r="P45" s="1144">
        <f t="shared" si="38"/>
        <v>0.99991087282146651</v>
      </c>
      <c r="Q45" s="313">
        <f t="shared" si="19"/>
        <v>1995</v>
      </c>
      <c r="R45" s="341"/>
      <c r="S45" s="340"/>
      <c r="T45" s="666">
        <f t="shared" si="2"/>
        <v>0</v>
      </c>
      <c r="U45" s="667">
        <f t="shared" si="3"/>
        <v>0</v>
      </c>
      <c r="V45" s="341"/>
      <c r="W45" s="340"/>
      <c r="X45" s="384">
        <f t="shared" si="39"/>
        <v>0</v>
      </c>
      <c r="Y45" s="387">
        <f t="shared" si="40"/>
        <v>0</v>
      </c>
      <c r="Z45" s="535">
        <f t="shared" si="20"/>
        <v>1995</v>
      </c>
      <c r="AA45" s="666">
        <f t="shared" si="41"/>
        <v>0</v>
      </c>
      <c r="AB45" s="667">
        <f t="shared" si="42"/>
        <v>0</v>
      </c>
      <c r="AC45" s="341"/>
      <c r="AD45" s="340"/>
      <c r="AE45" s="384">
        <f t="shared" si="43"/>
        <v>0</v>
      </c>
      <c r="AF45" s="387">
        <f t="shared" si="44"/>
        <v>0</v>
      </c>
      <c r="AG45" s="535">
        <f t="shared" si="21"/>
        <v>1994</v>
      </c>
      <c r="AH45" s="1271">
        <f t="shared" si="45"/>
        <v>0</v>
      </c>
      <c r="AI45" s="1272">
        <f t="shared" si="46"/>
        <v>0</v>
      </c>
      <c r="AJ45" s="341"/>
      <c r="AK45" s="340"/>
      <c r="AL45" s="1271">
        <v>0</v>
      </c>
      <c r="AM45" s="1272">
        <v>0</v>
      </c>
      <c r="AN45" s="415">
        <f t="shared" si="22"/>
        <v>1</v>
      </c>
      <c r="AO45" s="416">
        <f t="shared" si="23"/>
        <v>1</v>
      </c>
      <c r="AP45" s="341"/>
      <c r="AQ45" s="340"/>
      <c r="AR45" s="666">
        <f t="shared" si="60"/>
        <v>0</v>
      </c>
      <c r="AS45" s="680">
        <f t="shared" si="61"/>
        <v>0</v>
      </c>
      <c r="AT45" s="384">
        <f t="shared" si="47"/>
        <v>0</v>
      </c>
      <c r="AU45" s="387">
        <f t="shared" si="48"/>
        <v>0</v>
      </c>
      <c r="AV45" s="535">
        <f t="shared" si="26"/>
        <v>1993</v>
      </c>
      <c r="AW45" s="1271">
        <f t="shared" si="49"/>
        <v>0</v>
      </c>
      <c r="AX45" s="1272">
        <f t="shared" si="50"/>
        <v>0</v>
      </c>
      <c r="AY45" s="341"/>
      <c r="AZ45" s="340"/>
      <c r="BA45" s="1271">
        <v>0</v>
      </c>
      <c r="BB45" s="1272">
        <v>0</v>
      </c>
      <c r="BC45" s="415">
        <f t="shared" si="27"/>
        <v>1</v>
      </c>
      <c r="BD45" s="416">
        <f t="shared" si="28"/>
        <v>1</v>
      </c>
      <c r="BE45" s="341"/>
      <c r="BF45" s="340"/>
      <c r="BG45" s="666">
        <f t="shared" si="62"/>
        <v>0</v>
      </c>
      <c r="BH45" s="680">
        <f t="shared" si="63"/>
        <v>0</v>
      </c>
      <c r="BI45" s="384">
        <f t="shared" si="51"/>
        <v>0</v>
      </c>
      <c r="BJ45" s="387">
        <f t="shared" si="52"/>
        <v>0</v>
      </c>
      <c r="BK45" s="535">
        <f t="shared" si="30"/>
        <v>1992</v>
      </c>
      <c r="BL45" s="1271">
        <f t="shared" si="53"/>
        <v>0</v>
      </c>
      <c r="BM45" s="1272">
        <f t="shared" si="54"/>
        <v>0</v>
      </c>
      <c r="BN45" s="341"/>
      <c r="BO45" s="340"/>
      <c r="BP45" s="1271">
        <v>0</v>
      </c>
      <c r="BQ45" s="1272">
        <v>0</v>
      </c>
      <c r="BR45" s="415">
        <f t="shared" si="31"/>
        <v>1</v>
      </c>
      <c r="BS45" s="416">
        <f t="shared" si="32"/>
        <v>1</v>
      </c>
      <c r="BT45" s="341"/>
      <c r="BU45" s="340"/>
      <c r="BV45" s="666">
        <f t="shared" si="64"/>
        <v>0</v>
      </c>
      <c r="BW45" s="680">
        <f t="shared" si="65"/>
        <v>0</v>
      </c>
      <c r="BX45" s="384">
        <f t="shared" si="55"/>
        <v>0</v>
      </c>
      <c r="BY45" s="387">
        <f t="shared" si="56"/>
        <v>0</v>
      </c>
      <c r="BZ45" s="535">
        <f t="shared" si="34"/>
        <v>1995</v>
      </c>
      <c r="CA45" s="666">
        <f t="shared" si="66"/>
        <v>0</v>
      </c>
      <c r="CB45" s="667">
        <f t="shared" si="67"/>
        <v>0</v>
      </c>
      <c r="CC45" s="666">
        <f t="shared" si="68"/>
        <v>0</v>
      </c>
      <c r="CD45" s="667">
        <f t="shared" si="69"/>
        <v>0</v>
      </c>
      <c r="CE45" s="341"/>
      <c r="CF45" s="340"/>
      <c r="CG45" s="384">
        <f t="shared" si="57"/>
        <v>0</v>
      </c>
      <c r="CH45" s="387">
        <f t="shared" si="58"/>
        <v>0</v>
      </c>
    </row>
    <row r="46" spans="2:86" ht="13.5" thickTop="1" x14ac:dyDescent="0.2">
      <c r="B46" s="314">
        <v>31</v>
      </c>
      <c r="C46" s="320">
        <f t="shared" si="35"/>
        <v>32</v>
      </c>
      <c r="D46" s="536">
        <f t="shared" si="17"/>
        <v>1994</v>
      </c>
      <c r="E46" s="337"/>
      <c r="F46" s="338"/>
      <c r="G46" s="1271">
        <v>0</v>
      </c>
      <c r="H46" s="1289">
        <v>0</v>
      </c>
      <c r="I46" s="400">
        <f t="shared" si="59"/>
        <v>0</v>
      </c>
      <c r="J46" s="401">
        <f t="shared" si="36"/>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7"/>
        <v>0.99979654205579171</v>
      </c>
      <c r="P46" s="1143">
        <f t="shared" si="38"/>
        <v>0.99990547319829082</v>
      </c>
      <c r="Q46" s="314">
        <f t="shared" si="19"/>
        <v>1994</v>
      </c>
      <c r="R46" s="337"/>
      <c r="S46" s="338"/>
      <c r="T46" s="664">
        <f t="shared" ref="T46:T77" si="70">IF(E46&gt;0,R46/E46,0)</f>
        <v>0</v>
      </c>
      <c r="U46" s="665">
        <f t="shared" ref="U46:U77" si="71">IF(F46&gt;0,S46/F46,0)</f>
        <v>0</v>
      </c>
      <c r="V46" s="337"/>
      <c r="W46" s="338"/>
      <c r="X46" s="383">
        <f t="shared" si="39"/>
        <v>0</v>
      </c>
      <c r="Y46" s="386">
        <f t="shared" si="40"/>
        <v>0</v>
      </c>
      <c r="Z46" s="536">
        <f t="shared" si="20"/>
        <v>1994</v>
      </c>
      <c r="AA46" s="664">
        <f t="shared" si="41"/>
        <v>0</v>
      </c>
      <c r="AB46" s="665">
        <f t="shared" si="42"/>
        <v>0</v>
      </c>
      <c r="AC46" s="337"/>
      <c r="AD46" s="338"/>
      <c r="AE46" s="383">
        <f t="shared" si="43"/>
        <v>0</v>
      </c>
      <c r="AF46" s="386">
        <f t="shared" si="44"/>
        <v>0</v>
      </c>
      <c r="AG46" s="536">
        <f t="shared" si="21"/>
        <v>1993</v>
      </c>
      <c r="AH46" s="1271">
        <f t="shared" si="45"/>
        <v>0</v>
      </c>
      <c r="AI46" s="1272">
        <f t="shared" si="46"/>
        <v>0</v>
      </c>
      <c r="AJ46" s="337"/>
      <c r="AK46" s="338"/>
      <c r="AL46" s="1271">
        <v>0</v>
      </c>
      <c r="AM46" s="1272">
        <v>0</v>
      </c>
      <c r="AN46" s="414">
        <f t="shared" si="22"/>
        <v>1</v>
      </c>
      <c r="AO46" s="413">
        <f t="shared" si="23"/>
        <v>1</v>
      </c>
      <c r="AP46" s="337"/>
      <c r="AQ46" s="338"/>
      <c r="AR46" s="664">
        <f t="shared" si="60"/>
        <v>0</v>
      </c>
      <c r="AS46" s="679">
        <f t="shared" si="61"/>
        <v>0</v>
      </c>
      <c r="AT46" s="383">
        <f t="shared" si="47"/>
        <v>0</v>
      </c>
      <c r="AU46" s="386">
        <f t="shared" si="48"/>
        <v>0</v>
      </c>
      <c r="AV46" s="536">
        <f t="shared" si="26"/>
        <v>1992</v>
      </c>
      <c r="AW46" s="1271">
        <f t="shared" si="49"/>
        <v>0</v>
      </c>
      <c r="AX46" s="1272">
        <f t="shared" si="50"/>
        <v>0</v>
      </c>
      <c r="AY46" s="337"/>
      <c r="AZ46" s="338"/>
      <c r="BA46" s="1271">
        <v>0</v>
      </c>
      <c r="BB46" s="1272">
        <v>0</v>
      </c>
      <c r="BC46" s="414">
        <f t="shared" si="27"/>
        <v>1</v>
      </c>
      <c r="BD46" s="413">
        <f t="shared" si="28"/>
        <v>1</v>
      </c>
      <c r="BE46" s="337"/>
      <c r="BF46" s="338"/>
      <c r="BG46" s="664">
        <f t="shared" si="62"/>
        <v>0</v>
      </c>
      <c r="BH46" s="679">
        <f t="shared" si="63"/>
        <v>0</v>
      </c>
      <c r="BI46" s="383">
        <f t="shared" si="51"/>
        <v>0</v>
      </c>
      <c r="BJ46" s="386">
        <f t="shared" si="52"/>
        <v>0</v>
      </c>
      <c r="BK46" s="536">
        <f t="shared" si="30"/>
        <v>1991</v>
      </c>
      <c r="BL46" s="1271">
        <f t="shared" si="53"/>
        <v>0</v>
      </c>
      <c r="BM46" s="1272">
        <f t="shared" si="54"/>
        <v>0</v>
      </c>
      <c r="BN46" s="337"/>
      <c r="BO46" s="338"/>
      <c r="BP46" s="1271">
        <v>0</v>
      </c>
      <c r="BQ46" s="1272">
        <v>0</v>
      </c>
      <c r="BR46" s="414">
        <f t="shared" si="31"/>
        <v>1</v>
      </c>
      <c r="BS46" s="413">
        <f t="shared" si="32"/>
        <v>1</v>
      </c>
      <c r="BT46" s="337"/>
      <c r="BU46" s="338"/>
      <c r="BV46" s="664">
        <f t="shared" si="64"/>
        <v>0</v>
      </c>
      <c r="BW46" s="679">
        <f t="shared" si="65"/>
        <v>0</v>
      </c>
      <c r="BX46" s="383">
        <f t="shared" si="55"/>
        <v>0</v>
      </c>
      <c r="BY46" s="386">
        <f t="shared" si="56"/>
        <v>0</v>
      </c>
      <c r="BZ46" s="536">
        <f t="shared" si="34"/>
        <v>1994</v>
      </c>
      <c r="CA46" s="664">
        <f t="shared" si="66"/>
        <v>0</v>
      </c>
      <c r="CB46" s="665">
        <f t="shared" si="67"/>
        <v>0</v>
      </c>
      <c r="CC46" s="664">
        <f t="shared" si="68"/>
        <v>0</v>
      </c>
      <c r="CD46" s="665">
        <f t="shared" si="69"/>
        <v>0</v>
      </c>
      <c r="CE46" s="337"/>
      <c r="CF46" s="338"/>
      <c r="CG46" s="383">
        <f t="shared" si="57"/>
        <v>0</v>
      </c>
      <c r="CH46" s="386">
        <f t="shared" si="58"/>
        <v>0</v>
      </c>
    </row>
    <row r="47" spans="2:86" x14ac:dyDescent="0.2">
      <c r="B47" s="312">
        <v>32</v>
      </c>
      <c r="C47" s="322">
        <f t="shared" si="35"/>
        <v>33</v>
      </c>
      <c r="D47" s="533">
        <f t="shared" ref="D47:D78" si="72">HE_CY-$B47</f>
        <v>1993</v>
      </c>
      <c r="E47" s="337"/>
      <c r="F47" s="338"/>
      <c r="G47" s="1271">
        <v>0</v>
      </c>
      <c r="H47" s="1289">
        <v>0</v>
      </c>
      <c r="I47" s="394">
        <f t="shared" si="59"/>
        <v>0</v>
      </c>
      <c r="J47" s="395">
        <f t="shared" si="36"/>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7"/>
        <v>0.99979085000960966</v>
      </c>
      <c r="P47" s="1142">
        <f t="shared" si="38"/>
        <v>0.99989918921214804</v>
      </c>
      <c r="Q47" s="1139">
        <f t="shared" ref="Q47:Q78" si="73">HE_CY-$B47</f>
        <v>1993</v>
      </c>
      <c r="R47" s="337"/>
      <c r="S47" s="338"/>
      <c r="T47" s="668">
        <f t="shared" si="70"/>
        <v>0</v>
      </c>
      <c r="U47" s="669">
        <f t="shared" si="71"/>
        <v>0</v>
      </c>
      <c r="V47" s="337"/>
      <c r="W47" s="338"/>
      <c r="X47" s="382">
        <f t="shared" si="39"/>
        <v>0</v>
      </c>
      <c r="Y47" s="385">
        <f t="shared" si="40"/>
        <v>0</v>
      </c>
      <c r="Z47" s="533">
        <f t="shared" ref="Z47:Z78" si="74">HE_CY-$B47</f>
        <v>1993</v>
      </c>
      <c r="AA47" s="668">
        <f t="shared" si="41"/>
        <v>0</v>
      </c>
      <c r="AB47" s="669">
        <f t="shared" si="42"/>
        <v>0</v>
      </c>
      <c r="AC47" s="337"/>
      <c r="AD47" s="338"/>
      <c r="AE47" s="382">
        <f t="shared" si="43"/>
        <v>0</v>
      </c>
      <c r="AF47" s="385">
        <f t="shared" si="44"/>
        <v>0</v>
      </c>
      <c r="AG47" s="533">
        <f t="shared" ref="AG47:AG78" si="75">HE_PY1-$B47</f>
        <v>1992</v>
      </c>
      <c r="AH47" s="1271">
        <f t="shared" si="45"/>
        <v>0</v>
      </c>
      <c r="AI47" s="1272">
        <f t="shared" si="46"/>
        <v>0</v>
      </c>
      <c r="AJ47" s="337"/>
      <c r="AK47" s="338"/>
      <c r="AL47" s="1271">
        <v>0</v>
      </c>
      <c r="AM47" s="1272">
        <v>0</v>
      </c>
      <c r="AN47" s="412">
        <f t="shared" si="22"/>
        <v>1</v>
      </c>
      <c r="AO47" s="417">
        <f t="shared" si="23"/>
        <v>1</v>
      </c>
      <c r="AP47" s="337"/>
      <c r="AQ47" s="338"/>
      <c r="AR47" s="668">
        <f t="shared" si="60"/>
        <v>0</v>
      </c>
      <c r="AS47" s="681">
        <f t="shared" si="61"/>
        <v>0</v>
      </c>
      <c r="AT47" s="382">
        <f t="shared" si="47"/>
        <v>0</v>
      </c>
      <c r="AU47" s="385">
        <f t="shared" si="48"/>
        <v>0</v>
      </c>
      <c r="AV47" s="533">
        <f t="shared" ref="AV47:AV78" si="76">HE_PY2-$B47</f>
        <v>1991</v>
      </c>
      <c r="AW47" s="1271">
        <f t="shared" si="49"/>
        <v>0</v>
      </c>
      <c r="AX47" s="1272">
        <f t="shared" si="50"/>
        <v>0</v>
      </c>
      <c r="AY47" s="337"/>
      <c r="AZ47" s="338"/>
      <c r="BA47" s="1271">
        <v>0</v>
      </c>
      <c r="BB47" s="1272">
        <v>0</v>
      </c>
      <c r="BC47" s="412">
        <f t="shared" si="27"/>
        <v>1</v>
      </c>
      <c r="BD47" s="417">
        <f t="shared" si="28"/>
        <v>1</v>
      </c>
      <c r="BE47" s="337"/>
      <c r="BF47" s="338"/>
      <c r="BG47" s="668">
        <f t="shared" si="62"/>
        <v>0</v>
      </c>
      <c r="BH47" s="681">
        <f t="shared" si="63"/>
        <v>0</v>
      </c>
      <c r="BI47" s="382">
        <f t="shared" si="51"/>
        <v>0</v>
      </c>
      <c r="BJ47" s="385">
        <f t="shared" si="52"/>
        <v>0</v>
      </c>
      <c r="BK47" s="533">
        <f t="shared" ref="BK47:BK78" si="77">HE_PY3-$B47</f>
        <v>1990</v>
      </c>
      <c r="BL47" s="1271">
        <f t="shared" si="53"/>
        <v>0</v>
      </c>
      <c r="BM47" s="1272">
        <f t="shared" si="54"/>
        <v>0</v>
      </c>
      <c r="BN47" s="337"/>
      <c r="BO47" s="338"/>
      <c r="BP47" s="1271">
        <v>0</v>
      </c>
      <c r="BQ47" s="1272">
        <v>0</v>
      </c>
      <c r="BR47" s="412">
        <f t="shared" si="31"/>
        <v>1</v>
      </c>
      <c r="BS47" s="417">
        <f t="shared" si="32"/>
        <v>1</v>
      </c>
      <c r="BT47" s="337"/>
      <c r="BU47" s="338"/>
      <c r="BV47" s="668">
        <f t="shared" si="64"/>
        <v>0</v>
      </c>
      <c r="BW47" s="681">
        <f t="shared" si="65"/>
        <v>0</v>
      </c>
      <c r="BX47" s="382">
        <f t="shared" si="55"/>
        <v>0</v>
      </c>
      <c r="BY47" s="385">
        <f t="shared" si="56"/>
        <v>0</v>
      </c>
      <c r="BZ47" s="533">
        <f t="shared" si="34"/>
        <v>1993</v>
      </c>
      <c r="CA47" s="668">
        <f t="shared" si="66"/>
        <v>0</v>
      </c>
      <c r="CB47" s="669">
        <f t="shared" si="67"/>
        <v>0</v>
      </c>
      <c r="CC47" s="668">
        <f t="shared" si="68"/>
        <v>0</v>
      </c>
      <c r="CD47" s="669">
        <f t="shared" si="69"/>
        <v>0</v>
      </c>
      <c r="CE47" s="337"/>
      <c r="CF47" s="338"/>
      <c r="CG47" s="382">
        <f t="shared" si="57"/>
        <v>0</v>
      </c>
      <c r="CH47" s="385">
        <f t="shared" si="58"/>
        <v>0</v>
      </c>
    </row>
    <row r="48" spans="2:86" x14ac:dyDescent="0.2">
      <c r="B48" s="276">
        <v>33</v>
      </c>
      <c r="C48" s="320">
        <f t="shared" si="35"/>
        <v>34</v>
      </c>
      <c r="D48" s="534">
        <f t="shared" si="72"/>
        <v>1992</v>
      </c>
      <c r="E48" s="337"/>
      <c r="F48" s="338"/>
      <c r="G48" s="1271">
        <v>0</v>
      </c>
      <c r="H48" s="1289">
        <v>0</v>
      </c>
      <c r="I48" s="400">
        <f t="shared" ref="I48:I79" si="78">E48-G48</f>
        <v>0</v>
      </c>
      <c r="J48" s="401">
        <f t="shared" si="36"/>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7"/>
        <v>0.99978364042378187</v>
      </c>
      <c r="P48" s="1143">
        <f t="shared" si="38"/>
        <v>0.99989198902128718</v>
      </c>
      <c r="Q48" s="356">
        <f t="shared" si="73"/>
        <v>1992</v>
      </c>
      <c r="R48" s="337"/>
      <c r="S48" s="338"/>
      <c r="T48" s="664">
        <f t="shared" si="70"/>
        <v>0</v>
      </c>
      <c r="U48" s="665">
        <f t="shared" si="71"/>
        <v>0</v>
      </c>
      <c r="V48" s="337"/>
      <c r="W48" s="338"/>
      <c r="X48" s="383">
        <f t="shared" si="39"/>
        <v>0</v>
      </c>
      <c r="Y48" s="386">
        <f t="shared" si="40"/>
        <v>0</v>
      </c>
      <c r="Z48" s="534">
        <f t="shared" si="74"/>
        <v>1992</v>
      </c>
      <c r="AA48" s="664">
        <f t="shared" si="41"/>
        <v>0</v>
      </c>
      <c r="AB48" s="665">
        <f t="shared" si="42"/>
        <v>0</v>
      </c>
      <c r="AC48" s="337"/>
      <c r="AD48" s="338"/>
      <c r="AE48" s="383">
        <f t="shared" si="43"/>
        <v>0</v>
      </c>
      <c r="AF48" s="386">
        <f t="shared" si="44"/>
        <v>0</v>
      </c>
      <c r="AG48" s="534">
        <f t="shared" si="75"/>
        <v>1991</v>
      </c>
      <c r="AH48" s="1271">
        <f t="shared" si="45"/>
        <v>0</v>
      </c>
      <c r="AI48" s="1272">
        <f t="shared" si="46"/>
        <v>0</v>
      </c>
      <c r="AJ48" s="337"/>
      <c r="AK48" s="338"/>
      <c r="AL48" s="1271">
        <v>0</v>
      </c>
      <c r="AM48" s="1272">
        <v>0</v>
      </c>
      <c r="AN48" s="414">
        <f t="shared" si="22"/>
        <v>1</v>
      </c>
      <c r="AO48" s="413">
        <f t="shared" si="23"/>
        <v>1</v>
      </c>
      <c r="AP48" s="337"/>
      <c r="AQ48" s="338"/>
      <c r="AR48" s="664">
        <f t="shared" si="60"/>
        <v>0</v>
      </c>
      <c r="AS48" s="679">
        <f t="shared" si="61"/>
        <v>0</v>
      </c>
      <c r="AT48" s="383">
        <f t="shared" si="47"/>
        <v>0</v>
      </c>
      <c r="AU48" s="386">
        <f t="shared" si="48"/>
        <v>0</v>
      </c>
      <c r="AV48" s="534">
        <f t="shared" si="76"/>
        <v>1990</v>
      </c>
      <c r="AW48" s="1271">
        <f t="shared" si="49"/>
        <v>0</v>
      </c>
      <c r="AX48" s="1272">
        <f t="shared" si="50"/>
        <v>0</v>
      </c>
      <c r="AY48" s="337"/>
      <c r="AZ48" s="338"/>
      <c r="BA48" s="1271">
        <v>0</v>
      </c>
      <c r="BB48" s="1272">
        <v>0</v>
      </c>
      <c r="BC48" s="414">
        <f t="shared" si="27"/>
        <v>1</v>
      </c>
      <c r="BD48" s="413">
        <f t="shared" si="28"/>
        <v>1</v>
      </c>
      <c r="BE48" s="337"/>
      <c r="BF48" s="338"/>
      <c r="BG48" s="664">
        <f t="shared" si="62"/>
        <v>0</v>
      </c>
      <c r="BH48" s="679">
        <f t="shared" si="63"/>
        <v>0</v>
      </c>
      <c r="BI48" s="383">
        <f t="shared" si="51"/>
        <v>0</v>
      </c>
      <c r="BJ48" s="386">
        <f t="shared" si="52"/>
        <v>0</v>
      </c>
      <c r="BK48" s="534">
        <f t="shared" si="77"/>
        <v>1989</v>
      </c>
      <c r="BL48" s="1271">
        <f t="shared" si="53"/>
        <v>0</v>
      </c>
      <c r="BM48" s="1272">
        <f t="shared" si="54"/>
        <v>0</v>
      </c>
      <c r="BN48" s="337"/>
      <c r="BO48" s="338"/>
      <c r="BP48" s="1271">
        <v>0</v>
      </c>
      <c r="BQ48" s="1272">
        <v>0</v>
      </c>
      <c r="BR48" s="414">
        <f t="shared" si="31"/>
        <v>1</v>
      </c>
      <c r="BS48" s="413">
        <f t="shared" si="32"/>
        <v>1</v>
      </c>
      <c r="BT48" s="337"/>
      <c r="BU48" s="338"/>
      <c r="BV48" s="664">
        <f t="shared" si="64"/>
        <v>0</v>
      </c>
      <c r="BW48" s="679">
        <f t="shared" si="65"/>
        <v>0</v>
      </c>
      <c r="BX48" s="383">
        <f t="shared" si="55"/>
        <v>0</v>
      </c>
      <c r="BY48" s="386">
        <f t="shared" si="56"/>
        <v>0</v>
      </c>
      <c r="BZ48" s="534">
        <f t="shared" si="34"/>
        <v>1992</v>
      </c>
      <c r="CA48" s="664">
        <f t="shared" si="66"/>
        <v>0</v>
      </c>
      <c r="CB48" s="665">
        <f t="shared" si="67"/>
        <v>0</v>
      </c>
      <c r="CC48" s="664">
        <f t="shared" si="68"/>
        <v>0</v>
      </c>
      <c r="CD48" s="665">
        <f t="shared" si="69"/>
        <v>0</v>
      </c>
      <c r="CE48" s="337"/>
      <c r="CF48" s="338"/>
      <c r="CG48" s="383">
        <f t="shared" si="57"/>
        <v>0</v>
      </c>
      <c r="CH48" s="386">
        <f t="shared" si="58"/>
        <v>0</v>
      </c>
    </row>
    <row r="49" spans="2:86" x14ac:dyDescent="0.2">
      <c r="B49" s="276">
        <v>34</v>
      </c>
      <c r="C49" s="320">
        <f t="shared" si="35"/>
        <v>35</v>
      </c>
      <c r="D49" s="534">
        <f t="shared" si="72"/>
        <v>1991</v>
      </c>
      <c r="E49" s="337"/>
      <c r="F49" s="338"/>
      <c r="G49" s="1271">
        <v>0</v>
      </c>
      <c r="H49" s="1289">
        <v>0</v>
      </c>
      <c r="I49" s="400">
        <f t="shared" si="78"/>
        <v>0</v>
      </c>
      <c r="J49" s="401">
        <f t="shared" si="36"/>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7"/>
        <v>0.99977474925738874</v>
      </c>
      <c r="P49" s="1143">
        <f t="shared" si="38"/>
        <v>0.99988385465351493</v>
      </c>
      <c r="Q49" s="356">
        <f t="shared" si="73"/>
        <v>1991</v>
      </c>
      <c r="R49" s="337"/>
      <c r="S49" s="338"/>
      <c r="T49" s="664">
        <f t="shared" si="70"/>
        <v>0</v>
      </c>
      <c r="U49" s="665">
        <f t="shared" si="71"/>
        <v>0</v>
      </c>
      <c r="V49" s="337"/>
      <c r="W49" s="338"/>
      <c r="X49" s="383">
        <f t="shared" si="39"/>
        <v>0</v>
      </c>
      <c r="Y49" s="386">
        <f t="shared" si="40"/>
        <v>0</v>
      </c>
      <c r="Z49" s="534">
        <f t="shared" si="74"/>
        <v>1991</v>
      </c>
      <c r="AA49" s="664">
        <f t="shared" si="41"/>
        <v>0</v>
      </c>
      <c r="AB49" s="665">
        <f t="shared" si="42"/>
        <v>0</v>
      </c>
      <c r="AC49" s="337"/>
      <c r="AD49" s="338"/>
      <c r="AE49" s="383">
        <f t="shared" si="43"/>
        <v>0</v>
      </c>
      <c r="AF49" s="386">
        <f t="shared" si="44"/>
        <v>0</v>
      </c>
      <c r="AG49" s="534">
        <f t="shared" si="75"/>
        <v>1990</v>
      </c>
      <c r="AH49" s="1271">
        <f t="shared" si="45"/>
        <v>0</v>
      </c>
      <c r="AI49" s="1272">
        <f t="shared" si="46"/>
        <v>0</v>
      </c>
      <c r="AJ49" s="337"/>
      <c r="AK49" s="338"/>
      <c r="AL49" s="1271">
        <v>0</v>
      </c>
      <c r="AM49" s="1272">
        <v>0</v>
      </c>
      <c r="AN49" s="414">
        <f t="shared" si="22"/>
        <v>1</v>
      </c>
      <c r="AO49" s="413">
        <f t="shared" si="23"/>
        <v>1</v>
      </c>
      <c r="AP49" s="337"/>
      <c r="AQ49" s="338"/>
      <c r="AR49" s="664">
        <f t="shared" si="60"/>
        <v>0</v>
      </c>
      <c r="AS49" s="679">
        <f t="shared" si="61"/>
        <v>0</v>
      </c>
      <c r="AT49" s="383">
        <f t="shared" si="47"/>
        <v>0</v>
      </c>
      <c r="AU49" s="386">
        <f t="shared" si="48"/>
        <v>0</v>
      </c>
      <c r="AV49" s="534">
        <f t="shared" si="76"/>
        <v>1989</v>
      </c>
      <c r="AW49" s="1271">
        <f t="shared" si="49"/>
        <v>0</v>
      </c>
      <c r="AX49" s="1272">
        <f t="shared" si="50"/>
        <v>0</v>
      </c>
      <c r="AY49" s="337"/>
      <c r="AZ49" s="338"/>
      <c r="BA49" s="1271">
        <v>0</v>
      </c>
      <c r="BB49" s="1272">
        <v>0</v>
      </c>
      <c r="BC49" s="414">
        <f t="shared" si="27"/>
        <v>1</v>
      </c>
      <c r="BD49" s="413">
        <f t="shared" si="28"/>
        <v>1</v>
      </c>
      <c r="BE49" s="337"/>
      <c r="BF49" s="338"/>
      <c r="BG49" s="664">
        <f t="shared" si="62"/>
        <v>0</v>
      </c>
      <c r="BH49" s="679">
        <f t="shared" si="63"/>
        <v>0</v>
      </c>
      <c r="BI49" s="383">
        <f t="shared" si="51"/>
        <v>0</v>
      </c>
      <c r="BJ49" s="386">
        <f t="shared" si="52"/>
        <v>0</v>
      </c>
      <c r="BK49" s="534">
        <f t="shared" si="77"/>
        <v>1988</v>
      </c>
      <c r="BL49" s="1271">
        <f t="shared" si="53"/>
        <v>0</v>
      </c>
      <c r="BM49" s="1272">
        <f t="shared" si="54"/>
        <v>0</v>
      </c>
      <c r="BN49" s="337"/>
      <c r="BO49" s="338"/>
      <c r="BP49" s="1271">
        <v>0</v>
      </c>
      <c r="BQ49" s="1272">
        <v>0</v>
      </c>
      <c r="BR49" s="414">
        <f t="shared" si="31"/>
        <v>1</v>
      </c>
      <c r="BS49" s="413">
        <f t="shared" si="32"/>
        <v>1</v>
      </c>
      <c r="BT49" s="337"/>
      <c r="BU49" s="338"/>
      <c r="BV49" s="664">
        <f t="shared" si="64"/>
        <v>0</v>
      </c>
      <c r="BW49" s="679">
        <f t="shared" si="65"/>
        <v>0</v>
      </c>
      <c r="BX49" s="383">
        <f t="shared" si="55"/>
        <v>0</v>
      </c>
      <c r="BY49" s="386">
        <f t="shared" si="56"/>
        <v>0</v>
      </c>
      <c r="BZ49" s="534">
        <f t="shared" si="34"/>
        <v>1991</v>
      </c>
      <c r="CA49" s="664">
        <f t="shared" si="66"/>
        <v>0</v>
      </c>
      <c r="CB49" s="665">
        <f t="shared" si="67"/>
        <v>0</v>
      </c>
      <c r="CC49" s="664">
        <f t="shared" si="68"/>
        <v>0</v>
      </c>
      <c r="CD49" s="665">
        <f t="shared" si="69"/>
        <v>0</v>
      </c>
      <c r="CE49" s="337"/>
      <c r="CF49" s="338"/>
      <c r="CG49" s="383">
        <f t="shared" si="57"/>
        <v>0</v>
      </c>
      <c r="CH49" s="386">
        <f t="shared" si="58"/>
        <v>0</v>
      </c>
    </row>
    <row r="50" spans="2:86" ht="13.5" thickBot="1" x14ac:dyDescent="0.25">
      <c r="B50" s="313">
        <v>35</v>
      </c>
      <c r="C50" s="321">
        <f t="shared" si="35"/>
        <v>36</v>
      </c>
      <c r="D50" s="535">
        <f t="shared" si="72"/>
        <v>1990</v>
      </c>
      <c r="E50" s="341"/>
      <c r="F50" s="340"/>
      <c r="G50" s="1277">
        <v>0</v>
      </c>
      <c r="H50" s="1290">
        <v>0</v>
      </c>
      <c r="I50" s="406">
        <f t="shared" si="78"/>
        <v>0</v>
      </c>
      <c r="J50" s="407">
        <f t="shared" si="36"/>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7"/>
        <v>0.99976402132919739</v>
      </c>
      <c r="P50" s="1144">
        <f t="shared" si="38"/>
        <v>0.99987473410748651</v>
      </c>
      <c r="Q50" s="313">
        <f t="shared" si="73"/>
        <v>1990</v>
      </c>
      <c r="R50" s="341"/>
      <c r="S50" s="340"/>
      <c r="T50" s="666">
        <f t="shared" si="70"/>
        <v>0</v>
      </c>
      <c r="U50" s="667">
        <f t="shared" si="71"/>
        <v>0</v>
      </c>
      <c r="V50" s="341"/>
      <c r="W50" s="340"/>
      <c r="X50" s="384">
        <f t="shared" si="39"/>
        <v>0</v>
      </c>
      <c r="Y50" s="387">
        <f t="shared" si="40"/>
        <v>0</v>
      </c>
      <c r="Z50" s="535">
        <f t="shared" si="74"/>
        <v>1990</v>
      </c>
      <c r="AA50" s="666">
        <f t="shared" si="41"/>
        <v>0</v>
      </c>
      <c r="AB50" s="667">
        <f t="shared" si="42"/>
        <v>0</v>
      </c>
      <c r="AC50" s="341"/>
      <c r="AD50" s="340"/>
      <c r="AE50" s="384">
        <f t="shared" si="43"/>
        <v>0</v>
      </c>
      <c r="AF50" s="387">
        <f t="shared" si="44"/>
        <v>0</v>
      </c>
      <c r="AG50" s="535">
        <f t="shared" si="75"/>
        <v>1989</v>
      </c>
      <c r="AH50" s="1271">
        <f t="shared" si="45"/>
        <v>0</v>
      </c>
      <c r="AI50" s="1272">
        <f t="shared" si="46"/>
        <v>0</v>
      </c>
      <c r="AJ50" s="341"/>
      <c r="AK50" s="340"/>
      <c r="AL50" s="1271">
        <v>0</v>
      </c>
      <c r="AM50" s="1272">
        <v>0</v>
      </c>
      <c r="AN50" s="415">
        <f t="shared" si="22"/>
        <v>1</v>
      </c>
      <c r="AO50" s="416">
        <f t="shared" si="23"/>
        <v>1</v>
      </c>
      <c r="AP50" s="341"/>
      <c r="AQ50" s="340"/>
      <c r="AR50" s="666">
        <f t="shared" si="60"/>
        <v>0</v>
      </c>
      <c r="AS50" s="680">
        <f t="shared" si="61"/>
        <v>0</v>
      </c>
      <c r="AT50" s="384">
        <f t="shared" si="47"/>
        <v>0</v>
      </c>
      <c r="AU50" s="387">
        <f t="shared" si="48"/>
        <v>0</v>
      </c>
      <c r="AV50" s="535">
        <f t="shared" si="76"/>
        <v>1988</v>
      </c>
      <c r="AW50" s="1271">
        <f t="shared" si="49"/>
        <v>0</v>
      </c>
      <c r="AX50" s="1272">
        <f t="shared" si="50"/>
        <v>0</v>
      </c>
      <c r="AY50" s="341"/>
      <c r="AZ50" s="340"/>
      <c r="BA50" s="1271">
        <v>0</v>
      </c>
      <c r="BB50" s="1272">
        <v>0</v>
      </c>
      <c r="BC50" s="415">
        <f t="shared" si="27"/>
        <v>1</v>
      </c>
      <c r="BD50" s="416">
        <f t="shared" si="28"/>
        <v>1</v>
      </c>
      <c r="BE50" s="341"/>
      <c r="BF50" s="340"/>
      <c r="BG50" s="666">
        <f t="shared" si="62"/>
        <v>0</v>
      </c>
      <c r="BH50" s="680">
        <f t="shared" si="63"/>
        <v>0</v>
      </c>
      <c r="BI50" s="384">
        <f t="shared" si="51"/>
        <v>0</v>
      </c>
      <c r="BJ50" s="387">
        <f t="shared" si="52"/>
        <v>0</v>
      </c>
      <c r="BK50" s="535">
        <f t="shared" si="77"/>
        <v>1987</v>
      </c>
      <c r="BL50" s="1271">
        <f t="shared" si="53"/>
        <v>0</v>
      </c>
      <c r="BM50" s="1272">
        <f t="shared" si="54"/>
        <v>0</v>
      </c>
      <c r="BN50" s="341"/>
      <c r="BO50" s="340"/>
      <c r="BP50" s="1271">
        <v>0</v>
      </c>
      <c r="BQ50" s="1272">
        <v>0</v>
      </c>
      <c r="BR50" s="415">
        <f t="shared" si="31"/>
        <v>1</v>
      </c>
      <c r="BS50" s="416">
        <f t="shared" si="32"/>
        <v>1</v>
      </c>
      <c r="BT50" s="341"/>
      <c r="BU50" s="340"/>
      <c r="BV50" s="666">
        <f t="shared" si="64"/>
        <v>0</v>
      </c>
      <c r="BW50" s="680">
        <f t="shared" si="65"/>
        <v>0</v>
      </c>
      <c r="BX50" s="384">
        <f t="shared" si="55"/>
        <v>0</v>
      </c>
      <c r="BY50" s="387">
        <f t="shared" si="56"/>
        <v>0</v>
      </c>
      <c r="BZ50" s="535">
        <f t="shared" si="34"/>
        <v>1990</v>
      </c>
      <c r="CA50" s="666">
        <f t="shared" si="66"/>
        <v>0</v>
      </c>
      <c r="CB50" s="667">
        <f t="shared" si="67"/>
        <v>0</v>
      </c>
      <c r="CC50" s="666">
        <f t="shared" si="68"/>
        <v>0</v>
      </c>
      <c r="CD50" s="667">
        <f t="shared" si="69"/>
        <v>0</v>
      </c>
      <c r="CE50" s="341"/>
      <c r="CF50" s="340"/>
      <c r="CG50" s="384">
        <f t="shared" si="57"/>
        <v>0</v>
      </c>
      <c r="CH50" s="387">
        <f t="shared" si="58"/>
        <v>0</v>
      </c>
    </row>
    <row r="51" spans="2:86" ht="13.5" thickTop="1" x14ac:dyDescent="0.2">
      <c r="B51" s="276">
        <v>36</v>
      </c>
      <c r="C51" s="320">
        <f t="shared" si="35"/>
        <v>37</v>
      </c>
      <c r="D51" s="534">
        <f t="shared" si="72"/>
        <v>1989</v>
      </c>
      <c r="E51" s="337"/>
      <c r="F51" s="338"/>
      <c r="G51" s="1271">
        <v>0</v>
      </c>
      <c r="H51" s="1289">
        <v>0</v>
      </c>
      <c r="I51" s="400">
        <f t="shared" si="78"/>
        <v>0</v>
      </c>
      <c r="J51" s="401">
        <f t="shared" si="36"/>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7"/>
        <v>0.99975129957285458</v>
      </c>
      <c r="P51" s="1143">
        <f t="shared" si="38"/>
        <v>0.99986451382907315</v>
      </c>
      <c r="Q51" s="356">
        <f t="shared" si="73"/>
        <v>1989</v>
      </c>
      <c r="R51" s="337"/>
      <c r="S51" s="338"/>
      <c r="T51" s="664">
        <f t="shared" si="70"/>
        <v>0</v>
      </c>
      <c r="U51" s="665">
        <f t="shared" si="71"/>
        <v>0</v>
      </c>
      <c r="V51" s="337"/>
      <c r="W51" s="338"/>
      <c r="X51" s="383">
        <f t="shared" si="39"/>
        <v>0</v>
      </c>
      <c r="Y51" s="386">
        <f t="shared" si="40"/>
        <v>0</v>
      </c>
      <c r="Z51" s="534">
        <f t="shared" si="74"/>
        <v>1989</v>
      </c>
      <c r="AA51" s="664">
        <f t="shared" si="41"/>
        <v>0</v>
      </c>
      <c r="AB51" s="665">
        <f t="shared" si="42"/>
        <v>0</v>
      </c>
      <c r="AC51" s="337"/>
      <c r="AD51" s="338"/>
      <c r="AE51" s="383">
        <f t="shared" si="43"/>
        <v>0</v>
      </c>
      <c r="AF51" s="386">
        <f t="shared" si="44"/>
        <v>0</v>
      </c>
      <c r="AG51" s="534">
        <f t="shared" si="75"/>
        <v>1988</v>
      </c>
      <c r="AH51" s="1271">
        <f t="shared" si="45"/>
        <v>0</v>
      </c>
      <c r="AI51" s="1272">
        <f t="shared" si="46"/>
        <v>0</v>
      </c>
      <c r="AJ51" s="337"/>
      <c r="AK51" s="338"/>
      <c r="AL51" s="1271">
        <v>0</v>
      </c>
      <c r="AM51" s="1272">
        <v>0</v>
      </c>
      <c r="AN51" s="414">
        <f t="shared" si="22"/>
        <v>1</v>
      </c>
      <c r="AO51" s="413">
        <f t="shared" si="23"/>
        <v>1</v>
      </c>
      <c r="AP51" s="337"/>
      <c r="AQ51" s="338"/>
      <c r="AR51" s="664">
        <f t="shared" si="60"/>
        <v>0</v>
      </c>
      <c r="AS51" s="679">
        <f t="shared" si="61"/>
        <v>0</v>
      </c>
      <c r="AT51" s="383">
        <f t="shared" si="47"/>
        <v>0</v>
      </c>
      <c r="AU51" s="386">
        <f t="shared" si="48"/>
        <v>0</v>
      </c>
      <c r="AV51" s="534">
        <f t="shared" si="76"/>
        <v>1987</v>
      </c>
      <c r="AW51" s="1271">
        <f t="shared" si="49"/>
        <v>0</v>
      </c>
      <c r="AX51" s="1272">
        <f t="shared" si="50"/>
        <v>0</v>
      </c>
      <c r="AY51" s="337"/>
      <c r="AZ51" s="338"/>
      <c r="BA51" s="1271">
        <v>0</v>
      </c>
      <c r="BB51" s="1272">
        <v>0</v>
      </c>
      <c r="BC51" s="414">
        <f t="shared" si="27"/>
        <v>1</v>
      </c>
      <c r="BD51" s="413">
        <f t="shared" si="28"/>
        <v>1</v>
      </c>
      <c r="BE51" s="337"/>
      <c r="BF51" s="338"/>
      <c r="BG51" s="664">
        <f t="shared" si="62"/>
        <v>0</v>
      </c>
      <c r="BH51" s="679">
        <f t="shared" si="63"/>
        <v>0</v>
      </c>
      <c r="BI51" s="383">
        <f t="shared" si="51"/>
        <v>0</v>
      </c>
      <c r="BJ51" s="386">
        <f t="shared" si="52"/>
        <v>0</v>
      </c>
      <c r="BK51" s="534">
        <f t="shared" si="77"/>
        <v>1986</v>
      </c>
      <c r="BL51" s="1271">
        <f t="shared" si="53"/>
        <v>0</v>
      </c>
      <c r="BM51" s="1272">
        <f t="shared" si="54"/>
        <v>0</v>
      </c>
      <c r="BN51" s="337"/>
      <c r="BO51" s="338"/>
      <c r="BP51" s="1271">
        <v>0</v>
      </c>
      <c r="BQ51" s="1272">
        <v>0</v>
      </c>
      <c r="BR51" s="414">
        <f t="shared" si="31"/>
        <v>1</v>
      </c>
      <c r="BS51" s="413">
        <f t="shared" si="32"/>
        <v>1</v>
      </c>
      <c r="BT51" s="337"/>
      <c r="BU51" s="338"/>
      <c r="BV51" s="664">
        <f t="shared" si="64"/>
        <v>0</v>
      </c>
      <c r="BW51" s="679">
        <f t="shared" si="65"/>
        <v>0</v>
      </c>
      <c r="BX51" s="383">
        <f t="shared" si="55"/>
        <v>0</v>
      </c>
      <c r="BY51" s="386">
        <f t="shared" si="56"/>
        <v>0</v>
      </c>
      <c r="BZ51" s="534">
        <f t="shared" si="34"/>
        <v>1989</v>
      </c>
      <c r="CA51" s="664">
        <f t="shared" si="66"/>
        <v>0</v>
      </c>
      <c r="CB51" s="665">
        <f t="shared" si="67"/>
        <v>0</v>
      </c>
      <c r="CC51" s="664">
        <f t="shared" si="68"/>
        <v>0</v>
      </c>
      <c r="CD51" s="665">
        <f t="shared" si="69"/>
        <v>0</v>
      </c>
      <c r="CE51" s="337"/>
      <c r="CF51" s="338"/>
      <c r="CG51" s="383">
        <f t="shared" si="57"/>
        <v>0</v>
      </c>
      <c r="CH51" s="386">
        <f t="shared" si="58"/>
        <v>0</v>
      </c>
    </row>
    <row r="52" spans="2:86" x14ac:dyDescent="0.2">
      <c r="B52" s="276">
        <v>37</v>
      </c>
      <c r="C52" s="320">
        <f t="shared" si="35"/>
        <v>38</v>
      </c>
      <c r="D52" s="534">
        <f t="shared" si="72"/>
        <v>1988</v>
      </c>
      <c r="E52" s="337"/>
      <c r="F52" s="338"/>
      <c r="G52" s="1271">
        <v>0</v>
      </c>
      <c r="H52" s="1289">
        <v>0</v>
      </c>
      <c r="I52" s="400">
        <f t="shared" si="78"/>
        <v>0</v>
      </c>
      <c r="J52" s="401">
        <f t="shared" si="36"/>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7"/>
        <v>0.99973638734302195</v>
      </c>
      <c r="P52" s="1143">
        <f t="shared" si="38"/>
        <v>0.99985303731449049</v>
      </c>
      <c r="Q52" s="356">
        <f t="shared" si="73"/>
        <v>1988</v>
      </c>
      <c r="R52" s="337"/>
      <c r="S52" s="338"/>
      <c r="T52" s="664">
        <f t="shared" si="70"/>
        <v>0</v>
      </c>
      <c r="U52" s="665">
        <f t="shared" si="71"/>
        <v>0</v>
      </c>
      <c r="V52" s="337"/>
      <c r="W52" s="338"/>
      <c r="X52" s="383">
        <f t="shared" si="39"/>
        <v>0</v>
      </c>
      <c r="Y52" s="386">
        <f t="shared" si="40"/>
        <v>0</v>
      </c>
      <c r="Z52" s="534">
        <f t="shared" si="74"/>
        <v>1988</v>
      </c>
      <c r="AA52" s="664">
        <f t="shared" si="41"/>
        <v>0</v>
      </c>
      <c r="AB52" s="665">
        <f t="shared" si="42"/>
        <v>0</v>
      </c>
      <c r="AC52" s="337"/>
      <c r="AD52" s="338"/>
      <c r="AE52" s="383">
        <f t="shared" si="43"/>
        <v>0</v>
      </c>
      <c r="AF52" s="386">
        <f t="shared" si="44"/>
        <v>0</v>
      </c>
      <c r="AG52" s="534">
        <f t="shared" si="75"/>
        <v>1987</v>
      </c>
      <c r="AH52" s="1271">
        <f t="shared" si="45"/>
        <v>0</v>
      </c>
      <c r="AI52" s="1272">
        <f t="shared" si="46"/>
        <v>0</v>
      </c>
      <c r="AJ52" s="337"/>
      <c r="AK52" s="338"/>
      <c r="AL52" s="1271">
        <v>0</v>
      </c>
      <c r="AM52" s="1272">
        <v>0</v>
      </c>
      <c r="AN52" s="414">
        <f t="shared" si="22"/>
        <v>1</v>
      </c>
      <c r="AO52" s="413">
        <f t="shared" si="23"/>
        <v>1</v>
      </c>
      <c r="AP52" s="337"/>
      <c r="AQ52" s="338"/>
      <c r="AR52" s="664">
        <f t="shared" si="60"/>
        <v>0</v>
      </c>
      <c r="AS52" s="679">
        <f t="shared" si="61"/>
        <v>0</v>
      </c>
      <c r="AT52" s="383">
        <f t="shared" si="47"/>
        <v>0</v>
      </c>
      <c r="AU52" s="386">
        <f t="shared" si="48"/>
        <v>0</v>
      </c>
      <c r="AV52" s="534">
        <f t="shared" si="76"/>
        <v>1986</v>
      </c>
      <c r="AW52" s="1271">
        <f t="shared" si="49"/>
        <v>0</v>
      </c>
      <c r="AX52" s="1272">
        <f t="shared" si="50"/>
        <v>0</v>
      </c>
      <c r="AY52" s="337"/>
      <c r="AZ52" s="338"/>
      <c r="BA52" s="1271">
        <v>0</v>
      </c>
      <c r="BB52" s="1272">
        <v>0</v>
      </c>
      <c r="BC52" s="414">
        <f t="shared" si="27"/>
        <v>1</v>
      </c>
      <c r="BD52" s="413">
        <f t="shared" si="28"/>
        <v>1</v>
      </c>
      <c r="BE52" s="337"/>
      <c r="BF52" s="338"/>
      <c r="BG52" s="664">
        <f t="shared" si="62"/>
        <v>0</v>
      </c>
      <c r="BH52" s="679">
        <f t="shared" si="63"/>
        <v>0</v>
      </c>
      <c r="BI52" s="383">
        <f t="shared" si="51"/>
        <v>0</v>
      </c>
      <c r="BJ52" s="386">
        <f t="shared" si="52"/>
        <v>0</v>
      </c>
      <c r="BK52" s="534">
        <f t="shared" si="77"/>
        <v>1985</v>
      </c>
      <c r="BL52" s="1271">
        <f t="shared" si="53"/>
        <v>0</v>
      </c>
      <c r="BM52" s="1272">
        <f t="shared" si="54"/>
        <v>0</v>
      </c>
      <c r="BN52" s="337"/>
      <c r="BO52" s="338"/>
      <c r="BP52" s="1271">
        <v>0</v>
      </c>
      <c r="BQ52" s="1272">
        <v>0</v>
      </c>
      <c r="BR52" s="414">
        <f t="shared" si="31"/>
        <v>1</v>
      </c>
      <c r="BS52" s="413">
        <f t="shared" si="32"/>
        <v>1</v>
      </c>
      <c r="BT52" s="337"/>
      <c r="BU52" s="338"/>
      <c r="BV52" s="664">
        <f t="shared" si="64"/>
        <v>0</v>
      </c>
      <c r="BW52" s="679">
        <f t="shared" si="65"/>
        <v>0</v>
      </c>
      <c r="BX52" s="383">
        <f t="shared" si="55"/>
        <v>0</v>
      </c>
      <c r="BY52" s="386">
        <f t="shared" si="56"/>
        <v>0</v>
      </c>
      <c r="BZ52" s="534">
        <f t="shared" si="34"/>
        <v>1988</v>
      </c>
      <c r="CA52" s="664">
        <f t="shared" si="66"/>
        <v>0</v>
      </c>
      <c r="CB52" s="665">
        <f t="shared" si="67"/>
        <v>0</v>
      </c>
      <c r="CC52" s="664">
        <f t="shared" si="68"/>
        <v>0</v>
      </c>
      <c r="CD52" s="665">
        <f t="shared" si="69"/>
        <v>0</v>
      </c>
      <c r="CE52" s="337"/>
      <c r="CF52" s="338"/>
      <c r="CG52" s="383">
        <f t="shared" si="57"/>
        <v>0</v>
      </c>
      <c r="CH52" s="386">
        <f t="shared" si="58"/>
        <v>0</v>
      </c>
    </row>
    <row r="53" spans="2:86" x14ac:dyDescent="0.2">
      <c r="B53" s="276">
        <v>38</v>
      </c>
      <c r="C53" s="320">
        <f t="shared" si="35"/>
        <v>39</v>
      </c>
      <c r="D53" s="534">
        <f t="shared" si="72"/>
        <v>1987</v>
      </c>
      <c r="E53" s="337"/>
      <c r="F53" s="338"/>
      <c r="G53" s="1271">
        <v>0</v>
      </c>
      <c r="H53" s="1289">
        <v>0</v>
      </c>
      <c r="I53" s="400">
        <f t="shared" si="78"/>
        <v>0</v>
      </c>
      <c r="J53" s="401">
        <f t="shared" si="36"/>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7"/>
        <v>0.99971903958715347</v>
      </c>
      <c r="P53" s="1143">
        <f t="shared" si="38"/>
        <v>0.99984011875148715</v>
      </c>
      <c r="Q53" s="356">
        <f t="shared" si="73"/>
        <v>1987</v>
      </c>
      <c r="R53" s="337"/>
      <c r="S53" s="338"/>
      <c r="T53" s="664">
        <f t="shared" si="70"/>
        <v>0</v>
      </c>
      <c r="U53" s="665">
        <f t="shared" si="71"/>
        <v>0</v>
      </c>
      <c r="V53" s="337"/>
      <c r="W53" s="338"/>
      <c r="X53" s="383">
        <f t="shared" si="39"/>
        <v>0</v>
      </c>
      <c r="Y53" s="386">
        <f t="shared" si="40"/>
        <v>0</v>
      </c>
      <c r="Z53" s="534">
        <f t="shared" si="74"/>
        <v>1987</v>
      </c>
      <c r="AA53" s="664">
        <f t="shared" si="41"/>
        <v>0</v>
      </c>
      <c r="AB53" s="665">
        <f t="shared" si="42"/>
        <v>0</v>
      </c>
      <c r="AC53" s="337"/>
      <c r="AD53" s="338"/>
      <c r="AE53" s="383">
        <f t="shared" si="43"/>
        <v>0</v>
      </c>
      <c r="AF53" s="386">
        <f t="shared" si="44"/>
        <v>0</v>
      </c>
      <c r="AG53" s="534">
        <f t="shared" si="75"/>
        <v>1986</v>
      </c>
      <c r="AH53" s="1271">
        <f t="shared" si="45"/>
        <v>0</v>
      </c>
      <c r="AI53" s="1272">
        <f t="shared" si="46"/>
        <v>0</v>
      </c>
      <c r="AJ53" s="337"/>
      <c r="AK53" s="338"/>
      <c r="AL53" s="1271">
        <v>0</v>
      </c>
      <c r="AM53" s="1272">
        <v>0</v>
      </c>
      <c r="AN53" s="414">
        <f t="shared" si="22"/>
        <v>1</v>
      </c>
      <c r="AO53" s="413">
        <f t="shared" si="23"/>
        <v>1</v>
      </c>
      <c r="AP53" s="337"/>
      <c r="AQ53" s="338"/>
      <c r="AR53" s="664">
        <f t="shared" si="60"/>
        <v>0</v>
      </c>
      <c r="AS53" s="679">
        <f t="shared" si="61"/>
        <v>0</v>
      </c>
      <c r="AT53" s="383">
        <f t="shared" si="47"/>
        <v>0</v>
      </c>
      <c r="AU53" s="386">
        <f t="shared" si="48"/>
        <v>0</v>
      </c>
      <c r="AV53" s="534">
        <f t="shared" si="76"/>
        <v>1985</v>
      </c>
      <c r="AW53" s="1271">
        <f t="shared" si="49"/>
        <v>0</v>
      </c>
      <c r="AX53" s="1272">
        <f t="shared" si="50"/>
        <v>0</v>
      </c>
      <c r="AY53" s="337"/>
      <c r="AZ53" s="338"/>
      <c r="BA53" s="1271">
        <v>0</v>
      </c>
      <c r="BB53" s="1272">
        <v>0</v>
      </c>
      <c r="BC53" s="414">
        <f t="shared" si="27"/>
        <v>1</v>
      </c>
      <c r="BD53" s="413">
        <f t="shared" si="28"/>
        <v>1</v>
      </c>
      <c r="BE53" s="337"/>
      <c r="BF53" s="338"/>
      <c r="BG53" s="664">
        <f t="shared" si="62"/>
        <v>0</v>
      </c>
      <c r="BH53" s="679">
        <f t="shared" si="63"/>
        <v>0</v>
      </c>
      <c r="BI53" s="383">
        <f t="shared" si="51"/>
        <v>0</v>
      </c>
      <c r="BJ53" s="386">
        <f t="shared" si="52"/>
        <v>0</v>
      </c>
      <c r="BK53" s="534">
        <f t="shared" si="77"/>
        <v>1984</v>
      </c>
      <c r="BL53" s="1271">
        <f t="shared" si="53"/>
        <v>0</v>
      </c>
      <c r="BM53" s="1272">
        <f t="shared" si="54"/>
        <v>0</v>
      </c>
      <c r="BN53" s="337"/>
      <c r="BO53" s="338"/>
      <c r="BP53" s="1271">
        <v>0</v>
      </c>
      <c r="BQ53" s="1272">
        <v>0</v>
      </c>
      <c r="BR53" s="414">
        <f t="shared" si="31"/>
        <v>1</v>
      </c>
      <c r="BS53" s="413">
        <f t="shared" si="32"/>
        <v>1</v>
      </c>
      <c r="BT53" s="337"/>
      <c r="BU53" s="338"/>
      <c r="BV53" s="664">
        <f t="shared" si="64"/>
        <v>0</v>
      </c>
      <c r="BW53" s="679">
        <f t="shared" si="65"/>
        <v>0</v>
      </c>
      <c r="BX53" s="383">
        <f t="shared" si="55"/>
        <v>0</v>
      </c>
      <c r="BY53" s="386">
        <f t="shared" si="56"/>
        <v>0</v>
      </c>
      <c r="BZ53" s="534">
        <f t="shared" si="34"/>
        <v>1987</v>
      </c>
      <c r="CA53" s="664">
        <f t="shared" si="66"/>
        <v>0</v>
      </c>
      <c r="CB53" s="665">
        <f t="shared" si="67"/>
        <v>0</v>
      </c>
      <c r="CC53" s="664">
        <f t="shared" si="68"/>
        <v>0</v>
      </c>
      <c r="CD53" s="665">
        <f t="shared" si="69"/>
        <v>0</v>
      </c>
      <c r="CE53" s="337"/>
      <c r="CF53" s="338"/>
      <c r="CG53" s="383">
        <f t="shared" si="57"/>
        <v>0</v>
      </c>
      <c r="CH53" s="386">
        <f t="shared" si="58"/>
        <v>0</v>
      </c>
    </row>
    <row r="54" spans="2:86" x14ac:dyDescent="0.2">
      <c r="B54" s="276">
        <v>39</v>
      </c>
      <c r="C54" s="320">
        <f t="shared" si="35"/>
        <v>40</v>
      </c>
      <c r="D54" s="534">
        <f t="shared" si="72"/>
        <v>1986</v>
      </c>
      <c r="E54" s="337"/>
      <c r="F54" s="338"/>
      <c r="G54" s="1271">
        <v>0</v>
      </c>
      <c r="H54" s="1289">
        <v>0</v>
      </c>
      <c r="I54" s="400">
        <f t="shared" si="78"/>
        <v>0</v>
      </c>
      <c r="J54" s="401">
        <f t="shared" si="36"/>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7"/>
        <v>0.99969896181655393</v>
      </c>
      <c r="P54" s="1143">
        <f t="shared" si="38"/>
        <v>0.99982555171432597</v>
      </c>
      <c r="Q54" s="356">
        <f t="shared" si="73"/>
        <v>1986</v>
      </c>
      <c r="R54" s="337"/>
      <c r="S54" s="338"/>
      <c r="T54" s="664">
        <f t="shared" si="70"/>
        <v>0</v>
      </c>
      <c r="U54" s="665">
        <f t="shared" si="71"/>
        <v>0</v>
      </c>
      <c r="V54" s="337"/>
      <c r="W54" s="338"/>
      <c r="X54" s="383">
        <f t="shared" si="39"/>
        <v>0</v>
      </c>
      <c r="Y54" s="386">
        <f t="shared" si="40"/>
        <v>0</v>
      </c>
      <c r="Z54" s="534">
        <f t="shared" si="74"/>
        <v>1986</v>
      </c>
      <c r="AA54" s="664">
        <f t="shared" si="41"/>
        <v>0</v>
      </c>
      <c r="AB54" s="665">
        <f t="shared" si="42"/>
        <v>0</v>
      </c>
      <c r="AC54" s="337"/>
      <c r="AD54" s="338"/>
      <c r="AE54" s="383">
        <f t="shared" si="43"/>
        <v>0</v>
      </c>
      <c r="AF54" s="386">
        <f t="shared" si="44"/>
        <v>0</v>
      </c>
      <c r="AG54" s="534">
        <f t="shared" si="75"/>
        <v>1985</v>
      </c>
      <c r="AH54" s="1271">
        <f t="shared" si="45"/>
        <v>0</v>
      </c>
      <c r="AI54" s="1272">
        <f t="shared" si="46"/>
        <v>0</v>
      </c>
      <c r="AJ54" s="337"/>
      <c r="AK54" s="338"/>
      <c r="AL54" s="1271">
        <v>0</v>
      </c>
      <c r="AM54" s="1272">
        <v>0</v>
      </c>
      <c r="AN54" s="414">
        <f t="shared" si="22"/>
        <v>1</v>
      </c>
      <c r="AO54" s="413">
        <f t="shared" si="23"/>
        <v>1</v>
      </c>
      <c r="AP54" s="337"/>
      <c r="AQ54" s="338"/>
      <c r="AR54" s="664">
        <f t="shared" si="60"/>
        <v>0</v>
      </c>
      <c r="AS54" s="679">
        <f t="shared" si="61"/>
        <v>0</v>
      </c>
      <c r="AT54" s="383">
        <f t="shared" si="47"/>
        <v>0</v>
      </c>
      <c r="AU54" s="386">
        <f t="shared" si="48"/>
        <v>0</v>
      </c>
      <c r="AV54" s="534">
        <f t="shared" si="76"/>
        <v>1984</v>
      </c>
      <c r="AW54" s="1271">
        <f t="shared" si="49"/>
        <v>0</v>
      </c>
      <c r="AX54" s="1272">
        <f t="shared" si="50"/>
        <v>0</v>
      </c>
      <c r="AY54" s="337"/>
      <c r="AZ54" s="338"/>
      <c r="BA54" s="1271">
        <v>0</v>
      </c>
      <c r="BB54" s="1272">
        <v>0</v>
      </c>
      <c r="BC54" s="414">
        <f t="shared" si="27"/>
        <v>1</v>
      </c>
      <c r="BD54" s="413">
        <f t="shared" si="28"/>
        <v>1</v>
      </c>
      <c r="BE54" s="337"/>
      <c r="BF54" s="338"/>
      <c r="BG54" s="664">
        <f t="shared" si="62"/>
        <v>0</v>
      </c>
      <c r="BH54" s="679">
        <f t="shared" si="63"/>
        <v>0</v>
      </c>
      <c r="BI54" s="383">
        <f t="shared" si="51"/>
        <v>0</v>
      </c>
      <c r="BJ54" s="386">
        <f t="shared" si="52"/>
        <v>0</v>
      </c>
      <c r="BK54" s="534">
        <f t="shared" si="77"/>
        <v>1983</v>
      </c>
      <c r="BL54" s="1271">
        <f t="shared" si="53"/>
        <v>0</v>
      </c>
      <c r="BM54" s="1272">
        <f t="shared" si="54"/>
        <v>0</v>
      </c>
      <c r="BN54" s="337"/>
      <c r="BO54" s="338"/>
      <c r="BP54" s="1271">
        <v>0</v>
      </c>
      <c r="BQ54" s="1272">
        <v>0</v>
      </c>
      <c r="BR54" s="414">
        <f t="shared" si="31"/>
        <v>1</v>
      </c>
      <c r="BS54" s="413">
        <f t="shared" si="32"/>
        <v>1</v>
      </c>
      <c r="BT54" s="337"/>
      <c r="BU54" s="338"/>
      <c r="BV54" s="664">
        <f t="shared" si="64"/>
        <v>0</v>
      </c>
      <c r="BW54" s="679">
        <f t="shared" si="65"/>
        <v>0</v>
      </c>
      <c r="BX54" s="383">
        <f t="shared" si="55"/>
        <v>0</v>
      </c>
      <c r="BY54" s="386">
        <f t="shared" si="56"/>
        <v>0</v>
      </c>
      <c r="BZ54" s="534">
        <f t="shared" si="34"/>
        <v>1986</v>
      </c>
      <c r="CA54" s="664">
        <f t="shared" si="66"/>
        <v>0</v>
      </c>
      <c r="CB54" s="665">
        <f t="shared" si="67"/>
        <v>0</v>
      </c>
      <c r="CC54" s="664">
        <f t="shared" si="68"/>
        <v>0</v>
      </c>
      <c r="CD54" s="665">
        <f t="shared" si="69"/>
        <v>0</v>
      </c>
      <c r="CE54" s="337"/>
      <c r="CF54" s="338"/>
      <c r="CG54" s="383">
        <f t="shared" si="57"/>
        <v>0</v>
      </c>
      <c r="CH54" s="386">
        <f t="shared" si="58"/>
        <v>0</v>
      </c>
    </row>
    <row r="55" spans="2:86" ht="13.5" thickBot="1" x14ac:dyDescent="0.25">
      <c r="B55" s="313">
        <v>40</v>
      </c>
      <c r="C55" s="321">
        <f t="shared" si="35"/>
        <v>41</v>
      </c>
      <c r="D55" s="535">
        <f t="shared" si="72"/>
        <v>1985</v>
      </c>
      <c r="E55" s="341"/>
      <c r="F55" s="340"/>
      <c r="G55" s="1277">
        <v>0</v>
      </c>
      <c r="H55" s="1290">
        <v>0</v>
      </c>
      <c r="I55" s="406">
        <f t="shared" si="78"/>
        <v>0</v>
      </c>
      <c r="J55" s="407">
        <f t="shared" si="36"/>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7"/>
        <v>0.99967580807980039</v>
      </c>
      <c r="P55" s="1144">
        <f t="shared" si="38"/>
        <v>0.99980911830973307</v>
      </c>
      <c r="Q55" s="313">
        <f t="shared" si="73"/>
        <v>1985</v>
      </c>
      <c r="R55" s="341"/>
      <c r="S55" s="340"/>
      <c r="T55" s="666">
        <f t="shared" si="70"/>
        <v>0</v>
      </c>
      <c r="U55" s="667">
        <f t="shared" si="71"/>
        <v>0</v>
      </c>
      <c r="V55" s="341"/>
      <c r="W55" s="340"/>
      <c r="X55" s="384">
        <f t="shared" si="39"/>
        <v>0</v>
      </c>
      <c r="Y55" s="387">
        <f t="shared" si="40"/>
        <v>0</v>
      </c>
      <c r="Z55" s="535">
        <f t="shared" si="74"/>
        <v>1985</v>
      </c>
      <c r="AA55" s="666">
        <f t="shared" si="41"/>
        <v>0</v>
      </c>
      <c r="AB55" s="667">
        <f t="shared" si="42"/>
        <v>0</v>
      </c>
      <c r="AC55" s="341"/>
      <c r="AD55" s="340"/>
      <c r="AE55" s="384">
        <f t="shared" si="43"/>
        <v>0</v>
      </c>
      <c r="AF55" s="387">
        <f t="shared" si="44"/>
        <v>0</v>
      </c>
      <c r="AG55" s="535">
        <f t="shared" si="75"/>
        <v>1984</v>
      </c>
      <c r="AH55" s="1271">
        <f t="shared" si="45"/>
        <v>0</v>
      </c>
      <c r="AI55" s="1272">
        <f t="shared" si="46"/>
        <v>0</v>
      </c>
      <c r="AJ55" s="341"/>
      <c r="AK55" s="340"/>
      <c r="AL55" s="1271">
        <v>0</v>
      </c>
      <c r="AM55" s="1272">
        <v>0</v>
      </c>
      <c r="AN55" s="415">
        <f t="shared" si="22"/>
        <v>1</v>
      </c>
      <c r="AO55" s="416">
        <f t="shared" si="23"/>
        <v>1</v>
      </c>
      <c r="AP55" s="341"/>
      <c r="AQ55" s="340"/>
      <c r="AR55" s="666">
        <f t="shared" si="60"/>
        <v>0</v>
      </c>
      <c r="AS55" s="680">
        <f t="shared" si="61"/>
        <v>0</v>
      </c>
      <c r="AT55" s="384">
        <f t="shared" si="47"/>
        <v>0</v>
      </c>
      <c r="AU55" s="387">
        <f t="shared" si="48"/>
        <v>0</v>
      </c>
      <c r="AV55" s="535">
        <f t="shared" si="76"/>
        <v>1983</v>
      </c>
      <c r="AW55" s="1271">
        <f t="shared" si="49"/>
        <v>0</v>
      </c>
      <c r="AX55" s="1272">
        <f t="shared" si="50"/>
        <v>0</v>
      </c>
      <c r="AY55" s="341"/>
      <c r="AZ55" s="340"/>
      <c r="BA55" s="1271">
        <v>0</v>
      </c>
      <c r="BB55" s="1272">
        <v>0</v>
      </c>
      <c r="BC55" s="415">
        <f t="shared" si="27"/>
        <v>1</v>
      </c>
      <c r="BD55" s="416">
        <f t="shared" si="28"/>
        <v>1</v>
      </c>
      <c r="BE55" s="341"/>
      <c r="BF55" s="340"/>
      <c r="BG55" s="666">
        <f t="shared" si="62"/>
        <v>0</v>
      </c>
      <c r="BH55" s="680">
        <f t="shared" si="63"/>
        <v>0</v>
      </c>
      <c r="BI55" s="384">
        <f t="shared" si="51"/>
        <v>0</v>
      </c>
      <c r="BJ55" s="387">
        <f t="shared" si="52"/>
        <v>0</v>
      </c>
      <c r="BK55" s="535">
        <f t="shared" si="77"/>
        <v>1982</v>
      </c>
      <c r="BL55" s="1271">
        <f t="shared" si="53"/>
        <v>0</v>
      </c>
      <c r="BM55" s="1272">
        <f t="shared" si="54"/>
        <v>0</v>
      </c>
      <c r="BN55" s="341"/>
      <c r="BO55" s="340"/>
      <c r="BP55" s="1271">
        <v>0</v>
      </c>
      <c r="BQ55" s="1272">
        <v>0</v>
      </c>
      <c r="BR55" s="415">
        <f t="shared" si="31"/>
        <v>1</v>
      </c>
      <c r="BS55" s="416">
        <f t="shared" si="32"/>
        <v>1</v>
      </c>
      <c r="BT55" s="341"/>
      <c r="BU55" s="340"/>
      <c r="BV55" s="666">
        <f t="shared" si="64"/>
        <v>0</v>
      </c>
      <c r="BW55" s="680">
        <f t="shared" si="65"/>
        <v>0</v>
      </c>
      <c r="BX55" s="384">
        <f t="shared" si="55"/>
        <v>0</v>
      </c>
      <c r="BY55" s="387">
        <f t="shared" si="56"/>
        <v>0</v>
      </c>
      <c r="BZ55" s="535">
        <f t="shared" si="34"/>
        <v>1985</v>
      </c>
      <c r="CA55" s="666">
        <f t="shared" si="66"/>
        <v>0</v>
      </c>
      <c r="CB55" s="667">
        <f t="shared" si="67"/>
        <v>0</v>
      </c>
      <c r="CC55" s="666">
        <f t="shared" si="68"/>
        <v>0</v>
      </c>
      <c r="CD55" s="667">
        <f t="shared" si="69"/>
        <v>0</v>
      </c>
      <c r="CE55" s="341"/>
      <c r="CF55" s="340"/>
      <c r="CG55" s="384">
        <f t="shared" si="57"/>
        <v>0</v>
      </c>
      <c r="CH55" s="387">
        <f t="shared" si="58"/>
        <v>0</v>
      </c>
    </row>
    <row r="56" spans="2:86" ht="13.5" thickTop="1" x14ac:dyDescent="0.2">
      <c r="B56" s="276">
        <v>41</v>
      </c>
      <c r="C56" s="320">
        <f t="shared" si="35"/>
        <v>42</v>
      </c>
      <c r="D56" s="534">
        <f t="shared" si="72"/>
        <v>1984</v>
      </c>
      <c r="E56" s="337"/>
      <c r="F56" s="338"/>
      <c r="G56" s="1271">
        <v>0</v>
      </c>
      <c r="H56" s="1289">
        <v>0</v>
      </c>
      <c r="I56" s="400">
        <f t="shared" si="78"/>
        <v>0</v>
      </c>
      <c r="J56" s="401">
        <f t="shared" si="36"/>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7"/>
        <v>0.99964917800495434</v>
      </c>
      <c r="P56" s="1143">
        <f t="shared" si="38"/>
        <v>0.99979059834653605</v>
      </c>
      <c r="Q56" s="356">
        <f t="shared" si="73"/>
        <v>1984</v>
      </c>
      <c r="R56" s="337"/>
      <c r="S56" s="338"/>
      <c r="T56" s="664">
        <f t="shared" si="70"/>
        <v>0</v>
      </c>
      <c r="U56" s="665">
        <f t="shared" si="71"/>
        <v>0</v>
      </c>
      <c r="V56" s="337"/>
      <c r="W56" s="338"/>
      <c r="X56" s="383">
        <f t="shared" si="39"/>
        <v>0</v>
      </c>
      <c r="Y56" s="386">
        <f t="shared" si="40"/>
        <v>0</v>
      </c>
      <c r="Z56" s="534">
        <f t="shared" si="74"/>
        <v>1984</v>
      </c>
      <c r="AA56" s="664">
        <f t="shared" si="41"/>
        <v>0</v>
      </c>
      <c r="AB56" s="665">
        <f t="shared" si="42"/>
        <v>0</v>
      </c>
      <c r="AC56" s="337"/>
      <c r="AD56" s="338"/>
      <c r="AE56" s="383">
        <f t="shared" si="43"/>
        <v>0</v>
      </c>
      <c r="AF56" s="386">
        <f t="shared" si="44"/>
        <v>0</v>
      </c>
      <c r="AG56" s="534">
        <f t="shared" si="75"/>
        <v>1983</v>
      </c>
      <c r="AH56" s="1271">
        <f t="shared" si="45"/>
        <v>0</v>
      </c>
      <c r="AI56" s="1272">
        <f t="shared" si="46"/>
        <v>0</v>
      </c>
      <c r="AJ56" s="337"/>
      <c r="AK56" s="338"/>
      <c r="AL56" s="1271">
        <v>0</v>
      </c>
      <c r="AM56" s="1272">
        <v>0</v>
      </c>
      <c r="AN56" s="414">
        <f t="shared" si="22"/>
        <v>1</v>
      </c>
      <c r="AO56" s="413">
        <f t="shared" si="23"/>
        <v>1</v>
      </c>
      <c r="AP56" s="337"/>
      <c r="AQ56" s="338"/>
      <c r="AR56" s="664">
        <f t="shared" si="60"/>
        <v>0</v>
      </c>
      <c r="AS56" s="679">
        <f t="shared" si="61"/>
        <v>0</v>
      </c>
      <c r="AT56" s="383">
        <f t="shared" si="47"/>
        <v>0</v>
      </c>
      <c r="AU56" s="386">
        <f t="shared" si="48"/>
        <v>0</v>
      </c>
      <c r="AV56" s="534">
        <f t="shared" si="76"/>
        <v>1982</v>
      </c>
      <c r="AW56" s="1271">
        <f t="shared" si="49"/>
        <v>0</v>
      </c>
      <c r="AX56" s="1272">
        <f t="shared" si="50"/>
        <v>0</v>
      </c>
      <c r="AY56" s="337"/>
      <c r="AZ56" s="338"/>
      <c r="BA56" s="1271">
        <v>0</v>
      </c>
      <c r="BB56" s="1272">
        <v>0</v>
      </c>
      <c r="BC56" s="414">
        <f t="shared" si="27"/>
        <v>1</v>
      </c>
      <c r="BD56" s="413">
        <f t="shared" si="28"/>
        <v>1</v>
      </c>
      <c r="BE56" s="337"/>
      <c r="BF56" s="338"/>
      <c r="BG56" s="664">
        <f t="shared" si="62"/>
        <v>0</v>
      </c>
      <c r="BH56" s="679">
        <f t="shared" si="63"/>
        <v>0</v>
      </c>
      <c r="BI56" s="383">
        <f t="shared" si="51"/>
        <v>0</v>
      </c>
      <c r="BJ56" s="386">
        <f t="shared" si="52"/>
        <v>0</v>
      </c>
      <c r="BK56" s="534">
        <f t="shared" si="77"/>
        <v>1981</v>
      </c>
      <c r="BL56" s="1271">
        <f t="shared" si="53"/>
        <v>0</v>
      </c>
      <c r="BM56" s="1272">
        <f t="shared" si="54"/>
        <v>0</v>
      </c>
      <c r="BN56" s="337"/>
      <c r="BO56" s="338"/>
      <c r="BP56" s="1271">
        <v>0</v>
      </c>
      <c r="BQ56" s="1272">
        <v>0</v>
      </c>
      <c r="BR56" s="414">
        <f t="shared" si="31"/>
        <v>1</v>
      </c>
      <c r="BS56" s="413">
        <f t="shared" si="32"/>
        <v>1</v>
      </c>
      <c r="BT56" s="337"/>
      <c r="BU56" s="338"/>
      <c r="BV56" s="664">
        <f t="shared" si="64"/>
        <v>0</v>
      </c>
      <c r="BW56" s="679">
        <f t="shared" si="65"/>
        <v>0</v>
      </c>
      <c r="BX56" s="383">
        <f t="shared" si="55"/>
        <v>0</v>
      </c>
      <c r="BY56" s="386">
        <f t="shared" si="56"/>
        <v>0</v>
      </c>
      <c r="BZ56" s="534">
        <f t="shared" si="34"/>
        <v>1984</v>
      </c>
      <c r="CA56" s="664">
        <f t="shared" si="66"/>
        <v>0</v>
      </c>
      <c r="CB56" s="665">
        <f t="shared" si="67"/>
        <v>0</v>
      </c>
      <c r="CC56" s="664">
        <f t="shared" si="68"/>
        <v>0</v>
      </c>
      <c r="CD56" s="665">
        <f t="shared" si="69"/>
        <v>0</v>
      </c>
      <c r="CE56" s="337"/>
      <c r="CF56" s="338"/>
      <c r="CG56" s="383">
        <f t="shared" si="57"/>
        <v>0</v>
      </c>
      <c r="CH56" s="386">
        <f t="shared" si="58"/>
        <v>0</v>
      </c>
    </row>
    <row r="57" spans="2:86" x14ac:dyDescent="0.2">
      <c r="B57" s="276">
        <v>42</v>
      </c>
      <c r="C57" s="320">
        <f t="shared" si="35"/>
        <v>43</v>
      </c>
      <c r="D57" s="534">
        <f t="shared" si="72"/>
        <v>1983</v>
      </c>
      <c r="E57" s="337"/>
      <c r="F57" s="338"/>
      <c r="G57" s="1271">
        <v>0</v>
      </c>
      <c r="H57" s="1289">
        <v>0</v>
      </c>
      <c r="I57" s="400">
        <f t="shared" si="78"/>
        <v>0</v>
      </c>
      <c r="J57" s="401">
        <f t="shared" si="36"/>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7"/>
        <v>0.99961861281431608</v>
      </c>
      <c r="P57" s="1143">
        <f t="shared" si="38"/>
        <v>0.999769777370073</v>
      </c>
      <c r="Q57" s="356">
        <f t="shared" si="73"/>
        <v>1983</v>
      </c>
      <c r="R57" s="337"/>
      <c r="S57" s="338"/>
      <c r="T57" s="664">
        <f t="shared" si="70"/>
        <v>0</v>
      </c>
      <c r="U57" s="665">
        <f t="shared" si="71"/>
        <v>0</v>
      </c>
      <c r="V57" s="337"/>
      <c r="W57" s="338"/>
      <c r="X57" s="383">
        <f t="shared" si="39"/>
        <v>0</v>
      </c>
      <c r="Y57" s="386">
        <f t="shared" si="40"/>
        <v>0</v>
      </c>
      <c r="Z57" s="534">
        <f t="shared" si="74"/>
        <v>1983</v>
      </c>
      <c r="AA57" s="664">
        <f t="shared" si="41"/>
        <v>0</v>
      </c>
      <c r="AB57" s="665">
        <f t="shared" si="42"/>
        <v>0</v>
      </c>
      <c r="AC57" s="337"/>
      <c r="AD57" s="338"/>
      <c r="AE57" s="383">
        <f t="shared" si="43"/>
        <v>0</v>
      </c>
      <c r="AF57" s="386">
        <f t="shared" si="44"/>
        <v>0</v>
      </c>
      <c r="AG57" s="534">
        <f t="shared" si="75"/>
        <v>1982</v>
      </c>
      <c r="AH57" s="1271">
        <f t="shared" si="45"/>
        <v>0</v>
      </c>
      <c r="AI57" s="1272">
        <f t="shared" si="46"/>
        <v>0</v>
      </c>
      <c r="AJ57" s="337"/>
      <c r="AK57" s="338"/>
      <c r="AL57" s="1271">
        <v>0</v>
      </c>
      <c r="AM57" s="1272">
        <v>0</v>
      </c>
      <c r="AN57" s="414">
        <f t="shared" si="22"/>
        <v>1</v>
      </c>
      <c r="AO57" s="413">
        <f t="shared" si="23"/>
        <v>1</v>
      </c>
      <c r="AP57" s="337"/>
      <c r="AQ57" s="338"/>
      <c r="AR57" s="664">
        <f t="shared" si="60"/>
        <v>0</v>
      </c>
      <c r="AS57" s="679">
        <f t="shared" si="61"/>
        <v>0</v>
      </c>
      <c r="AT57" s="383">
        <f t="shared" si="47"/>
        <v>0</v>
      </c>
      <c r="AU57" s="386">
        <f t="shared" si="48"/>
        <v>0</v>
      </c>
      <c r="AV57" s="534">
        <f t="shared" si="76"/>
        <v>1981</v>
      </c>
      <c r="AW57" s="1271">
        <f t="shared" si="49"/>
        <v>0</v>
      </c>
      <c r="AX57" s="1272">
        <f t="shared" si="50"/>
        <v>0</v>
      </c>
      <c r="AY57" s="337"/>
      <c r="AZ57" s="338"/>
      <c r="BA57" s="1271">
        <v>0</v>
      </c>
      <c r="BB57" s="1272">
        <v>0</v>
      </c>
      <c r="BC57" s="414">
        <f t="shared" si="27"/>
        <v>1</v>
      </c>
      <c r="BD57" s="413">
        <f t="shared" si="28"/>
        <v>1</v>
      </c>
      <c r="BE57" s="337"/>
      <c r="BF57" s="338"/>
      <c r="BG57" s="664">
        <f t="shared" si="62"/>
        <v>0</v>
      </c>
      <c r="BH57" s="679">
        <f t="shared" si="63"/>
        <v>0</v>
      </c>
      <c r="BI57" s="383">
        <f t="shared" si="51"/>
        <v>0</v>
      </c>
      <c r="BJ57" s="386">
        <f t="shared" si="52"/>
        <v>0</v>
      </c>
      <c r="BK57" s="534">
        <f t="shared" si="77"/>
        <v>1980</v>
      </c>
      <c r="BL57" s="1271">
        <f t="shared" si="53"/>
        <v>0</v>
      </c>
      <c r="BM57" s="1272">
        <f t="shared" si="54"/>
        <v>0</v>
      </c>
      <c r="BN57" s="337"/>
      <c r="BO57" s="338"/>
      <c r="BP57" s="1271">
        <v>0</v>
      </c>
      <c r="BQ57" s="1272">
        <v>0</v>
      </c>
      <c r="BR57" s="414">
        <f t="shared" si="31"/>
        <v>1</v>
      </c>
      <c r="BS57" s="413">
        <f t="shared" si="32"/>
        <v>1</v>
      </c>
      <c r="BT57" s="337"/>
      <c r="BU57" s="338"/>
      <c r="BV57" s="664">
        <f t="shared" si="64"/>
        <v>0</v>
      </c>
      <c r="BW57" s="679">
        <f t="shared" si="65"/>
        <v>0</v>
      </c>
      <c r="BX57" s="383">
        <f t="shared" si="55"/>
        <v>0</v>
      </c>
      <c r="BY57" s="386">
        <f t="shared" si="56"/>
        <v>0</v>
      </c>
      <c r="BZ57" s="534">
        <f t="shared" si="34"/>
        <v>1983</v>
      </c>
      <c r="CA57" s="664">
        <f t="shared" si="66"/>
        <v>0</v>
      </c>
      <c r="CB57" s="665">
        <f t="shared" si="67"/>
        <v>0</v>
      </c>
      <c r="CC57" s="664">
        <f t="shared" si="68"/>
        <v>0</v>
      </c>
      <c r="CD57" s="665">
        <f t="shared" si="69"/>
        <v>0</v>
      </c>
      <c r="CE57" s="337"/>
      <c r="CF57" s="338"/>
      <c r="CG57" s="383">
        <f t="shared" si="57"/>
        <v>0</v>
      </c>
      <c r="CH57" s="386">
        <f t="shared" si="58"/>
        <v>0</v>
      </c>
    </row>
    <row r="58" spans="2:86" x14ac:dyDescent="0.2">
      <c r="B58" s="276">
        <v>43</v>
      </c>
      <c r="C58" s="320">
        <f t="shared" si="35"/>
        <v>44</v>
      </c>
      <c r="D58" s="534">
        <f t="shared" si="72"/>
        <v>1982</v>
      </c>
      <c r="E58" s="337"/>
      <c r="F58" s="338"/>
      <c r="G58" s="1271">
        <v>0</v>
      </c>
      <c r="H58" s="1289">
        <v>0</v>
      </c>
      <c r="I58" s="400">
        <f t="shared" si="78"/>
        <v>0</v>
      </c>
      <c r="J58" s="401">
        <f t="shared" si="36"/>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7"/>
        <v>0.99958358998920294</v>
      </c>
      <c r="P58" s="1143">
        <f t="shared" si="38"/>
        <v>0.99974645114879457</v>
      </c>
      <c r="Q58" s="356">
        <f t="shared" si="73"/>
        <v>1982</v>
      </c>
      <c r="R58" s="337"/>
      <c r="S58" s="338"/>
      <c r="T58" s="664">
        <f t="shared" si="70"/>
        <v>0</v>
      </c>
      <c r="U58" s="665">
        <f t="shared" si="71"/>
        <v>0</v>
      </c>
      <c r="V58" s="337"/>
      <c r="W58" s="338"/>
      <c r="X58" s="383">
        <f t="shared" si="39"/>
        <v>0</v>
      </c>
      <c r="Y58" s="386">
        <f t="shared" si="40"/>
        <v>0</v>
      </c>
      <c r="Z58" s="534">
        <f t="shared" si="74"/>
        <v>1982</v>
      </c>
      <c r="AA58" s="664">
        <f t="shared" si="41"/>
        <v>0</v>
      </c>
      <c r="AB58" s="665">
        <f t="shared" si="42"/>
        <v>0</v>
      </c>
      <c r="AC58" s="337"/>
      <c r="AD58" s="338"/>
      <c r="AE58" s="383">
        <f t="shared" si="43"/>
        <v>0</v>
      </c>
      <c r="AF58" s="386">
        <f t="shared" si="44"/>
        <v>0</v>
      </c>
      <c r="AG58" s="534">
        <f t="shared" si="75"/>
        <v>1981</v>
      </c>
      <c r="AH58" s="1271">
        <f t="shared" si="45"/>
        <v>0</v>
      </c>
      <c r="AI58" s="1272">
        <f t="shared" si="46"/>
        <v>0</v>
      </c>
      <c r="AJ58" s="337"/>
      <c r="AK58" s="338"/>
      <c r="AL58" s="1271">
        <v>0</v>
      </c>
      <c r="AM58" s="1272">
        <v>0</v>
      </c>
      <c r="AN58" s="414">
        <f t="shared" si="22"/>
        <v>1</v>
      </c>
      <c r="AO58" s="413">
        <f t="shared" si="23"/>
        <v>1</v>
      </c>
      <c r="AP58" s="337"/>
      <c r="AQ58" s="338"/>
      <c r="AR58" s="664">
        <f t="shared" si="60"/>
        <v>0</v>
      </c>
      <c r="AS58" s="679">
        <f t="shared" si="61"/>
        <v>0</v>
      </c>
      <c r="AT58" s="383">
        <f t="shared" si="47"/>
        <v>0</v>
      </c>
      <c r="AU58" s="386">
        <f t="shared" si="48"/>
        <v>0</v>
      </c>
      <c r="AV58" s="534">
        <f t="shared" si="76"/>
        <v>1980</v>
      </c>
      <c r="AW58" s="1271">
        <f t="shared" si="49"/>
        <v>0</v>
      </c>
      <c r="AX58" s="1272">
        <f t="shared" si="50"/>
        <v>0</v>
      </c>
      <c r="AY58" s="337"/>
      <c r="AZ58" s="338"/>
      <c r="BA58" s="1271">
        <v>0</v>
      </c>
      <c r="BB58" s="1272">
        <v>0</v>
      </c>
      <c r="BC58" s="414">
        <f t="shared" si="27"/>
        <v>1</v>
      </c>
      <c r="BD58" s="413">
        <f t="shared" si="28"/>
        <v>1</v>
      </c>
      <c r="BE58" s="337"/>
      <c r="BF58" s="338"/>
      <c r="BG58" s="664">
        <f t="shared" si="62"/>
        <v>0</v>
      </c>
      <c r="BH58" s="679">
        <f t="shared" si="63"/>
        <v>0</v>
      </c>
      <c r="BI58" s="383">
        <f t="shared" si="51"/>
        <v>0</v>
      </c>
      <c r="BJ58" s="386">
        <f t="shared" si="52"/>
        <v>0</v>
      </c>
      <c r="BK58" s="534">
        <f t="shared" si="77"/>
        <v>1979</v>
      </c>
      <c r="BL58" s="1271">
        <f t="shared" si="53"/>
        <v>0</v>
      </c>
      <c r="BM58" s="1272">
        <f t="shared" si="54"/>
        <v>0</v>
      </c>
      <c r="BN58" s="337"/>
      <c r="BO58" s="338"/>
      <c r="BP58" s="1271">
        <v>0</v>
      </c>
      <c r="BQ58" s="1272">
        <v>0</v>
      </c>
      <c r="BR58" s="414">
        <f t="shared" si="31"/>
        <v>1</v>
      </c>
      <c r="BS58" s="413">
        <f t="shared" si="32"/>
        <v>1</v>
      </c>
      <c r="BT58" s="337"/>
      <c r="BU58" s="338"/>
      <c r="BV58" s="664">
        <f t="shared" si="64"/>
        <v>0</v>
      </c>
      <c r="BW58" s="679">
        <f t="shared" si="65"/>
        <v>0</v>
      </c>
      <c r="BX58" s="383">
        <f t="shared" si="55"/>
        <v>0</v>
      </c>
      <c r="BY58" s="386">
        <f t="shared" si="56"/>
        <v>0</v>
      </c>
      <c r="BZ58" s="534">
        <f t="shared" si="34"/>
        <v>1982</v>
      </c>
      <c r="CA58" s="664">
        <f t="shared" si="66"/>
        <v>0</v>
      </c>
      <c r="CB58" s="665">
        <f t="shared" si="67"/>
        <v>0</v>
      </c>
      <c r="CC58" s="664">
        <f t="shared" si="68"/>
        <v>0</v>
      </c>
      <c r="CD58" s="665">
        <f t="shared" si="69"/>
        <v>0</v>
      </c>
      <c r="CE58" s="337"/>
      <c r="CF58" s="338"/>
      <c r="CG58" s="383">
        <f t="shared" si="57"/>
        <v>0</v>
      </c>
      <c r="CH58" s="386">
        <f t="shared" si="58"/>
        <v>0</v>
      </c>
    </row>
    <row r="59" spans="2:86" x14ac:dyDescent="0.2">
      <c r="B59" s="276">
        <v>44</v>
      </c>
      <c r="C59" s="320">
        <f t="shared" si="35"/>
        <v>45</v>
      </c>
      <c r="D59" s="534">
        <f t="shared" si="72"/>
        <v>1981</v>
      </c>
      <c r="E59" s="337"/>
      <c r="F59" s="338"/>
      <c r="G59" s="1271">
        <v>0</v>
      </c>
      <c r="H59" s="1289">
        <v>0</v>
      </c>
      <c r="I59" s="400">
        <f t="shared" si="78"/>
        <v>0</v>
      </c>
      <c r="J59" s="401">
        <f t="shared" si="36"/>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7"/>
        <v>0.999543522597791</v>
      </c>
      <c r="P59" s="1143">
        <f t="shared" si="38"/>
        <v>0.99972041716907822</v>
      </c>
      <c r="Q59" s="356">
        <f t="shared" si="73"/>
        <v>1981</v>
      </c>
      <c r="R59" s="337"/>
      <c r="S59" s="338"/>
      <c r="T59" s="664">
        <f t="shared" si="70"/>
        <v>0</v>
      </c>
      <c r="U59" s="665">
        <f t="shared" si="71"/>
        <v>0</v>
      </c>
      <c r="V59" s="337"/>
      <c r="W59" s="338"/>
      <c r="X59" s="383">
        <f t="shared" si="39"/>
        <v>0</v>
      </c>
      <c r="Y59" s="386">
        <f t="shared" si="40"/>
        <v>0</v>
      </c>
      <c r="Z59" s="534">
        <f t="shared" si="74"/>
        <v>1981</v>
      </c>
      <c r="AA59" s="664">
        <f t="shared" si="41"/>
        <v>0</v>
      </c>
      <c r="AB59" s="665">
        <f t="shared" si="42"/>
        <v>0</v>
      </c>
      <c r="AC59" s="337"/>
      <c r="AD59" s="338"/>
      <c r="AE59" s="383">
        <f t="shared" si="43"/>
        <v>0</v>
      </c>
      <c r="AF59" s="386">
        <f t="shared" si="44"/>
        <v>0</v>
      </c>
      <c r="AG59" s="534">
        <f t="shared" si="75"/>
        <v>1980</v>
      </c>
      <c r="AH59" s="1271">
        <f t="shared" si="45"/>
        <v>0</v>
      </c>
      <c r="AI59" s="1272">
        <f t="shared" si="46"/>
        <v>0</v>
      </c>
      <c r="AJ59" s="337"/>
      <c r="AK59" s="338"/>
      <c r="AL59" s="1271">
        <v>0</v>
      </c>
      <c r="AM59" s="1272">
        <v>0</v>
      </c>
      <c r="AN59" s="414">
        <f t="shared" si="22"/>
        <v>1</v>
      </c>
      <c r="AO59" s="413">
        <f t="shared" si="23"/>
        <v>1</v>
      </c>
      <c r="AP59" s="337"/>
      <c r="AQ59" s="338"/>
      <c r="AR59" s="664">
        <f t="shared" si="60"/>
        <v>0</v>
      </c>
      <c r="AS59" s="679">
        <f t="shared" si="61"/>
        <v>0</v>
      </c>
      <c r="AT59" s="383">
        <f t="shared" si="47"/>
        <v>0</v>
      </c>
      <c r="AU59" s="386">
        <f t="shared" si="48"/>
        <v>0</v>
      </c>
      <c r="AV59" s="534">
        <f t="shared" si="76"/>
        <v>1979</v>
      </c>
      <c r="AW59" s="1271">
        <f t="shared" si="49"/>
        <v>0</v>
      </c>
      <c r="AX59" s="1272">
        <f t="shared" si="50"/>
        <v>0</v>
      </c>
      <c r="AY59" s="337"/>
      <c r="AZ59" s="338"/>
      <c r="BA59" s="1271">
        <v>0</v>
      </c>
      <c r="BB59" s="1272">
        <v>0</v>
      </c>
      <c r="BC59" s="414">
        <f t="shared" si="27"/>
        <v>1</v>
      </c>
      <c r="BD59" s="413">
        <f t="shared" si="28"/>
        <v>1</v>
      </c>
      <c r="BE59" s="337"/>
      <c r="BF59" s="338"/>
      <c r="BG59" s="664">
        <f t="shared" si="62"/>
        <v>0</v>
      </c>
      <c r="BH59" s="679">
        <f t="shared" si="63"/>
        <v>0</v>
      </c>
      <c r="BI59" s="383">
        <f t="shared" si="51"/>
        <v>0</v>
      </c>
      <c r="BJ59" s="386">
        <f t="shared" si="52"/>
        <v>0</v>
      </c>
      <c r="BK59" s="534">
        <f t="shared" si="77"/>
        <v>1978</v>
      </c>
      <c r="BL59" s="1271">
        <f t="shared" si="53"/>
        <v>0</v>
      </c>
      <c r="BM59" s="1272">
        <f t="shared" si="54"/>
        <v>0</v>
      </c>
      <c r="BN59" s="337"/>
      <c r="BO59" s="338"/>
      <c r="BP59" s="1271">
        <v>0</v>
      </c>
      <c r="BQ59" s="1272">
        <v>0</v>
      </c>
      <c r="BR59" s="414">
        <f t="shared" si="31"/>
        <v>1</v>
      </c>
      <c r="BS59" s="413">
        <f t="shared" si="32"/>
        <v>1</v>
      </c>
      <c r="BT59" s="337"/>
      <c r="BU59" s="338"/>
      <c r="BV59" s="664">
        <f t="shared" si="64"/>
        <v>0</v>
      </c>
      <c r="BW59" s="679">
        <f t="shared" si="65"/>
        <v>0</v>
      </c>
      <c r="BX59" s="383">
        <f t="shared" si="55"/>
        <v>0</v>
      </c>
      <c r="BY59" s="386">
        <f t="shared" si="56"/>
        <v>0</v>
      </c>
      <c r="BZ59" s="534">
        <f t="shared" si="34"/>
        <v>1981</v>
      </c>
      <c r="CA59" s="664">
        <f t="shared" si="66"/>
        <v>0</v>
      </c>
      <c r="CB59" s="665">
        <f t="shared" si="67"/>
        <v>0</v>
      </c>
      <c r="CC59" s="664">
        <f t="shared" si="68"/>
        <v>0</v>
      </c>
      <c r="CD59" s="665">
        <f t="shared" si="69"/>
        <v>0</v>
      </c>
      <c r="CE59" s="337"/>
      <c r="CF59" s="338"/>
      <c r="CG59" s="383">
        <f t="shared" si="57"/>
        <v>0</v>
      </c>
      <c r="CH59" s="386">
        <f t="shared" si="58"/>
        <v>0</v>
      </c>
    </row>
    <row r="60" spans="2:86" ht="13.5" thickBot="1" x14ac:dyDescent="0.25">
      <c r="B60" s="313">
        <v>45</v>
      </c>
      <c r="C60" s="321">
        <f t="shared" si="35"/>
        <v>46</v>
      </c>
      <c r="D60" s="535">
        <f t="shared" si="72"/>
        <v>1980</v>
      </c>
      <c r="E60" s="341"/>
      <c r="F60" s="340"/>
      <c r="G60" s="1277">
        <v>0</v>
      </c>
      <c r="H60" s="1290">
        <v>0</v>
      </c>
      <c r="I60" s="406">
        <f t="shared" si="78"/>
        <v>0</v>
      </c>
      <c r="J60" s="407">
        <f t="shared" si="36"/>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7"/>
        <v>0.99949778007574364</v>
      </c>
      <c r="P60" s="1144">
        <f t="shared" si="38"/>
        <v>0.99969143429051088</v>
      </c>
      <c r="Q60" s="313">
        <f t="shared" si="73"/>
        <v>1980</v>
      </c>
      <c r="R60" s="341"/>
      <c r="S60" s="340"/>
      <c r="T60" s="666">
        <f t="shared" si="70"/>
        <v>0</v>
      </c>
      <c r="U60" s="667">
        <f t="shared" si="71"/>
        <v>0</v>
      </c>
      <c r="V60" s="341"/>
      <c r="W60" s="340"/>
      <c r="X60" s="384">
        <f t="shared" si="39"/>
        <v>0</v>
      </c>
      <c r="Y60" s="387">
        <f t="shared" si="40"/>
        <v>0</v>
      </c>
      <c r="Z60" s="535">
        <f t="shared" si="74"/>
        <v>1980</v>
      </c>
      <c r="AA60" s="666">
        <f t="shared" si="41"/>
        <v>0</v>
      </c>
      <c r="AB60" s="667">
        <f t="shared" si="42"/>
        <v>0</v>
      </c>
      <c r="AC60" s="341"/>
      <c r="AD60" s="340"/>
      <c r="AE60" s="384">
        <f t="shared" si="43"/>
        <v>0</v>
      </c>
      <c r="AF60" s="387">
        <f t="shared" si="44"/>
        <v>0</v>
      </c>
      <c r="AG60" s="535">
        <f t="shared" si="75"/>
        <v>1979</v>
      </c>
      <c r="AH60" s="1271">
        <f t="shared" si="45"/>
        <v>0</v>
      </c>
      <c r="AI60" s="1272">
        <f t="shared" si="46"/>
        <v>0</v>
      </c>
      <c r="AJ60" s="341"/>
      <c r="AK60" s="340"/>
      <c r="AL60" s="1271">
        <v>0</v>
      </c>
      <c r="AM60" s="1272">
        <v>0</v>
      </c>
      <c r="AN60" s="415">
        <f t="shared" si="22"/>
        <v>1</v>
      </c>
      <c r="AO60" s="416">
        <f t="shared" si="23"/>
        <v>1</v>
      </c>
      <c r="AP60" s="341"/>
      <c r="AQ60" s="340"/>
      <c r="AR60" s="666">
        <f t="shared" si="60"/>
        <v>0</v>
      </c>
      <c r="AS60" s="680">
        <f t="shared" si="61"/>
        <v>0</v>
      </c>
      <c r="AT60" s="384">
        <f t="shared" si="47"/>
        <v>0</v>
      </c>
      <c r="AU60" s="387">
        <f t="shared" si="48"/>
        <v>0</v>
      </c>
      <c r="AV60" s="535">
        <f t="shared" si="76"/>
        <v>1978</v>
      </c>
      <c r="AW60" s="1271">
        <f t="shared" si="49"/>
        <v>0</v>
      </c>
      <c r="AX60" s="1272">
        <f t="shared" si="50"/>
        <v>0</v>
      </c>
      <c r="AY60" s="341"/>
      <c r="AZ60" s="340"/>
      <c r="BA60" s="1271">
        <v>0</v>
      </c>
      <c r="BB60" s="1272">
        <v>0</v>
      </c>
      <c r="BC60" s="415">
        <f t="shared" si="27"/>
        <v>1</v>
      </c>
      <c r="BD60" s="416">
        <f t="shared" si="28"/>
        <v>1</v>
      </c>
      <c r="BE60" s="341"/>
      <c r="BF60" s="340"/>
      <c r="BG60" s="666">
        <f t="shared" si="62"/>
        <v>0</v>
      </c>
      <c r="BH60" s="680">
        <f t="shared" si="63"/>
        <v>0</v>
      </c>
      <c r="BI60" s="384">
        <f t="shared" si="51"/>
        <v>0</v>
      </c>
      <c r="BJ60" s="387">
        <f t="shared" si="52"/>
        <v>0</v>
      </c>
      <c r="BK60" s="535">
        <f t="shared" si="77"/>
        <v>1977</v>
      </c>
      <c r="BL60" s="1271">
        <f t="shared" si="53"/>
        <v>0</v>
      </c>
      <c r="BM60" s="1272">
        <f t="shared" si="54"/>
        <v>0</v>
      </c>
      <c r="BN60" s="341"/>
      <c r="BO60" s="340"/>
      <c r="BP60" s="1271">
        <v>0</v>
      </c>
      <c r="BQ60" s="1272">
        <v>0</v>
      </c>
      <c r="BR60" s="415">
        <f t="shared" si="31"/>
        <v>1</v>
      </c>
      <c r="BS60" s="416">
        <f t="shared" si="32"/>
        <v>1</v>
      </c>
      <c r="BT60" s="341"/>
      <c r="BU60" s="340"/>
      <c r="BV60" s="666">
        <f t="shared" si="64"/>
        <v>0</v>
      </c>
      <c r="BW60" s="680">
        <f t="shared" si="65"/>
        <v>0</v>
      </c>
      <c r="BX60" s="384">
        <f t="shared" si="55"/>
        <v>0</v>
      </c>
      <c r="BY60" s="387">
        <f t="shared" si="56"/>
        <v>0</v>
      </c>
      <c r="BZ60" s="535">
        <f t="shared" si="34"/>
        <v>1980</v>
      </c>
      <c r="CA60" s="666">
        <f t="shared" si="66"/>
        <v>0</v>
      </c>
      <c r="CB60" s="667">
        <f t="shared" si="67"/>
        <v>0</v>
      </c>
      <c r="CC60" s="666">
        <f t="shared" si="68"/>
        <v>0</v>
      </c>
      <c r="CD60" s="667">
        <f t="shared" si="69"/>
        <v>0</v>
      </c>
      <c r="CE60" s="341"/>
      <c r="CF60" s="340"/>
      <c r="CG60" s="384">
        <f t="shared" si="57"/>
        <v>0</v>
      </c>
      <c r="CH60" s="387">
        <f t="shared" si="58"/>
        <v>0</v>
      </c>
    </row>
    <row r="61" spans="2:86" ht="13.5" thickTop="1" x14ac:dyDescent="0.2">
      <c r="B61" s="276">
        <v>46</v>
      </c>
      <c r="C61" s="320">
        <f t="shared" si="35"/>
        <v>47</v>
      </c>
      <c r="D61" s="534">
        <f t="shared" si="72"/>
        <v>1979</v>
      </c>
      <c r="E61" s="337"/>
      <c r="F61" s="338"/>
      <c r="G61" s="1271">
        <v>0</v>
      </c>
      <c r="H61" s="1289">
        <v>0</v>
      </c>
      <c r="I61" s="400">
        <f t="shared" si="78"/>
        <v>0</v>
      </c>
      <c r="J61" s="401">
        <f t="shared" si="36"/>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7"/>
        <v>0.99944569075193779</v>
      </c>
      <c r="P61" s="1143">
        <f t="shared" si="38"/>
        <v>0.99965919297146422</v>
      </c>
      <c r="Q61" s="356">
        <f t="shared" si="73"/>
        <v>1979</v>
      </c>
      <c r="R61" s="337"/>
      <c r="S61" s="338"/>
      <c r="T61" s="664">
        <f t="shared" si="70"/>
        <v>0</v>
      </c>
      <c r="U61" s="665">
        <f t="shared" si="71"/>
        <v>0</v>
      </c>
      <c r="V61" s="337"/>
      <c r="W61" s="338"/>
      <c r="X61" s="383">
        <f t="shared" si="39"/>
        <v>0</v>
      </c>
      <c r="Y61" s="386">
        <f t="shared" si="40"/>
        <v>0</v>
      </c>
      <c r="Z61" s="534">
        <f t="shared" si="74"/>
        <v>1979</v>
      </c>
      <c r="AA61" s="664">
        <f t="shared" si="41"/>
        <v>0</v>
      </c>
      <c r="AB61" s="665">
        <f t="shared" si="42"/>
        <v>0</v>
      </c>
      <c r="AC61" s="337"/>
      <c r="AD61" s="338"/>
      <c r="AE61" s="383">
        <f t="shared" si="43"/>
        <v>0</v>
      </c>
      <c r="AF61" s="386">
        <f t="shared" si="44"/>
        <v>0</v>
      </c>
      <c r="AG61" s="534">
        <f t="shared" si="75"/>
        <v>1978</v>
      </c>
      <c r="AH61" s="1271">
        <f t="shared" si="45"/>
        <v>0</v>
      </c>
      <c r="AI61" s="1272">
        <f t="shared" si="46"/>
        <v>0</v>
      </c>
      <c r="AJ61" s="337"/>
      <c r="AK61" s="338"/>
      <c r="AL61" s="1271">
        <v>0</v>
      </c>
      <c r="AM61" s="1272">
        <v>0</v>
      </c>
      <c r="AN61" s="414">
        <f t="shared" si="22"/>
        <v>1</v>
      </c>
      <c r="AO61" s="413">
        <f t="shared" si="23"/>
        <v>1</v>
      </c>
      <c r="AP61" s="337"/>
      <c r="AQ61" s="338"/>
      <c r="AR61" s="664">
        <f t="shared" si="60"/>
        <v>0</v>
      </c>
      <c r="AS61" s="679">
        <f t="shared" si="61"/>
        <v>0</v>
      </c>
      <c r="AT61" s="383">
        <f t="shared" si="47"/>
        <v>0</v>
      </c>
      <c r="AU61" s="386">
        <f t="shared" si="48"/>
        <v>0</v>
      </c>
      <c r="AV61" s="534">
        <f t="shared" si="76"/>
        <v>1977</v>
      </c>
      <c r="AW61" s="1271">
        <f t="shared" si="49"/>
        <v>0</v>
      </c>
      <c r="AX61" s="1272">
        <f t="shared" si="50"/>
        <v>0</v>
      </c>
      <c r="AY61" s="337"/>
      <c r="AZ61" s="338"/>
      <c r="BA61" s="1271">
        <v>0</v>
      </c>
      <c r="BB61" s="1272">
        <v>0</v>
      </c>
      <c r="BC61" s="414">
        <f t="shared" si="27"/>
        <v>1</v>
      </c>
      <c r="BD61" s="413">
        <f t="shared" si="28"/>
        <v>1</v>
      </c>
      <c r="BE61" s="337"/>
      <c r="BF61" s="338"/>
      <c r="BG61" s="664">
        <f t="shared" si="62"/>
        <v>0</v>
      </c>
      <c r="BH61" s="679">
        <f t="shared" si="63"/>
        <v>0</v>
      </c>
      <c r="BI61" s="383">
        <f t="shared" si="51"/>
        <v>0</v>
      </c>
      <c r="BJ61" s="386">
        <f t="shared" si="52"/>
        <v>0</v>
      </c>
      <c r="BK61" s="534">
        <f t="shared" si="77"/>
        <v>1976</v>
      </c>
      <c r="BL61" s="1271">
        <f t="shared" si="53"/>
        <v>0</v>
      </c>
      <c r="BM61" s="1272">
        <f t="shared" si="54"/>
        <v>0</v>
      </c>
      <c r="BN61" s="337"/>
      <c r="BO61" s="338"/>
      <c r="BP61" s="1271">
        <v>0</v>
      </c>
      <c r="BQ61" s="1272">
        <v>0</v>
      </c>
      <c r="BR61" s="414">
        <f t="shared" si="31"/>
        <v>1</v>
      </c>
      <c r="BS61" s="413">
        <f t="shared" si="32"/>
        <v>1</v>
      </c>
      <c r="BT61" s="337"/>
      <c r="BU61" s="338"/>
      <c r="BV61" s="664">
        <f t="shared" si="64"/>
        <v>0</v>
      </c>
      <c r="BW61" s="679">
        <f t="shared" si="65"/>
        <v>0</v>
      </c>
      <c r="BX61" s="383">
        <f t="shared" si="55"/>
        <v>0</v>
      </c>
      <c r="BY61" s="386">
        <f t="shared" si="56"/>
        <v>0</v>
      </c>
      <c r="BZ61" s="534">
        <f t="shared" si="34"/>
        <v>1979</v>
      </c>
      <c r="CA61" s="664">
        <f t="shared" si="66"/>
        <v>0</v>
      </c>
      <c r="CB61" s="665">
        <f t="shared" si="67"/>
        <v>0</v>
      </c>
      <c r="CC61" s="664">
        <f t="shared" si="68"/>
        <v>0</v>
      </c>
      <c r="CD61" s="665">
        <f t="shared" si="69"/>
        <v>0</v>
      </c>
      <c r="CE61" s="337"/>
      <c r="CF61" s="338"/>
      <c r="CG61" s="383">
        <f t="shared" si="57"/>
        <v>0</v>
      </c>
      <c r="CH61" s="386">
        <f t="shared" si="58"/>
        <v>0</v>
      </c>
    </row>
    <row r="62" spans="2:86" x14ac:dyDescent="0.2">
      <c r="B62" s="276">
        <v>47</v>
      </c>
      <c r="C62" s="320">
        <f t="shared" si="35"/>
        <v>48</v>
      </c>
      <c r="D62" s="534">
        <f t="shared" si="72"/>
        <v>1978</v>
      </c>
      <c r="E62" s="337"/>
      <c r="F62" s="338"/>
      <c r="G62" s="1271">
        <v>0</v>
      </c>
      <c r="H62" s="1289">
        <v>0</v>
      </c>
      <c r="I62" s="400">
        <f t="shared" si="78"/>
        <v>0</v>
      </c>
      <c r="J62" s="401">
        <f t="shared" si="36"/>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7"/>
        <v>0.99938652136216666</v>
      </c>
      <c r="P62" s="1143">
        <f t="shared" si="38"/>
        <v>0.9996233222876969</v>
      </c>
      <c r="Q62" s="356">
        <f t="shared" si="73"/>
        <v>1978</v>
      </c>
      <c r="R62" s="337"/>
      <c r="S62" s="338"/>
      <c r="T62" s="664">
        <f t="shared" si="70"/>
        <v>0</v>
      </c>
      <c r="U62" s="665">
        <f t="shared" si="71"/>
        <v>0</v>
      </c>
      <c r="V62" s="337"/>
      <c r="W62" s="338"/>
      <c r="X62" s="383">
        <f t="shared" si="39"/>
        <v>0</v>
      </c>
      <c r="Y62" s="386">
        <f t="shared" si="40"/>
        <v>0</v>
      </c>
      <c r="Z62" s="534">
        <f t="shared" si="74"/>
        <v>1978</v>
      </c>
      <c r="AA62" s="664">
        <f t="shared" si="41"/>
        <v>0</v>
      </c>
      <c r="AB62" s="665">
        <f t="shared" si="42"/>
        <v>0</v>
      </c>
      <c r="AC62" s="337"/>
      <c r="AD62" s="338"/>
      <c r="AE62" s="383">
        <f t="shared" si="43"/>
        <v>0</v>
      </c>
      <c r="AF62" s="386">
        <f t="shared" si="44"/>
        <v>0</v>
      </c>
      <c r="AG62" s="534">
        <f t="shared" si="75"/>
        <v>1977</v>
      </c>
      <c r="AH62" s="1271">
        <f t="shared" si="45"/>
        <v>0</v>
      </c>
      <c r="AI62" s="1272">
        <f t="shared" si="46"/>
        <v>0</v>
      </c>
      <c r="AJ62" s="337"/>
      <c r="AK62" s="338"/>
      <c r="AL62" s="1271">
        <v>0</v>
      </c>
      <c r="AM62" s="1272">
        <v>0</v>
      </c>
      <c r="AN62" s="414">
        <f t="shared" si="22"/>
        <v>1</v>
      </c>
      <c r="AO62" s="413">
        <f t="shared" si="23"/>
        <v>1</v>
      </c>
      <c r="AP62" s="337"/>
      <c r="AQ62" s="338"/>
      <c r="AR62" s="664">
        <f t="shared" si="60"/>
        <v>0</v>
      </c>
      <c r="AS62" s="679">
        <f t="shared" si="61"/>
        <v>0</v>
      </c>
      <c r="AT62" s="383">
        <f t="shared" si="47"/>
        <v>0</v>
      </c>
      <c r="AU62" s="386">
        <f t="shared" si="48"/>
        <v>0</v>
      </c>
      <c r="AV62" s="534">
        <f t="shared" si="76"/>
        <v>1976</v>
      </c>
      <c r="AW62" s="1271">
        <f t="shared" si="49"/>
        <v>0</v>
      </c>
      <c r="AX62" s="1272">
        <f t="shared" si="50"/>
        <v>0</v>
      </c>
      <c r="AY62" s="337"/>
      <c r="AZ62" s="338"/>
      <c r="BA62" s="1271">
        <v>0</v>
      </c>
      <c r="BB62" s="1272">
        <v>0</v>
      </c>
      <c r="BC62" s="414">
        <f t="shared" si="27"/>
        <v>1</v>
      </c>
      <c r="BD62" s="413">
        <f t="shared" si="28"/>
        <v>1</v>
      </c>
      <c r="BE62" s="337"/>
      <c r="BF62" s="338"/>
      <c r="BG62" s="664">
        <f t="shared" si="62"/>
        <v>0</v>
      </c>
      <c r="BH62" s="679">
        <f t="shared" si="63"/>
        <v>0</v>
      </c>
      <c r="BI62" s="383">
        <f t="shared" si="51"/>
        <v>0</v>
      </c>
      <c r="BJ62" s="386">
        <f t="shared" si="52"/>
        <v>0</v>
      </c>
      <c r="BK62" s="534">
        <f t="shared" si="77"/>
        <v>1975</v>
      </c>
      <c r="BL62" s="1271">
        <f t="shared" si="53"/>
        <v>0</v>
      </c>
      <c r="BM62" s="1272">
        <f t="shared" si="54"/>
        <v>0</v>
      </c>
      <c r="BN62" s="337"/>
      <c r="BO62" s="338"/>
      <c r="BP62" s="1271">
        <v>0</v>
      </c>
      <c r="BQ62" s="1272">
        <v>0</v>
      </c>
      <c r="BR62" s="414">
        <f t="shared" si="31"/>
        <v>1</v>
      </c>
      <c r="BS62" s="413">
        <f t="shared" si="32"/>
        <v>1</v>
      </c>
      <c r="BT62" s="337"/>
      <c r="BU62" s="338"/>
      <c r="BV62" s="664">
        <f t="shared" si="64"/>
        <v>0</v>
      </c>
      <c r="BW62" s="679">
        <f t="shared" si="65"/>
        <v>0</v>
      </c>
      <c r="BX62" s="383">
        <f t="shared" si="55"/>
        <v>0</v>
      </c>
      <c r="BY62" s="386">
        <f t="shared" si="56"/>
        <v>0</v>
      </c>
      <c r="BZ62" s="534">
        <f t="shared" si="34"/>
        <v>1978</v>
      </c>
      <c r="CA62" s="664">
        <f t="shared" si="66"/>
        <v>0</v>
      </c>
      <c r="CB62" s="665">
        <f t="shared" si="67"/>
        <v>0</v>
      </c>
      <c r="CC62" s="664">
        <f t="shared" si="68"/>
        <v>0</v>
      </c>
      <c r="CD62" s="665">
        <f t="shared" si="69"/>
        <v>0</v>
      </c>
      <c r="CE62" s="337"/>
      <c r="CF62" s="338"/>
      <c r="CG62" s="383">
        <f t="shared" si="57"/>
        <v>0</v>
      </c>
      <c r="CH62" s="386">
        <f t="shared" si="58"/>
        <v>0</v>
      </c>
    </row>
    <row r="63" spans="2:86" x14ac:dyDescent="0.2">
      <c r="B63" s="276">
        <v>48</v>
      </c>
      <c r="C63" s="320">
        <f t="shared" si="35"/>
        <v>49</v>
      </c>
      <c r="D63" s="534">
        <f t="shared" si="72"/>
        <v>1977</v>
      </c>
      <c r="E63" s="337"/>
      <c r="F63" s="338"/>
      <c r="G63" s="1271">
        <v>0</v>
      </c>
      <c r="H63" s="1289">
        <v>0</v>
      </c>
      <c r="I63" s="400">
        <f t="shared" si="78"/>
        <v>0</v>
      </c>
      <c r="J63" s="401">
        <f t="shared" si="36"/>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7"/>
        <v>0.99931947516657582</v>
      </c>
      <c r="P63" s="1143">
        <f t="shared" si="38"/>
        <v>0.99958340060156936</v>
      </c>
      <c r="Q63" s="356">
        <f t="shared" si="73"/>
        <v>1977</v>
      </c>
      <c r="R63" s="337"/>
      <c r="S63" s="338"/>
      <c r="T63" s="664">
        <f t="shared" si="70"/>
        <v>0</v>
      </c>
      <c r="U63" s="665">
        <f t="shared" si="71"/>
        <v>0</v>
      </c>
      <c r="V63" s="337"/>
      <c r="W63" s="338"/>
      <c r="X63" s="383">
        <f t="shared" si="39"/>
        <v>0</v>
      </c>
      <c r="Y63" s="386">
        <f t="shared" si="40"/>
        <v>0</v>
      </c>
      <c r="Z63" s="534">
        <f t="shared" si="74"/>
        <v>1977</v>
      </c>
      <c r="AA63" s="664">
        <f t="shared" si="41"/>
        <v>0</v>
      </c>
      <c r="AB63" s="665">
        <f t="shared" si="42"/>
        <v>0</v>
      </c>
      <c r="AC63" s="337"/>
      <c r="AD63" s="338"/>
      <c r="AE63" s="383">
        <f t="shared" si="43"/>
        <v>0</v>
      </c>
      <c r="AF63" s="386">
        <f t="shared" si="44"/>
        <v>0</v>
      </c>
      <c r="AG63" s="534">
        <f t="shared" si="75"/>
        <v>1976</v>
      </c>
      <c r="AH63" s="1271">
        <f t="shared" si="45"/>
        <v>0</v>
      </c>
      <c r="AI63" s="1272">
        <f t="shared" si="46"/>
        <v>0</v>
      </c>
      <c r="AJ63" s="337"/>
      <c r="AK63" s="338"/>
      <c r="AL63" s="1271">
        <v>0</v>
      </c>
      <c r="AM63" s="1272">
        <v>0</v>
      </c>
      <c r="AN63" s="414">
        <f t="shared" si="22"/>
        <v>1</v>
      </c>
      <c r="AO63" s="413">
        <f t="shared" si="23"/>
        <v>1</v>
      </c>
      <c r="AP63" s="337"/>
      <c r="AQ63" s="338"/>
      <c r="AR63" s="664">
        <f t="shared" si="60"/>
        <v>0</v>
      </c>
      <c r="AS63" s="679">
        <f t="shared" si="61"/>
        <v>0</v>
      </c>
      <c r="AT63" s="383">
        <f t="shared" si="47"/>
        <v>0</v>
      </c>
      <c r="AU63" s="386">
        <f t="shared" si="48"/>
        <v>0</v>
      </c>
      <c r="AV63" s="534">
        <f t="shared" si="76"/>
        <v>1975</v>
      </c>
      <c r="AW63" s="1271">
        <f t="shared" si="49"/>
        <v>0</v>
      </c>
      <c r="AX63" s="1272">
        <f t="shared" si="50"/>
        <v>0</v>
      </c>
      <c r="AY63" s="337"/>
      <c r="AZ63" s="338"/>
      <c r="BA63" s="1271">
        <v>0</v>
      </c>
      <c r="BB63" s="1272">
        <v>0</v>
      </c>
      <c r="BC63" s="414">
        <f t="shared" si="27"/>
        <v>1</v>
      </c>
      <c r="BD63" s="413">
        <f t="shared" si="28"/>
        <v>1</v>
      </c>
      <c r="BE63" s="337"/>
      <c r="BF63" s="338"/>
      <c r="BG63" s="664">
        <f t="shared" si="62"/>
        <v>0</v>
      </c>
      <c r="BH63" s="679">
        <f t="shared" si="63"/>
        <v>0</v>
      </c>
      <c r="BI63" s="383">
        <f t="shared" si="51"/>
        <v>0</v>
      </c>
      <c r="BJ63" s="386">
        <f t="shared" si="52"/>
        <v>0</v>
      </c>
      <c r="BK63" s="534">
        <f t="shared" si="77"/>
        <v>1974</v>
      </c>
      <c r="BL63" s="1271">
        <f t="shared" si="53"/>
        <v>0</v>
      </c>
      <c r="BM63" s="1272">
        <f t="shared" si="54"/>
        <v>0</v>
      </c>
      <c r="BN63" s="337"/>
      <c r="BO63" s="338"/>
      <c r="BP63" s="1271">
        <v>0</v>
      </c>
      <c r="BQ63" s="1272">
        <v>0</v>
      </c>
      <c r="BR63" s="414">
        <f t="shared" si="31"/>
        <v>1</v>
      </c>
      <c r="BS63" s="413">
        <f t="shared" si="32"/>
        <v>1</v>
      </c>
      <c r="BT63" s="337"/>
      <c r="BU63" s="338"/>
      <c r="BV63" s="664">
        <f t="shared" si="64"/>
        <v>0</v>
      </c>
      <c r="BW63" s="679">
        <f t="shared" si="65"/>
        <v>0</v>
      </c>
      <c r="BX63" s="383">
        <f t="shared" si="55"/>
        <v>0</v>
      </c>
      <c r="BY63" s="386">
        <f t="shared" si="56"/>
        <v>0</v>
      </c>
      <c r="BZ63" s="534">
        <f t="shared" si="34"/>
        <v>1977</v>
      </c>
      <c r="CA63" s="664">
        <f t="shared" si="66"/>
        <v>0</v>
      </c>
      <c r="CB63" s="665">
        <f t="shared" si="67"/>
        <v>0</v>
      </c>
      <c r="CC63" s="664">
        <f t="shared" si="68"/>
        <v>0</v>
      </c>
      <c r="CD63" s="665">
        <f t="shared" si="69"/>
        <v>0</v>
      </c>
      <c r="CE63" s="337"/>
      <c r="CF63" s="338"/>
      <c r="CG63" s="383">
        <f t="shared" si="57"/>
        <v>0</v>
      </c>
      <c r="CH63" s="386">
        <f t="shared" si="58"/>
        <v>0</v>
      </c>
    </row>
    <row r="64" spans="2:86" x14ac:dyDescent="0.2">
      <c r="B64" s="276">
        <v>49</v>
      </c>
      <c r="C64" s="320">
        <f t="shared" si="35"/>
        <v>50</v>
      </c>
      <c r="D64" s="534">
        <f t="shared" si="72"/>
        <v>1976</v>
      </c>
      <c r="E64" s="337"/>
      <c r="F64" s="338"/>
      <c r="G64" s="1271">
        <v>0</v>
      </c>
      <c r="H64" s="1289">
        <v>0</v>
      </c>
      <c r="I64" s="400">
        <f t="shared" si="78"/>
        <v>0</v>
      </c>
      <c r="J64" s="401">
        <f t="shared" si="36"/>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7"/>
        <v>0.99924369923526979</v>
      </c>
      <c r="P64" s="1143">
        <f t="shared" si="38"/>
        <v>0.99953896785521157</v>
      </c>
      <c r="Q64" s="356">
        <f t="shared" si="73"/>
        <v>1976</v>
      </c>
      <c r="R64" s="337"/>
      <c r="S64" s="338"/>
      <c r="T64" s="664">
        <f t="shared" si="70"/>
        <v>0</v>
      </c>
      <c r="U64" s="665">
        <f t="shared" si="71"/>
        <v>0</v>
      </c>
      <c r="V64" s="337"/>
      <c r="W64" s="338"/>
      <c r="X64" s="383">
        <f t="shared" si="39"/>
        <v>0</v>
      </c>
      <c r="Y64" s="386">
        <f t="shared" si="40"/>
        <v>0</v>
      </c>
      <c r="Z64" s="534">
        <f t="shared" si="74"/>
        <v>1976</v>
      </c>
      <c r="AA64" s="664">
        <f t="shared" si="41"/>
        <v>0</v>
      </c>
      <c r="AB64" s="665">
        <f t="shared" si="42"/>
        <v>0</v>
      </c>
      <c r="AC64" s="337"/>
      <c r="AD64" s="338"/>
      <c r="AE64" s="383">
        <f t="shared" si="43"/>
        <v>0</v>
      </c>
      <c r="AF64" s="386">
        <f t="shared" si="44"/>
        <v>0</v>
      </c>
      <c r="AG64" s="534">
        <f t="shared" si="75"/>
        <v>1975</v>
      </c>
      <c r="AH64" s="1271">
        <f t="shared" si="45"/>
        <v>0</v>
      </c>
      <c r="AI64" s="1272">
        <f t="shared" si="46"/>
        <v>0</v>
      </c>
      <c r="AJ64" s="337"/>
      <c r="AK64" s="338"/>
      <c r="AL64" s="1271">
        <v>0</v>
      </c>
      <c r="AM64" s="1272">
        <v>0</v>
      </c>
      <c r="AN64" s="414">
        <f t="shared" si="22"/>
        <v>1</v>
      </c>
      <c r="AO64" s="413">
        <f t="shared" si="23"/>
        <v>1</v>
      </c>
      <c r="AP64" s="337"/>
      <c r="AQ64" s="338"/>
      <c r="AR64" s="664">
        <f t="shared" si="60"/>
        <v>0</v>
      </c>
      <c r="AS64" s="679">
        <f t="shared" si="61"/>
        <v>0</v>
      </c>
      <c r="AT64" s="383">
        <f t="shared" si="47"/>
        <v>0</v>
      </c>
      <c r="AU64" s="386">
        <f t="shared" si="48"/>
        <v>0</v>
      </c>
      <c r="AV64" s="534">
        <f t="shared" si="76"/>
        <v>1974</v>
      </c>
      <c r="AW64" s="1271">
        <f t="shared" si="49"/>
        <v>0</v>
      </c>
      <c r="AX64" s="1272">
        <f t="shared" si="50"/>
        <v>0</v>
      </c>
      <c r="AY64" s="337"/>
      <c r="AZ64" s="338"/>
      <c r="BA64" s="1271">
        <v>0</v>
      </c>
      <c r="BB64" s="1272">
        <v>0</v>
      </c>
      <c r="BC64" s="414">
        <f t="shared" si="27"/>
        <v>1</v>
      </c>
      <c r="BD64" s="413">
        <f t="shared" si="28"/>
        <v>1</v>
      </c>
      <c r="BE64" s="337"/>
      <c r="BF64" s="338"/>
      <c r="BG64" s="664">
        <f t="shared" si="62"/>
        <v>0</v>
      </c>
      <c r="BH64" s="679">
        <f t="shared" si="63"/>
        <v>0</v>
      </c>
      <c r="BI64" s="383">
        <f t="shared" si="51"/>
        <v>0</v>
      </c>
      <c r="BJ64" s="386">
        <f t="shared" si="52"/>
        <v>0</v>
      </c>
      <c r="BK64" s="534">
        <f t="shared" si="77"/>
        <v>1973</v>
      </c>
      <c r="BL64" s="1271">
        <f t="shared" si="53"/>
        <v>0</v>
      </c>
      <c r="BM64" s="1272">
        <f t="shared" si="54"/>
        <v>0</v>
      </c>
      <c r="BN64" s="337"/>
      <c r="BO64" s="338"/>
      <c r="BP64" s="1271">
        <v>0</v>
      </c>
      <c r="BQ64" s="1272">
        <v>0</v>
      </c>
      <c r="BR64" s="414">
        <f t="shared" si="31"/>
        <v>1</v>
      </c>
      <c r="BS64" s="413">
        <f t="shared" si="32"/>
        <v>1</v>
      </c>
      <c r="BT64" s="337"/>
      <c r="BU64" s="338"/>
      <c r="BV64" s="664">
        <f t="shared" si="64"/>
        <v>0</v>
      </c>
      <c r="BW64" s="679">
        <f t="shared" si="65"/>
        <v>0</v>
      </c>
      <c r="BX64" s="383">
        <f t="shared" si="55"/>
        <v>0</v>
      </c>
      <c r="BY64" s="386">
        <f t="shared" si="56"/>
        <v>0</v>
      </c>
      <c r="BZ64" s="534">
        <f t="shared" si="34"/>
        <v>1976</v>
      </c>
      <c r="CA64" s="664">
        <f t="shared" si="66"/>
        <v>0</v>
      </c>
      <c r="CB64" s="665">
        <f t="shared" si="67"/>
        <v>0</v>
      </c>
      <c r="CC64" s="664">
        <f t="shared" si="68"/>
        <v>0</v>
      </c>
      <c r="CD64" s="665">
        <f t="shared" si="69"/>
        <v>0</v>
      </c>
      <c r="CE64" s="337"/>
      <c r="CF64" s="338"/>
      <c r="CG64" s="383">
        <f t="shared" si="57"/>
        <v>0</v>
      </c>
      <c r="CH64" s="386">
        <f t="shared" si="58"/>
        <v>0</v>
      </c>
    </row>
    <row r="65" spans="2:86" ht="13.5" thickBot="1" x14ac:dyDescent="0.25">
      <c r="B65" s="313">
        <v>50</v>
      </c>
      <c r="C65" s="321">
        <f t="shared" si="35"/>
        <v>51</v>
      </c>
      <c r="D65" s="535">
        <f t="shared" si="72"/>
        <v>1975</v>
      </c>
      <c r="E65" s="341"/>
      <c r="F65" s="340"/>
      <c r="G65" s="1277">
        <v>0</v>
      </c>
      <c r="H65" s="1290">
        <v>0</v>
      </c>
      <c r="I65" s="406">
        <f t="shared" si="78"/>
        <v>0</v>
      </c>
      <c r="J65" s="407">
        <f t="shared" si="36"/>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7"/>
        <v>0.99915829572660908</v>
      </c>
      <c r="P65" s="1144">
        <f t="shared" si="38"/>
        <v>0.9994895436442699</v>
      </c>
      <c r="Q65" s="313">
        <f t="shared" si="73"/>
        <v>1975</v>
      </c>
      <c r="R65" s="341"/>
      <c r="S65" s="340"/>
      <c r="T65" s="666">
        <f t="shared" si="70"/>
        <v>0</v>
      </c>
      <c r="U65" s="667">
        <f t="shared" si="71"/>
        <v>0</v>
      </c>
      <c r="V65" s="341"/>
      <c r="W65" s="340"/>
      <c r="X65" s="384">
        <f t="shared" si="39"/>
        <v>0</v>
      </c>
      <c r="Y65" s="387">
        <f t="shared" si="40"/>
        <v>0</v>
      </c>
      <c r="Z65" s="535">
        <f t="shared" si="74"/>
        <v>1975</v>
      </c>
      <c r="AA65" s="666">
        <f t="shared" si="41"/>
        <v>0</v>
      </c>
      <c r="AB65" s="667">
        <f t="shared" si="42"/>
        <v>0</v>
      </c>
      <c r="AC65" s="341"/>
      <c r="AD65" s="340"/>
      <c r="AE65" s="384">
        <f t="shared" si="43"/>
        <v>0</v>
      </c>
      <c r="AF65" s="387">
        <f t="shared" si="44"/>
        <v>0</v>
      </c>
      <c r="AG65" s="535">
        <f t="shared" si="75"/>
        <v>1974</v>
      </c>
      <c r="AH65" s="1271">
        <f t="shared" si="45"/>
        <v>0</v>
      </c>
      <c r="AI65" s="1272">
        <f t="shared" si="46"/>
        <v>0</v>
      </c>
      <c r="AJ65" s="341"/>
      <c r="AK65" s="340"/>
      <c r="AL65" s="1271">
        <v>0</v>
      </c>
      <c r="AM65" s="1272">
        <v>0</v>
      </c>
      <c r="AN65" s="415">
        <f t="shared" si="22"/>
        <v>1</v>
      </c>
      <c r="AO65" s="416">
        <f t="shared" si="23"/>
        <v>1</v>
      </c>
      <c r="AP65" s="341"/>
      <c r="AQ65" s="340"/>
      <c r="AR65" s="666">
        <f t="shared" si="60"/>
        <v>0</v>
      </c>
      <c r="AS65" s="680">
        <f t="shared" si="61"/>
        <v>0</v>
      </c>
      <c r="AT65" s="384">
        <f t="shared" si="47"/>
        <v>0</v>
      </c>
      <c r="AU65" s="387">
        <f t="shared" si="48"/>
        <v>0</v>
      </c>
      <c r="AV65" s="535">
        <f t="shared" si="76"/>
        <v>1973</v>
      </c>
      <c r="AW65" s="1271">
        <f t="shared" si="49"/>
        <v>0</v>
      </c>
      <c r="AX65" s="1272">
        <f t="shared" si="50"/>
        <v>0</v>
      </c>
      <c r="AY65" s="341"/>
      <c r="AZ65" s="340"/>
      <c r="BA65" s="1271">
        <v>0</v>
      </c>
      <c r="BB65" s="1272">
        <v>0</v>
      </c>
      <c r="BC65" s="415">
        <f t="shared" si="27"/>
        <v>1</v>
      </c>
      <c r="BD65" s="416">
        <f t="shared" si="28"/>
        <v>1</v>
      </c>
      <c r="BE65" s="341"/>
      <c r="BF65" s="340"/>
      <c r="BG65" s="666">
        <f t="shared" si="62"/>
        <v>0</v>
      </c>
      <c r="BH65" s="680">
        <f t="shared" si="63"/>
        <v>0</v>
      </c>
      <c r="BI65" s="384">
        <f t="shared" si="51"/>
        <v>0</v>
      </c>
      <c r="BJ65" s="387">
        <f t="shared" si="52"/>
        <v>0</v>
      </c>
      <c r="BK65" s="535">
        <f t="shared" si="77"/>
        <v>1972</v>
      </c>
      <c r="BL65" s="1271">
        <f t="shared" si="53"/>
        <v>0</v>
      </c>
      <c r="BM65" s="1272">
        <f t="shared" si="54"/>
        <v>0</v>
      </c>
      <c r="BN65" s="341"/>
      <c r="BO65" s="340"/>
      <c r="BP65" s="1271">
        <v>0</v>
      </c>
      <c r="BQ65" s="1272">
        <v>0</v>
      </c>
      <c r="BR65" s="415">
        <f t="shared" si="31"/>
        <v>1</v>
      </c>
      <c r="BS65" s="416">
        <f t="shared" si="32"/>
        <v>1</v>
      </c>
      <c r="BT65" s="341"/>
      <c r="BU65" s="340"/>
      <c r="BV65" s="666">
        <f t="shared" si="64"/>
        <v>0</v>
      </c>
      <c r="BW65" s="680">
        <f t="shared" si="65"/>
        <v>0</v>
      </c>
      <c r="BX65" s="384">
        <f t="shared" si="55"/>
        <v>0</v>
      </c>
      <c r="BY65" s="387">
        <f t="shared" si="56"/>
        <v>0</v>
      </c>
      <c r="BZ65" s="535">
        <f t="shared" si="34"/>
        <v>1975</v>
      </c>
      <c r="CA65" s="666">
        <f t="shared" si="66"/>
        <v>0</v>
      </c>
      <c r="CB65" s="667">
        <f t="shared" si="67"/>
        <v>0</v>
      </c>
      <c r="CC65" s="666">
        <f t="shared" si="68"/>
        <v>0</v>
      </c>
      <c r="CD65" s="667">
        <f t="shared" si="69"/>
        <v>0</v>
      </c>
      <c r="CE65" s="341"/>
      <c r="CF65" s="340"/>
      <c r="CG65" s="384">
        <f t="shared" si="57"/>
        <v>0</v>
      </c>
      <c r="CH65" s="387">
        <f t="shared" si="58"/>
        <v>0</v>
      </c>
    </row>
    <row r="66" spans="2:86" ht="13.5" thickTop="1" x14ac:dyDescent="0.2">
      <c r="B66" s="276">
        <v>51</v>
      </c>
      <c r="C66" s="320">
        <f t="shared" si="35"/>
        <v>52</v>
      </c>
      <c r="D66" s="534">
        <f t="shared" si="72"/>
        <v>1974</v>
      </c>
      <c r="E66" s="337"/>
      <c r="F66" s="338"/>
      <c r="G66" s="1271">
        <v>0</v>
      </c>
      <c r="H66" s="1289">
        <v>0</v>
      </c>
      <c r="I66" s="400">
        <f t="shared" si="78"/>
        <v>0</v>
      </c>
      <c r="J66" s="401">
        <f t="shared" si="36"/>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7"/>
        <v>0.99906233785753362</v>
      </c>
      <c r="P66" s="1143">
        <f t="shared" si="38"/>
        <v>0.99943465086617189</v>
      </c>
      <c r="Q66" s="356">
        <f t="shared" si="73"/>
        <v>1974</v>
      </c>
      <c r="R66" s="337"/>
      <c r="S66" s="338"/>
      <c r="T66" s="664">
        <f t="shared" si="70"/>
        <v>0</v>
      </c>
      <c r="U66" s="665">
        <f t="shared" si="71"/>
        <v>0</v>
      </c>
      <c r="V66" s="337"/>
      <c r="W66" s="338"/>
      <c r="X66" s="383">
        <f t="shared" si="39"/>
        <v>0</v>
      </c>
      <c r="Y66" s="386">
        <f t="shared" si="40"/>
        <v>0</v>
      </c>
      <c r="Z66" s="534">
        <f t="shared" si="74"/>
        <v>1974</v>
      </c>
      <c r="AA66" s="664">
        <f t="shared" si="41"/>
        <v>0</v>
      </c>
      <c r="AB66" s="665">
        <f t="shared" si="42"/>
        <v>0</v>
      </c>
      <c r="AC66" s="337"/>
      <c r="AD66" s="338"/>
      <c r="AE66" s="383">
        <f t="shared" si="43"/>
        <v>0</v>
      </c>
      <c r="AF66" s="386">
        <f t="shared" si="44"/>
        <v>0</v>
      </c>
      <c r="AG66" s="534">
        <f t="shared" si="75"/>
        <v>1973</v>
      </c>
      <c r="AH66" s="1271">
        <f t="shared" si="45"/>
        <v>0</v>
      </c>
      <c r="AI66" s="1272">
        <f t="shared" si="46"/>
        <v>0</v>
      </c>
      <c r="AJ66" s="337"/>
      <c r="AK66" s="338"/>
      <c r="AL66" s="1271">
        <v>0</v>
      </c>
      <c r="AM66" s="1272">
        <v>0</v>
      </c>
      <c r="AN66" s="414">
        <f t="shared" si="22"/>
        <v>1</v>
      </c>
      <c r="AO66" s="413">
        <f t="shared" si="23"/>
        <v>1</v>
      </c>
      <c r="AP66" s="337"/>
      <c r="AQ66" s="338"/>
      <c r="AR66" s="664">
        <f t="shared" si="60"/>
        <v>0</v>
      </c>
      <c r="AS66" s="679">
        <f t="shared" si="61"/>
        <v>0</v>
      </c>
      <c r="AT66" s="383">
        <f t="shared" si="47"/>
        <v>0</v>
      </c>
      <c r="AU66" s="386">
        <f t="shared" si="48"/>
        <v>0</v>
      </c>
      <c r="AV66" s="534">
        <f t="shared" si="76"/>
        <v>1972</v>
      </c>
      <c r="AW66" s="1271">
        <f t="shared" si="49"/>
        <v>0</v>
      </c>
      <c r="AX66" s="1272">
        <f t="shared" si="50"/>
        <v>0</v>
      </c>
      <c r="AY66" s="337"/>
      <c r="AZ66" s="338"/>
      <c r="BA66" s="1271">
        <v>0</v>
      </c>
      <c r="BB66" s="1272">
        <v>0</v>
      </c>
      <c r="BC66" s="414">
        <f t="shared" si="27"/>
        <v>1</v>
      </c>
      <c r="BD66" s="413">
        <f t="shared" si="28"/>
        <v>1</v>
      </c>
      <c r="BE66" s="337"/>
      <c r="BF66" s="338"/>
      <c r="BG66" s="664">
        <f t="shared" si="62"/>
        <v>0</v>
      </c>
      <c r="BH66" s="679">
        <f t="shared" si="63"/>
        <v>0</v>
      </c>
      <c r="BI66" s="383">
        <f t="shared" si="51"/>
        <v>0</v>
      </c>
      <c r="BJ66" s="386">
        <f t="shared" si="52"/>
        <v>0</v>
      </c>
      <c r="BK66" s="534">
        <f t="shared" si="77"/>
        <v>1971</v>
      </c>
      <c r="BL66" s="1271">
        <f t="shared" si="53"/>
        <v>0</v>
      </c>
      <c r="BM66" s="1272">
        <f t="shared" si="54"/>
        <v>0</v>
      </c>
      <c r="BN66" s="337"/>
      <c r="BO66" s="338"/>
      <c r="BP66" s="1271">
        <v>0</v>
      </c>
      <c r="BQ66" s="1272">
        <v>0</v>
      </c>
      <c r="BR66" s="414">
        <f t="shared" si="31"/>
        <v>1</v>
      </c>
      <c r="BS66" s="413">
        <f t="shared" si="32"/>
        <v>1</v>
      </c>
      <c r="BT66" s="337"/>
      <c r="BU66" s="338"/>
      <c r="BV66" s="664">
        <f t="shared" si="64"/>
        <v>0</v>
      </c>
      <c r="BW66" s="679">
        <f t="shared" si="65"/>
        <v>0</v>
      </c>
      <c r="BX66" s="383">
        <f t="shared" si="55"/>
        <v>0</v>
      </c>
      <c r="BY66" s="386">
        <f t="shared" si="56"/>
        <v>0</v>
      </c>
      <c r="BZ66" s="534">
        <f t="shared" si="34"/>
        <v>1974</v>
      </c>
      <c r="CA66" s="664">
        <f t="shared" si="66"/>
        <v>0</v>
      </c>
      <c r="CB66" s="665">
        <f t="shared" si="67"/>
        <v>0</v>
      </c>
      <c r="CC66" s="664">
        <f t="shared" si="68"/>
        <v>0</v>
      </c>
      <c r="CD66" s="665">
        <f t="shared" si="69"/>
        <v>0</v>
      </c>
      <c r="CE66" s="337"/>
      <c r="CF66" s="338"/>
      <c r="CG66" s="383">
        <f t="shared" si="57"/>
        <v>0</v>
      </c>
      <c r="CH66" s="386">
        <f t="shared" si="58"/>
        <v>0</v>
      </c>
    </row>
    <row r="67" spans="2:86" x14ac:dyDescent="0.2">
      <c r="B67" s="276">
        <v>52</v>
      </c>
      <c r="C67" s="320">
        <f t="shared" si="35"/>
        <v>53</v>
      </c>
      <c r="D67" s="534">
        <f t="shared" si="72"/>
        <v>1973</v>
      </c>
      <c r="E67" s="337"/>
      <c r="F67" s="338"/>
      <c r="G67" s="1271">
        <v>0</v>
      </c>
      <c r="H67" s="1289">
        <v>0</v>
      </c>
      <c r="I67" s="400">
        <f t="shared" si="78"/>
        <v>0</v>
      </c>
      <c r="J67" s="401">
        <f t="shared" si="36"/>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7"/>
        <v>0.99895489109896451</v>
      </c>
      <c r="P67" s="1143">
        <f t="shared" si="38"/>
        <v>0.99937384301725607</v>
      </c>
      <c r="Q67" s="356">
        <f t="shared" si="73"/>
        <v>1973</v>
      </c>
      <c r="R67" s="337"/>
      <c r="S67" s="338"/>
      <c r="T67" s="664">
        <f t="shared" si="70"/>
        <v>0</v>
      </c>
      <c r="U67" s="665">
        <f t="shared" si="71"/>
        <v>0</v>
      </c>
      <c r="V67" s="337"/>
      <c r="W67" s="338"/>
      <c r="X67" s="383">
        <f t="shared" si="39"/>
        <v>0</v>
      </c>
      <c r="Y67" s="386">
        <f t="shared" si="40"/>
        <v>0</v>
      </c>
      <c r="Z67" s="534">
        <f t="shared" si="74"/>
        <v>1973</v>
      </c>
      <c r="AA67" s="664">
        <f t="shared" si="41"/>
        <v>0</v>
      </c>
      <c r="AB67" s="665">
        <f t="shared" si="42"/>
        <v>0</v>
      </c>
      <c r="AC67" s="337"/>
      <c r="AD67" s="338"/>
      <c r="AE67" s="383">
        <f t="shared" si="43"/>
        <v>0</v>
      </c>
      <c r="AF67" s="386">
        <f t="shared" si="44"/>
        <v>0</v>
      </c>
      <c r="AG67" s="534">
        <f t="shared" si="75"/>
        <v>1972</v>
      </c>
      <c r="AH67" s="1271">
        <f t="shared" si="45"/>
        <v>0</v>
      </c>
      <c r="AI67" s="1272">
        <f t="shared" si="46"/>
        <v>0</v>
      </c>
      <c r="AJ67" s="337"/>
      <c r="AK67" s="338"/>
      <c r="AL67" s="1271">
        <v>0</v>
      </c>
      <c r="AM67" s="1272">
        <v>0</v>
      </c>
      <c r="AN67" s="414">
        <f t="shared" si="22"/>
        <v>1</v>
      </c>
      <c r="AO67" s="413">
        <f t="shared" si="23"/>
        <v>1</v>
      </c>
      <c r="AP67" s="337"/>
      <c r="AQ67" s="338"/>
      <c r="AR67" s="664">
        <f t="shared" si="60"/>
        <v>0</v>
      </c>
      <c r="AS67" s="679">
        <f t="shared" si="61"/>
        <v>0</v>
      </c>
      <c r="AT67" s="383">
        <f t="shared" si="47"/>
        <v>0</v>
      </c>
      <c r="AU67" s="386">
        <f t="shared" si="48"/>
        <v>0</v>
      </c>
      <c r="AV67" s="534">
        <f t="shared" si="76"/>
        <v>1971</v>
      </c>
      <c r="AW67" s="1271">
        <f t="shared" si="49"/>
        <v>0</v>
      </c>
      <c r="AX67" s="1272">
        <f t="shared" si="50"/>
        <v>0</v>
      </c>
      <c r="AY67" s="337"/>
      <c r="AZ67" s="338"/>
      <c r="BA67" s="1271">
        <v>0</v>
      </c>
      <c r="BB67" s="1272">
        <v>0</v>
      </c>
      <c r="BC67" s="414">
        <f t="shared" si="27"/>
        <v>1</v>
      </c>
      <c r="BD67" s="413">
        <f t="shared" si="28"/>
        <v>1</v>
      </c>
      <c r="BE67" s="337"/>
      <c r="BF67" s="338"/>
      <c r="BG67" s="664">
        <f t="shared" si="62"/>
        <v>0</v>
      </c>
      <c r="BH67" s="679">
        <f t="shared" si="63"/>
        <v>0</v>
      </c>
      <c r="BI67" s="383">
        <f t="shared" si="51"/>
        <v>0</v>
      </c>
      <c r="BJ67" s="386">
        <f t="shared" si="52"/>
        <v>0</v>
      </c>
      <c r="BK67" s="534">
        <f t="shared" si="77"/>
        <v>1970</v>
      </c>
      <c r="BL67" s="1271">
        <f t="shared" si="53"/>
        <v>0</v>
      </c>
      <c r="BM67" s="1272">
        <f t="shared" si="54"/>
        <v>0</v>
      </c>
      <c r="BN67" s="337"/>
      <c r="BO67" s="338"/>
      <c r="BP67" s="1271">
        <v>0</v>
      </c>
      <c r="BQ67" s="1272">
        <v>0</v>
      </c>
      <c r="BR67" s="414">
        <f t="shared" si="31"/>
        <v>1</v>
      </c>
      <c r="BS67" s="413">
        <f t="shared" si="32"/>
        <v>1</v>
      </c>
      <c r="BT67" s="337"/>
      <c r="BU67" s="338"/>
      <c r="BV67" s="664">
        <f t="shared" si="64"/>
        <v>0</v>
      </c>
      <c r="BW67" s="679">
        <f t="shared" si="65"/>
        <v>0</v>
      </c>
      <c r="BX67" s="383">
        <f t="shared" si="55"/>
        <v>0</v>
      </c>
      <c r="BY67" s="386">
        <f t="shared" si="56"/>
        <v>0</v>
      </c>
      <c r="BZ67" s="534">
        <f t="shared" si="34"/>
        <v>1973</v>
      </c>
      <c r="CA67" s="664">
        <f t="shared" si="66"/>
        <v>0</v>
      </c>
      <c r="CB67" s="665">
        <f t="shared" si="67"/>
        <v>0</v>
      </c>
      <c r="CC67" s="664">
        <f t="shared" si="68"/>
        <v>0</v>
      </c>
      <c r="CD67" s="665">
        <f t="shared" si="69"/>
        <v>0</v>
      </c>
      <c r="CE67" s="337"/>
      <c r="CF67" s="338"/>
      <c r="CG67" s="383">
        <f t="shared" si="57"/>
        <v>0</v>
      </c>
      <c r="CH67" s="386">
        <f t="shared" si="58"/>
        <v>0</v>
      </c>
    </row>
    <row r="68" spans="2:86" x14ac:dyDescent="0.2">
      <c r="B68" s="276">
        <v>53</v>
      </c>
      <c r="C68" s="320">
        <f t="shared" si="35"/>
        <v>54</v>
      </c>
      <c r="D68" s="534">
        <f t="shared" si="72"/>
        <v>1972</v>
      </c>
      <c r="E68" s="337"/>
      <c r="F68" s="338"/>
      <c r="G68" s="1271">
        <v>0</v>
      </c>
      <c r="H68" s="1289">
        <v>0</v>
      </c>
      <c r="I68" s="400">
        <f t="shared" si="78"/>
        <v>0</v>
      </c>
      <c r="J68" s="401">
        <f t="shared" si="36"/>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7"/>
        <v>0.99883503982744104</v>
      </c>
      <c r="P68" s="1143">
        <f t="shared" si="38"/>
        <v>0.99930673066978259</v>
      </c>
      <c r="Q68" s="356">
        <f t="shared" si="73"/>
        <v>1972</v>
      </c>
      <c r="R68" s="337"/>
      <c r="S68" s="338"/>
      <c r="T68" s="664">
        <f t="shared" si="70"/>
        <v>0</v>
      </c>
      <c r="U68" s="665">
        <f t="shared" si="71"/>
        <v>0</v>
      </c>
      <c r="V68" s="337"/>
      <c r="W68" s="338"/>
      <c r="X68" s="383">
        <f t="shared" si="39"/>
        <v>0</v>
      </c>
      <c r="Y68" s="386">
        <f t="shared" si="40"/>
        <v>0</v>
      </c>
      <c r="Z68" s="534">
        <f t="shared" si="74"/>
        <v>1972</v>
      </c>
      <c r="AA68" s="664">
        <f t="shared" si="41"/>
        <v>0</v>
      </c>
      <c r="AB68" s="665">
        <f t="shared" si="42"/>
        <v>0</v>
      </c>
      <c r="AC68" s="337"/>
      <c r="AD68" s="338"/>
      <c r="AE68" s="383">
        <f t="shared" si="43"/>
        <v>0</v>
      </c>
      <c r="AF68" s="386">
        <f t="shared" si="44"/>
        <v>0</v>
      </c>
      <c r="AG68" s="534">
        <f t="shared" si="75"/>
        <v>1971</v>
      </c>
      <c r="AH68" s="1271">
        <f t="shared" si="45"/>
        <v>0</v>
      </c>
      <c r="AI68" s="1272">
        <f t="shared" si="46"/>
        <v>0</v>
      </c>
      <c r="AJ68" s="337"/>
      <c r="AK68" s="338"/>
      <c r="AL68" s="1271">
        <v>0</v>
      </c>
      <c r="AM68" s="1272">
        <v>0</v>
      </c>
      <c r="AN68" s="414">
        <f t="shared" si="22"/>
        <v>1</v>
      </c>
      <c r="AO68" s="413">
        <f t="shared" si="23"/>
        <v>1</v>
      </c>
      <c r="AP68" s="337"/>
      <c r="AQ68" s="338"/>
      <c r="AR68" s="664">
        <f t="shared" si="60"/>
        <v>0</v>
      </c>
      <c r="AS68" s="679">
        <f t="shared" si="61"/>
        <v>0</v>
      </c>
      <c r="AT68" s="383">
        <f t="shared" si="47"/>
        <v>0</v>
      </c>
      <c r="AU68" s="386">
        <f t="shared" si="48"/>
        <v>0</v>
      </c>
      <c r="AV68" s="534">
        <f t="shared" si="76"/>
        <v>1970</v>
      </c>
      <c r="AW68" s="1271">
        <f t="shared" si="49"/>
        <v>0</v>
      </c>
      <c r="AX68" s="1272">
        <f t="shared" si="50"/>
        <v>0</v>
      </c>
      <c r="AY68" s="337"/>
      <c r="AZ68" s="338"/>
      <c r="BA68" s="1271">
        <v>0</v>
      </c>
      <c r="BB68" s="1272">
        <v>0</v>
      </c>
      <c r="BC68" s="414">
        <f t="shared" si="27"/>
        <v>1</v>
      </c>
      <c r="BD68" s="413">
        <f t="shared" si="28"/>
        <v>1</v>
      </c>
      <c r="BE68" s="337"/>
      <c r="BF68" s="338"/>
      <c r="BG68" s="664">
        <f t="shared" si="62"/>
        <v>0</v>
      </c>
      <c r="BH68" s="679">
        <f t="shared" si="63"/>
        <v>0</v>
      </c>
      <c r="BI68" s="383">
        <f t="shared" si="51"/>
        <v>0</v>
      </c>
      <c r="BJ68" s="386">
        <f t="shared" si="52"/>
        <v>0</v>
      </c>
      <c r="BK68" s="534">
        <f t="shared" si="77"/>
        <v>1969</v>
      </c>
      <c r="BL68" s="1271">
        <f t="shared" si="53"/>
        <v>0</v>
      </c>
      <c r="BM68" s="1272">
        <f t="shared" si="54"/>
        <v>0</v>
      </c>
      <c r="BN68" s="337"/>
      <c r="BO68" s="338"/>
      <c r="BP68" s="1271">
        <v>0</v>
      </c>
      <c r="BQ68" s="1272">
        <v>0</v>
      </c>
      <c r="BR68" s="414">
        <f t="shared" si="31"/>
        <v>1</v>
      </c>
      <c r="BS68" s="413">
        <f t="shared" si="32"/>
        <v>1</v>
      </c>
      <c r="BT68" s="337"/>
      <c r="BU68" s="338"/>
      <c r="BV68" s="664">
        <f t="shared" si="64"/>
        <v>0</v>
      </c>
      <c r="BW68" s="679">
        <f t="shared" si="65"/>
        <v>0</v>
      </c>
      <c r="BX68" s="383">
        <f t="shared" si="55"/>
        <v>0</v>
      </c>
      <c r="BY68" s="386">
        <f t="shared" si="56"/>
        <v>0</v>
      </c>
      <c r="BZ68" s="534">
        <f t="shared" si="34"/>
        <v>1972</v>
      </c>
      <c r="CA68" s="664">
        <f t="shared" si="66"/>
        <v>0</v>
      </c>
      <c r="CB68" s="665">
        <f t="shared" si="67"/>
        <v>0</v>
      </c>
      <c r="CC68" s="664">
        <f t="shared" si="68"/>
        <v>0</v>
      </c>
      <c r="CD68" s="665">
        <f t="shared" si="69"/>
        <v>0</v>
      </c>
      <c r="CE68" s="337"/>
      <c r="CF68" s="338"/>
      <c r="CG68" s="383">
        <f t="shared" si="57"/>
        <v>0</v>
      </c>
      <c r="CH68" s="386">
        <f t="shared" si="58"/>
        <v>0</v>
      </c>
    </row>
    <row r="69" spans="2:86" x14ac:dyDescent="0.2">
      <c r="B69" s="276">
        <v>54</v>
      </c>
      <c r="C69" s="320">
        <f t="shared" si="35"/>
        <v>55</v>
      </c>
      <c r="D69" s="534">
        <f t="shared" si="72"/>
        <v>1971</v>
      </c>
      <c r="E69" s="337"/>
      <c r="F69" s="338"/>
      <c r="G69" s="1271">
        <v>0</v>
      </c>
      <c r="H69" s="1289">
        <v>0</v>
      </c>
      <c r="I69" s="400">
        <f t="shared" si="78"/>
        <v>0</v>
      </c>
      <c r="J69" s="401">
        <f t="shared" si="36"/>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7"/>
        <v>0.99870187863960613</v>
      </c>
      <c r="P69" s="1143">
        <f t="shared" si="38"/>
        <v>0.99923296796548144</v>
      </c>
      <c r="Q69" s="356">
        <f t="shared" si="73"/>
        <v>1971</v>
      </c>
      <c r="R69" s="337"/>
      <c r="S69" s="338"/>
      <c r="T69" s="664">
        <f t="shared" si="70"/>
        <v>0</v>
      </c>
      <c r="U69" s="665">
        <f t="shared" si="71"/>
        <v>0</v>
      </c>
      <c r="V69" s="337"/>
      <c r="W69" s="338"/>
      <c r="X69" s="383">
        <f t="shared" si="39"/>
        <v>0</v>
      </c>
      <c r="Y69" s="386">
        <f t="shared" si="40"/>
        <v>0</v>
      </c>
      <c r="Z69" s="534">
        <f t="shared" si="74"/>
        <v>1971</v>
      </c>
      <c r="AA69" s="664">
        <f t="shared" si="41"/>
        <v>0</v>
      </c>
      <c r="AB69" s="665">
        <f t="shared" si="42"/>
        <v>0</v>
      </c>
      <c r="AC69" s="337"/>
      <c r="AD69" s="338"/>
      <c r="AE69" s="383">
        <f t="shared" si="43"/>
        <v>0</v>
      </c>
      <c r="AF69" s="386">
        <f t="shared" si="44"/>
        <v>0</v>
      </c>
      <c r="AG69" s="534">
        <f t="shared" si="75"/>
        <v>1970</v>
      </c>
      <c r="AH69" s="1271">
        <f t="shared" si="45"/>
        <v>0</v>
      </c>
      <c r="AI69" s="1272">
        <f t="shared" si="46"/>
        <v>0</v>
      </c>
      <c r="AJ69" s="337"/>
      <c r="AK69" s="338"/>
      <c r="AL69" s="1271">
        <v>0</v>
      </c>
      <c r="AM69" s="1272">
        <v>0</v>
      </c>
      <c r="AN69" s="414">
        <f t="shared" si="22"/>
        <v>1</v>
      </c>
      <c r="AO69" s="413">
        <f t="shared" si="23"/>
        <v>1</v>
      </c>
      <c r="AP69" s="337"/>
      <c r="AQ69" s="338"/>
      <c r="AR69" s="664">
        <f t="shared" si="60"/>
        <v>0</v>
      </c>
      <c r="AS69" s="679">
        <f t="shared" si="61"/>
        <v>0</v>
      </c>
      <c r="AT69" s="383">
        <f t="shared" si="47"/>
        <v>0</v>
      </c>
      <c r="AU69" s="386">
        <f t="shared" si="48"/>
        <v>0</v>
      </c>
      <c r="AV69" s="534">
        <f t="shared" si="76"/>
        <v>1969</v>
      </c>
      <c r="AW69" s="1271">
        <f t="shared" si="49"/>
        <v>0</v>
      </c>
      <c r="AX69" s="1272">
        <f t="shared" si="50"/>
        <v>0</v>
      </c>
      <c r="AY69" s="337"/>
      <c r="AZ69" s="338"/>
      <c r="BA69" s="1271">
        <v>0</v>
      </c>
      <c r="BB69" s="1272">
        <v>0</v>
      </c>
      <c r="BC69" s="414">
        <f t="shared" si="27"/>
        <v>1</v>
      </c>
      <c r="BD69" s="413">
        <f t="shared" si="28"/>
        <v>1</v>
      </c>
      <c r="BE69" s="337"/>
      <c r="BF69" s="338"/>
      <c r="BG69" s="664">
        <f t="shared" si="62"/>
        <v>0</v>
      </c>
      <c r="BH69" s="679">
        <f t="shared" si="63"/>
        <v>0</v>
      </c>
      <c r="BI69" s="383">
        <f t="shared" si="51"/>
        <v>0</v>
      </c>
      <c r="BJ69" s="386">
        <f t="shared" si="52"/>
        <v>0</v>
      </c>
      <c r="BK69" s="534">
        <f t="shared" si="77"/>
        <v>1968</v>
      </c>
      <c r="BL69" s="1271">
        <f t="shared" si="53"/>
        <v>0</v>
      </c>
      <c r="BM69" s="1272">
        <f t="shared" si="54"/>
        <v>0</v>
      </c>
      <c r="BN69" s="337"/>
      <c r="BO69" s="338"/>
      <c r="BP69" s="1271">
        <v>0</v>
      </c>
      <c r="BQ69" s="1272">
        <v>0</v>
      </c>
      <c r="BR69" s="414">
        <f t="shared" si="31"/>
        <v>1</v>
      </c>
      <c r="BS69" s="413">
        <f t="shared" si="32"/>
        <v>1</v>
      </c>
      <c r="BT69" s="337"/>
      <c r="BU69" s="338"/>
      <c r="BV69" s="664">
        <f t="shared" si="64"/>
        <v>0</v>
      </c>
      <c r="BW69" s="679">
        <f t="shared" si="65"/>
        <v>0</v>
      </c>
      <c r="BX69" s="383">
        <f t="shared" si="55"/>
        <v>0</v>
      </c>
      <c r="BY69" s="386">
        <f t="shared" si="56"/>
        <v>0</v>
      </c>
      <c r="BZ69" s="534">
        <f t="shared" si="34"/>
        <v>1971</v>
      </c>
      <c r="CA69" s="664">
        <f t="shared" si="66"/>
        <v>0</v>
      </c>
      <c r="CB69" s="665">
        <f t="shared" si="67"/>
        <v>0</v>
      </c>
      <c r="CC69" s="664">
        <f t="shared" si="68"/>
        <v>0</v>
      </c>
      <c r="CD69" s="665">
        <f t="shared" si="69"/>
        <v>0</v>
      </c>
      <c r="CE69" s="337"/>
      <c r="CF69" s="338"/>
      <c r="CG69" s="383">
        <f t="shared" si="57"/>
        <v>0</v>
      </c>
      <c r="CH69" s="386">
        <f t="shared" si="58"/>
        <v>0</v>
      </c>
    </row>
    <row r="70" spans="2:86" ht="13.5" thickBot="1" x14ac:dyDescent="0.25">
      <c r="B70" s="313">
        <v>55</v>
      </c>
      <c r="C70" s="321">
        <f t="shared" si="35"/>
        <v>56</v>
      </c>
      <c r="D70" s="535">
        <f t="shared" si="72"/>
        <v>1970</v>
      </c>
      <c r="E70" s="341"/>
      <c r="F70" s="340"/>
      <c r="G70" s="1277">
        <v>0</v>
      </c>
      <c r="H70" s="1290">
        <v>0</v>
      </c>
      <c r="I70" s="406">
        <f t="shared" si="78"/>
        <v>0</v>
      </c>
      <c r="J70" s="407">
        <f t="shared" si="36"/>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7"/>
        <v>0.9985543514780264</v>
      </c>
      <c r="P70" s="1144">
        <f t="shared" si="38"/>
        <v>0.99915209680293171</v>
      </c>
      <c r="Q70" s="313">
        <f t="shared" si="73"/>
        <v>1970</v>
      </c>
      <c r="R70" s="341"/>
      <c r="S70" s="340"/>
      <c r="T70" s="666">
        <f t="shared" si="70"/>
        <v>0</v>
      </c>
      <c r="U70" s="667">
        <f t="shared" si="71"/>
        <v>0</v>
      </c>
      <c r="V70" s="341"/>
      <c r="W70" s="340"/>
      <c r="X70" s="384">
        <f t="shared" si="39"/>
        <v>0</v>
      </c>
      <c r="Y70" s="387">
        <f t="shared" si="40"/>
        <v>0</v>
      </c>
      <c r="Z70" s="535">
        <f t="shared" si="74"/>
        <v>1970</v>
      </c>
      <c r="AA70" s="666">
        <f t="shared" si="41"/>
        <v>0</v>
      </c>
      <c r="AB70" s="667">
        <f t="shared" si="42"/>
        <v>0</v>
      </c>
      <c r="AC70" s="341"/>
      <c r="AD70" s="340"/>
      <c r="AE70" s="384">
        <f t="shared" si="43"/>
        <v>0</v>
      </c>
      <c r="AF70" s="387">
        <f t="shared" si="44"/>
        <v>0</v>
      </c>
      <c r="AG70" s="535">
        <f t="shared" si="75"/>
        <v>1969</v>
      </c>
      <c r="AH70" s="1271">
        <f t="shared" si="45"/>
        <v>0</v>
      </c>
      <c r="AI70" s="1272">
        <f t="shared" si="46"/>
        <v>0</v>
      </c>
      <c r="AJ70" s="341"/>
      <c r="AK70" s="340"/>
      <c r="AL70" s="1271">
        <v>0</v>
      </c>
      <c r="AM70" s="1272">
        <v>0</v>
      </c>
      <c r="AN70" s="415">
        <f t="shared" si="22"/>
        <v>1</v>
      </c>
      <c r="AO70" s="416">
        <f t="shared" si="23"/>
        <v>1</v>
      </c>
      <c r="AP70" s="341"/>
      <c r="AQ70" s="340"/>
      <c r="AR70" s="666">
        <f t="shared" si="60"/>
        <v>0</v>
      </c>
      <c r="AS70" s="680">
        <f t="shared" si="61"/>
        <v>0</v>
      </c>
      <c r="AT70" s="384">
        <f t="shared" si="47"/>
        <v>0</v>
      </c>
      <c r="AU70" s="387">
        <f t="shared" si="48"/>
        <v>0</v>
      </c>
      <c r="AV70" s="535">
        <f t="shared" si="76"/>
        <v>1968</v>
      </c>
      <c r="AW70" s="1271">
        <f t="shared" si="49"/>
        <v>0</v>
      </c>
      <c r="AX70" s="1272">
        <f t="shared" si="50"/>
        <v>0</v>
      </c>
      <c r="AY70" s="341"/>
      <c r="AZ70" s="340"/>
      <c r="BA70" s="1271">
        <v>0</v>
      </c>
      <c r="BB70" s="1272">
        <v>0</v>
      </c>
      <c r="BC70" s="415">
        <f t="shared" si="27"/>
        <v>1</v>
      </c>
      <c r="BD70" s="416">
        <f t="shared" si="28"/>
        <v>1</v>
      </c>
      <c r="BE70" s="341"/>
      <c r="BF70" s="340"/>
      <c r="BG70" s="666">
        <f t="shared" si="62"/>
        <v>0</v>
      </c>
      <c r="BH70" s="680">
        <f t="shared" si="63"/>
        <v>0</v>
      </c>
      <c r="BI70" s="384">
        <f t="shared" si="51"/>
        <v>0</v>
      </c>
      <c r="BJ70" s="387">
        <f t="shared" si="52"/>
        <v>0</v>
      </c>
      <c r="BK70" s="535">
        <f t="shared" si="77"/>
        <v>1967</v>
      </c>
      <c r="BL70" s="1271">
        <f t="shared" si="53"/>
        <v>0</v>
      </c>
      <c r="BM70" s="1272">
        <f t="shared" si="54"/>
        <v>0</v>
      </c>
      <c r="BN70" s="341"/>
      <c r="BO70" s="340"/>
      <c r="BP70" s="1271">
        <v>0</v>
      </c>
      <c r="BQ70" s="1272">
        <v>0</v>
      </c>
      <c r="BR70" s="415">
        <f t="shared" si="31"/>
        <v>1</v>
      </c>
      <c r="BS70" s="416">
        <f t="shared" si="32"/>
        <v>1</v>
      </c>
      <c r="BT70" s="341"/>
      <c r="BU70" s="340"/>
      <c r="BV70" s="666">
        <f t="shared" si="64"/>
        <v>0</v>
      </c>
      <c r="BW70" s="680">
        <f t="shared" si="65"/>
        <v>0</v>
      </c>
      <c r="BX70" s="384">
        <f t="shared" si="55"/>
        <v>0</v>
      </c>
      <c r="BY70" s="387">
        <f t="shared" si="56"/>
        <v>0</v>
      </c>
      <c r="BZ70" s="535">
        <f t="shared" si="34"/>
        <v>1970</v>
      </c>
      <c r="CA70" s="666">
        <f t="shared" si="66"/>
        <v>0</v>
      </c>
      <c r="CB70" s="667">
        <f t="shared" si="67"/>
        <v>0</v>
      </c>
      <c r="CC70" s="666">
        <f t="shared" si="68"/>
        <v>0</v>
      </c>
      <c r="CD70" s="667">
        <f t="shared" si="69"/>
        <v>0</v>
      </c>
      <c r="CE70" s="341"/>
      <c r="CF70" s="340"/>
      <c r="CG70" s="384">
        <f t="shared" si="57"/>
        <v>0</v>
      </c>
      <c r="CH70" s="387">
        <f t="shared" si="58"/>
        <v>0</v>
      </c>
    </row>
    <row r="71" spans="2:86" ht="13.5" thickTop="1" x14ac:dyDescent="0.2">
      <c r="B71" s="276">
        <v>56</v>
      </c>
      <c r="C71" s="320">
        <f t="shared" si="35"/>
        <v>57</v>
      </c>
      <c r="D71" s="534">
        <f t="shared" si="72"/>
        <v>1969</v>
      </c>
      <c r="E71" s="337"/>
      <c r="F71" s="338"/>
      <c r="G71" s="1271">
        <v>0</v>
      </c>
      <c r="H71" s="1289">
        <v>0</v>
      </c>
      <c r="I71" s="400">
        <f t="shared" si="78"/>
        <v>0</v>
      </c>
      <c r="J71" s="401">
        <f t="shared" si="36"/>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7"/>
        <v>0.99839118710119912</v>
      </c>
      <c r="P71" s="1143">
        <f t="shared" si="38"/>
        <v>0.99906344827180971</v>
      </c>
      <c r="Q71" s="356">
        <f t="shared" si="73"/>
        <v>1969</v>
      </c>
      <c r="R71" s="337"/>
      <c r="S71" s="338"/>
      <c r="T71" s="664">
        <f t="shared" si="70"/>
        <v>0</v>
      </c>
      <c r="U71" s="665">
        <f t="shared" si="71"/>
        <v>0</v>
      </c>
      <c r="V71" s="337"/>
      <c r="W71" s="338"/>
      <c r="X71" s="383">
        <f t="shared" si="39"/>
        <v>0</v>
      </c>
      <c r="Y71" s="386">
        <f t="shared" si="40"/>
        <v>0</v>
      </c>
      <c r="Z71" s="534">
        <f t="shared" si="74"/>
        <v>1969</v>
      </c>
      <c r="AA71" s="664">
        <f t="shared" si="41"/>
        <v>0</v>
      </c>
      <c r="AB71" s="665">
        <f t="shared" si="42"/>
        <v>0</v>
      </c>
      <c r="AC71" s="337"/>
      <c r="AD71" s="338"/>
      <c r="AE71" s="383">
        <f t="shared" si="43"/>
        <v>0</v>
      </c>
      <c r="AF71" s="386">
        <f t="shared" si="44"/>
        <v>0</v>
      </c>
      <c r="AG71" s="534">
        <f t="shared" si="75"/>
        <v>1968</v>
      </c>
      <c r="AH71" s="1271">
        <f t="shared" si="45"/>
        <v>0</v>
      </c>
      <c r="AI71" s="1272">
        <f t="shared" si="46"/>
        <v>0</v>
      </c>
      <c r="AJ71" s="337"/>
      <c r="AK71" s="338"/>
      <c r="AL71" s="1271">
        <v>0</v>
      </c>
      <c r="AM71" s="1272">
        <v>0</v>
      </c>
      <c r="AN71" s="414">
        <f t="shared" si="22"/>
        <v>1</v>
      </c>
      <c r="AO71" s="413">
        <f t="shared" si="23"/>
        <v>1</v>
      </c>
      <c r="AP71" s="337"/>
      <c r="AQ71" s="338"/>
      <c r="AR71" s="664">
        <f t="shared" si="60"/>
        <v>0</v>
      </c>
      <c r="AS71" s="679">
        <f t="shared" si="61"/>
        <v>0</v>
      </c>
      <c r="AT71" s="383">
        <f t="shared" si="47"/>
        <v>0</v>
      </c>
      <c r="AU71" s="386">
        <f t="shared" si="48"/>
        <v>0</v>
      </c>
      <c r="AV71" s="534">
        <f t="shared" si="76"/>
        <v>1967</v>
      </c>
      <c r="AW71" s="1271">
        <f t="shared" si="49"/>
        <v>0</v>
      </c>
      <c r="AX71" s="1272">
        <f t="shared" si="50"/>
        <v>0</v>
      </c>
      <c r="AY71" s="337"/>
      <c r="AZ71" s="338"/>
      <c r="BA71" s="1271">
        <v>0</v>
      </c>
      <c r="BB71" s="1272">
        <v>0</v>
      </c>
      <c r="BC71" s="414">
        <f t="shared" si="27"/>
        <v>1</v>
      </c>
      <c r="BD71" s="413">
        <f t="shared" si="28"/>
        <v>1</v>
      </c>
      <c r="BE71" s="337"/>
      <c r="BF71" s="338"/>
      <c r="BG71" s="664">
        <f t="shared" si="62"/>
        <v>0</v>
      </c>
      <c r="BH71" s="679">
        <f t="shared" si="63"/>
        <v>0</v>
      </c>
      <c r="BI71" s="383">
        <f t="shared" si="51"/>
        <v>0</v>
      </c>
      <c r="BJ71" s="386">
        <f t="shared" si="52"/>
        <v>0</v>
      </c>
      <c r="BK71" s="534">
        <f t="shared" si="77"/>
        <v>1966</v>
      </c>
      <c r="BL71" s="1271">
        <f t="shared" si="53"/>
        <v>0</v>
      </c>
      <c r="BM71" s="1272">
        <f t="shared" si="54"/>
        <v>0</v>
      </c>
      <c r="BN71" s="337"/>
      <c r="BO71" s="338"/>
      <c r="BP71" s="1271">
        <v>0</v>
      </c>
      <c r="BQ71" s="1272">
        <v>0</v>
      </c>
      <c r="BR71" s="414">
        <f t="shared" si="31"/>
        <v>1</v>
      </c>
      <c r="BS71" s="413">
        <f t="shared" si="32"/>
        <v>1</v>
      </c>
      <c r="BT71" s="337"/>
      <c r="BU71" s="338"/>
      <c r="BV71" s="664">
        <f t="shared" si="64"/>
        <v>0</v>
      </c>
      <c r="BW71" s="679">
        <f t="shared" si="65"/>
        <v>0</v>
      </c>
      <c r="BX71" s="383">
        <f t="shared" si="55"/>
        <v>0</v>
      </c>
      <c r="BY71" s="386">
        <f t="shared" si="56"/>
        <v>0</v>
      </c>
      <c r="BZ71" s="534">
        <f t="shared" si="34"/>
        <v>1969</v>
      </c>
      <c r="CA71" s="664">
        <f t="shared" si="66"/>
        <v>0</v>
      </c>
      <c r="CB71" s="665">
        <f t="shared" si="67"/>
        <v>0</v>
      </c>
      <c r="CC71" s="664">
        <f t="shared" si="68"/>
        <v>0</v>
      </c>
      <c r="CD71" s="665">
        <f t="shared" si="69"/>
        <v>0</v>
      </c>
      <c r="CE71" s="337"/>
      <c r="CF71" s="338"/>
      <c r="CG71" s="383">
        <f t="shared" si="57"/>
        <v>0</v>
      </c>
      <c r="CH71" s="386">
        <f t="shared" si="58"/>
        <v>0</v>
      </c>
    </row>
    <row r="72" spans="2:86" x14ac:dyDescent="0.2">
      <c r="B72" s="276">
        <v>57</v>
      </c>
      <c r="C72" s="320">
        <f t="shared" si="35"/>
        <v>58</v>
      </c>
      <c r="D72" s="534">
        <f t="shared" si="72"/>
        <v>1968</v>
      </c>
      <c r="E72" s="337"/>
      <c r="F72" s="338"/>
      <c r="G72" s="1271">
        <v>0</v>
      </c>
      <c r="H72" s="1289">
        <v>0</v>
      </c>
      <c r="I72" s="400">
        <f t="shared" si="78"/>
        <v>0</v>
      </c>
      <c r="J72" s="401">
        <f t="shared" si="36"/>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7"/>
        <v>0.99821100872800383</v>
      </c>
      <c r="P72" s="1143">
        <f t="shared" si="38"/>
        <v>0.99896619097430783</v>
      </c>
      <c r="Q72" s="356">
        <f t="shared" si="73"/>
        <v>1968</v>
      </c>
      <c r="R72" s="337"/>
      <c r="S72" s="338"/>
      <c r="T72" s="664">
        <f t="shared" si="70"/>
        <v>0</v>
      </c>
      <c r="U72" s="665">
        <f t="shared" si="71"/>
        <v>0</v>
      </c>
      <c r="V72" s="337"/>
      <c r="W72" s="338"/>
      <c r="X72" s="383">
        <f t="shared" si="39"/>
        <v>0</v>
      </c>
      <c r="Y72" s="386">
        <f t="shared" si="40"/>
        <v>0</v>
      </c>
      <c r="Z72" s="534">
        <f t="shared" si="74"/>
        <v>1968</v>
      </c>
      <c r="AA72" s="664">
        <f t="shared" si="41"/>
        <v>0</v>
      </c>
      <c r="AB72" s="665">
        <f t="shared" si="42"/>
        <v>0</v>
      </c>
      <c r="AC72" s="337"/>
      <c r="AD72" s="338"/>
      <c r="AE72" s="383">
        <f t="shared" si="43"/>
        <v>0</v>
      </c>
      <c r="AF72" s="386">
        <f t="shared" si="44"/>
        <v>0</v>
      </c>
      <c r="AG72" s="534">
        <f t="shared" si="75"/>
        <v>1967</v>
      </c>
      <c r="AH72" s="1271">
        <f t="shared" si="45"/>
        <v>0</v>
      </c>
      <c r="AI72" s="1272">
        <f t="shared" si="46"/>
        <v>0</v>
      </c>
      <c r="AJ72" s="337"/>
      <c r="AK72" s="338"/>
      <c r="AL72" s="1271">
        <v>0</v>
      </c>
      <c r="AM72" s="1272">
        <v>0</v>
      </c>
      <c r="AN72" s="414">
        <f t="shared" si="22"/>
        <v>1</v>
      </c>
      <c r="AO72" s="413">
        <f t="shared" si="23"/>
        <v>1</v>
      </c>
      <c r="AP72" s="337"/>
      <c r="AQ72" s="338"/>
      <c r="AR72" s="664">
        <f t="shared" si="60"/>
        <v>0</v>
      </c>
      <c r="AS72" s="679">
        <f t="shared" si="61"/>
        <v>0</v>
      </c>
      <c r="AT72" s="383">
        <f t="shared" si="47"/>
        <v>0</v>
      </c>
      <c r="AU72" s="386">
        <f t="shared" si="48"/>
        <v>0</v>
      </c>
      <c r="AV72" s="534">
        <f t="shared" si="76"/>
        <v>1966</v>
      </c>
      <c r="AW72" s="1271">
        <f t="shared" si="49"/>
        <v>0</v>
      </c>
      <c r="AX72" s="1272">
        <f t="shared" si="50"/>
        <v>0</v>
      </c>
      <c r="AY72" s="337"/>
      <c r="AZ72" s="338"/>
      <c r="BA72" s="1271">
        <v>0</v>
      </c>
      <c r="BB72" s="1272">
        <v>0</v>
      </c>
      <c r="BC72" s="414">
        <f t="shared" si="27"/>
        <v>1</v>
      </c>
      <c r="BD72" s="413">
        <f t="shared" si="28"/>
        <v>1</v>
      </c>
      <c r="BE72" s="337"/>
      <c r="BF72" s="338"/>
      <c r="BG72" s="664">
        <f t="shared" si="62"/>
        <v>0</v>
      </c>
      <c r="BH72" s="679">
        <f t="shared" si="63"/>
        <v>0</v>
      </c>
      <c r="BI72" s="383">
        <f t="shared" si="51"/>
        <v>0</v>
      </c>
      <c r="BJ72" s="386">
        <f t="shared" si="52"/>
        <v>0</v>
      </c>
      <c r="BK72" s="534">
        <f t="shared" si="77"/>
        <v>1965</v>
      </c>
      <c r="BL72" s="1271">
        <f t="shared" si="53"/>
        <v>0</v>
      </c>
      <c r="BM72" s="1272">
        <f t="shared" si="54"/>
        <v>0</v>
      </c>
      <c r="BN72" s="337"/>
      <c r="BO72" s="338"/>
      <c r="BP72" s="1271">
        <v>0</v>
      </c>
      <c r="BQ72" s="1272">
        <v>0</v>
      </c>
      <c r="BR72" s="414">
        <f t="shared" si="31"/>
        <v>1</v>
      </c>
      <c r="BS72" s="413">
        <f t="shared" si="32"/>
        <v>1</v>
      </c>
      <c r="BT72" s="337"/>
      <c r="BU72" s="338"/>
      <c r="BV72" s="664">
        <f t="shared" si="64"/>
        <v>0</v>
      </c>
      <c r="BW72" s="679">
        <f t="shared" si="65"/>
        <v>0</v>
      </c>
      <c r="BX72" s="383">
        <f t="shared" si="55"/>
        <v>0</v>
      </c>
      <c r="BY72" s="386">
        <f t="shared" si="56"/>
        <v>0</v>
      </c>
      <c r="BZ72" s="534">
        <f t="shared" si="34"/>
        <v>1968</v>
      </c>
      <c r="CA72" s="664">
        <f t="shared" si="66"/>
        <v>0</v>
      </c>
      <c r="CB72" s="665">
        <f t="shared" si="67"/>
        <v>0</v>
      </c>
      <c r="CC72" s="664">
        <f t="shared" si="68"/>
        <v>0</v>
      </c>
      <c r="CD72" s="665">
        <f t="shared" si="69"/>
        <v>0</v>
      </c>
      <c r="CE72" s="337"/>
      <c r="CF72" s="338"/>
      <c r="CG72" s="383">
        <f t="shared" si="57"/>
        <v>0</v>
      </c>
      <c r="CH72" s="386">
        <f t="shared" si="58"/>
        <v>0</v>
      </c>
    </row>
    <row r="73" spans="2:86" x14ac:dyDescent="0.2">
      <c r="B73" s="276">
        <v>58</v>
      </c>
      <c r="C73" s="320">
        <f t="shared" si="35"/>
        <v>59</v>
      </c>
      <c r="D73" s="534">
        <f t="shared" si="72"/>
        <v>1967</v>
      </c>
      <c r="E73" s="337"/>
      <c r="F73" s="338"/>
      <c r="G73" s="1271">
        <v>0</v>
      </c>
      <c r="H73" s="1289">
        <v>0</v>
      </c>
      <c r="I73" s="400">
        <f t="shared" si="78"/>
        <v>0</v>
      </c>
      <c r="J73" s="401">
        <f t="shared" si="36"/>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7"/>
        <v>0.99801237629159023</v>
      </c>
      <c r="P73" s="1143">
        <f t="shared" si="38"/>
        <v>0.99885934224374329</v>
      </c>
      <c r="Q73" s="356">
        <f t="shared" si="73"/>
        <v>1967</v>
      </c>
      <c r="R73" s="337"/>
      <c r="S73" s="338"/>
      <c r="T73" s="664">
        <f t="shared" si="70"/>
        <v>0</v>
      </c>
      <c r="U73" s="665">
        <f t="shared" si="71"/>
        <v>0</v>
      </c>
      <c r="V73" s="337"/>
      <c r="W73" s="338"/>
      <c r="X73" s="383">
        <f t="shared" si="39"/>
        <v>0</v>
      </c>
      <c r="Y73" s="386">
        <f t="shared" si="40"/>
        <v>0</v>
      </c>
      <c r="Z73" s="534">
        <f t="shared" si="74"/>
        <v>1967</v>
      </c>
      <c r="AA73" s="664">
        <f t="shared" si="41"/>
        <v>0</v>
      </c>
      <c r="AB73" s="665">
        <f t="shared" si="42"/>
        <v>0</v>
      </c>
      <c r="AC73" s="337"/>
      <c r="AD73" s="338"/>
      <c r="AE73" s="383">
        <f t="shared" si="43"/>
        <v>0</v>
      </c>
      <c r="AF73" s="386">
        <f t="shared" si="44"/>
        <v>0</v>
      </c>
      <c r="AG73" s="534">
        <f t="shared" si="75"/>
        <v>1966</v>
      </c>
      <c r="AH73" s="1271">
        <f t="shared" si="45"/>
        <v>0</v>
      </c>
      <c r="AI73" s="1272">
        <f t="shared" si="46"/>
        <v>0</v>
      </c>
      <c r="AJ73" s="337"/>
      <c r="AK73" s="338"/>
      <c r="AL73" s="1271">
        <v>0</v>
      </c>
      <c r="AM73" s="1272">
        <v>0</v>
      </c>
      <c r="AN73" s="414">
        <f t="shared" si="22"/>
        <v>1</v>
      </c>
      <c r="AO73" s="413">
        <f t="shared" si="23"/>
        <v>1</v>
      </c>
      <c r="AP73" s="337"/>
      <c r="AQ73" s="338"/>
      <c r="AR73" s="664">
        <f t="shared" si="60"/>
        <v>0</v>
      </c>
      <c r="AS73" s="679">
        <f t="shared" si="61"/>
        <v>0</v>
      </c>
      <c r="AT73" s="383">
        <f t="shared" si="47"/>
        <v>0</v>
      </c>
      <c r="AU73" s="386">
        <f t="shared" si="48"/>
        <v>0</v>
      </c>
      <c r="AV73" s="534">
        <f t="shared" si="76"/>
        <v>1965</v>
      </c>
      <c r="AW73" s="1271">
        <f t="shared" si="49"/>
        <v>0</v>
      </c>
      <c r="AX73" s="1272">
        <f t="shared" si="50"/>
        <v>0</v>
      </c>
      <c r="AY73" s="337"/>
      <c r="AZ73" s="338"/>
      <c r="BA73" s="1271">
        <v>0</v>
      </c>
      <c r="BB73" s="1272">
        <v>0</v>
      </c>
      <c r="BC73" s="414">
        <f t="shared" si="27"/>
        <v>1</v>
      </c>
      <c r="BD73" s="413">
        <f t="shared" si="28"/>
        <v>1</v>
      </c>
      <c r="BE73" s="337"/>
      <c r="BF73" s="338"/>
      <c r="BG73" s="664">
        <f t="shared" si="62"/>
        <v>0</v>
      </c>
      <c r="BH73" s="679">
        <f t="shared" si="63"/>
        <v>0</v>
      </c>
      <c r="BI73" s="383">
        <f t="shared" si="51"/>
        <v>0</v>
      </c>
      <c r="BJ73" s="386">
        <f t="shared" si="52"/>
        <v>0</v>
      </c>
      <c r="BK73" s="534">
        <f t="shared" si="77"/>
        <v>1964</v>
      </c>
      <c r="BL73" s="1271">
        <f t="shared" si="53"/>
        <v>0</v>
      </c>
      <c r="BM73" s="1272">
        <f t="shared" si="54"/>
        <v>0</v>
      </c>
      <c r="BN73" s="337"/>
      <c r="BO73" s="338"/>
      <c r="BP73" s="1271">
        <v>0</v>
      </c>
      <c r="BQ73" s="1272">
        <v>0</v>
      </c>
      <c r="BR73" s="414">
        <f t="shared" si="31"/>
        <v>1</v>
      </c>
      <c r="BS73" s="413">
        <f t="shared" si="32"/>
        <v>1</v>
      </c>
      <c r="BT73" s="337"/>
      <c r="BU73" s="338"/>
      <c r="BV73" s="664">
        <f t="shared" si="64"/>
        <v>0</v>
      </c>
      <c r="BW73" s="679">
        <f t="shared" si="65"/>
        <v>0</v>
      </c>
      <c r="BX73" s="383">
        <f t="shared" si="55"/>
        <v>0</v>
      </c>
      <c r="BY73" s="386">
        <f t="shared" si="56"/>
        <v>0</v>
      </c>
      <c r="BZ73" s="534">
        <f t="shared" si="34"/>
        <v>1967</v>
      </c>
      <c r="CA73" s="664">
        <f t="shared" si="66"/>
        <v>0</v>
      </c>
      <c r="CB73" s="665">
        <f t="shared" si="67"/>
        <v>0</v>
      </c>
      <c r="CC73" s="664">
        <f t="shared" si="68"/>
        <v>0</v>
      </c>
      <c r="CD73" s="665">
        <f t="shared" si="69"/>
        <v>0</v>
      </c>
      <c r="CE73" s="337"/>
      <c r="CF73" s="338"/>
      <c r="CG73" s="383">
        <f t="shared" si="57"/>
        <v>0</v>
      </c>
      <c r="CH73" s="386">
        <f t="shared" si="58"/>
        <v>0</v>
      </c>
    </row>
    <row r="74" spans="2:86" x14ac:dyDescent="0.2">
      <c r="B74" s="276">
        <v>59</v>
      </c>
      <c r="C74" s="320">
        <f t="shared" si="35"/>
        <v>60</v>
      </c>
      <c r="D74" s="534">
        <f t="shared" si="72"/>
        <v>1966</v>
      </c>
      <c r="E74" s="337"/>
      <c r="F74" s="338"/>
      <c r="G74" s="1271">
        <v>0</v>
      </c>
      <c r="H74" s="1289">
        <v>0</v>
      </c>
      <c r="I74" s="400">
        <f t="shared" si="78"/>
        <v>0</v>
      </c>
      <c r="J74" s="401">
        <f t="shared" si="36"/>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7"/>
        <v>0.99779379923373646</v>
      </c>
      <c r="P74" s="1143">
        <f t="shared" si="38"/>
        <v>0.99874175735416393</v>
      </c>
      <c r="Q74" s="356">
        <f t="shared" si="73"/>
        <v>1966</v>
      </c>
      <c r="R74" s="337"/>
      <c r="S74" s="338"/>
      <c r="T74" s="664">
        <f t="shared" si="70"/>
        <v>0</v>
      </c>
      <c r="U74" s="665">
        <f t="shared" si="71"/>
        <v>0</v>
      </c>
      <c r="V74" s="337"/>
      <c r="W74" s="338"/>
      <c r="X74" s="383">
        <f t="shared" si="39"/>
        <v>0</v>
      </c>
      <c r="Y74" s="386">
        <f t="shared" si="40"/>
        <v>0</v>
      </c>
      <c r="Z74" s="534">
        <f t="shared" si="74"/>
        <v>1966</v>
      </c>
      <c r="AA74" s="664">
        <f t="shared" si="41"/>
        <v>0</v>
      </c>
      <c r="AB74" s="665">
        <f t="shared" si="42"/>
        <v>0</v>
      </c>
      <c r="AC74" s="337"/>
      <c r="AD74" s="338"/>
      <c r="AE74" s="383">
        <f t="shared" si="43"/>
        <v>0</v>
      </c>
      <c r="AF74" s="386">
        <f t="shared" si="44"/>
        <v>0</v>
      </c>
      <c r="AG74" s="534">
        <f t="shared" si="75"/>
        <v>1965</v>
      </c>
      <c r="AH74" s="1271">
        <f t="shared" si="45"/>
        <v>0</v>
      </c>
      <c r="AI74" s="1272">
        <f t="shared" si="46"/>
        <v>0</v>
      </c>
      <c r="AJ74" s="337"/>
      <c r="AK74" s="338"/>
      <c r="AL74" s="1271">
        <v>0</v>
      </c>
      <c r="AM74" s="1272">
        <v>0</v>
      </c>
      <c r="AN74" s="414">
        <f t="shared" si="22"/>
        <v>1</v>
      </c>
      <c r="AO74" s="413">
        <f t="shared" si="23"/>
        <v>1</v>
      </c>
      <c r="AP74" s="337"/>
      <c r="AQ74" s="338"/>
      <c r="AR74" s="664">
        <f t="shared" si="60"/>
        <v>0</v>
      </c>
      <c r="AS74" s="679">
        <f t="shared" si="61"/>
        <v>0</v>
      </c>
      <c r="AT74" s="383">
        <f t="shared" si="47"/>
        <v>0</v>
      </c>
      <c r="AU74" s="386">
        <f t="shared" si="48"/>
        <v>0</v>
      </c>
      <c r="AV74" s="534">
        <f t="shared" si="76"/>
        <v>1964</v>
      </c>
      <c r="AW74" s="1271">
        <f t="shared" si="49"/>
        <v>0</v>
      </c>
      <c r="AX74" s="1272">
        <f t="shared" si="50"/>
        <v>0</v>
      </c>
      <c r="AY74" s="337"/>
      <c r="AZ74" s="338"/>
      <c r="BA74" s="1271">
        <v>0</v>
      </c>
      <c r="BB74" s="1272">
        <v>0</v>
      </c>
      <c r="BC74" s="414">
        <f t="shared" si="27"/>
        <v>1</v>
      </c>
      <c r="BD74" s="413">
        <f t="shared" si="28"/>
        <v>1</v>
      </c>
      <c r="BE74" s="337"/>
      <c r="BF74" s="338"/>
      <c r="BG74" s="664">
        <f t="shared" si="62"/>
        <v>0</v>
      </c>
      <c r="BH74" s="679">
        <f t="shared" si="63"/>
        <v>0</v>
      </c>
      <c r="BI74" s="383">
        <f t="shared" si="51"/>
        <v>0</v>
      </c>
      <c r="BJ74" s="386">
        <f t="shared" si="52"/>
        <v>0</v>
      </c>
      <c r="BK74" s="534">
        <f t="shared" si="77"/>
        <v>1963</v>
      </c>
      <c r="BL74" s="1271">
        <f t="shared" si="53"/>
        <v>0</v>
      </c>
      <c r="BM74" s="1272">
        <f t="shared" si="54"/>
        <v>0</v>
      </c>
      <c r="BN74" s="337"/>
      <c r="BO74" s="338"/>
      <c r="BP74" s="1271">
        <v>0</v>
      </c>
      <c r="BQ74" s="1272">
        <v>0</v>
      </c>
      <c r="BR74" s="414">
        <f t="shared" si="31"/>
        <v>1</v>
      </c>
      <c r="BS74" s="413">
        <f t="shared" si="32"/>
        <v>1</v>
      </c>
      <c r="BT74" s="337"/>
      <c r="BU74" s="338"/>
      <c r="BV74" s="664">
        <f t="shared" si="64"/>
        <v>0</v>
      </c>
      <c r="BW74" s="679">
        <f t="shared" si="65"/>
        <v>0</v>
      </c>
      <c r="BX74" s="383">
        <f t="shared" si="55"/>
        <v>0</v>
      </c>
      <c r="BY74" s="386">
        <f t="shared" si="56"/>
        <v>0</v>
      </c>
      <c r="BZ74" s="534">
        <f t="shared" si="34"/>
        <v>1966</v>
      </c>
      <c r="CA74" s="664">
        <f t="shared" si="66"/>
        <v>0</v>
      </c>
      <c r="CB74" s="665">
        <f t="shared" si="67"/>
        <v>0</v>
      </c>
      <c r="CC74" s="664">
        <f t="shared" si="68"/>
        <v>0</v>
      </c>
      <c r="CD74" s="665">
        <f t="shared" si="69"/>
        <v>0</v>
      </c>
      <c r="CE74" s="337"/>
      <c r="CF74" s="338"/>
      <c r="CG74" s="383">
        <f t="shared" si="57"/>
        <v>0</v>
      </c>
      <c r="CH74" s="386">
        <f t="shared" si="58"/>
        <v>0</v>
      </c>
    </row>
    <row r="75" spans="2:86" ht="13.5" thickBot="1" x14ac:dyDescent="0.25">
      <c r="B75" s="313">
        <v>60</v>
      </c>
      <c r="C75" s="321">
        <f t="shared" si="35"/>
        <v>61</v>
      </c>
      <c r="D75" s="535">
        <f t="shared" si="72"/>
        <v>1965</v>
      </c>
      <c r="E75" s="341"/>
      <c r="F75" s="340"/>
      <c r="G75" s="1277">
        <v>0</v>
      </c>
      <c r="H75" s="1290">
        <v>0</v>
      </c>
      <c r="I75" s="406">
        <f t="shared" si="78"/>
        <v>0</v>
      </c>
      <c r="J75" s="407">
        <f t="shared" si="36"/>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7"/>
        <v>0.99755375247862599</v>
      </c>
      <c r="P75" s="1144">
        <f t="shared" si="38"/>
        <v>0.99861211894322599</v>
      </c>
      <c r="Q75" s="313">
        <f t="shared" si="73"/>
        <v>1965</v>
      </c>
      <c r="R75" s="341"/>
      <c r="S75" s="340"/>
      <c r="T75" s="666">
        <f t="shared" si="70"/>
        <v>0</v>
      </c>
      <c r="U75" s="667">
        <f t="shared" si="71"/>
        <v>0</v>
      </c>
      <c r="V75" s="341"/>
      <c r="W75" s="340"/>
      <c r="X75" s="384">
        <f t="shared" si="39"/>
        <v>0</v>
      </c>
      <c r="Y75" s="387">
        <f t="shared" si="40"/>
        <v>0</v>
      </c>
      <c r="Z75" s="535">
        <f t="shared" si="74"/>
        <v>1965</v>
      </c>
      <c r="AA75" s="666">
        <f t="shared" si="41"/>
        <v>0</v>
      </c>
      <c r="AB75" s="667">
        <f t="shared" si="42"/>
        <v>0</v>
      </c>
      <c r="AC75" s="341"/>
      <c r="AD75" s="340"/>
      <c r="AE75" s="384">
        <f t="shared" si="43"/>
        <v>0</v>
      </c>
      <c r="AF75" s="387">
        <f t="shared" si="44"/>
        <v>0</v>
      </c>
      <c r="AG75" s="535">
        <f t="shared" si="75"/>
        <v>1964</v>
      </c>
      <c r="AH75" s="1271">
        <f t="shared" si="45"/>
        <v>0</v>
      </c>
      <c r="AI75" s="1272">
        <f t="shared" si="46"/>
        <v>0</v>
      </c>
      <c r="AJ75" s="341"/>
      <c r="AK75" s="340"/>
      <c r="AL75" s="1271">
        <v>0</v>
      </c>
      <c r="AM75" s="1272">
        <v>0</v>
      </c>
      <c r="AN75" s="415">
        <f t="shared" si="22"/>
        <v>1</v>
      </c>
      <c r="AO75" s="416">
        <f t="shared" si="23"/>
        <v>1</v>
      </c>
      <c r="AP75" s="341"/>
      <c r="AQ75" s="340"/>
      <c r="AR75" s="666">
        <f t="shared" si="60"/>
        <v>0</v>
      </c>
      <c r="AS75" s="680">
        <f t="shared" si="61"/>
        <v>0</v>
      </c>
      <c r="AT75" s="384">
        <f t="shared" si="47"/>
        <v>0</v>
      </c>
      <c r="AU75" s="387">
        <f t="shared" si="48"/>
        <v>0</v>
      </c>
      <c r="AV75" s="535">
        <f t="shared" si="76"/>
        <v>1963</v>
      </c>
      <c r="AW75" s="1271">
        <f t="shared" si="49"/>
        <v>0</v>
      </c>
      <c r="AX75" s="1272">
        <f t="shared" si="50"/>
        <v>0</v>
      </c>
      <c r="AY75" s="341"/>
      <c r="AZ75" s="340"/>
      <c r="BA75" s="1271">
        <v>0</v>
      </c>
      <c r="BB75" s="1272">
        <v>0</v>
      </c>
      <c r="BC75" s="415">
        <f t="shared" si="27"/>
        <v>1</v>
      </c>
      <c r="BD75" s="416">
        <f t="shared" si="28"/>
        <v>1</v>
      </c>
      <c r="BE75" s="341"/>
      <c r="BF75" s="340"/>
      <c r="BG75" s="666">
        <f t="shared" si="62"/>
        <v>0</v>
      </c>
      <c r="BH75" s="680">
        <f t="shared" si="63"/>
        <v>0</v>
      </c>
      <c r="BI75" s="384">
        <f t="shared" si="51"/>
        <v>0</v>
      </c>
      <c r="BJ75" s="387">
        <f t="shared" si="52"/>
        <v>0</v>
      </c>
      <c r="BK75" s="535">
        <f t="shared" si="77"/>
        <v>1962</v>
      </c>
      <c r="BL75" s="1271">
        <f t="shared" si="53"/>
        <v>0</v>
      </c>
      <c r="BM75" s="1272">
        <f t="shared" si="54"/>
        <v>0</v>
      </c>
      <c r="BN75" s="341"/>
      <c r="BO75" s="340"/>
      <c r="BP75" s="1271">
        <v>0</v>
      </c>
      <c r="BQ75" s="1272">
        <v>0</v>
      </c>
      <c r="BR75" s="415">
        <f t="shared" si="31"/>
        <v>1</v>
      </c>
      <c r="BS75" s="416">
        <f t="shared" si="32"/>
        <v>1</v>
      </c>
      <c r="BT75" s="341"/>
      <c r="BU75" s="340"/>
      <c r="BV75" s="666">
        <f t="shared" si="64"/>
        <v>0</v>
      </c>
      <c r="BW75" s="680">
        <f t="shared" si="65"/>
        <v>0</v>
      </c>
      <c r="BX75" s="384">
        <f t="shared" si="55"/>
        <v>0</v>
      </c>
      <c r="BY75" s="387">
        <f t="shared" si="56"/>
        <v>0</v>
      </c>
      <c r="BZ75" s="535">
        <f t="shared" si="34"/>
        <v>1965</v>
      </c>
      <c r="CA75" s="666">
        <f t="shared" si="66"/>
        <v>0</v>
      </c>
      <c r="CB75" s="667">
        <f t="shared" si="67"/>
        <v>0</v>
      </c>
      <c r="CC75" s="666">
        <f t="shared" si="68"/>
        <v>0</v>
      </c>
      <c r="CD75" s="667">
        <f t="shared" si="69"/>
        <v>0</v>
      </c>
      <c r="CE75" s="341"/>
      <c r="CF75" s="340"/>
      <c r="CG75" s="384">
        <f t="shared" si="57"/>
        <v>0</v>
      </c>
      <c r="CH75" s="387">
        <f t="shared" si="58"/>
        <v>0</v>
      </c>
    </row>
    <row r="76" spans="2:86" ht="13.5" thickTop="1" x14ac:dyDescent="0.2">
      <c r="B76" s="276">
        <v>61</v>
      </c>
      <c r="C76" s="320">
        <f t="shared" si="35"/>
        <v>62</v>
      </c>
      <c r="D76" s="534">
        <f t="shared" si="72"/>
        <v>1964</v>
      </c>
      <c r="E76" s="337"/>
      <c r="F76" s="338"/>
      <c r="G76" s="1271">
        <v>0</v>
      </c>
      <c r="H76" s="1289">
        <v>0</v>
      </c>
      <c r="I76" s="400">
        <f t="shared" si="78"/>
        <v>0</v>
      </c>
      <c r="J76" s="401">
        <f t="shared" si="36"/>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7"/>
        <v>0.99729069514876678</v>
      </c>
      <c r="P76" s="1143">
        <f t="shared" si="38"/>
        <v>0.99846892473627546</v>
      </c>
      <c r="Q76" s="356">
        <f t="shared" si="73"/>
        <v>1964</v>
      </c>
      <c r="R76" s="337"/>
      <c r="S76" s="338"/>
      <c r="T76" s="664">
        <f t="shared" si="70"/>
        <v>0</v>
      </c>
      <c r="U76" s="665">
        <f t="shared" si="71"/>
        <v>0</v>
      </c>
      <c r="V76" s="337"/>
      <c r="W76" s="338"/>
      <c r="X76" s="383">
        <f t="shared" si="39"/>
        <v>0</v>
      </c>
      <c r="Y76" s="386">
        <f t="shared" si="40"/>
        <v>0</v>
      </c>
      <c r="Z76" s="534">
        <f t="shared" si="74"/>
        <v>1964</v>
      </c>
      <c r="AA76" s="664">
        <f t="shared" si="41"/>
        <v>0</v>
      </c>
      <c r="AB76" s="665">
        <f t="shared" si="42"/>
        <v>0</v>
      </c>
      <c r="AC76" s="337"/>
      <c r="AD76" s="338"/>
      <c r="AE76" s="383">
        <f t="shared" si="43"/>
        <v>0</v>
      </c>
      <c r="AF76" s="386">
        <f t="shared" si="44"/>
        <v>0</v>
      </c>
      <c r="AG76" s="534">
        <f t="shared" si="75"/>
        <v>1963</v>
      </c>
      <c r="AH76" s="1271">
        <f t="shared" si="45"/>
        <v>0</v>
      </c>
      <c r="AI76" s="1272">
        <f t="shared" si="46"/>
        <v>0</v>
      </c>
      <c r="AJ76" s="337"/>
      <c r="AK76" s="338"/>
      <c r="AL76" s="1271">
        <v>0</v>
      </c>
      <c r="AM76" s="1272">
        <v>0</v>
      </c>
      <c r="AN76" s="414">
        <f t="shared" si="22"/>
        <v>1</v>
      </c>
      <c r="AO76" s="413">
        <f t="shared" si="23"/>
        <v>1</v>
      </c>
      <c r="AP76" s="337"/>
      <c r="AQ76" s="338"/>
      <c r="AR76" s="664">
        <f t="shared" si="60"/>
        <v>0</v>
      </c>
      <c r="AS76" s="679">
        <f t="shared" si="61"/>
        <v>0</v>
      </c>
      <c r="AT76" s="383">
        <f t="shared" si="47"/>
        <v>0</v>
      </c>
      <c r="AU76" s="386">
        <f t="shared" si="48"/>
        <v>0</v>
      </c>
      <c r="AV76" s="534">
        <f t="shared" si="76"/>
        <v>1962</v>
      </c>
      <c r="AW76" s="1271">
        <f t="shared" si="49"/>
        <v>0</v>
      </c>
      <c r="AX76" s="1272">
        <f t="shared" si="50"/>
        <v>0</v>
      </c>
      <c r="AY76" s="337"/>
      <c r="AZ76" s="338"/>
      <c r="BA76" s="1271">
        <v>0</v>
      </c>
      <c r="BB76" s="1272">
        <v>0</v>
      </c>
      <c r="BC76" s="414">
        <f t="shared" si="27"/>
        <v>1</v>
      </c>
      <c r="BD76" s="413">
        <f t="shared" si="28"/>
        <v>1</v>
      </c>
      <c r="BE76" s="337"/>
      <c r="BF76" s="338"/>
      <c r="BG76" s="664">
        <f t="shared" si="62"/>
        <v>0</v>
      </c>
      <c r="BH76" s="679">
        <f t="shared" si="63"/>
        <v>0</v>
      </c>
      <c r="BI76" s="383">
        <f t="shared" si="51"/>
        <v>0</v>
      </c>
      <c r="BJ76" s="386">
        <f t="shared" si="52"/>
        <v>0</v>
      </c>
      <c r="BK76" s="534">
        <f t="shared" si="77"/>
        <v>1961</v>
      </c>
      <c r="BL76" s="1271">
        <f t="shared" si="53"/>
        <v>0</v>
      </c>
      <c r="BM76" s="1272">
        <f t="shared" si="54"/>
        <v>0</v>
      </c>
      <c r="BN76" s="337"/>
      <c r="BO76" s="338"/>
      <c r="BP76" s="1271">
        <v>0</v>
      </c>
      <c r="BQ76" s="1272">
        <v>0</v>
      </c>
      <c r="BR76" s="414">
        <f t="shared" si="31"/>
        <v>1</v>
      </c>
      <c r="BS76" s="413">
        <f t="shared" si="32"/>
        <v>1</v>
      </c>
      <c r="BT76" s="337"/>
      <c r="BU76" s="338"/>
      <c r="BV76" s="664">
        <f t="shared" si="64"/>
        <v>0</v>
      </c>
      <c r="BW76" s="679">
        <f t="shared" si="65"/>
        <v>0</v>
      </c>
      <c r="BX76" s="383">
        <f t="shared" si="55"/>
        <v>0</v>
      </c>
      <c r="BY76" s="386">
        <f t="shared" si="56"/>
        <v>0</v>
      </c>
      <c r="BZ76" s="534">
        <f t="shared" si="34"/>
        <v>1964</v>
      </c>
      <c r="CA76" s="664">
        <f t="shared" si="66"/>
        <v>0</v>
      </c>
      <c r="CB76" s="665">
        <f t="shared" si="67"/>
        <v>0</v>
      </c>
      <c r="CC76" s="664">
        <f t="shared" si="68"/>
        <v>0</v>
      </c>
      <c r="CD76" s="665">
        <f t="shared" si="69"/>
        <v>0</v>
      </c>
      <c r="CE76" s="337"/>
      <c r="CF76" s="338"/>
      <c r="CG76" s="383">
        <f t="shared" si="57"/>
        <v>0</v>
      </c>
      <c r="CH76" s="386">
        <f t="shared" si="58"/>
        <v>0</v>
      </c>
    </row>
    <row r="77" spans="2:86" x14ac:dyDescent="0.2">
      <c r="B77" s="276">
        <v>62</v>
      </c>
      <c r="C77" s="320">
        <f t="shared" si="35"/>
        <v>63</v>
      </c>
      <c r="D77" s="534">
        <f t="shared" si="72"/>
        <v>1963</v>
      </c>
      <c r="E77" s="337"/>
      <c r="F77" s="338"/>
      <c r="G77" s="1271">
        <v>0</v>
      </c>
      <c r="H77" s="1289">
        <v>0</v>
      </c>
      <c r="I77" s="400">
        <f t="shared" si="78"/>
        <v>0</v>
      </c>
      <c r="J77" s="401">
        <f t="shared" si="36"/>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7"/>
        <v>0.99700309111183039</v>
      </c>
      <c r="P77" s="1143">
        <f t="shared" si="38"/>
        <v>0.99831047099891468</v>
      </c>
      <c r="Q77" s="356">
        <f t="shared" si="73"/>
        <v>1963</v>
      </c>
      <c r="R77" s="337"/>
      <c r="S77" s="338"/>
      <c r="T77" s="664">
        <f t="shared" si="70"/>
        <v>0</v>
      </c>
      <c r="U77" s="665">
        <f t="shared" si="71"/>
        <v>0</v>
      </c>
      <c r="V77" s="337"/>
      <c r="W77" s="338"/>
      <c r="X77" s="383">
        <f t="shared" si="39"/>
        <v>0</v>
      </c>
      <c r="Y77" s="386">
        <f t="shared" si="40"/>
        <v>0</v>
      </c>
      <c r="Z77" s="534">
        <f t="shared" si="74"/>
        <v>1963</v>
      </c>
      <c r="AA77" s="664">
        <f t="shared" si="41"/>
        <v>0</v>
      </c>
      <c r="AB77" s="665">
        <f t="shared" si="42"/>
        <v>0</v>
      </c>
      <c r="AC77" s="337"/>
      <c r="AD77" s="338"/>
      <c r="AE77" s="383">
        <f t="shared" si="43"/>
        <v>0</v>
      </c>
      <c r="AF77" s="386">
        <f t="shared" si="44"/>
        <v>0</v>
      </c>
      <c r="AG77" s="534">
        <f t="shared" si="75"/>
        <v>1962</v>
      </c>
      <c r="AH77" s="1271">
        <f t="shared" si="45"/>
        <v>0</v>
      </c>
      <c r="AI77" s="1272">
        <f t="shared" si="46"/>
        <v>0</v>
      </c>
      <c r="AJ77" s="337"/>
      <c r="AK77" s="338"/>
      <c r="AL77" s="1271">
        <v>0</v>
      </c>
      <c r="AM77" s="1272">
        <v>0</v>
      </c>
      <c r="AN77" s="414">
        <f t="shared" si="22"/>
        <v>1</v>
      </c>
      <c r="AO77" s="413">
        <f t="shared" si="23"/>
        <v>1</v>
      </c>
      <c r="AP77" s="337"/>
      <c r="AQ77" s="338"/>
      <c r="AR77" s="664">
        <f t="shared" si="60"/>
        <v>0</v>
      </c>
      <c r="AS77" s="679">
        <f t="shared" si="61"/>
        <v>0</v>
      </c>
      <c r="AT77" s="383">
        <f t="shared" si="47"/>
        <v>0</v>
      </c>
      <c r="AU77" s="386">
        <f t="shared" si="48"/>
        <v>0</v>
      </c>
      <c r="AV77" s="534">
        <f t="shared" si="76"/>
        <v>1961</v>
      </c>
      <c r="AW77" s="1271">
        <f t="shared" si="49"/>
        <v>0</v>
      </c>
      <c r="AX77" s="1272">
        <f t="shared" si="50"/>
        <v>0</v>
      </c>
      <c r="AY77" s="337"/>
      <c r="AZ77" s="338"/>
      <c r="BA77" s="1271">
        <v>0</v>
      </c>
      <c r="BB77" s="1272">
        <v>0</v>
      </c>
      <c r="BC77" s="414">
        <f t="shared" si="27"/>
        <v>1</v>
      </c>
      <c r="BD77" s="413">
        <f t="shared" si="28"/>
        <v>1</v>
      </c>
      <c r="BE77" s="337"/>
      <c r="BF77" s="338"/>
      <c r="BG77" s="664">
        <f t="shared" si="62"/>
        <v>0</v>
      </c>
      <c r="BH77" s="679">
        <f t="shared" si="63"/>
        <v>0</v>
      </c>
      <c r="BI77" s="383">
        <f t="shared" si="51"/>
        <v>0</v>
      </c>
      <c r="BJ77" s="386">
        <f t="shared" si="52"/>
        <v>0</v>
      </c>
      <c r="BK77" s="534">
        <f t="shared" si="77"/>
        <v>1960</v>
      </c>
      <c r="BL77" s="1271">
        <f t="shared" si="53"/>
        <v>0</v>
      </c>
      <c r="BM77" s="1272">
        <f t="shared" si="54"/>
        <v>0</v>
      </c>
      <c r="BN77" s="337"/>
      <c r="BO77" s="338"/>
      <c r="BP77" s="1271">
        <v>0</v>
      </c>
      <c r="BQ77" s="1272">
        <v>0</v>
      </c>
      <c r="BR77" s="414">
        <f t="shared" si="31"/>
        <v>1</v>
      </c>
      <c r="BS77" s="413">
        <f t="shared" si="32"/>
        <v>1</v>
      </c>
      <c r="BT77" s="337"/>
      <c r="BU77" s="338"/>
      <c r="BV77" s="664">
        <f t="shared" si="64"/>
        <v>0</v>
      </c>
      <c r="BW77" s="679">
        <f t="shared" si="65"/>
        <v>0</v>
      </c>
      <c r="BX77" s="383">
        <f t="shared" si="55"/>
        <v>0</v>
      </c>
      <c r="BY77" s="386">
        <f t="shared" si="56"/>
        <v>0</v>
      </c>
      <c r="BZ77" s="534">
        <f t="shared" si="34"/>
        <v>1963</v>
      </c>
      <c r="CA77" s="664">
        <f t="shared" si="66"/>
        <v>0</v>
      </c>
      <c r="CB77" s="665">
        <f t="shared" si="67"/>
        <v>0</v>
      </c>
      <c r="CC77" s="664">
        <f t="shared" si="68"/>
        <v>0</v>
      </c>
      <c r="CD77" s="665">
        <f t="shared" si="69"/>
        <v>0</v>
      </c>
      <c r="CE77" s="337"/>
      <c r="CF77" s="338"/>
      <c r="CG77" s="383">
        <f t="shared" si="57"/>
        <v>0</v>
      </c>
      <c r="CH77" s="386">
        <f t="shared" si="58"/>
        <v>0</v>
      </c>
    </row>
    <row r="78" spans="2:86" x14ac:dyDescent="0.2">
      <c r="B78" s="276">
        <v>63</v>
      </c>
      <c r="C78" s="320">
        <f t="shared" si="35"/>
        <v>64</v>
      </c>
      <c r="D78" s="534">
        <f t="shared" si="72"/>
        <v>1962</v>
      </c>
      <c r="E78" s="337"/>
      <c r="F78" s="338"/>
      <c r="G78" s="1271">
        <v>0</v>
      </c>
      <c r="H78" s="1289">
        <v>0</v>
      </c>
      <c r="I78" s="400">
        <f t="shared" si="78"/>
        <v>0</v>
      </c>
      <c r="J78" s="401">
        <f t="shared" si="36"/>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7"/>
        <v>0.99668942982752551</v>
      </c>
      <c r="P78" s="1143">
        <f t="shared" si="38"/>
        <v>0.9981348282392507</v>
      </c>
      <c r="Q78" s="356">
        <f t="shared" si="73"/>
        <v>1962</v>
      </c>
      <c r="R78" s="337"/>
      <c r="S78" s="338"/>
      <c r="T78" s="664">
        <f t="shared" ref="T78:T109" si="79">IF(E78&gt;0,R78/E78,0)</f>
        <v>0</v>
      </c>
      <c r="U78" s="665">
        <f t="shared" ref="U78:U109" si="80">IF(F78&gt;0,S78/F78,0)</f>
        <v>0</v>
      </c>
      <c r="V78" s="337"/>
      <c r="W78" s="338"/>
      <c r="X78" s="383">
        <f t="shared" si="39"/>
        <v>0</v>
      </c>
      <c r="Y78" s="386">
        <f t="shared" si="40"/>
        <v>0</v>
      </c>
      <c r="Z78" s="534">
        <f t="shared" si="74"/>
        <v>1962</v>
      </c>
      <c r="AA78" s="664">
        <f t="shared" si="41"/>
        <v>0</v>
      </c>
      <c r="AB78" s="665">
        <f t="shared" si="42"/>
        <v>0</v>
      </c>
      <c r="AC78" s="337"/>
      <c r="AD78" s="338"/>
      <c r="AE78" s="383">
        <f t="shared" si="43"/>
        <v>0</v>
      </c>
      <c r="AF78" s="386">
        <f t="shared" si="44"/>
        <v>0</v>
      </c>
      <c r="AG78" s="534">
        <f t="shared" si="75"/>
        <v>1961</v>
      </c>
      <c r="AH78" s="1271">
        <f t="shared" si="45"/>
        <v>0</v>
      </c>
      <c r="AI78" s="1272">
        <f t="shared" si="46"/>
        <v>0</v>
      </c>
      <c r="AJ78" s="337"/>
      <c r="AK78" s="338"/>
      <c r="AL78" s="1271">
        <v>0</v>
      </c>
      <c r="AM78" s="1272">
        <v>0</v>
      </c>
      <c r="AN78" s="414">
        <f t="shared" si="22"/>
        <v>1</v>
      </c>
      <c r="AO78" s="413">
        <f t="shared" si="23"/>
        <v>1</v>
      </c>
      <c r="AP78" s="337"/>
      <c r="AQ78" s="338"/>
      <c r="AR78" s="664">
        <f t="shared" si="60"/>
        <v>0</v>
      </c>
      <c r="AS78" s="679">
        <f t="shared" si="61"/>
        <v>0</v>
      </c>
      <c r="AT78" s="383">
        <f t="shared" si="47"/>
        <v>0</v>
      </c>
      <c r="AU78" s="386">
        <f t="shared" si="48"/>
        <v>0</v>
      </c>
      <c r="AV78" s="534">
        <f t="shared" si="76"/>
        <v>1960</v>
      </c>
      <c r="AW78" s="1271">
        <f t="shared" si="49"/>
        <v>0</v>
      </c>
      <c r="AX78" s="1272">
        <f t="shared" si="50"/>
        <v>0</v>
      </c>
      <c r="AY78" s="337"/>
      <c r="AZ78" s="338"/>
      <c r="BA78" s="1271">
        <v>0</v>
      </c>
      <c r="BB78" s="1272">
        <v>0</v>
      </c>
      <c r="BC78" s="414">
        <f t="shared" si="27"/>
        <v>1</v>
      </c>
      <c r="BD78" s="413">
        <f t="shared" si="28"/>
        <v>1</v>
      </c>
      <c r="BE78" s="337"/>
      <c r="BF78" s="338"/>
      <c r="BG78" s="664">
        <f t="shared" si="62"/>
        <v>0</v>
      </c>
      <c r="BH78" s="679">
        <f t="shared" si="63"/>
        <v>0</v>
      </c>
      <c r="BI78" s="383">
        <f t="shared" si="51"/>
        <v>0</v>
      </c>
      <c r="BJ78" s="386">
        <f t="shared" si="52"/>
        <v>0</v>
      </c>
      <c r="BK78" s="534">
        <f t="shared" si="77"/>
        <v>1959</v>
      </c>
      <c r="BL78" s="1271">
        <f t="shared" si="53"/>
        <v>0</v>
      </c>
      <c r="BM78" s="1272">
        <f t="shared" si="54"/>
        <v>0</v>
      </c>
      <c r="BN78" s="337"/>
      <c r="BO78" s="338"/>
      <c r="BP78" s="1271">
        <v>0</v>
      </c>
      <c r="BQ78" s="1272">
        <v>0</v>
      </c>
      <c r="BR78" s="414">
        <f t="shared" si="31"/>
        <v>1</v>
      </c>
      <c r="BS78" s="413">
        <f t="shared" si="32"/>
        <v>1</v>
      </c>
      <c r="BT78" s="337"/>
      <c r="BU78" s="338"/>
      <c r="BV78" s="664">
        <f t="shared" si="64"/>
        <v>0</v>
      </c>
      <c r="BW78" s="679">
        <f t="shared" si="65"/>
        <v>0</v>
      </c>
      <c r="BX78" s="383">
        <f t="shared" si="55"/>
        <v>0</v>
      </c>
      <c r="BY78" s="386">
        <f t="shared" si="56"/>
        <v>0</v>
      </c>
      <c r="BZ78" s="534">
        <f t="shared" si="34"/>
        <v>1962</v>
      </c>
      <c r="CA78" s="664">
        <f t="shared" si="66"/>
        <v>0</v>
      </c>
      <c r="CB78" s="665">
        <f t="shared" si="67"/>
        <v>0</v>
      </c>
      <c r="CC78" s="664">
        <f t="shared" si="68"/>
        <v>0</v>
      </c>
      <c r="CD78" s="665">
        <f t="shared" si="69"/>
        <v>0</v>
      </c>
      <c r="CE78" s="337"/>
      <c r="CF78" s="338"/>
      <c r="CG78" s="383">
        <f t="shared" si="57"/>
        <v>0</v>
      </c>
      <c r="CH78" s="386">
        <f t="shared" si="58"/>
        <v>0</v>
      </c>
    </row>
    <row r="79" spans="2:86" x14ac:dyDescent="0.2">
      <c r="B79" s="276">
        <v>64</v>
      </c>
      <c r="C79" s="320">
        <f t="shared" si="35"/>
        <v>65</v>
      </c>
      <c r="D79" s="534">
        <f t="shared" ref="D79:D110" si="81">HE_CY-$B79</f>
        <v>1961</v>
      </c>
      <c r="E79" s="337"/>
      <c r="F79" s="338"/>
      <c r="G79" s="1271">
        <v>0</v>
      </c>
      <c r="H79" s="1289">
        <v>0</v>
      </c>
      <c r="I79" s="400">
        <f t="shared" si="78"/>
        <v>0</v>
      </c>
      <c r="J79" s="401">
        <f t="shared" si="36"/>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7"/>
        <v>0.99634809170160388</v>
      </c>
      <c r="P79" s="1143">
        <f t="shared" si="38"/>
        <v>0.99793980617599676</v>
      </c>
      <c r="Q79" s="356">
        <f t="shared" ref="Q79:Q110" si="82">HE_CY-$B79</f>
        <v>1961</v>
      </c>
      <c r="R79" s="337"/>
      <c r="S79" s="338"/>
      <c r="T79" s="664">
        <f t="shared" si="79"/>
        <v>0</v>
      </c>
      <c r="U79" s="665">
        <f t="shared" si="80"/>
        <v>0</v>
      </c>
      <c r="V79" s="337"/>
      <c r="W79" s="338"/>
      <c r="X79" s="383">
        <f t="shared" si="39"/>
        <v>0</v>
      </c>
      <c r="Y79" s="386">
        <f t="shared" si="40"/>
        <v>0</v>
      </c>
      <c r="Z79" s="534">
        <f t="shared" ref="Z79:Z110" si="83">HE_CY-$B79</f>
        <v>1961</v>
      </c>
      <c r="AA79" s="664">
        <f t="shared" si="41"/>
        <v>0</v>
      </c>
      <c r="AB79" s="665">
        <f t="shared" si="42"/>
        <v>0</v>
      </c>
      <c r="AC79" s="337"/>
      <c r="AD79" s="338"/>
      <c r="AE79" s="383">
        <f t="shared" si="43"/>
        <v>0</v>
      </c>
      <c r="AF79" s="386">
        <f t="shared" si="44"/>
        <v>0</v>
      </c>
      <c r="AG79" s="534">
        <f t="shared" ref="AG79:AG110" si="84">HE_PY1-$B79</f>
        <v>1960</v>
      </c>
      <c r="AH79" s="1271">
        <f t="shared" si="45"/>
        <v>0</v>
      </c>
      <c r="AI79" s="1272">
        <f t="shared" si="46"/>
        <v>0</v>
      </c>
      <c r="AJ79" s="337"/>
      <c r="AK79" s="338"/>
      <c r="AL79" s="1271">
        <v>0</v>
      </c>
      <c r="AM79" s="1272">
        <v>0</v>
      </c>
      <c r="AN79" s="414">
        <f t="shared" ref="AN79:AN125" si="85">IF(AH79&gt;0,$P$3+(1-$P$3)*(AJ79-AL79)/AH79,1)</f>
        <v>1</v>
      </c>
      <c r="AO79" s="413">
        <f t="shared" ref="AO79:AO125" si="86">IF(AI79&gt;0,$P$3+(1-$P$3)*(AK79-AM79)/AI79,1)</f>
        <v>1</v>
      </c>
      <c r="AP79" s="337"/>
      <c r="AQ79" s="338"/>
      <c r="AR79" s="664">
        <f t="shared" si="60"/>
        <v>0</v>
      </c>
      <c r="AS79" s="679">
        <f t="shared" si="61"/>
        <v>0</v>
      </c>
      <c r="AT79" s="383">
        <f t="shared" si="47"/>
        <v>0</v>
      </c>
      <c r="AU79" s="386">
        <f t="shared" si="48"/>
        <v>0</v>
      </c>
      <c r="AV79" s="534">
        <f t="shared" ref="AV79:AV110" si="87">HE_PY2-$B79</f>
        <v>1959</v>
      </c>
      <c r="AW79" s="1271">
        <f t="shared" si="49"/>
        <v>0</v>
      </c>
      <c r="AX79" s="1272">
        <f t="shared" si="50"/>
        <v>0</v>
      </c>
      <c r="AY79" s="337"/>
      <c r="AZ79" s="338"/>
      <c r="BA79" s="1271">
        <v>0</v>
      </c>
      <c r="BB79" s="1272">
        <v>0</v>
      </c>
      <c r="BC79" s="414">
        <f t="shared" ref="BC79:BC125" si="88">IF(AW79&gt;0,$P$3+(1-$P$3)*(AY79-BA79)/AW79,1)</f>
        <v>1</v>
      </c>
      <c r="BD79" s="413">
        <f t="shared" ref="BD79:BD125" si="89">IF(AX79&gt;0,$P$3+(1-$P$3)*(AZ79-BB79)/AX79,1)</f>
        <v>1</v>
      </c>
      <c r="BE79" s="337"/>
      <c r="BF79" s="338"/>
      <c r="BG79" s="664">
        <f t="shared" si="62"/>
        <v>0</v>
      </c>
      <c r="BH79" s="679">
        <f t="shared" si="63"/>
        <v>0</v>
      </c>
      <c r="BI79" s="383">
        <f t="shared" si="51"/>
        <v>0</v>
      </c>
      <c r="BJ79" s="386">
        <f t="shared" si="52"/>
        <v>0</v>
      </c>
      <c r="BK79" s="534">
        <f t="shared" ref="BK79:BK110" si="90">HE_PY3-$B79</f>
        <v>1958</v>
      </c>
      <c r="BL79" s="1271">
        <f t="shared" si="53"/>
        <v>0</v>
      </c>
      <c r="BM79" s="1272">
        <f t="shared" si="54"/>
        <v>0</v>
      </c>
      <c r="BN79" s="337"/>
      <c r="BO79" s="338"/>
      <c r="BP79" s="1271">
        <v>0</v>
      </c>
      <c r="BQ79" s="1272">
        <v>0</v>
      </c>
      <c r="BR79" s="414">
        <f t="shared" ref="BR79:BR125" si="91">IF(BL79&gt;0,$P$3+(1-$P$3)*(BN79-BP79)/BL79,1)</f>
        <v>1</v>
      </c>
      <c r="BS79" s="413">
        <f t="shared" ref="BS79:BS125" si="92">IF(BM79&gt;0,$P$3+(1-$P$3)*(BO79-BQ79)/BM79,1)</f>
        <v>1</v>
      </c>
      <c r="BT79" s="337"/>
      <c r="BU79" s="338"/>
      <c r="BV79" s="664">
        <f t="shared" si="64"/>
        <v>0</v>
      </c>
      <c r="BW79" s="679">
        <f t="shared" si="65"/>
        <v>0</v>
      </c>
      <c r="BX79" s="383">
        <f t="shared" si="55"/>
        <v>0</v>
      </c>
      <c r="BY79" s="386">
        <f t="shared" si="56"/>
        <v>0</v>
      </c>
      <c r="BZ79" s="534">
        <f t="shared" ref="BZ79:BZ125" si="93">HE_CY-$B79</f>
        <v>1961</v>
      </c>
      <c r="CA79" s="664">
        <f t="shared" si="66"/>
        <v>0</v>
      </c>
      <c r="CB79" s="665">
        <f t="shared" si="67"/>
        <v>0</v>
      </c>
      <c r="CC79" s="664">
        <f t="shared" si="68"/>
        <v>0</v>
      </c>
      <c r="CD79" s="665">
        <f t="shared" si="69"/>
        <v>0</v>
      </c>
      <c r="CE79" s="337"/>
      <c r="CF79" s="338"/>
      <c r="CG79" s="383">
        <f t="shared" si="57"/>
        <v>0</v>
      </c>
      <c r="CH79" s="386">
        <f t="shared" si="58"/>
        <v>0</v>
      </c>
    </row>
    <row r="80" spans="2:86" ht="13.5" thickBot="1" x14ac:dyDescent="0.25">
      <c r="B80" s="313">
        <v>65</v>
      </c>
      <c r="C80" s="321">
        <f t="shared" ref="C80:C125" si="94">B80+1</f>
        <v>66</v>
      </c>
      <c r="D80" s="535">
        <f t="shared" si="81"/>
        <v>1960</v>
      </c>
      <c r="E80" s="341"/>
      <c r="F80" s="340"/>
      <c r="G80" s="1277">
        <v>0</v>
      </c>
      <c r="H80" s="1290">
        <v>0</v>
      </c>
      <c r="I80" s="406">
        <f t="shared" ref="I80:I111" si="95">E80-G80</f>
        <v>0</v>
      </c>
      <c r="J80" s="407">
        <f t="shared" ref="J80:J125" si="96">F80-H80</f>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O125" si="97">$P$3+(1-$P$3)*(1-K80)</f>
        <v>0.99597662709093882</v>
      </c>
      <c r="P80" s="1144">
        <f t="shared" ref="P80:P125" si="98">$P$3+(1-$P$3)*(1-L80)</f>
        <v>0.99772290366769623</v>
      </c>
      <c r="Q80" s="313">
        <f t="shared" si="82"/>
        <v>1960</v>
      </c>
      <c r="R80" s="341"/>
      <c r="S80" s="340"/>
      <c r="T80" s="666">
        <f t="shared" si="79"/>
        <v>0</v>
      </c>
      <c r="U80" s="667">
        <f t="shared" si="80"/>
        <v>0</v>
      </c>
      <c r="V80" s="341"/>
      <c r="W80" s="340"/>
      <c r="X80" s="384">
        <f t="shared" ref="X80:X125" si="99">IF(ISBLANK(V80),T80,V80)</f>
        <v>0</v>
      </c>
      <c r="Y80" s="387">
        <f t="shared" ref="Y80:Y125" si="100">IF(ISBLANK(W80),U80,W80)</f>
        <v>0</v>
      </c>
      <c r="Z80" s="535">
        <f t="shared" si="83"/>
        <v>1960</v>
      </c>
      <c r="AA80" s="666">
        <f t="shared" ref="AA80:AA125" si="101">$P$4*X80</f>
        <v>0</v>
      </c>
      <c r="AB80" s="667">
        <f t="shared" ref="AB80:AB125" si="102">$P$4*Y80</f>
        <v>0</v>
      </c>
      <c r="AC80" s="341"/>
      <c r="AD80" s="340"/>
      <c r="AE80" s="384">
        <f t="shared" ref="AE80:AE125" si="103">IF(ISBLANK(AC80),AA80,AC80)</f>
        <v>0</v>
      </c>
      <c r="AF80" s="387">
        <f t="shared" ref="AF80:AF125" si="104">IF(ISBLANK(AD80),AB80,AD80)</f>
        <v>0</v>
      </c>
      <c r="AG80" s="535">
        <f t="shared" si="84"/>
        <v>1959</v>
      </c>
      <c r="AH80" s="1271">
        <f t="shared" ref="AH80:AH125" si="105">AJ80</f>
        <v>0</v>
      </c>
      <c r="AI80" s="1272">
        <f t="shared" ref="AI80:AI125" si="106">AK80</f>
        <v>0</v>
      </c>
      <c r="AJ80" s="341"/>
      <c r="AK80" s="340"/>
      <c r="AL80" s="1271">
        <v>0</v>
      </c>
      <c r="AM80" s="1272">
        <v>0</v>
      </c>
      <c r="AN80" s="415">
        <f t="shared" si="85"/>
        <v>1</v>
      </c>
      <c r="AO80" s="416">
        <f t="shared" si="86"/>
        <v>1</v>
      </c>
      <c r="AP80" s="341"/>
      <c r="AQ80" s="340"/>
      <c r="AR80" s="666">
        <f t="shared" si="60"/>
        <v>0</v>
      </c>
      <c r="AS80" s="680">
        <f t="shared" si="61"/>
        <v>0</v>
      </c>
      <c r="AT80" s="384">
        <f t="shared" ref="AT80:AT125" si="107">AR80*$P$5</f>
        <v>0</v>
      </c>
      <c r="AU80" s="387">
        <f t="shared" ref="AU80:AU125" si="108">AS80*$P$5</f>
        <v>0</v>
      </c>
      <c r="AV80" s="535">
        <f t="shared" si="87"/>
        <v>1958</v>
      </c>
      <c r="AW80" s="1271">
        <f t="shared" ref="AW80:AW125" si="109">AY80</f>
        <v>0</v>
      </c>
      <c r="AX80" s="1272">
        <f t="shared" ref="AX80:AX125" si="110">AZ80</f>
        <v>0</v>
      </c>
      <c r="AY80" s="341"/>
      <c r="AZ80" s="340"/>
      <c r="BA80" s="1271">
        <v>0</v>
      </c>
      <c r="BB80" s="1272">
        <v>0</v>
      </c>
      <c r="BC80" s="415">
        <f t="shared" si="88"/>
        <v>1</v>
      </c>
      <c r="BD80" s="416">
        <f t="shared" si="89"/>
        <v>1</v>
      </c>
      <c r="BE80" s="341"/>
      <c r="BF80" s="340"/>
      <c r="BG80" s="666">
        <f t="shared" si="62"/>
        <v>0</v>
      </c>
      <c r="BH80" s="680">
        <f t="shared" si="63"/>
        <v>0</v>
      </c>
      <c r="BI80" s="384">
        <f t="shared" ref="BI80:BI125" si="111">BG80*$P$6</f>
        <v>0</v>
      </c>
      <c r="BJ80" s="387">
        <f t="shared" ref="BJ80:BJ125" si="112">BH80*$P$6</f>
        <v>0</v>
      </c>
      <c r="BK80" s="535">
        <f t="shared" si="90"/>
        <v>1957</v>
      </c>
      <c r="BL80" s="1271">
        <f t="shared" ref="BL80:BL125" si="113">BN80</f>
        <v>0</v>
      </c>
      <c r="BM80" s="1272">
        <f t="shared" ref="BM80:BM125" si="114">BO80</f>
        <v>0</v>
      </c>
      <c r="BN80" s="341"/>
      <c r="BO80" s="340"/>
      <c r="BP80" s="1271">
        <v>0</v>
      </c>
      <c r="BQ80" s="1272">
        <v>0</v>
      </c>
      <c r="BR80" s="415">
        <f t="shared" si="91"/>
        <v>1</v>
      </c>
      <c r="BS80" s="416">
        <f t="shared" si="92"/>
        <v>1</v>
      </c>
      <c r="BT80" s="341"/>
      <c r="BU80" s="340"/>
      <c r="BV80" s="666">
        <f t="shared" si="64"/>
        <v>0</v>
      </c>
      <c r="BW80" s="680">
        <f t="shared" si="65"/>
        <v>0</v>
      </c>
      <c r="BX80" s="384">
        <f t="shared" ref="BX80:BX125" si="115">BV80*$P$7</f>
        <v>0</v>
      </c>
      <c r="BY80" s="387">
        <f t="shared" ref="BY80:BY125" si="116">BW80*$P$7</f>
        <v>0</v>
      </c>
      <c r="BZ80" s="535">
        <f t="shared" si="93"/>
        <v>1960</v>
      </c>
      <c r="CA80" s="666">
        <f t="shared" si="66"/>
        <v>0</v>
      </c>
      <c r="CB80" s="667">
        <f t="shared" si="67"/>
        <v>0</v>
      </c>
      <c r="CC80" s="666">
        <f t="shared" si="68"/>
        <v>0</v>
      </c>
      <c r="CD80" s="667">
        <f t="shared" si="69"/>
        <v>0</v>
      </c>
      <c r="CE80" s="341"/>
      <c r="CF80" s="340"/>
      <c r="CG80" s="384">
        <f t="shared" ref="CG80:CG125" si="117">IF(ISBLANK(CE80),CC80,CE80)</f>
        <v>0</v>
      </c>
      <c r="CH80" s="387">
        <f t="shared" ref="CH80:CH125" si="118">IF(ISBLANK(CF80),CD80,CF80)</f>
        <v>0</v>
      </c>
    </row>
    <row r="81" spans="2:86" ht="13.5" thickTop="1" x14ac:dyDescent="0.2">
      <c r="B81" s="276">
        <v>66</v>
      </c>
      <c r="C81" s="320">
        <f t="shared" si="94"/>
        <v>67</v>
      </c>
      <c r="D81" s="534">
        <f t="shared" si="81"/>
        <v>1959</v>
      </c>
      <c r="E81" s="337"/>
      <c r="F81" s="338"/>
      <c r="G81" s="1271">
        <v>0</v>
      </c>
      <c r="H81" s="1289">
        <v>0</v>
      </c>
      <c r="I81" s="400">
        <f t="shared" si="95"/>
        <v>0</v>
      </c>
      <c r="J81" s="401">
        <f t="shared" si="96"/>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97"/>
        <v>0.99557140398328681</v>
      </c>
      <c r="P81" s="1143">
        <f t="shared" si="98"/>
        <v>0.99748123297307933</v>
      </c>
      <c r="Q81" s="356">
        <f t="shared" si="82"/>
        <v>1959</v>
      </c>
      <c r="R81" s="337"/>
      <c r="S81" s="338"/>
      <c r="T81" s="664">
        <f t="shared" si="79"/>
        <v>0</v>
      </c>
      <c r="U81" s="665">
        <f t="shared" si="80"/>
        <v>0</v>
      </c>
      <c r="V81" s="337"/>
      <c r="W81" s="338"/>
      <c r="X81" s="383">
        <f t="shared" si="99"/>
        <v>0</v>
      </c>
      <c r="Y81" s="386">
        <f t="shared" si="100"/>
        <v>0</v>
      </c>
      <c r="Z81" s="534">
        <f t="shared" si="83"/>
        <v>1959</v>
      </c>
      <c r="AA81" s="664">
        <f t="shared" si="101"/>
        <v>0</v>
      </c>
      <c r="AB81" s="665">
        <f t="shared" si="102"/>
        <v>0</v>
      </c>
      <c r="AC81" s="337"/>
      <c r="AD81" s="338"/>
      <c r="AE81" s="383">
        <f t="shared" si="103"/>
        <v>0</v>
      </c>
      <c r="AF81" s="386">
        <f t="shared" si="104"/>
        <v>0</v>
      </c>
      <c r="AG81" s="534">
        <f t="shared" si="84"/>
        <v>1958</v>
      </c>
      <c r="AH81" s="1271">
        <f t="shared" si="105"/>
        <v>0</v>
      </c>
      <c r="AI81" s="1272">
        <f t="shared" si="106"/>
        <v>0</v>
      </c>
      <c r="AJ81" s="337"/>
      <c r="AK81" s="338"/>
      <c r="AL81" s="1271">
        <v>0</v>
      </c>
      <c r="AM81" s="1272">
        <v>0</v>
      </c>
      <c r="AN81" s="414">
        <f t="shared" si="85"/>
        <v>1</v>
      </c>
      <c r="AO81" s="413">
        <f t="shared" si="86"/>
        <v>1</v>
      </c>
      <c r="AP81" s="337"/>
      <c r="AQ81" s="338"/>
      <c r="AR81" s="664">
        <f t="shared" ref="AR81:AR125" si="119">IF(AH81&gt;0,AP81/(AH81*AN81),0)</f>
        <v>0</v>
      </c>
      <c r="AS81" s="679">
        <f t="shared" ref="AS81:AS125" si="120">IF(AI81&gt;0,AQ81/(AI81*AO81),0)</f>
        <v>0</v>
      </c>
      <c r="AT81" s="383">
        <f t="shared" si="107"/>
        <v>0</v>
      </c>
      <c r="AU81" s="386">
        <f t="shared" si="108"/>
        <v>0</v>
      </c>
      <c r="AV81" s="534">
        <f t="shared" si="87"/>
        <v>1957</v>
      </c>
      <c r="AW81" s="1271">
        <f t="shared" si="109"/>
        <v>0</v>
      </c>
      <c r="AX81" s="1272">
        <f t="shared" si="110"/>
        <v>0</v>
      </c>
      <c r="AY81" s="337"/>
      <c r="AZ81" s="338"/>
      <c r="BA81" s="1271">
        <v>0</v>
      </c>
      <c r="BB81" s="1272">
        <v>0</v>
      </c>
      <c r="BC81" s="414">
        <f t="shared" si="88"/>
        <v>1</v>
      </c>
      <c r="BD81" s="413">
        <f t="shared" si="89"/>
        <v>1</v>
      </c>
      <c r="BE81" s="337"/>
      <c r="BF81" s="338"/>
      <c r="BG81" s="664">
        <f t="shared" ref="BG81:BG125" si="121">IF(AW81&gt;0,BE81/(AW81*BC81),0)</f>
        <v>0</v>
      </c>
      <c r="BH81" s="679">
        <f t="shared" ref="BH81:BH125" si="122">IF(AX81&gt;0,BF81/(AX81*BD81),0)</f>
        <v>0</v>
      </c>
      <c r="BI81" s="383">
        <f t="shared" si="111"/>
        <v>0</v>
      </c>
      <c r="BJ81" s="386">
        <f t="shared" si="112"/>
        <v>0</v>
      </c>
      <c r="BK81" s="534">
        <f t="shared" si="90"/>
        <v>1956</v>
      </c>
      <c r="BL81" s="1271">
        <f t="shared" si="113"/>
        <v>0</v>
      </c>
      <c r="BM81" s="1272">
        <f t="shared" si="114"/>
        <v>0</v>
      </c>
      <c r="BN81" s="337"/>
      <c r="BO81" s="338"/>
      <c r="BP81" s="1271">
        <v>0</v>
      </c>
      <c r="BQ81" s="1272">
        <v>0</v>
      </c>
      <c r="BR81" s="414">
        <f t="shared" si="91"/>
        <v>1</v>
      </c>
      <c r="BS81" s="413">
        <f t="shared" si="92"/>
        <v>1</v>
      </c>
      <c r="BT81" s="337"/>
      <c r="BU81" s="338"/>
      <c r="BV81" s="664">
        <f t="shared" ref="BV81:BV125" si="123">IF(BL81&gt;0,BT81/(BL81*BR81),0)</f>
        <v>0</v>
      </c>
      <c r="BW81" s="679">
        <f t="shared" ref="BW81:BW125" si="124">IF(BM81&gt;0,BU81/(BM81*BS81),0)</f>
        <v>0</v>
      </c>
      <c r="BX81" s="383">
        <f t="shared" si="115"/>
        <v>0</v>
      </c>
      <c r="BY81" s="386">
        <f t="shared" si="116"/>
        <v>0</v>
      </c>
      <c r="BZ81" s="534">
        <f t="shared" si="93"/>
        <v>1959</v>
      </c>
      <c r="CA81" s="664">
        <f t="shared" ref="CA81:CA125" si="125">IFERROR((AH81*AN81*AT81+AW81*BC81*BI81+BL81*BR81*BX81)/(AH81*AN81+AW81*BC81+BL81*BR81),0)</f>
        <v>0</v>
      </c>
      <c r="CB81" s="665">
        <f t="shared" ref="CB81:CB125" si="126">IFERROR((AI81*AO81*AU81+AX81*BD81*BJ81+BM81*BS81*BY81)/(AI81*AO81+AX81*BD81+BM81*BS81),0)</f>
        <v>0</v>
      </c>
      <c r="CC81" s="664">
        <f t="shared" si="68"/>
        <v>0</v>
      </c>
      <c r="CD81" s="665">
        <f t="shared" si="69"/>
        <v>0</v>
      </c>
      <c r="CE81" s="337"/>
      <c r="CF81" s="338"/>
      <c r="CG81" s="383">
        <f t="shared" si="117"/>
        <v>0</v>
      </c>
      <c r="CH81" s="386">
        <f t="shared" si="118"/>
        <v>0</v>
      </c>
    </row>
    <row r="82" spans="2:86" x14ac:dyDescent="0.2">
      <c r="B82" s="276">
        <v>67</v>
      </c>
      <c r="C82" s="320">
        <f t="shared" si="94"/>
        <v>68</v>
      </c>
      <c r="D82" s="534">
        <f t="shared" si="81"/>
        <v>1958</v>
      </c>
      <c r="E82" s="337"/>
      <c r="F82" s="338"/>
      <c r="G82" s="1271">
        <v>0</v>
      </c>
      <c r="H82" s="1289">
        <v>0</v>
      </c>
      <c r="I82" s="400">
        <f t="shared" si="95"/>
        <v>0</v>
      </c>
      <c r="J82" s="401">
        <f t="shared" si="96"/>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97"/>
        <v>0.99512789269698532</v>
      </c>
      <c r="P82" s="1143">
        <f t="shared" si="98"/>
        <v>0.99721143418449965</v>
      </c>
      <c r="Q82" s="356">
        <f t="shared" si="82"/>
        <v>1958</v>
      </c>
      <c r="R82" s="337"/>
      <c r="S82" s="338"/>
      <c r="T82" s="664">
        <f t="shared" si="79"/>
        <v>0</v>
      </c>
      <c r="U82" s="665">
        <f t="shared" si="80"/>
        <v>0</v>
      </c>
      <c r="V82" s="337"/>
      <c r="W82" s="338"/>
      <c r="X82" s="383">
        <f t="shared" si="99"/>
        <v>0</v>
      </c>
      <c r="Y82" s="386">
        <f t="shared" si="100"/>
        <v>0</v>
      </c>
      <c r="Z82" s="534">
        <f t="shared" si="83"/>
        <v>1958</v>
      </c>
      <c r="AA82" s="664">
        <f t="shared" si="101"/>
        <v>0</v>
      </c>
      <c r="AB82" s="665">
        <f t="shared" si="102"/>
        <v>0</v>
      </c>
      <c r="AC82" s="337"/>
      <c r="AD82" s="338"/>
      <c r="AE82" s="383">
        <f t="shared" si="103"/>
        <v>0</v>
      </c>
      <c r="AF82" s="386">
        <f t="shared" si="104"/>
        <v>0</v>
      </c>
      <c r="AG82" s="534">
        <f t="shared" si="84"/>
        <v>1957</v>
      </c>
      <c r="AH82" s="1271">
        <f t="shared" si="105"/>
        <v>0</v>
      </c>
      <c r="AI82" s="1272">
        <f t="shared" si="106"/>
        <v>0</v>
      </c>
      <c r="AJ82" s="337"/>
      <c r="AK82" s="338"/>
      <c r="AL82" s="1271">
        <v>0</v>
      </c>
      <c r="AM82" s="1272">
        <v>0</v>
      </c>
      <c r="AN82" s="414">
        <f t="shared" si="85"/>
        <v>1</v>
      </c>
      <c r="AO82" s="413">
        <f t="shared" si="86"/>
        <v>1</v>
      </c>
      <c r="AP82" s="337"/>
      <c r="AQ82" s="338"/>
      <c r="AR82" s="664">
        <f t="shared" si="119"/>
        <v>0</v>
      </c>
      <c r="AS82" s="679">
        <f t="shared" si="120"/>
        <v>0</v>
      </c>
      <c r="AT82" s="383">
        <f t="shared" si="107"/>
        <v>0</v>
      </c>
      <c r="AU82" s="386">
        <f t="shared" si="108"/>
        <v>0</v>
      </c>
      <c r="AV82" s="534">
        <f t="shared" si="87"/>
        <v>1956</v>
      </c>
      <c r="AW82" s="1271">
        <f t="shared" si="109"/>
        <v>0</v>
      </c>
      <c r="AX82" s="1272">
        <f t="shared" si="110"/>
        <v>0</v>
      </c>
      <c r="AY82" s="337"/>
      <c r="AZ82" s="338"/>
      <c r="BA82" s="1271">
        <v>0</v>
      </c>
      <c r="BB82" s="1272">
        <v>0</v>
      </c>
      <c r="BC82" s="414">
        <f t="shared" si="88"/>
        <v>1</v>
      </c>
      <c r="BD82" s="413">
        <f t="shared" si="89"/>
        <v>1</v>
      </c>
      <c r="BE82" s="337"/>
      <c r="BF82" s="338"/>
      <c r="BG82" s="664">
        <f t="shared" si="121"/>
        <v>0</v>
      </c>
      <c r="BH82" s="679">
        <f t="shared" si="122"/>
        <v>0</v>
      </c>
      <c r="BI82" s="383">
        <f t="shared" si="111"/>
        <v>0</v>
      </c>
      <c r="BJ82" s="386">
        <f t="shared" si="112"/>
        <v>0</v>
      </c>
      <c r="BK82" s="534">
        <f t="shared" si="90"/>
        <v>1955</v>
      </c>
      <c r="BL82" s="1271">
        <f t="shared" si="113"/>
        <v>0</v>
      </c>
      <c r="BM82" s="1272">
        <f t="shared" si="114"/>
        <v>0</v>
      </c>
      <c r="BN82" s="337"/>
      <c r="BO82" s="338"/>
      <c r="BP82" s="1271">
        <v>0</v>
      </c>
      <c r="BQ82" s="1272">
        <v>0</v>
      </c>
      <c r="BR82" s="414">
        <f t="shared" si="91"/>
        <v>1</v>
      </c>
      <c r="BS82" s="413">
        <f t="shared" si="92"/>
        <v>1</v>
      </c>
      <c r="BT82" s="337"/>
      <c r="BU82" s="338"/>
      <c r="BV82" s="664">
        <f t="shared" si="123"/>
        <v>0</v>
      </c>
      <c r="BW82" s="679">
        <f t="shared" si="124"/>
        <v>0</v>
      </c>
      <c r="BX82" s="383">
        <f t="shared" si="115"/>
        <v>0</v>
      </c>
      <c r="BY82" s="386">
        <f t="shared" si="116"/>
        <v>0</v>
      </c>
      <c r="BZ82" s="534">
        <f t="shared" si="93"/>
        <v>1958</v>
      </c>
      <c r="CA82" s="664">
        <f t="shared" si="125"/>
        <v>0</v>
      </c>
      <c r="CB82" s="665">
        <f t="shared" si="126"/>
        <v>0</v>
      </c>
      <c r="CC82" s="664">
        <f t="shared" ref="CC82:CC105" si="127">IFERROR(AVERAGE(CA81:CA83),0)</f>
        <v>0</v>
      </c>
      <c r="CD82" s="665">
        <f t="shared" ref="CD82:CD105" si="128">IFERROR(AVERAGE(CB81:CB83),0)</f>
        <v>0</v>
      </c>
      <c r="CE82" s="337"/>
      <c r="CF82" s="338"/>
      <c r="CG82" s="383">
        <f t="shared" si="117"/>
        <v>0</v>
      </c>
      <c r="CH82" s="386">
        <f t="shared" si="118"/>
        <v>0</v>
      </c>
    </row>
    <row r="83" spans="2:86" x14ac:dyDescent="0.2">
      <c r="B83" s="276">
        <v>68</v>
      </c>
      <c r="C83" s="320">
        <f t="shared" si="94"/>
        <v>69</v>
      </c>
      <c r="D83" s="534">
        <f t="shared" si="81"/>
        <v>1957</v>
      </c>
      <c r="E83" s="337"/>
      <c r="F83" s="338"/>
      <c r="G83" s="1271">
        <v>0</v>
      </c>
      <c r="H83" s="1289">
        <v>0</v>
      </c>
      <c r="I83" s="400">
        <f t="shared" si="95"/>
        <v>0</v>
      </c>
      <c r="J83" s="401">
        <f t="shared" si="96"/>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97"/>
        <v>0.9946406482490584</v>
      </c>
      <c r="P83" s="1143">
        <f t="shared" si="98"/>
        <v>0.99690959262071011</v>
      </c>
      <c r="Q83" s="356">
        <f t="shared" si="82"/>
        <v>1957</v>
      </c>
      <c r="R83" s="337"/>
      <c r="S83" s="338"/>
      <c r="T83" s="664">
        <f t="shared" si="79"/>
        <v>0</v>
      </c>
      <c r="U83" s="665">
        <f t="shared" si="80"/>
        <v>0</v>
      </c>
      <c r="V83" s="337"/>
      <c r="W83" s="338"/>
      <c r="X83" s="383">
        <f t="shared" si="99"/>
        <v>0</v>
      </c>
      <c r="Y83" s="386">
        <f t="shared" si="100"/>
        <v>0</v>
      </c>
      <c r="Z83" s="534">
        <f t="shared" si="83"/>
        <v>1957</v>
      </c>
      <c r="AA83" s="664">
        <f t="shared" si="101"/>
        <v>0</v>
      </c>
      <c r="AB83" s="665">
        <f t="shared" si="102"/>
        <v>0</v>
      </c>
      <c r="AC83" s="337"/>
      <c r="AD83" s="338"/>
      <c r="AE83" s="383">
        <f t="shared" si="103"/>
        <v>0</v>
      </c>
      <c r="AF83" s="386">
        <f t="shared" si="104"/>
        <v>0</v>
      </c>
      <c r="AG83" s="534">
        <f t="shared" si="84"/>
        <v>1956</v>
      </c>
      <c r="AH83" s="1271">
        <f t="shared" si="105"/>
        <v>0</v>
      </c>
      <c r="AI83" s="1272">
        <f t="shared" si="106"/>
        <v>0</v>
      </c>
      <c r="AJ83" s="337"/>
      <c r="AK83" s="338"/>
      <c r="AL83" s="1271">
        <v>0</v>
      </c>
      <c r="AM83" s="1272">
        <v>0</v>
      </c>
      <c r="AN83" s="414">
        <f t="shared" si="85"/>
        <v>1</v>
      </c>
      <c r="AO83" s="413">
        <f t="shared" si="86"/>
        <v>1</v>
      </c>
      <c r="AP83" s="337"/>
      <c r="AQ83" s="338"/>
      <c r="AR83" s="664">
        <f t="shared" si="119"/>
        <v>0</v>
      </c>
      <c r="AS83" s="679">
        <f t="shared" si="120"/>
        <v>0</v>
      </c>
      <c r="AT83" s="383">
        <f t="shared" si="107"/>
        <v>0</v>
      </c>
      <c r="AU83" s="386">
        <f t="shared" si="108"/>
        <v>0</v>
      </c>
      <c r="AV83" s="534">
        <f t="shared" si="87"/>
        <v>1955</v>
      </c>
      <c r="AW83" s="1271">
        <f t="shared" si="109"/>
        <v>0</v>
      </c>
      <c r="AX83" s="1272">
        <f t="shared" si="110"/>
        <v>0</v>
      </c>
      <c r="AY83" s="337"/>
      <c r="AZ83" s="338"/>
      <c r="BA83" s="1271">
        <v>0</v>
      </c>
      <c r="BB83" s="1272">
        <v>0</v>
      </c>
      <c r="BC83" s="414">
        <f t="shared" si="88"/>
        <v>1</v>
      </c>
      <c r="BD83" s="413">
        <f t="shared" si="89"/>
        <v>1</v>
      </c>
      <c r="BE83" s="337"/>
      <c r="BF83" s="338"/>
      <c r="BG83" s="664">
        <f t="shared" si="121"/>
        <v>0</v>
      </c>
      <c r="BH83" s="679">
        <f t="shared" si="122"/>
        <v>0</v>
      </c>
      <c r="BI83" s="383">
        <f t="shared" si="111"/>
        <v>0</v>
      </c>
      <c r="BJ83" s="386">
        <f t="shared" si="112"/>
        <v>0</v>
      </c>
      <c r="BK83" s="534">
        <f t="shared" si="90"/>
        <v>1954</v>
      </c>
      <c r="BL83" s="1271">
        <f t="shared" si="113"/>
        <v>0</v>
      </c>
      <c r="BM83" s="1272">
        <f t="shared" si="114"/>
        <v>0</v>
      </c>
      <c r="BN83" s="337"/>
      <c r="BO83" s="338"/>
      <c r="BP83" s="1271">
        <v>0</v>
      </c>
      <c r="BQ83" s="1272">
        <v>0</v>
      </c>
      <c r="BR83" s="414">
        <f t="shared" si="91"/>
        <v>1</v>
      </c>
      <c r="BS83" s="413">
        <f t="shared" si="92"/>
        <v>1</v>
      </c>
      <c r="BT83" s="337"/>
      <c r="BU83" s="338"/>
      <c r="BV83" s="664">
        <f t="shared" si="123"/>
        <v>0</v>
      </c>
      <c r="BW83" s="679">
        <f t="shared" si="124"/>
        <v>0</v>
      </c>
      <c r="BX83" s="383">
        <f t="shared" si="115"/>
        <v>0</v>
      </c>
      <c r="BY83" s="386">
        <f t="shared" si="116"/>
        <v>0</v>
      </c>
      <c r="BZ83" s="534">
        <f t="shared" si="93"/>
        <v>1957</v>
      </c>
      <c r="CA83" s="664">
        <f t="shared" si="125"/>
        <v>0</v>
      </c>
      <c r="CB83" s="665">
        <f t="shared" si="126"/>
        <v>0</v>
      </c>
      <c r="CC83" s="664">
        <f t="shared" si="127"/>
        <v>0</v>
      </c>
      <c r="CD83" s="665">
        <f t="shared" si="128"/>
        <v>0</v>
      </c>
      <c r="CE83" s="337"/>
      <c r="CF83" s="338"/>
      <c r="CG83" s="383">
        <f t="shared" si="117"/>
        <v>0</v>
      </c>
      <c r="CH83" s="386">
        <f t="shared" si="118"/>
        <v>0</v>
      </c>
    </row>
    <row r="84" spans="2:86" x14ac:dyDescent="0.2">
      <c r="B84" s="276">
        <v>69</v>
      </c>
      <c r="C84" s="320">
        <f t="shared" si="94"/>
        <v>70</v>
      </c>
      <c r="D84" s="534">
        <f t="shared" si="81"/>
        <v>1956</v>
      </c>
      <c r="E84" s="337"/>
      <c r="F84" s="338"/>
      <c r="G84" s="1271">
        <v>0</v>
      </c>
      <c r="H84" s="1289">
        <v>0</v>
      </c>
      <c r="I84" s="400">
        <f t="shared" si="95"/>
        <v>0</v>
      </c>
      <c r="J84" s="401">
        <f t="shared" si="96"/>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97"/>
        <v>0.99410313539034023</v>
      </c>
      <c r="P84" s="1143">
        <f t="shared" si="98"/>
        <v>0.99657114433670568</v>
      </c>
      <c r="Q84" s="356">
        <f t="shared" si="82"/>
        <v>1956</v>
      </c>
      <c r="R84" s="337"/>
      <c r="S84" s="338"/>
      <c r="T84" s="664">
        <f t="shared" si="79"/>
        <v>0</v>
      </c>
      <c r="U84" s="665">
        <f t="shared" si="80"/>
        <v>0</v>
      </c>
      <c r="V84" s="337"/>
      <c r="W84" s="338"/>
      <c r="X84" s="383">
        <f t="shared" si="99"/>
        <v>0</v>
      </c>
      <c r="Y84" s="386">
        <f t="shared" si="100"/>
        <v>0</v>
      </c>
      <c r="Z84" s="534">
        <f t="shared" si="83"/>
        <v>1956</v>
      </c>
      <c r="AA84" s="664">
        <f t="shared" si="101"/>
        <v>0</v>
      </c>
      <c r="AB84" s="665">
        <f t="shared" si="102"/>
        <v>0</v>
      </c>
      <c r="AC84" s="337"/>
      <c r="AD84" s="338"/>
      <c r="AE84" s="383">
        <f t="shared" si="103"/>
        <v>0</v>
      </c>
      <c r="AF84" s="386">
        <f t="shared" si="104"/>
        <v>0</v>
      </c>
      <c r="AG84" s="534">
        <f t="shared" si="84"/>
        <v>1955</v>
      </c>
      <c r="AH84" s="1271">
        <f t="shared" si="105"/>
        <v>0</v>
      </c>
      <c r="AI84" s="1272">
        <f t="shared" si="106"/>
        <v>0</v>
      </c>
      <c r="AJ84" s="337"/>
      <c r="AK84" s="338"/>
      <c r="AL84" s="1271">
        <v>0</v>
      </c>
      <c r="AM84" s="1272">
        <v>0</v>
      </c>
      <c r="AN84" s="414">
        <f t="shared" si="85"/>
        <v>1</v>
      </c>
      <c r="AO84" s="413">
        <f t="shared" si="86"/>
        <v>1</v>
      </c>
      <c r="AP84" s="337"/>
      <c r="AQ84" s="338"/>
      <c r="AR84" s="664">
        <f t="shared" si="119"/>
        <v>0</v>
      </c>
      <c r="AS84" s="679">
        <f t="shared" si="120"/>
        <v>0</v>
      </c>
      <c r="AT84" s="383">
        <f t="shared" si="107"/>
        <v>0</v>
      </c>
      <c r="AU84" s="386">
        <f t="shared" si="108"/>
        <v>0</v>
      </c>
      <c r="AV84" s="534">
        <f t="shared" si="87"/>
        <v>1954</v>
      </c>
      <c r="AW84" s="1271">
        <f t="shared" si="109"/>
        <v>0</v>
      </c>
      <c r="AX84" s="1272">
        <f t="shared" si="110"/>
        <v>0</v>
      </c>
      <c r="AY84" s="337"/>
      <c r="AZ84" s="338"/>
      <c r="BA84" s="1271">
        <v>0</v>
      </c>
      <c r="BB84" s="1272">
        <v>0</v>
      </c>
      <c r="BC84" s="414">
        <f t="shared" si="88"/>
        <v>1</v>
      </c>
      <c r="BD84" s="413">
        <f t="shared" si="89"/>
        <v>1</v>
      </c>
      <c r="BE84" s="337"/>
      <c r="BF84" s="338"/>
      <c r="BG84" s="664">
        <f t="shared" si="121"/>
        <v>0</v>
      </c>
      <c r="BH84" s="679">
        <f t="shared" si="122"/>
        <v>0</v>
      </c>
      <c r="BI84" s="383">
        <f t="shared" si="111"/>
        <v>0</v>
      </c>
      <c r="BJ84" s="386">
        <f t="shared" si="112"/>
        <v>0</v>
      </c>
      <c r="BK84" s="534">
        <f t="shared" si="90"/>
        <v>1953</v>
      </c>
      <c r="BL84" s="1271">
        <f t="shared" si="113"/>
        <v>0</v>
      </c>
      <c r="BM84" s="1272">
        <f t="shared" si="114"/>
        <v>0</v>
      </c>
      <c r="BN84" s="337"/>
      <c r="BO84" s="338"/>
      <c r="BP84" s="1271">
        <v>0</v>
      </c>
      <c r="BQ84" s="1272">
        <v>0</v>
      </c>
      <c r="BR84" s="414">
        <f t="shared" si="91"/>
        <v>1</v>
      </c>
      <c r="BS84" s="413">
        <f t="shared" si="92"/>
        <v>1</v>
      </c>
      <c r="BT84" s="337"/>
      <c r="BU84" s="338"/>
      <c r="BV84" s="664">
        <f t="shared" si="123"/>
        <v>0</v>
      </c>
      <c r="BW84" s="679">
        <f t="shared" si="124"/>
        <v>0</v>
      </c>
      <c r="BX84" s="383">
        <f t="shared" si="115"/>
        <v>0</v>
      </c>
      <c r="BY84" s="386">
        <f t="shared" si="116"/>
        <v>0</v>
      </c>
      <c r="BZ84" s="534">
        <f t="shared" si="93"/>
        <v>1956</v>
      </c>
      <c r="CA84" s="664">
        <f t="shared" si="125"/>
        <v>0</v>
      </c>
      <c r="CB84" s="665">
        <f t="shared" si="126"/>
        <v>0</v>
      </c>
      <c r="CC84" s="664">
        <f t="shared" si="127"/>
        <v>0</v>
      </c>
      <c r="CD84" s="665">
        <f t="shared" si="128"/>
        <v>0</v>
      </c>
      <c r="CE84" s="337"/>
      <c r="CF84" s="338"/>
      <c r="CG84" s="383">
        <f t="shared" si="117"/>
        <v>0</v>
      </c>
      <c r="CH84" s="386">
        <f t="shared" si="118"/>
        <v>0</v>
      </c>
    </row>
    <row r="85" spans="2:86" ht="13.5" thickBot="1" x14ac:dyDescent="0.25">
      <c r="B85" s="313">
        <v>70</v>
      </c>
      <c r="C85" s="321">
        <f t="shared" si="94"/>
        <v>71</v>
      </c>
      <c r="D85" s="535">
        <f t="shared" si="81"/>
        <v>1955</v>
      </c>
      <c r="E85" s="341"/>
      <c r="F85" s="340"/>
      <c r="G85" s="1277">
        <v>0</v>
      </c>
      <c r="H85" s="1290">
        <v>0</v>
      </c>
      <c r="I85" s="406">
        <f t="shared" si="95"/>
        <v>0</v>
      </c>
      <c r="J85" s="407">
        <f t="shared" si="96"/>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97"/>
        <v>0.99350751226660372</v>
      </c>
      <c r="P85" s="1144">
        <f t="shared" si="98"/>
        <v>0.99619076331229817</v>
      </c>
      <c r="Q85" s="313">
        <f t="shared" si="82"/>
        <v>1955</v>
      </c>
      <c r="R85" s="341"/>
      <c r="S85" s="340"/>
      <c r="T85" s="666">
        <f t="shared" si="79"/>
        <v>0</v>
      </c>
      <c r="U85" s="667">
        <f t="shared" si="80"/>
        <v>0</v>
      </c>
      <c r="V85" s="341"/>
      <c r="W85" s="340"/>
      <c r="X85" s="384">
        <f t="shared" si="99"/>
        <v>0</v>
      </c>
      <c r="Y85" s="387">
        <f t="shared" si="100"/>
        <v>0</v>
      </c>
      <c r="Z85" s="535">
        <f t="shared" si="83"/>
        <v>1955</v>
      </c>
      <c r="AA85" s="666">
        <f t="shared" si="101"/>
        <v>0</v>
      </c>
      <c r="AB85" s="667">
        <f t="shared" si="102"/>
        <v>0</v>
      </c>
      <c r="AC85" s="341"/>
      <c r="AD85" s="340"/>
      <c r="AE85" s="384">
        <f t="shared" si="103"/>
        <v>0</v>
      </c>
      <c r="AF85" s="387">
        <f t="shared" si="104"/>
        <v>0</v>
      </c>
      <c r="AG85" s="535">
        <f t="shared" si="84"/>
        <v>1954</v>
      </c>
      <c r="AH85" s="1271">
        <f t="shared" si="105"/>
        <v>0</v>
      </c>
      <c r="AI85" s="1272">
        <f t="shared" si="106"/>
        <v>0</v>
      </c>
      <c r="AJ85" s="341"/>
      <c r="AK85" s="340"/>
      <c r="AL85" s="1271">
        <v>0</v>
      </c>
      <c r="AM85" s="1272">
        <v>0</v>
      </c>
      <c r="AN85" s="415">
        <f t="shared" si="85"/>
        <v>1</v>
      </c>
      <c r="AO85" s="416">
        <f t="shared" si="86"/>
        <v>1</v>
      </c>
      <c r="AP85" s="341"/>
      <c r="AQ85" s="340"/>
      <c r="AR85" s="666">
        <f t="shared" si="119"/>
        <v>0</v>
      </c>
      <c r="AS85" s="680">
        <f t="shared" si="120"/>
        <v>0</v>
      </c>
      <c r="AT85" s="384">
        <f t="shared" si="107"/>
        <v>0</v>
      </c>
      <c r="AU85" s="387">
        <f t="shared" si="108"/>
        <v>0</v>
      </c>
      <c r="AV85" s="535">
        <f t="shared" si="87"/>
        <v>1953</v>
      </c>
      <c r="AW85" s="1271">
        <f t="shared" si="109"/>
        <v>0</v>
      </c>
      <c r="AX85" s="1272">
        <f t="shared" si="110"/>
        <v>0</v>
      </c>
      <c r="AY85" s="341"/>
      <c r="AZ85" s="340"/>
      <c r="BA85" s="1271">
        <v>0</v>
      </c>
      <c r="BB85" s="1272">
        <v>0</v>
      </c>
      <c r="BC85" s="415">
        <f t="shared" si="88"/>
        <v>1</v>
      </c>
      <c r="BD85" s="416">
        <f t="shared" si="89"/>
        <v>1</v>
      </c>
      <c r="BE85" s="341"/>
      <c r="BF85" s="340"/>
      <c r="BG85" s="666">
        <f t="shared" si="121"/>
        <v>0</v>
      </c>
      <c r="BH85" s="680">
        <f t="shared" si="122"/>
        <v>0</v>
      </c>
      <c r="BI85" s="384">
        <f t="shared" si="111"/>
        <v>0</v>
      </c>
      <c r="BJ85" s="387">
        <f t="shared" si="112"/>
        <v>0</v>
      </c>
      <c r="BK85" s="535">
        <f t="shared" si="90"/>
        <v>1952</v>
      </c>
      <c r="BL85" s="1271">
        <f t="shared" si="113"/>
        <v>0</v>
      </c>
      <c r="BM85" s="1272">
        <f t="shared" si="114"/>
        <v>0</v>
      </c>
      <c r="BN85" s="341"/>
      <c r="BO85" s="340"/>
      <c r="BP85" s="1271">
        <v>0</v>
      </c>
      <c r="BQ85" s="1272">
        <v>0</v>
      </c>
      <c r="BR85" s="415">
        <f t="shared" si="91"/>
        <v>1</v>
      </c>
      <c r="BS85" s="416">
        <f t="shared" si="92"/>
        <v>1</v>
      </c>
      <c r="BT85" s="341"/>
      <c r="BU85" s="340"/>
      <c r="BV85" s="666">
        <f t="shared" si="123"/>
        <v>0</v>
      </c>
      <c r="BW85" s="680">
        <f t="shared" si="124"/>
        <v>0</v>
      </c>
      <c r="BX85" s="384">
        <f t="shared" si="115"/>
        <v>0</v>
      </c>
      <c r="BY85" s="387">
        <f t="shared" si="116"/>
        <v>0</v>
      </c>
      <c r="BZ85" s="535">
        <f t="shared" si="93"/>
        <v>1955</v>
      </c>
      <c r="CA85" s="666">
        <f t="shared" si="125"/>
        <v>0</v>
      </c>
      <c r="CB85" s="667">
        <f t="shared" si="126"/>
        <v>0</v>
      </c>
      <c r="CC85" s="666">
        <f t="shared" si="127"/>
        <v>0</v>
      </c>
      <c r="CD85" s="667">
        <f t="shared" si="128"/>
        <v>0</v>
      </c>
      <c r="CE85" s="341"/>
      <c r="CF85" s="340"/>
      <c r="CG85" s="384">
        <f t="shared" si="117"/>
        <v>0</v>
      </c>
      <c r="CH85" s="387">
        <f t="shared" si="118"/>
        <v>0</v>
      </c>
    </row>
    <row r="86" spans="2:86" ht="13.5" thickTop="1" x14ac:dyDescent="0.2">
      <c r="B86" s="276">
        <v>71</v>
      </c>
      <c r="C86" s="320">
        <f t="shared" si="94"/>
        <v>72</v>
      </c>
      <c r="D86" s="534">
        <f t="shared" si="81"/>
        <v>1954</v>
      </c>
      <c r="E86" s="337"/>
      <c r="F86" s="338"/>
      <c r="G86" s="1271">
        <v>0</v>
      </c>
      <c r="H86" s="1289">
        <v>0</v>
      </c>
      <c r="I86" s="400">
        <f t="shared" si="95"/>
        <v>0</v>
      </c>
      <c r="J86" s="401">
        <f t="shared" si="96"/>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97"/>
        <v>0.99284435945630056</v>
      </c>
      <c r="P86" s="1143">
        <f t="shared" si="98"/>
        <v>0.99576222584072316</v>
      </c>
      <c r="Q86" s="356">
        <f t="shared" si="82"/>
        <v>1954</v>
      </c>
      <c r="R86" s="337"/>
      <c r="S86" s="338"/>
      <c r="T86" s="664">
        <f t="shared" si="79"/>
        <v>0</v>
      </c>
      <c r="U86" s="665">
        <f t="shared" si="80"/>
        <v>0</v>
      </c>
      <c r="V86" s="337"/>
      <c r="W86" s="338"/>
      <c r="X86" s="383">
        <f t="shared" si="99"/>
        <v>0</v>
      </c>
      <c r="Y86" s="386">
        <f t="shared" si="100"/>
        <v>0</v>
      </c>
      <c r="Z86" s="534">
        <f t="shared" si="83"/>
        <v>1954</v>
      </c>
      <c r="AA86" s="664">
        <f t="shared" si="101"/>
        <v>0</v>
      </c>
      <c r="AB86" s="665">
        <f t="shared" si="102"/>
        <v>0</v>
      </c>
      <c r="AC86" s="337"/>
      <c r="AD86" s="338"/>
      <c r="AE86" s="383">
        <f t="shared" si="103"/>
        <v>0</v>
      </c>
      <c r="AF86" s="386">
        <f t="shared" si="104"/>
        <v>0</v>
      </c>
      <c r="AG86" s="534">
        <f t="shared" si="84"/>
        <v>1953</v>
      </c>
      <c r="AH86" s="1271">
        <f t="shared" si="105"/>
        <v>0</v>
      </c>
      <c r="AI86" s="1272">
        <f t="shared" si="106"/>
        <v>0</v>
      </c>
      <c r="AJ86" s="337"/>
      <c r="AK86" s="338"/>
      <c r="AL86" s="1271">
        <v>0</v>
      </c>
      <c r="AM86" s="1272">
        <v>0</v>
      </c>
      <c r="AN86" s="414">
        <f t="shared" si="85"/>
        <v>1</v>
      </c>
      <c r="AO86" s="413">
        <f t="shared" si="86"/>
        <v>1</v>
      </c>
      <c r="AP86" s="337"/>
      <c r="AQ86" s="338"/>
      <c r="AR86" s="664">
        <f t="shared" si="119"/>
        <v>0</v>
      </c>
      <c r="AS86" s="679">
        <f t="shared" si="120"/>
        <v>0</v>
      </c>
      <c r="AT86" s="383">
        <f t="shared" si="107"/>
        <v>0</v>
      </c>
      <c r="AU86" s="386">
        <f t="shared" si="108"/>
        <v>0</v>
      </c>
      <c r="AV86" s="534">
        <f t="shared" si="87"/>
        <v>1952</v>
      </c>
      <c r="AW86" s="1271">
        <f t="shared" si="109"/>
        <v>0</v>
      </c>
      <c r="AX86" s="1272">
        <f t="shared" si="110"/>
        <v>0</v>
      </c>
      <c r="AY86" s="337"/>
      <c r="AZ86" s="338"/>
      <c r="BA86" s="1271">
        <v>0</v>
      </c>
      <c r="BB86" s="1272">
        <v>0</v>
      </c>
      <c r="BC86" s="414">
        <f t="shared" si="88"/>
        <v>1</v>
      </c>
      <c r="BD86" s="413">
        <f t="shared" si="89"/>
        <v>1</v>
      </c>
      <c r="BE86" s="337"/>
      <c r="BF86" s="338"/>
      <c r="BG86" s="664">
        <f t="shared" si="121"/>
        <v>0</v>
      </c>
      <c r="BH86" s="679">
        <f t="shared" si="122"/>
        <v>0</v>
      </c>
      <c r="BI86" s="383">
        <f t="shared" si="111"/>
        <v>0</v>
      </c>
      <c r="BJ86" s="386">
        <f t="shared" si="112"/>
        <v>0</v>
      </c>
      <c r="BK86" s="534">
        <f t="shared" si="90"/>
        <v>1951</v>
      </c>
      <c r="BL86" s="1271">
        <f t="shared" si="113"/>
        <v>0</v>
      </c>
      <c r="BM86" s="1272">
        <f t="shared" si="114"/>
        <v>0</v>
      </c>
      <c r="BN86" s="337"/>
      <c r="BO86" s="338"/>
      <c r="BP86" s="1271">
        <v>0</v>
      </c>
      <c r="BQ86" s="1272">
        <v>0</v>
      </c>
      <c r="BR86" s="414">
        <f t="shared" si="91"/>
        <v>1</v>
      </c>
      <c r="BS86" s="413">
        <f t="shared" si="92"/>
        <v>1</v>
      </c>
      <c r="BT86" s="337"/>
      <c r="BU86" s="338"/>
      <c r="BV86" s="664">
        <f t="shared" si="123"/>
        <v>0</v>
      </c>
      <c r="BW86" s="679">
        <f t="shared" si="124"/>
        <v>0</v>
      </c>
      <c r="BX86" s="383">
        <f t="shared" si="115"/>
        <v>0</v>
      </c>
      <c r="BY86" s="386">
        <f t="shared" si="116"/>
        <v>0</v>
      </c>
      <c r="BZ86" s="534">
        <f t="shared" si="93"/>
        <v>1954</v>
      </c>
      <c r="CA86" s="664">
        <f t="shared" si="125"/>
        <v>0</v>
      </c>
      <c r="CB86" s="665">
        <f t="shared" si="126"/>
        <v>0</v>
      </c>
      <c r="CC86" s="664">
        <f t="shared" si="127"/>
        <v>0</v>
      </c>
      <c r="CD86" s="665">
        <f t="shared" si="128"/>
        <v>0</v>
      </c>
      <c r="CE86" s="337"/>
      <c r="CF86" s="338"/>
      <c r="CG86" s="383">
        <f t="shared" si="117"/>
        <v>0</v>
      </c>
      <c r="CH86" s="386">
        <f t="shared" si="118"/>
        <v>0</v>
      </c>
    </row>
    <row r="87" spans="2:86" x14ac:dyDescent="0.2">
      <c r="B87" s="276">
        <v>72</v>
      </c>
      <c r="C87" s="320">
        <f t="shared" si="94"/>
        <v>73</v>
      </c>
      <c r="D87" s="534">
        <f t="shared" si="81"/>
        <v>1953</v>
      </c>
      <c r="E87" s="337"/>
      <c r="F87" s="338"/>
      <c r="G87" s="1271">
        <v>0</v>
      </c>
      <c r="H87" s="1289">
        <v>0</v>
      </c>
      <c r="I87" s="400">
        <f t="shared" si="95"/>
        <v>0</v>
      </c>
      <c r="J87" s="401">
        <f t="shared" si="96"/>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97"/>
        <v>0.9921023368343207</v>
      </c>
      <c r="P87" s="1143">
        <f t="shared" si="98"/>
        <v>0.99527824630738648</v>
      </c>
      <c r="Q87" s="356">
        <f t="shared" si="82"/>
        <v>1953</v>
      </c>
      <c r="R87" s="337"/>
      <c r="S87" s="338"/>
      <c r="T87" s="664">
        <f t="shared" si="79"/>
        <v>0</v>
      </c>
      <c r="U87" s="665">
        <f t="shared" si="80"/>
        <v>0</v>
      </c>
      <c r="V87" s="337"/>
      <c r="W87" s="338"/>
      <c r="X87" s="383">
        <f t="shared" si="99"/>
        <v>0</v>
      </c>
      <c r="Y87" s="386">
        <f t="shared" si="100"/>
        <v>0</v>
      </c>
      <c r="Z87" s="534">
        <f t="shared" si="83"/>
        <v>1953</v>
      </c>
      <c r="AA87" s="664">
        <f t="shared" si="101"/>
        <v>0</v>
      </c>
      <c r="AB87" s="665">
        <f t="shared" si="102"/>
        <v>0</v>
      </c>
      <c r="AC87" s="337"/>
      <c r="AD87" s="338"/>
      <c r="AE87" s="383">
        <f t="shared" si="103"/>
        <v>0</v>
      </c>
      <c r="AF87" s="386">
        <f t="shared" si="104"/>
        <v>0</v>
      </c>
      <c r="AG87" s="534">
        <f t="shared" si="84"/>
        <v>1952</v>
      </c>
      <c r="AH87" s="1271">
        <f t="shared" si="105"/>
        <v>0</v>
      </c>
      <c r="AI87" s="1272">
        <f t="shared" si="106"/>
        <v>0</v>
      </c>
      <c r="AJ87" s="337"/>
      <c r="AK87" s="338"/>
      <c r="AL87" s="1271">
        <v>0</v>
      </c>
      <c r="AM87" s="1272">
        <v>0</v>
      </c>
      <c r="AN87" s="414">
        <f t="shared" si="85"/>
        <v>1</v>
      </c>
      <c r="AO87" s="413">
        <f t="shared" si="86"/>
        <v>1</v>
      </c>
      <c r="AP87" s="337"/>
      <c r="AQ87" s="338"/>
      <c r="AR87" s="664">
        <f t="shared" si="119"/>
        <v>0</v>
      </c>
      <c r="AS87" s="679">
        <f t="shared" si="120"/>
        <v>0</v>
      </c>
      <c r="AT87" s="383">
        <f t="shared" si="107"/>
        <v>0</v>
      </c>
      <c r="AU87" s="386">
        <f t="shared" si="108"/>
        <v>0</v>
      </c>
      <c r="AV87" s="534">
        <f t="shared" si="87"/>
        <v>1951</v>
      </c>
      <c r="AW87" s="1271">
        <f t="shared" si="109"/>
        <v>0</v>
      </c>
      <c r="AX87" s="1272">
        <f t="shared" si="110"/>
        <v>0</v>
      </c>
      <c r="AY87" s="337"/>
      <c r="AZ87" s="338"/>
      <c r="BA87" s="1271">
        <v>0</v>
      </c>
      <c r="BB87" s="1272">
        <v>0</v>
      </c>
      <c r="BC87" s="414">
        <f t="shared" si="88"/>
        <v>1</v>
      </c>
      <c r="BD87" s="413">
        <f t="shared" si="89"/>
        <v>1</v>
      </c>
      <c r="BE87" s="337"/>
      <c r="BF87" s="338"/>
      <c r="BG87" s="664">
        <f t="shared" si="121"/>
        <v>0</v>
      </c>
      <c r="BH87" s="679">
        <f t="shared" si="122"/>
        <v>0</v>
      </c>
      <c r="BI87" s="383">
        <f t="shared" si="111"/>
        <v>0</v>
      </c>
      <c r="BJ87" s="386">
        <f t="shared" si="112"/>
        <v>0</v>
      </c>
      <c r="BK87" s="534">
        <f t="shared" si="90"/>
        <v>1950</v>
      </c>
      <c r="BL87" s="1271">
        <f t="shared" si="113"/>
        <v>0</v>
      </c>
      <c r="BM87" s="1272">
        <f t="shared" si="114"/>
        <v>0</v>
      </c>
      <c r="BN87" s="337"/>
      <c r="BO87" s="338"/>
      <c r="BP87" s="1271">
        <v>0</v>
      </c>
      <c r="BQ87" s="1272">
        <v>0</v>
      </c>
      <c r="BR87" s="414">
        <f t="shared" si="91"/>
        <v>1</v>
      </c>
      <c r="BS87" s="413">
        <f t="shared" si="92"/>
        <v>1</v>
      </c>
      <c r="BT87" s="337"/>
      <c r="BU87" s="338"/>
      <c r="BV87" s="664">
        <f t="shared" si="123"/>
        <v>0</v>
      </c>
      <c r="BW87" s="679">
        <f t="shared" si="124"/>
        <v>0</v>
      </c>
      <c r="BX87" s="383">
        <f t="shared" si="115"/>
        <v>0</v>
      </c>
      <c r="BY87" s="386">
        <f t="shared" si="116"/>
        <v>0</v>
      </c>
      <c r="BZ87" s="534">
        <f t="shared" si="93"/>
        <v>1953</v>
      </c>
      <c r="CA87" s="664">
        <f t="shared" si="125"/>
        <v>0</v>
      </c>
      <c r="CB87" s="665">
        <f t="shared" si="126"/>
        <v>0</v>
      </c>
      <c r="CC87" s="664">
        <f t="shared" si="127"/>
        <v>0</v>
      </c>
      <c r="CD87" s="665">
        <f t="shared" si="128"/>
        <v>0</v>
      </c>
      <c r="CE87" s="337"/>
      <c r="CF87" s="338"/>
      <c r="CG87" s="383">
        <f t="shared" si="117"/>
        <v>0</v>
      </c>
      <c r="CH87" s="386">
        <f t="shared" si="118"/>
        <v>0</v>
      </c>
    </row>
    <row r="88" spans="2:86" x14ac:dyDescent="0.2">
      <c r="B88" s="276">
        <v>73</v>
      </c>
      <c r="C88" s="320">
        <f t="shared" si="94"/>
        <v>74</v>
      </c>
      <c r="D88" s="534">
        <f t="shared" si="81"/>
        <v>1952</v>
      </c>
      <c r="E88" s="337"/>
      <c r="F88" s="338"/>
      <c r="G88" s="1271">
        <v>0</v>
      </c>
      <c r="H88" s="1289">
        <v>0</v>
      </c>
      <c r="I88" s="400">
        <f t="shared" si="95"/>
        <v>0</v>
      </c>
      <c r="J88" s="401">
        <f t="shared" si="96"/>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97"/>
        <v>0.99126774486553715</v>
      </c>
      <c r="P88" s="1143">
        <f t="shared" si="98"/>
        <v>0.99473027676093051</v>
      </c>
      <c r="Q88" s="356">
        <f t="shared" si="82"/>
        <v>1952</v>
      </c>
      <c r="R88" s="337"/>
      <c r="S88" s="338"/>
      <c r="T88" s="664">
        <f t="shared" si="79"/>
        <v>0</v>
      </c>
      <c r="U88" s="665">
        <f t="shared" si="80"/>
        <v>0</v>
      </c>
      <c r="V88" s="337"/>
      <c r="W88" s="338"/>
      <c r="X88" s="383">
        <f t="shared" si="99"/>
        <v>0</v>
      </c>
      <c r="Y88" s="386">
        <f t="shared" si="100"/>
        <v>0</v>
      </c>
      <c r="Z88" s="534">
        <f t="shared" si="83"/>
        <v>1952</v>
      </c>
      <c r="AA88" s="664">
        <f t="shared" si="101"/>
        <v>0</v>
      </c>
      <c r="AB88" s="665">
        <f t="shared" si="102"/>
        <v>0</v>
      </c>
      <c r="AC88" s="337"/>
      <c r="AD88" s="338"/>
      <c r="AE88" s="383">
        <f t="shared" si="103"/>
        <v>0</v>
      </c>
      <c r="AF88" s="386">
        <f t="shared" si="104"/>
        <v>0</v>
      </c>
      <c r="AG88" s="534">
        <f t="shared" si="84"/>
        <v>1951</v>
      </c>
      <c r="AH88" s="1271">
        <f t="shared" si="105"/>
        <v>0</v>
      </c>
      <c r="AI88" s="1272">
        <f t="shared" si="106"/>
        <v>0</v>
      </c>
      <c r="AJ88" s="337"/>
      <c r="AK88" s="338"/>
      <c r="AL88" s="1271">
        <v>0</v>
      </c>
      <c r="AM88" s="1272">
        <v>0</v>
      </c>
      <c r="AN88" s="414">
        <f t="shared" si="85"/>
        <v>1</v>
      </c>
      <c r="AO88" s="413">
        <f t="shared" si="86"/>
        <v>1</v>
      </c>
      <c r="AP88" s="337"/>
      <c r="AQ88" s="338"/>
      <c r="AR88" s="664">
        <f t="shared" si="119"/>
        <v>0</v>
      </c>
      <c r="AS88" s="679">
        <f t="shared" si="120"/>
        <v>0</v>
      </c>
      <c r="AT88" s="383">
        <f t="shared" si="107"/>
        <v>0</v>
      </c>
      <c r="AU88" s="386">
        <f t="shared" si="108"/>
        <v>0</v>
      </c>
      <c r="AV88" s="534">
        <f t="shared" si="87"/>
        <v>1950</v>
      </c>
      <c r="AW88" s="1271">
        <f t="shared" si="109"/>
        <v>0</v>
      </c>
      <c r="AX88" s="1272">
        <f t="shared" si="110"/>
        <v>0</v>
      </c>
      <c r="AY88" s="337"/>
      <c r="AZ88" s="338"/>
      <c r="BA88" s="1271">
        <v>0</v>
      </c>
      <c r="BB88" s="1272">
        <v>0</v>
      </c>
      <c r="BC88" s="414">
        <f t="shared" si="88"/>
        <v>1</v>
      </c>
      <c r="BD88" s="413">
        <f t="shared" si="89"/>
        <v>1</v>
      </c>
      <c r="BE88" s="337"/>
      <c r="BF88" s="338"/>
      <c r="BG88" s="664">
        <f t="shared" si="121"/>
        <v>0</v>
      </c>
      <c r="BH88" s="679">
        <f t="shared" si="122"/>
        <v>0</v>
      </c>
      <c r="BI88" s="383">
        <f t="shared" si="111"/>
        <v>0</v>
      </c>
      <c r="BJ88" s="386">
        <f t="shared" si="112"/>
        <v>0</v>
      </c>
      <c r="BK88" s="534">
        <f t="shared" si="90"/>
        <v>1949</v>
      </c>
      <c r="BL88" s="1271">
        <f t="shared" si="113"/>
        <v>0</v>
      </c>
      <c r="BM88" s="1272">
        <f t="shared" si="114"/>
        <v>0</v>
      </c>
      <c r="BN88" s="337"/>
      <c r="BO88" s="338"/>
      <c r="BP88" s="1271">
        <v>0</v>
      </c>
      <c r="BQ88" s="1272">
        <v>0</v>
      </c>
      <c r="BR88" s="414">
        <f t="shared" si="91"/>
        <v>1</v>
      </c>
      <c r="BS88" s="413">
        <f t="shared" si="92"/>
        <v>1</v>
      </c>
      <c r="BT88" s="337"/>
      <c r="BU88" s="338"/>
      <c r="BV88" s="664">
        <f t="shared" si="123"/>
        <v>0</v>
      </c>
      <c r="BW88" s="679">
        <f t="shared" si="124"/>
        <v>0</v>
      </c>
      <c r="BX88" s="383">
        <f t="shared" si="115"/>
        <v>0</v>
      </c>
      <c r="BY88" s="386">
        <f t="shared" si="116"/>
        <v>0</v>
      </c>
      <c r="BZ88" s="534">
        <f t="shared" si="93"/>
        <v>1952</v>
      </c>
      <c r="CA88" s="664">
        <f t="shared" si="125"/>
        <v>0</v>
      </c>
      <c r="CB88" s="665">
        <f t="shared" si="126"/>
        <v>0</v>
      </c>
      <c r="CC88" s="664">
        <f t="shared" si="127"/>
        <v>0</v>
      </c>
      <c r="CD88" s="665">
        <f t="shared" si="128"/>
        <v>0</v>
      </c>
      <c r="CE88" s="337"/>
      <c r="CF88" s="338"/>
      <c r="CG88" s="383">
        <f t="shared" si="117"/>
        <v>0</v>
      </c>
      <c r="CH88" s="386">
        <f t="shared" si="118"/>
        <v>0</v>
      </c>
    </row>
    <row r="89" spans="2:86" x14ac:dyDescent="0.2">
      <c r="B89" s="276">
        <v>74</v>
      </c>
      <c r="C89" s="320">
        <f t="shared" si="94"/>
        <v>75</v>
      </c>
      <c r="D89" s="534">
        <f t="shared" si="81"/>
        <v>1951</v>
      </c>
      <c r="E89" s="337"/>
      <c r="F89" s="338"/>
      <c r="G89" s="1271">
        <v>0</v>
      </c>
      <c r="H89" s="1289">
        <v>0</v>
      </c>
      <c r="I89" s="400">
        <f t="shared" si="95"/>
        <v>0</v>
      </c>
      <c r="J89" s="401">
        <f t="shared" si="96"/>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97"/>
        <v>0.99032423623304733</v>
      </c>
      <c r="P89" s="1143">
        <f t="shared" si="98"/>
        <v>0.99410814396506475</v>
      </c>
      <c r="Q89" s="356">
        <f t="shared" si="82"/>
        <v>1951</v>
      </c>
      <c r="R89" s="337"/>
      <c r="S89" s="338"/>
      <c r="T89" s="664">
        <f t="shared" si="79"/>
        <v>0</v>
      </c>
      <c r="U89" s="665">
        <f t="shared" si="80"/>
        <v>0</v>
      </c>
      <c r="V89" s="337"/>
      <c r="W89" s="338"/>
      <c r="X89" s="383">
        <f t="shared" si="99"/>
        <v>0</v>
      </c>
      <c r="Y89" s="386">
        <f t="shared" si="100"/>
        <v>0</v>
      </c>
      <c r="Z89" s="534">
        <f t="shared" si="83"/>
        <v>1951</v>
      </c>
      <c r="AA89" s="664">
        <f t="shared" si="101"/>
        <v>0</v>
      </c>
      <c r="AB89" s="665">
        <f t="shared" si="102"/>
        <v>0</v>
      </c>
      <c r="AC89" s="337"/>
      <c r="AD89" s="338"/>
      <c r="AE89" s="383">
        <f t="shared" si="103"/>
        <v>0</v>
      </c>
      <c r="AF89" s="386">
        <f t="shared" si="104"/>
        <v>0</v>
      </c>
      <c r="AG89" s="534">
        <f t="shared" si="84"/>
        <v>1950</v>
      </c>
      <c r="AH89" s="1271">
        <f t="shared" si="105"/>
        <v>0</v>
      </c>
      <c r="AI89" s="1272">
        <f t="shared" si="106"/>
        <v>0</v>
      </c>
      <c r="AJ89" s="337"/>
      <c r="AK89" s="338"/>
      <c r="AL89" s="1271">
        <v>0</v>
      </c>
      <c r="AM89" s="1272">
        <v>0</v>
      </c>
      <c r="AN89" s="414">
        <f t="shared" si="85"/>
        <v>1</v>
      </c>
      <c r="AO89" s="413">
        <f t="shared" si="86"/>
        <v>1</v>
      </c>
      <c r="AP89" s="337"/>
      <c r="AQ89" s="338"/>
      <c r="AR89" s="664">
        <f t="shared" si="119"/>
        <v>0</v>
      </c>
      <c r="AS89" s="679">
        <f t="shared" si="120"/>
        <v>0</v>
      </c>
      <c r="AT89" s="383">
        <f t="shared" si="107"/>
        <v>0</v>
      </c>
      <c r="AU89" s="386">
        <f t="shared" si="108"/>
        <v>0</v>
      </c>
      <c r="AV89" s="534">
        <f t="shared" si="87"/>
        <v>1949</v>
      </c>
      <c r="AW89" s="1271">
        <f t="shared" si="109"/>
        <v>0</v>
      </c>
      <c r="AX89" s="1272">
        <f t="shared" si="110"/>
        <v>0</v>
      </c>
      <c r="AY89" s="337"/>
      <c r="AZ89" s="338"/>
      <c r="BA89" s="1271">
        <v>0</v>
      </c>
      <c r="BB89" s="1272">
        <v>0</v>
      </c>
      <c r="BC89" s="414">
        <f t="shared" si="88"/>
        <v>1</v>
      </c>
      <c r="BD89" s="413">
        <f t="shared" si="89"/>
        <v>1</v>
      </c>
      <c r="BE89" s="337"/>
      <c r="BF89" s="338"/>
      <c r="BG89" s="664">
        <f t="shared" si="121"/>
        <v>0</v>
      </c>
      <c r="BH89" s="679">
        <f t="shared" si="122"/>
        <v>0</v>
      </c>
      <c r="BI89" s="383">
        <f t="shared" si="111"/>
        <v>0</v>
      </c>
      <c r="BJ89" s="386">
        <f t="shared" si="112"/>
        <v>0</v>
      </c>
      <c r="BK89" s="534">
        <f t="shared" si="90"/>
        <v>1948</v>
      </c>
      <c r="BL89" s="1271">
        <f t="shared" si="113"/>
        <v>0</v>
      </c>
      <c r="BM89" s="1272">
        <f t="shared" si="114"/>
        <v>0</v>
      </c>
      <c r="BN89" s="337"/>
      <c r="BO89" s="338"/>
      <c r="BP89" s="1271">
        <v>0</v>
      </c>
      <c r="BQ89" s="1272">
        <v>0</v>
      </c>
      <c r="BR89" s="414">
        <f t="shared" si="91"/>
        <v>1</v>
      </c>
      <c r="BS89" s="413">
        <f t="shared" si="92"/>
        <v>1</v>
      </c>
      <c r="BT89" s="337"/>
      <c r="BU89" s="338"/>
      <c r="BV89" s="664">
        <f t="shared" si="123"/>
        <v>0</v>
      </c>
      <c r="BW89" s="679">
        <f t="shared" si="124"/>
        <v>0</v>
      </c>
      <c r="BX89" s="383">
        <f t="shared" si="115"/>
        <v>0</v>
      </c>
      <c r="BY89" s="386">
        <f t="shared" si="116"/>
        <v>0</v>
      </c>
      <c r="BZ89" s="534">
        <f t="shared" si="93"/>
        <v>1951</v>
      </c>
      <c r="CA89" s="664">
        <f t="shared" si="125"/>
        <v>0</v>
      </c>
      <c r="CB89" s="665">
        <f t="shared" si="126"/>
        <v>0</v>
      </c>
      <c r="CC89" s="664">
        <f t="shared" si="127"/>
        <v>0</v>
      </c>
      <c r="CD89" s="665">
        <f t="shared" si="128"/>
        <v>0</v>
      </c>
      <c r="CE89" s="337"/>
      <c r="CF89" s="338"/>
      <c r="CG89" s="383">
        <f t="shared" si="117"/>
        <v>0</v>
      </c>
      <c r="CH89" s="386">
        <f t="shared" si="118"/>
        <v>0</v>
      </c>
    </row>
    <row r="90" spans="2:86" ht="13.5" thickBot="1" x14ac:dyDescent="0.25">
      <c r="B90" s="313">
        <v>75</v>
      </c>
      <c r="C90" s="321">
        <f t="shared" si="94"/>
        <v>76</v>
      </c>
      <c r="D90" s="535">
        <f t="shared" si="81"/>
        <v>1950</v>
      </c>
      <c r="E90" s="341"/>
      <c r="F90" s="340"/>
      <c r="G90" s="1277">
        <v>0</v>
      </c>
      <c r="H90" s="1290">
        <v>0</v>
      </c>
      <c r="I90" s="406">
        <f t="shared" si="95"/>
        <v>0</v>
      </c>
      <c r="J90" s="407">
        <f t="shared" si="96"/>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97"/>
        <v>0.98925345680670196</v>
      </c>
      <c r="P90" s="1144">
        <f t="shared" si="98"/>
        <v>0.9933991645040009</v>
      </c>
      <c r="Q90" s="313">
        <f t="shared" si="82"/>
        <v>1950</v>
      </c>
      <c r="R90" s="341"/>
      <c r="S90" s="340"/>
      <c r="T90" s="666">
        <f t="shared" si="79"/>
        <v>0</v>
      </c>
      <c r="U90" s="667">
        <f t="shared" si="80"/>
        <v>0</v>
      </c>
      <c r="V90" s="341"/>
      <c r="W90" s="340"/>
      <c r="X90" s="384">
        <f t="shared" si="99"/>
        <v>0</v>
      </c>
      <c r="Y90" s="387">
        <f t="shared" si="100"/>
        <v>0</v>
      </c>
      <c r="Z90" s="535">
        <f t="shared" si="83"/>
        <v>1950</v>
      </c>
      <c r="AA90" s="666">
        <f t="shared" si="101"/>
        <v>0</v>
      </c>
      <c r="AB90" s="667">
        <f t="shared" si="102"/>
        <v>0</v>
      </c>
      <c r="AC90" s="341"/>
      <c r="AD90" s="340"/>
      <c r="AE90" s="384">
        <f t="shared" si="103"/>
        <v>0</v>
      </c>
      <c r="AF90" s="387">
        <f t="shared" si="104"/>
        <v>0</v>
      </c>
      <c r="AG90" s="535">
        <f t="shared" si="84"/>
        <v>1949</v>
      </c>
      <c r="AH90" s="1271">
        <f t="shared" si="105"/>
        <v>0</v>
      </c>
      <c r="AI90" s="1272">
        <f t="shared" si="106"/>
        <v>0</v>
      </c>
      <c r="AJ90" s="341"/>
      <c r="AK90" s="340"/>
      <c r="AL90" s="1271">
        <v>0</v>
      </c>
      <c r="AM90" s="1272">
        <v>0</v>
      </c>
      <c r="AN90" s="415">
        <f t="shared" si="85"/>
        <v>1</v>
      </c>
      <c r="AO90" s="416">
        <f t="shared" si="86"/>
        <v>1</v>
      </c>
      <c r="AP90" s="341"/>
      <c r="AQ90" s="340"/>
      <c r="AR90" s="666">
        <f t="shared" si="119"/>
        <v>0</v>
      </c>
      <c r="AS90" s="680">
        <f t="shared" si="120"/>
        <v>0</v>
      </c>
      <c r="AT90" s="384">
        <f t="shared" si="107"/>
        <v>0</v>
      </c>
      <c r="AU90" s="387">
        <f t="shared" si="108"/>
        <v>0</v>
      </c>
      <c r="AV90" s="535">
        <f t="shared" si="87"/>
        <v>1948</v>
      </c>
      <c r="AW90" s="1271">
        <f t="shared" si="109"/>
        <v>0</v>
      </c>
      <c r="AX90" s="1272">
        <f t="shared" si="110"/>
        <v>0</v>
      </c>
      <c r="AY90" s="341"/>
      <c r="AZ90" s="340"/>
      <c r="BA90" s="1271">
        <v>0</v>
      </c>
      <c r="BB90" s="1272">
        <v>0</v>
      </c>
      <c r="BC90" s="415">
        <f t="shared" si="88"/>
        <v>1</v>
      </c>
      <c r="BD90" s="416">
        <f t="shared" si="89"/>
        <v>1</v>
      </c>
      <c r="BE90" s="341"/>
      <c r="BF90" s="340"/>
      <c r="BG90" s="666">
        <f t="shared" si="121"/>
        <v>0</v>
      </c>
      <c r="BH90" s="680">
        <f t="shared" si="122"/>
        <v>0</v>
      </c>
      <c r="BI90" s="384">
        <f t="shared" si="111"/>
        <v>0</v>
      </c>
      <c r="BJ90" s="387">
        <f t="shared" si="112"/>
        <v>0</v>
      </c>
      <c r="BK90" s="535">
        <f t="shared" si="90"/>
        <v>1947</v>
      </c>
      <c r="BL90" s="1271">
        <f t="shared" si="113"/>
        <v>0</v>
      </c>
      <c r="BM90" s="1272">
        <f t="shared" si="114"/>
        <v>0</v>
      </c>
      <c r="BN90" s="341"/>
      <c r="BO90" s="340"/>
      <c r="BP90" s="1271">
        <v>0</v>
      </c>
      <c r="BQ90" s="1272">
        <v>0</v>
      </c>
      <c r="BR90" s="415">
        <f t="shared" si="91"/>
        <v>1</v>
      </c>
      <c r="BS90" s="416">
        <f t="shared" si="92"/>
        <v>1</v>
      </c>
      <c r="BT90" s="341"/>
      <c r="BU90" s="340"/>
      <c r="BV90" s="666">
        <f t="shared" si="123"/>
        <v>0</v>
      </c>
      <c r="BW90" s="680">
        <f t="shared" si="124"/>
        <v>0</v>
      </c>
      <c r="BX90" s="384">
        <f t="shared" si="115"/>
        <v>0</v>
      </c>
      <c r="BY90" s="387">
        <f t="shared" si="116"/>
        <v>0</v>
      </c>
      <c r="BZ90" s="535">
        <f t="shared" si="93"/>
        <v>1950</v>
      </c>
      <c r="CA90" s="666">
        <f t="shared" si="125"/>
        <v>0</v>
      </c>
      <c r="CB90" s="667">
        <f t="shared" si="126"/>
        <v>0</v>
      </c>
      <c r="CC90" s="666">
        <f t="shared" si="127"/>
        <v>0</v>
      </c>
      <c r="CD90" s="667">
        <f t="shared" si="128"/>
        <v>0</v>
      </c>
      <c r="CE90" s="341"/>
      <c r="CF90" s="340"/>
      <c r="CG90" s="384">
        <f t="shared" si="117"/>
        <v>0</v>
      </c>
      <c r="CH90" s="387">
        <f t="shared" si="118"/>
        <v>0</v>
      </c>
    </row>
    <row r="91" spans="2:86" ht="13.5" thickTop="1" x14ac:dyDescent="0.2">
      <c r="B91" s="276">
        <v>76</v>
      </c>
      <c r="C91" s="320">
        <f t="shared" si="94"/>
        <v>77</v>
      </c>
      <c r="D91" s="534">
        <f t="shared" si="81"/>
        <v>1949</v>
      </c>
      <c r="E91" s="337"/>
      <c r="F91" s="338"/>
      <c r="G91" s="1271">
        <v>0</v>
      </c>
      <c r="H91" s="1289">
        <v>0</v>
      </c>
      <c r="I91" s="400">
        <f t="shared" si="95"/>
        <v>0</v>
      </c>
      <c r="J91" s="401">
        <f t="shared" si="96"/>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97"/>
        <v>0.98803497718674227</v>
      </c>
      <c r="P91" s="1143">
        <f t="shared" si="98"/>
        <v>0.992587400092943</v>
      </c>
      <c r="Q91" s="356">
        <f t="shared" si="82"/>
        <v>1949</v>
      </c>
      <c r="R91" s="337"/>
      <c r="S91" s="338"/>
      <c r="T91" s="664">
        <f t="shared" si="79"/>
        <v>0</v>
      </c>
      <c r="U91" s="665">
        <f t="shared" si="80"/>
        <v>0</v>
      </c>
      <c r="V91" s="337"/>
      <c r="W91" s="338"/>
      <c r="X91" s="383">
        <f t="shared" si="99"/>
        <v>0</v>
      </c>
      <c r="Y91" s="386">
        <f t="shared" si="100"/>
        <v>0</v>
      </c>
      <c r="Z91" s="534">
        <f t="shared" si="83"/>
        <v>1949</v>
      </c>
      <c r="AA91" s="664">
        <f t="shared" si="101"/>
        <v>0</v>
      </c>
      <c r="AB91" s="665">
        <f t="shared" si="102"/>
        <v>0</v>
      </c>
      <c r="AC91" s="337"/>
      <c r="AD91" s="338"/>
      <c r="AE91" s="383">
        <f t="shared" si="103"/>
        <v>0</v>
      </c>
      <c r="AF91" s="386">
        <f t="shared" si="104"/>
        <v>0</v>
      </c>
      <c r="AG91" s="534">
        <f t="shared" si="84"/>
        <v>1948</v>
      </c>
      <c r="AH91" s="1271">
        <f t="shared" si="105"/>
        <v>0</v>
      </c>
      <c r="AI91" s="1272">
        <f t="shared" si="106"/>
        <v>0</v>
      </c>
      <c r="AJ91" s="337"/>
      <c r="AK91" s="338"/>
      <c r="AL91" s="1271">
        <v>0</v>
      </c>
      <c r="AM91" s="1272">
        <v>0</v>
      </c>
      <c r="AN91" s="414">
        <f t="shared" si="85"/>
        <v>1</v>
      </c>
      <c r="AO91" s="413">
        <f t="shared" si="86"/>
        <v>1</v>
      </c>
      <c r="AP91" s="337"/>
      <c r="AQ91" s="338"/>
      <c r="AR91" s="664">
        <f t="shared" si="119"/>
        <v>0</v>
      </c>
      <c r="AS91" s="679">
        <f t="shared" si="120"/>
        <v>0</v>
      </c>
      <c r="AT91" s="383">
        <f t="shared" si="107"/>
        <v>0</v>
      </c>
      <c r="AU91" s="386">
        <f t="shared" si="108"/>
        <v>0</v>
      </c>
      <c r="AV91" s="534">
        <f t="shared" si="87"/>
        <v>1947</v>
      </c>
      <c r="AW91" s="1271">
        <f t="shared" si="109"/>
        <v>0</v>
      </c>
      <c r="AX91" s="1272">
        <f t="shared" si="110"/>
        <v>0</v>
      </c>
      <c r="AY91" s="337"/>
      <c r="AZ91" s="338"/>
      <c r="BA91" s="1271">
        <v>0</v>
      </c>
      <c r="BB91" s="1272">
        <v>0</v>
      </c>
      <c r="BC91" s="414">
        <f t="shared" si="88"/>
        <v>1</v>
      </c>
      <c r="BD91" s="413">
        <f t="shared" si="89"/>
        <v>1</v>
      </c>
      <c r="BE91" s="337"/>
      <c r="BF91" s="338"/>
      <c r="BG91" s="664">
        <f t="shared" si="121"/>
        <v>0</v>
      </c>
      <c r="BH91" s="679">
        <f t="shared" si="122"/>
        <v>0</v>
      </c>
      <c r="BI91" s="383">
        <f t="shared" si="111"/>
        <v>0</v>
      </c>
      <c r="BJ91" s="386">
        <f t="shared" si="112"/>
        <v>0</v>
      </c>
      <c r="BK91" s="534">
        <f t="shared" si="90"/>
        <v>1946</v>
      </c>
      <c r="BL91" s="1271">
        <f t="shared" si="113"/>
        <v>0</v>
      </c>
      <c r="BM91" s="1272">
        <f t="shared" si="114"/>
        <v>0</v>
      </c>
      <c r="BN91" s="337"/>
      <c r="BO91" s="338"/>
      <c r="BP91" s="1271">
        <v>0</v>
      </c>
      <c r="BQ91" s="1272">
        <v>0</v>
      </c>
      <c r="BR91" s="414">
        <f t="shared" si="91"/>
        <v>1</v>
      </c>
      <c r="BS91" s="413">
        <f t="shared" si="92"/>
        <v>1</v>
      </c>
      <c r="BT91" s="337"/>
      <c r="BU91" s="338"/>
      <c r="BV91" s="664">
        <f t="shared" si="123"/>
        <v>0</v>
      </c>
      <c r="BW91" s="679">
        <f t="shared" si="124"/>
        <v>0</v>
      </c>
      <c r="BX91" s="383">
        <f t="shared" si="115"/>
        <v>0</v>
      </c>
      <c r="BY91" s="386">
        <f t="shared" si="116"/>
        <v>0</v>
      </c>
      <c r="BZ91" s="534">
        <f t="shared" si="93"/>
        <v>1949</v>
      </c>
      <c r="CA91" s="664">
        <f t="shared" si="125"/>
        <v>0</v>
      </c>
      <c r="CB91" s="665">
        <f t="shared" si="126"/>
        <v>0</v>
      </c>
      <c r="CC91" s="664">
        <f t="shared" si="127"/>
        <v>0</v>
      </c>
      <c r="CD91" s="665">
        <f t="shared" si="128"/>
        <v>0</v>
      </c>
      <c r="CE91" s="337"/>
      <c r="CF91" s="338"/>
      <c r="CG91" s="383">
        <f t="shared" si="117"/>
        <v>0</v>
      </c>
      <c r="CH91" s="386">
        <f t="shared" si="118"/>
        <v>0</v>
      </c>
    </row>
    <row r="92" spans="2:86" x14ac:dyDescent="0.2">
      <c r="B92" s="276">
        <v>77</v>
      </c>
      <c r="C92" s="320">
        <f t="shared" si="94"/>
        <v>78</v>
      </c>
      <c r="D92" s="534">
        <f t="shared" si="81"/>
        <v>1948</v>
      </c>
      <c r="E92" s="337"/>
      <c r="F92" s="338"/>
      <c r="G92" s="1271">
        <v>0</v>
      </c>
      <c r="H92" s="1289">
        <v>0</v>
      </c>
      <c r="I92" s="400">
        <f t="shared" si="95"/>
        <v>0</v>
      </c>
      <c r="J92" s="401">
        <f t="shared" si="96"/>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97"/>
        <v>0.9866450235283466</v>
      </c>
      <c r="P92" s="1143">
        <f t="shared" si="98"/>
        <v>0.99165324223310702</v>
      </c>
      <c r="Q92" s="356">
        <f t="shared" si="82"/>
        <v>1948</v>
      </c>
      <c r="R92" s="337"/>
      <c r="S92" s="338"/>
      <c r="T92" s="664">
        <f t="shared" si="79"/>
        <v>0</v>
      </c>
      <c r="U92" s="665">
        <f t="shared" si="80"/>
        <v>0</v>
      </c>
      <c r="V92" s="337"/>
      <c r="W92" s="338"/>
      <c r="X92" s="383">
        <f t="shared" si="99"/>
        <v>0</v>
      </c>
      <c r="Y92" s="386">
        <f t="shared" si="100"/>
        <v>0</v>
      </c>
      <c r="Z92" s="534">
        <f t="shared" si="83"/>
        <v>1948</v>
      </c>
      <c r="AA92" s="664">
        <f t="shared" si="101"/>
        <v>0</v>
      </c>
      <c r="AB92" s="665">
        <f t="shared" si="102"/>
        <v>0</v>
      </c>
      <c r="AC92" s="337"/>
      <c r="AD92" s="338"/>
      <c r="AE92" s="383">
        <f t="shared" si="103"/>
        <v>0</v>
      </c>
      <c r="AF92" s="386">
        <f t="shared" si="104"/>
        <v>0</v>
      </c>
      <c r="AG92" s="534">
        <f t="shared" si="84"/>
        <v>1947</v>
      </c>
      <c r="AH92" s="1271">
        <f t="shared" si="105"/>
        <v>0</v>
      </c>
      <c r="AI92" s="1272">
        <f t="shared" si="106"/>
        <v>0</v>
      </c>
      <c r="AJ92" s="337"/>
      <c r="AK92" s="338"/>
      <c r="AL92" s="1271">
        <v>0</v>
      </c>
      <c r="AM92" s="1272">
        <v>0</v>
      </c>
      <c r="AN92" s="414">
        <f t="shared" si="85"/>
        <v>1</v>
      </c>
      <c r="AO92" s="413">
        <f t="shared" si="86"/>
        <v>1</v>
      </c>
      <c r="AP92" s="337"/>
      <c r="AQ92" s="338"/>
      <c r="AR92" s="664">
        <f t="shared" si="119"/>
        <v>0</v>
      </c>
      <c r="AS92" s="679">
        <f t="shared" si="120"/>
        <v>0</v>
      </c>
      <c r="AT92" s="383">
        <f t="shared" si="107"/>
        <v>0</v>
      </c>
      <c r="AU92" s="386">
        <f t="shared" si="108"/>
        <v>0</v>
      </c>
      <c r="AV92" s="534">
        <f t="shared" si="87"/>
        <v>1946</v>
      </c>
      <c r="AW92" s="1271">
        <f t="shared" si="109"/>
        <v>0</v>
      </c>
      <c r="AX92" s="1272">
        <f t="shared" si="110"/>
        <v>0</v>
      </c>
      <c r="AY92" s="337"/>
      <c r="AZ92" s="338"/>
      <c r="BA92" s="1271">
        <v>0</v>
      </c>
      <c r="BB92" s="1272">
        <v>0</v>
      </c>
      <c r="BC92" s="414">
        <f t="shared" si="88"/>
        <v>1</v>
      </c>
      <c r="BD92" s="413">
        <f t="shared" si="89"/>
        <v>1</v>
      </c>
      <c r="BE92" s="337"/>
      <c r="BF92" s="338"/>
      <c r="BG92" s="664">
        <f t="shared" si="121"/>
        <v>0</v>
      </c>
      <c r="BH92" s="679">
        <f t="shared" si="122"/>
        <v>0</v>
      </c>
      <c r="BI92" s="383">
        <f t="shared" si="111"/>
        <v>0</v>
      </c>
      <c r="BJ92" s="386">
        <f t="shared" si="112"/>
        <v>0</v>
      </c>
      <c r="BK92" s="534">
        <f t="shared" si="90"/>
        <v>1945</v>
      </c>
      <c r="BL92" s="1271">
        <f t="shared" si="113"/>
        <v>0</v>
      </c>
      <c r="BM92" s="1272">
        <f t="shared" si="114"/>
        <v>0</v>
      </c>
      <c r="BN92" s="337"/>
      <c r="BO92" s="338"/>
      <c r="BP92" s="1271">
        <v>0</v>
      </c>
      <c r="BQ92" s="1272">
        <v>0</v>
      </c>
      <c r="BR92" s="414">
        <f t="shared" si="91"/>
        <v>1</v>
      </c>
      <c r="BS92" s="413">
        <f t="shared" si="92"/>
        <v>1</v>
      </c>
      <c r="BT92" s="337"/>
      <c r="BU92" s="338"/>
      <c r="BV92" s="664">
        <f t="shared" si="123"/>
        <v>0</v>
      </c>
      <c r="BW92" s="679">
        <f t="shared" si="124"/>
        <v>0</v>
      </c>
      <c r="BX92" s="383">
        <f t="shared" si="115"/>
        <v>0</v>
      </c>
      <c r="BY92" s="386">
        <f t="shared" si="116"/>
        <v>0</v>
      </c>
      <c r="BZ92" s="534">
        <f t="shared" si="93"/>
        <v>1948</v>
      </c>
      <c r="CA92" s="664">
        <f t="shared" si="125"/>
        <v>0</v>
      </c>
      <c r="CB92" s="665">
        <f t="shared" si="126"/>
        <v>0</v>
      </c>
      <c r="CC92" s="664">
        <f t="shared" si="127"/>
        <v>0</v>
      </c>
      <c r="CD92" s="665">
        <f t="shared" si="128"/>
        <v>0</v>
      </c>
      <c r="CE92" s="337"/>
      <c r="CF92" s="338"/>
      <c r="CG92" s="383">
        <f t="shared" si="117"/>
        <v>0</v>
      </c>
      <c r="CH92" s="386">
        <f t="shared" si="118"/>
        <v>0</v>
      </c>
    </row>
    <row r="93" spans="2:86" x14ac:dyDescent="0.2">
      <c r="B93" s="276">
        <v>78</v>
      </c>
      <c r="C93" s="320">
        <f t="shared" si="94"/>
        <v>79</v>
      </c>
      <c r="D93" s="534">
        <f t="shared" si="81"/>
        <v>1947</v>
      </c>
      <c r="E93" s="337"/>
      <c r="F93" s="338"/>
      <c r="G93" s="1271">
        <v>0</v>
      </c>
      <c r="H93" s="1289">
        <v>0</v>
      </c>
      <c r="I93" s="400">
        <f t="shared" si="95"/>
        <v>0</v>
      </c>
      <c r="J93" s="401">
        <f t="shared" si="96"/>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97"/>
        <v>0.98505560380926183</v>
      </c>
      <c r="P93" s="1143">
        <f t="shared" si="98"/>
        <v>0.99057260229091293</v>
      </c>
      <c r="Q93" s="356">
        <f t="shared" si="82"/>
        <v>1947</v>
      </c>
      <c r="R93" s="337"/>
      <c r="S93" s="338"/>
      <c r="T93" s="664">
        <f t="shared" si="79"/>
        <v>0</v>
      </c>
      <c r="U93" s="665">
        <f t="shared" si="80"/>
        <v>0</v>
      </c>
      <c r="V93" s="337"/>
      <c r="W93" s="338"/>
      <c r="X93" s="383">
        <f t="shared" si="99"/>
        <v>0</v>
      </c>
      <c r="Y93" s="386">
        <f t="shared" si="100"/>
        <v>0</v>
      </c>
      <c r="Z93" s="534">
        <f t="shared" si="83"/>
        <v>1947</v>
      </c>
      <c r="AA93" s="664">
        <f t="shared" si="101"/>
        <v>0</v>
      </c>
      <c r="AB93" s="665">
        <f t="shared" si="102"/>
        <v>0</v>
      </c>
      <c r="AC93" s="337"/>
      <c r="AD93" s="338"/>
      <c r="AE93" s="383">
        <f t="shared" si="103"/>
        <v>0</v>
      </c>
      <c r="AF93" s="386">
        <f t="shared" si="104"/>
        <v>0</v>
      </c>
      <c r="AG93" s="534">
        <f t="shared" si="84"/>
        <v>1946</v>
      </c>
      <c r="AH93" s="1271">
        <f t="shared" si="105"/>
        <v>0</v>
      </c>
      <c r="AI93" s="1272">
        <f t="shared" si="106"/>
        <v>0</v>
      </c>
      <c r="AJ93" s="337"/>
      <c r="AK93" s="338"/>
      <c r="AL93" s="1271">
        <v>0</v>
      </c>
      <c r="AM93" s="1272">
        <v>0</v>
      </c>
      <c r="AN93" s="414">
        <f t="shared" si="85"/>
        <v>1</v>
      </c>
      <c r="AO93" s="413">
        <f t="shared" si="86"/>
        <v>1</v>
      </c>
      <c r="AP93" s="337"/>
      <c r="AQ93" s="338"/>
      <c r="AR93" s="664">
        <f t="shared" si="119"/>
        <v>0</v>
      </c>
      <c r="AS93" s="679">
        <f t="shared" si="120"/>
        <v>0</v>
      </c>
      <c r="AT93" s="383">
        <f t="shared" si="107"/>
        <v>0</v>
      </c>
      <c r="AU93" s="386">
        <f t="shared" si="108"/>
        <v>0</v>
      </c>
      <c r="AV93" s="534">
        <f t="shared" si="87"/>
        <v>1945</v>
      </c>
      <c r="AW93" s="1271">
        <f t="shared" si="109"/>
        <v>0</v>
      </c>
      <c r="AX93" s="1272">
        <f t="shared" si="110"/>
        <v>0</v>
      </c>
      <c r="AY93" s="337"/>
      <c r="AZ93" s="338"/>
      <c r="BA93" s="1271">
        <v>0</v>
      </c>
      <c r="BB93" s="1272">
        <v>0</v>
      </c>
      <c r="BC93" s="414">
        <f t="shared" si="88"/>
        <v>1</v>
      </c>
      <c r="BD93" s="413">
        <f t="shared" si="89"/>
        <v>1</v>
      </c>
      <c r="BE93" s="337"/>
      <c r="BF93" s="338"/>
      <c r="BG93" s="664">
        <f t="shared" si="121"/>
        <v>0</v>
      </c>
      <c r="BH93" s="679">
        <f t="shared" si="122"/>
        <v>0</v>
      </c>
      <c r="BI93" s="383">
        <f t="shared" si="111"/>
        <v>0</v>
      </c>
      <c r="BJ93" s="386">
        <f t="shared" si="112"/>
        <v>0</v>
      </c>
      <c r="BK93" s="534">
        <f t="shared" si="90"/>
        <v>1944</v>
      </c>
      <c r="BL93" s="1271">
        <f t="shared" si="113"/>
        <v>0</v>
      </c>
      <c r="BM93" s="1272">
        <f t="shared" si="114"/>
        <v>0</v>
      </c>
      <c r="BN93" s="337"/>
      <c r="BO93" s="338"/>
      <c r="BP93" s="1271">
        <v>0</v>
      </c>
      <c r="BQ93" s="1272">
        <v>0</v>
      </c>
      <c r="BR93" s="414">
        <f t="shared" si="91"/>
        <v>1</v>
      </c>
      <c r="BS93" s="413">
        <f t="shared" si="92"/>
        <v>1</v>
      </c>
      <c r="BT93" s="337"/>
      <c r="BU93" s="338"/>
      <c r="BV93" s="664">
        <f t="shared" si="123"/>
        <v>0</v>
      </c>
      <c r="BW93" s="679">
        <f t="shared" si="124"/>
        <v>0</v>
      </c>
      <c r="BX93" s="383">
        <f t="shared" si="115"/>
        <v>0</v>
      </c>
      <c r="BY93" s="386">
        <f t="shared" si="116"/>
        <v>0</v>
      </c>
      <c r="BZ93" s="534">
        <f t="shared" si="93"/>
        <v>1947</v>
      </c>
      <c r="CA93" s="664">
        <f t="shared" si="125"/>
        <v>0</v>
      </c>
      <c r="CB93" s="665">
        <f t="shared" si="126"/>
        <v>0</v>
      </c>
      <c r="CC93" s="664">
        <f t="shared" si="127"/>
        <v>0</v>
      </c>
      <c r="CD93" s="665">
        <f t="shared" si="128"/>
        <v>0</v>
      </c>
      <c r="CE93" s="337"/>
      <c r="CF93" s="338"/>
      <c r="CG93" s="383">
        <f t="shared" si="117"/>
        <v>0</v>
      </c>
      <c r="CH93" s="386">
        <f t="shared" si="118"/>
        <v>0</v>
      </c>
    </row>
    <row r="94" spans="2:86" x14ac:dyDescent="0.2">
      <c r="B94" s="276">
        <v>79</v>
      </c>
      <c r="C94" s="320">
        <f t="shared" si="94"/>
        <v>80</v>
      </c>
      <c r="D94" s="534">
        <f t="shared" si="81"/>
        <v>1946</v>
      </c>
      <c r="E94" s="337"/>
      <c r="F94" s="338"/>
      <c r="G94" s="1271">
        <v>0</v>
      </c>
      <c r="H94" s="1289">
        <v>0</v>
      </c>
      <c r="I94" s="400">
        <f t="shared" si="95"/>
        <v>0</v>
      </c>
      <c r="J94" s="401">
        <f t="shared" si="96"/>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97"/>
        <v>0.98323371648118274</v>
      </c>
      <c r="P94" s="1143">
        <f t="shared" si="98"/>
        <v>0.98931575085444701</v>
      </c>
      <c r="Q94" s="356">
        <f t="shared" si="82"/>
        <v>1946</v>
      </c>
      <c r="R94" s="337"/>
      <c r="S94" s="338"/>
      <c r="T94" s="664">
        <f t="shared" si="79"/>
        <v>0</v>
      </c>
      <c r="U94" s="665">
        <f t="shared" si="80"/>
        <v>0</v>
      </c>
      <c r="V94" s="337"/>
      <c r="W94" s="338"/>
      <c r="X94" s="383">
        <f t="shared" si="99"/>
        <v>0</v>
      </c>
      <c r="Y94" s="386">
        <f t="shared" si="100"/>
        <v>0</v>
      </c>
      <c r="Z94" s="534">
        <f t="shared" si="83"/>
        <v>1946</v>
      </c>
      <c r="AA94" s="664">
        <f t="shared" si="101"/>
        <v>0</v>
      </c>
      <c r="AB94" s="665">
        <f t="shared" si="102"/>
        <v>0</v>
      </c>
      <c r="AC94" s="337"/>
      <c r="AD94" s="338"/>
      <c r="AE94" s="383">
        <f t="shared" si="103"/>
        <v>0</v>
      </c>
      <c r="AF94" s="386">
        <f t="shared" si="104"/>
        <v>0</v>
      </c>
      <c r="AG94" s="534">
        <f t="shared" si="84"/>
        <v>1945</v>
      </c>
      <c r="AH94" s="1271">
        <f t="shared" si="105"/>
        <v>0</v>
      </c>
      <c r="AI94" s="1272">
        <f t="shared" si="106"/>
        <v>0</v>
      </c>
      <c r="AJ94" s="337"/>
      <c r="AK94" s="338"/>
      <c r="AL94" s="1271">
        <v>0</v>
      </c>
      <c r="AM94" s="1272">
        <v>0</v>
      </c>
      <c r="AN94" s="414">
        <f t="shared" si="85"/>
        <v>1</v>
      </c>
      <c r="AO94" s="413">
        <f t="shared" si="86"/>
        <v>1</v>
      </c>
      <c r="AP94" s="337"/>
      <c r="AQ94" s="338"/>
      <c r="AR94" s="664">
        <f t="shared" si="119"/>
        <v>0</v>
      </c>
      <c r="AS94" s="679">
        <f t="shared" si="120"/>
        <v>0</v>
      </c>
      <c r="AT94" s="383">
        <f t="shared" si="107"/>
        <v>0</v>
      </c>
      <c r="AU94" s="386">
        <f t="shared" si="108"/>
        <v>0</v>
      </c>
      <c r="AV94" s="534">
        <f t="shared" si="87"/>
        <v>1944</v>
      </c>
      <c r="AW94" s="1271">
        <f t="shared" si="109"/>
        <v>0</v>
      </c>
      <c r="AX94" s="1272">
        <f t="shared" si="110"/>
        <v>0</v>
      </c>
      <c r="AY94" s="337"/>
      <c r="AZ94" s="338"/>
      <c r="BA94" s="1271">
        <v>0</v>
      </c>
      <c r="BB94" s="1272">
        <v>0</v>
      </c>
      <c r="BC94" s="414">
        <f t="shared" si="88"/>
        <v>1</v>
      </c>
      <c r="BD94" s="413">
        <f t="shared" si="89"/>
        <v>1</v>
      </c>
      <c r="BE94" s="337"/>
      <c r="BF94" s="338"/>
      <c r="BG94" s="664">
        <f t="shared" si="121"/>
        <v>0</v>
      </c>
      <c r="BH94" s="679">
        <f t="shared" si="122"/>
        <v>0</v>
      </c>
      <c r="BI94" s="383">
        <f t="shared" si="111"/>
        <v>0</v>
      </c>
      <c r="BJ94" s="386">
        <f t="shared" si="112"/>
        <v>0</v>
      </c>
      <c r="BK94" s="534">
        <f t="shared" si="90"/>
        <v>1943</v>
      </c>
      <c r="BL94" s="1271">
        <f t="shared" si="113"/>
        <v>0</v>
      </c>
      <c r="BM94" s="1272">
        <f t="shared" si="114"/>
        <v>0</v>
      </c>
      <c r="BN94" s="337"/>
      <c r="BO94" s="338"/>
      <c r="BP94" s="1271">
        <v>0</v>
      </c>
      <c r="BQ94" s="1272">
        <v>0</v>
      </c>
      <c r="BR94" s="414">
        <f t="shared" si="91"/>
        <v>1</v>
      </c>
      <c r="BS94" s="413">
        <f t="shared" si="92"/>
        <v>1</v>
      </c>
      <c r="BT94" s="337"/>
      <c r="BU94" s="338"/>
      <c r="BV94" s="664">
        <f t="shared" si="123"/>
        <v>0</v>
      </c>
      <c r="BW94" s="679">
        <f t="shared" si="124"/>
        <v>0</v>
      </c>
      <c r="BX94" s="383">
        <f t="shared" si="115"/>
        <v>0</v>
      </c>
      <c r="BY94" s="386">
        <f t="shared" si="116"/>
        <v>0</v>
      </c>
      <c r="BZ94" s="534">
        <f t="shared" si="93"/>
        <v>1946</v>
      </c>
      <c r="CA94" s="664">
        <f t="shared" si="125"/>
        <v>0</v>
      </c>
      <c r="CB94" s="665">
        <f t="shared" si="126"/>
        <v>0</v>
      </c>
      <c r="CC94" s="664">
        <f t="shared" si="127"/>
        <v>0</v>
      </c>
      <c r="CD94" s="665">
        <f t="shared" si="128"/>
        <v>0</v>
      </c>
      <c r="CE94" s="337"/>
      <c r="CF94" s="338"/>
      <c r="CG94" s="383">
        <f t="shared" si="117"/>
        <v>0</v>
      </c>
      <c r="CH94" s="386">
        <f t="shared" si="118"/>
        <v>0</v>
      </c>
    </row>
    <row r="95" spans="2:86" ht="13.5" thickBot="1" x14ac:dyDescent="0.25">
      <c r="B95" s="313">
        <v>80</v>
      </c>
      <c r="C95" s="321">
        <f t="shared" si="94"/>
        <v>81</v>
      </c>
      <c r="D95" s="535">
        <f t="shared" si="81"/>
        <v>1945</v>
      </c>
      <c r="E95" s="341"/>
      <c r="F95" s="340"/>
      <c r="G95" s="1277">
        <v>0</v>
      </c>
      <c r="H95" s="1290">
        <v>0</v>
      </c>
      <c r="I95" s="406">
        <f t="shared" si="95"/>
        <v>0</v>
      </c>
      <c r="J95" s="407">
        <f t="shared" si="96"/>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97"/>
        <v>0.98114037586924585</v>
      </c>
      <c r="P95" s="1144">
        <f t="shared" si="98"/>
        <v>0.98784581636246371</v>
      </c>
      <c r="Q95" s="313">
        <f t="shared" si="82"/>
        <v>1945</v>
      </c>
      <c r="R95" s="341"/>
      <c r="S95" s="340"/>
      <c r="T95" s="666">
        <f t="shared" si="79"/>
        <v>0</v>
      </c>
      <c r="U95" s="667">
        <f t="shared" si="80"/>
        <v>0</v>
      </c>
      <c r="V95" s="341"/>
      <c r="W95" s="340"/>
      <c r="X95" s="384">
        <f t="shared" si="99"/>
        <v>0</v>
      </c>
      <c r="Y95" s="387">
        <f t="shared" si="100"/>
        <v>0</v>
      </c>
      <c r="Z95" s="535">
        <f t="shared" si="83"/>
        <v>1945</v>
      </c>
      <c r="AA95" s="666">
        <f t="shared" si="101"/>
        <v>0</v>
      </c>
      <c r="AB95" s="667">
        <f t="shared" si="102"/>
        <v>0</v>
      </c>
      <c r="AC95" s="341"/>
      <c r="AD95" s="340"/>
      <c r="AE95" s="384">
        <f t="shared" si="103"/>
        <v>0</v>
      </c>
      <c r="AF95" s="387">
        <f t="shared" si="104"/>
        <v>0</v>
      </c>
      <c r="AG95" s="535">
        <f t="shared" si="84"/>
        <v>1944</v>
      </c>
      <c r="AH95" s="1271">
        <f t="shared" si="105"/>
        <v>0</v>
      </c>
      <c r="AI95" s="1272">
        <f t="shared" si="106"/>
        <v>0</v>
      </c>
      <c r="AJ95" s="341"/>
      <c r="AK95" s="340"/>
      <c r="AL95" s="1271">
        <v>0</v>
      </c>
      <c r="AM95" s="1272">
        <v>0</v>
      </c>
      <c r="AN95" s="415">
        <f t="shared" si="85"/>
        <v>1</v>
      </c>
      <c r="AO95" s="416">
        <f t="shared" si="86"/>
        <v>1</v>
      </c>
      <c r="AP95" s="341"/>
      <c r="AQ95" s="340"/>
      <c r="AR95" s="666">
        <f t="shared" si="119"/>
        <v>0</v>
      </c>
      <c r="AS95" s="680">
        <f t="shared" si="120"/>
        <v>0</v>
      </c>
      <c r="AT95" s="384">
        <f t="shared" si="107"/>
        <v>0</v>
      </c>
      <c r="AU95" s="387">
        <f t="shared" si="108"/>
        <v>0</v>
      </c>
      <c r="AV95" s="535">
        <f t="shared" si="87"/>
        <v>1943</v>
      </c>
      <c r="AW95" s="1271">
        <f t="shared" si="109"/>
        <v>0</v>
      </c>
      <c r="AX95" s="1272">
        <f t="shared" si="110"/>
        <v>0</v>
      </c>
      <c r="AY95" s="341"/>
      <c r="AZ95" s="340"/>
      <c r="BA95" s="1271">
        <v>0</v>
      </c>
      <c r="BB95" s="1272">
        <v>0</v>
      </c>
      <c r="BC95" s="415">
        <f t="shared" si="88"/>
        <v>1</v>
      </c>
      <c r="BD95" s="416">
        <f t="shared" si="89"/>
        <v>1</v>
      </c>
      <c r="BE95" s="341"/>
      <c r="BF95" s="340"/>
      <c r="BG95" s="666">
        <f t="shared" si="121"/>
        <v>0</v>
      </c>
      <c r="BH95" s="680">
        <f t="shared" si="122"/>
        <v>0</v>
      </c>
      <c r="BI95" s="384">
        <f t="shared" si="111"/>
        <v>0</v>
      </c>
      <c r="BJ95" s="387">
        <f t="shared" si="112"/>
        <v>0</v>
      </c>
      <c r="BK95" s="535">
        <f t="shared" si="90"/>
        <v>1942</v>
      </c>
      <c r="BL95" s="1271">
        <f t="shared" si="113"/>
        <v>0</v>
      </c>
      <c r="BM95" s="1272">
        <f t="shared" si="114"/>
        <v>0</v>
      </c>
      <c r="BN95" s="341"/>
      <c r="BO95" s="340"/>
      <c r="BP95" s="1271">
        <v>0</v>
      </c>
      <c r="BQ95" s="1272">
        <v>0</v>
      </c>
      <c r="BR95" s="415">
        <f t="shared" si="91"/>
        <v>1</v>
      </c>
      <c r="BS95" s="416">
        <f t="shared" si="92"/>
        <v>1</v>
      </c>
      <c r="BT95" s="341"/>
      <c r="BU95" s="340"/>
      <c r="BV95" s="666">
        <f t="shared" si="123"/>
        <v>0</v>
      </c>
      <c r="BW95" s="680">
        <f t="shared" si="124"/>
        <v>0</v>
      </c>
      <c r="BX95" s="384">
        <f t="shared" si="115"/>
        <v>0</v>
      </c>
      <c r="BY95" s="387">
        <f t="shared" si="116"/>
        <v>0</v>
      </c>
      <c r="BZ95" s="535">
        <f t="shared" si="93"/>
        <v>1945</v>
      </c>
      <c r="CA95" s="666">
        <f t="shared" si="125"/>
        <v>0</v>
      </c>
      <c r="CB95" s="667">
        <f t="shared" si="126"/>
        <v>0</v>
      </c>
      <c r="CC95" s="666">
        <f t="shared" si="127"/>
        <v>0</v>
      </c>
      <c r="CD95" s="667">
        <f t="shared" si="128"/>
        <v>0</v>
      </c>
      <c r="CE95" s="341"/>
      <c r="CF95" s="340"/>
      <c r="CG95" s="384">
        <f t="shared" si="117"/>
        <v>0</v>
      </c>
      <c r="CH95" s="387">
        <f t="shared" si="118"/>
        <v>0</v>
      </c>
    </row>
    <row r="96" spans="2:86" ht="13.5" thickTop="1" x14ac:dyDescent="0.2">
      <c r="B96" s="276">
        <v>81</v>
      </c>
      <c r="C96" s="320">
        <f t="shared" si="94"/>
        <v>82</v>
      </c>
      <c r="D96" s="534">
        <f t="shared" si="81"/>
        <v>1944</v>
      </c>
      <c r="E96" s="337"/>
      <c r="F96" s="338"/>
      <c r="G96" s="1271">
        <v>0</v>
      </c>
      <c r="H96" s="1289">
        <v>0</v>
      </c>
      <c r="I96" s="400">
        <f t="shared" si="95"/>
        <v>0</v>
      </c>
      <c r="J96" s="401">
        <f t="shared" si="96"/>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97"/>
        <v>0.97872939826487571</v>
      </c>
      <c r="P96" s="1143">
        <f t="shared" si="98"/>
        <v>0.9861168315501363</v>
      </c>
      <c r="Q96" s="356">
        <f t="shared" si="82"/>
        <v>1944</v>
      </c>
      <c r="R96" s="337"/>
      <c r="S96" s="338"/>
      <c r="T96" s="664">
        <f t="shared" si="79"/>
        <v>0</v>
      </c>
      <c r="U96" s="665">
        <f t="shared" si="80"/>
        <v>0</v>
      </c>
      <c r="V96" s="337"/>
      <c r="W96" s="338"/>
      <c r="X96" s="383">
        <f t="shared" si="99"/>
        <v>0</v>
      </c>
      <c r="Y96" s="386">
        <f t="shared" si="100"/>
        <v>0</v>
      </c>
      <c r="Z96" s="534">
        <f t="shared" si="83"/>
        <v>1944</v>
      </c>
      <c r="AA96" s="664">
        <f t="shared" si="101"/>
        <v>0</v>
      </c>
      <c r="AB96" s="665">
        <f t="shared" si="102"/>
        <v>0</v>
      </c>
      <c r="AC96" s="337"/>
      <c r="AD96" s="338"/>
      <c r="AE96" s="383">
        <f t="shared" si="103"/>
        <v>0</v>
      </c>
      <c r="AF96" s="386">
        <f t="shared" si="104"/>
        <v>0</v>
      </c>
      <c r="AG96" s="534">
        <f t="shared" si="84"/>
        <v>1943</v>
      </c>
      <c r="AH96" s="1271">
        <f t="shared" si="105"/>
        <v>0</v>
      </c>
      <c r="AI96" s="1272">
        <f t="shared" si="106"/>
        <v>0</v>
      </c>
      <c r="AJ96" s="337"/>
      <c r="AK96" s="338"/>
      <c r="AL96" s="1271">
        <v>0</v>
      </c>
      <c r="AM96" s="1272">
        <v>0</v>
      </c>
      <c r="AN96" s="414">
        <f t="shared" si="85"/>
        <v>1</v>
      </c>
      <c r="AO96" s="413">
        <f t="shared" si="86"/>
        <v>1</v>
      </c>
      <c r="AP96" s="337"/>
      <c r="AQ96" s="338"/>
      <c r="AR96" s="664">
        <f t="shared" si="119"/>
        <v>0</v>
      </c>
      <c r="AS96" s="679">
        <f t="shared" si="120"/>
        <v>0</v>
      </c>
      <c r="AT96" s="383">
        <f t="shared" si="107"/>
        <v>0</v>
      </c>
      <c r="AU96" s="386">
        <f t="shared" si="108"/>
        <v>0</v>
      </c>
      <c r="AV96" s="534">
        <f t="shared" si="87"/>
        <v>1942</v>
      </c>
      <c r="AW96" s="1271">
        <f t="shared" si="109"/>
        <v>0</v>
      </c>
      <c r="AX96" s="1272">
        <f t="shared" si="110"/>
        <v>0</v>
      </c>
      <c r="AY96" s="337"/>
      <c r="AZ96" s="338"/>
      <c r="BA96" s="1271">
        <v>0</v>
      </c>
      <c r="BB96" s="1272">
        <v>0</v>
      </c>
      <c r="BC96" s="414">
        <f t="shared" si="88"/>
        <v>1</v>
      </c>
      <c r="BD96" s="413">
        <f t="shared" si="89"/>
        <v>1</v>
      </c>
      <c r="BE96" s="337"/>
      <c r="BF96" s="338"/>
      <c r="BG96" s="664">
        <f t="shared" si="121"/>
        <v>0</v>
      </c>
      <c r="BH96" s="679">
        <f t="shared" si="122"/>
        <v>0</v>
      </c>
      <c r="BI96" s="383">
        <f t="shared" si="111"/>
        <v>0</v>
      </c>
      <c r="BJ96" s="386">
        <f t="shared" si="112"/>
        <v>0</v>
      </c>
      <c r="BK96" s="534">
        <f t="shared" si="90"/>
        <v>1941</v>
      </c>
      <c r="BL96" s="1271">
        <f t="shared" si="113"/>
        <v>0</v>
      </c>
      <c r="BM96" s="1272">
        <f t="shared" si="114"/>
        <v>0</v>
      </c>
      <c r="BN96" s="337"/>
      <c r="BO96" s="338"/>
      <c r="BP96" s="1271">
        <v>0</v>
      </c>
      <c r="BQ96" s="1272">
        <v>0</v>
      </c>
      <c r="BR96" s="414">
        <f t="shared" si="91"/>
        <v>1</v>
      </c>
      <c r="BS96" s="413">
        <f t="shared" si="92"/>
        <v>1</v>
      </c>
      <c r="BT96" s="337"/>
      <c r="BU96" s="338"/>
      <c r="BV96" s="664">
        <f t="shared" si="123"/>
        <v>0</v>
      </c>
      <c r="BW96" s="679">
        <f t="shared" si="124"/>
        <v>0</v>
      </c>
      <c r="BX96" s="383">
        <f t="shared" si="115"/>
        <v>0</v>
      </c>
      <c r="BY96" s="386">
        <f t="shared" si="116"/>
        <v>0</v>
      </c>
      <c r="BZ96" s="534">
        <f t="shared" si="93"/>
        <v>1944</v>
      </c>
      <c r="CA96" s="664">
        <f t="shared" si="125"/>
        <v>0</v>
      </c>
      <c r="CB96" s="665">
        <f t="shared" si="126"/>
        <v>0</v>
      </c>
      <c r="CC96" s="664">
        <f t="shared" si="127"/>
        <v>0</v>
      </c>
      <c r="CD96" s="665">
        <f t="shared" si="128"/>
        <v>0</v>
      </c>
      <c r="CE96" s="337"/>
      <c r="CF96" s="338"/>
      <c r="CG96" s="383">
        <f t="shared" si="117"/>
        <v>0</v>
      </c>
      <c r="CH96" s="386">
        <f t="shared" si="118"/>
        <v>0</v>
      </c>
    </row>
    <row r="97" spans="2:86" x14ac:dyDescent="0.2">
      <c r="B97" s="276">
        <v>82</v>
      </c>
      <c r="C97" s="320">
        <f t="shared" si="94"/>
        <v>83</v>
      </c>
      <c r="D97" s="534">
        <f t="shared" si="81"/>
        <v>1943</v>
      </c>
      <c r="E97" s="337"/>
      <c r="F97" s="338"/>
      <c r="G97" s="1271">
        <v>0</v>
      </c>
      <c r="H97" s="1289">
        <v>0</v>
      </c>
      <c r="I97" s="400">
        <f t="shared" si="95"/>
        <v>0</v>
      </c>
      <c r="J97" s="401">
        <f t="shared" si="96"/>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97"/>
        <v>0.97594587102127517</v>
      </c>
      <c r="P97" s="1143">
        <f t="shared" si="98"/>
        <v>0.98407117619358653</v>
      </c>
      <c r="Q97" s="356">
        <f t="shared" si="82"/>
        <v>1943</v>
      </c>
      <c r="R97" s="337"/>
      <c r="S97" s="338"/>
      <c r="T97" s="664">
        <f t="shared" si="79"/>
        <v>0</v>
      </c>
      <c r="U97" s="665">
        <f t="shared" si="80"/>
        <v>0</v>
      </c>
      <c r="V97" s="337"/>
      <c r="W97" s="338"/>
      <c r="X97" s="383">
        <f t="shared" si="99"/>
        <v>0</v>
      </c>
      <c r="Y97" s="386">
        <f t="shared" si="100"/>
        <v>0</v>
      </c>
      <c r="Z97" s="534">
        <f t="shared" si="83"/>
        <v>1943</v>
      </c>
      <c r="AA97" s="664">
        <f t="shared" si="101"/>
        <v>0</v>
      </c>
      <c r="AB97" s="665">
        <f t="shared" si="102"/>
        <v>0</v>
      </c>
      <c r="AC97" s="337"/>
      <c r="AD97" s="338"/>
      <c r="AE97" s="383">
        <f t="shared" si="103"/>
        <v>0</v>
      </c>
      <c r="AF97" s="386">
        <f t="shared" si="104"/>
        <v>0</v>
      </c>
      <c r="AG97" s="534">
        <f t="shared" si="84"/>
        <v>1942</v>
      </c>
      <c r="AH97" s="1271">
        <f t="shared" si="105"/>
        <v>0</v>
      </c>
      <c r="AI97" s="1272">
        <f t="shared" si="106"/>
        <v>0</v>
      </c>
      <c r="AJ97" s="337"/>
      <c r="AK97" s="338"/>
      <c r="AL97" s="1271">
        <v>0</v>
      </c>
      <c r="AM97" s="1272">
        <v>0</v>
      </c>
      <c r="AN97" s="414">
        <f t="shared" si="85"/>
        <v>1</v>
      </c>
      <c r="AO97" s="413">
        <f t="shared" si="86"/>
        <v>1</v>
      </c>
      <c r="AP97" s="337"/>
      <c r="AQ97" s="338"/>
      <c r="AR97" s="664">
        <f t="shared" si="119"/>
        <v>0</v>
      </c>
      <c r="AS97" s="679">
        <f t="shared" si="120"/>
        <v>0</v>
      </c>
      <c r="AT97" s="383">
        <f t="shared" si="107"/>
        <v>0</v>
      </c>
      <c r="AU97" s="386">
        <f t="shared" si="108"/>
        <v>0</v>
      </c>
      <c r="AV97" s="534">
        <f t="shared" si="87"/>
        <v>1941</v>
      </c>
      <c r="AW97" s="1271">
        <f t="shared" si="109"/>
        <v>0</v>
      </c>
      <c r="AX97" s="1272">
        <f t="shared" si="110"/>
        <v>0</v>
      </c>
      <c r="AY97" s="337"/>
      <c r="AZ97" s="338"/>
      <c r="BA97" s="1271">
        <v>0</v>
      </c>
      <c r="BB97" s="1272">
        <v>0</v>
      </c>
      <c r="BC97" s="414">
        <f t="shared" si="88"/>
        <v>1</v>
      </c>
      <c r="BD97" s="413">
        <f t="shared" si="89"/>
        <v>1</v>
      </c>
      <c r="BE97" s="337"/>
      <c r="BF97" s="338"/>
      <c r="BG97" s="664">
        <f t="shared" si="121"/>
        <v>0</v>
      </c>
      <c r="BH97" s="679">
        <f t="shared" si="122"/>
        <v>0</v>
      </c>
      <c r="BI97" s="383">
        <f t="shared" si="111"/>
        <v>0</v>
      </c>
      <c r="BJ97" s="386">
        <f t="shared" si="112"/>
        <v>0</v>
      </c>
      <c r="BK97" s="534">
        <f t="shared" si="90"/>
        <v>1940</v>
      </c>
      <c r="BL97" s="1271">
        <f t="shared" si="113"/>
        <v>0</v>
      </c>
      <c r="BM97" s="1272">
        <f t="shared" si="114"/>
        <v>0</v>
      </c>
      <c r="BN97" s="337"/>
      <c r="BO97" s="338"/>
      <c r="BP97" s="1271">
        <v>0</v>
      </c>
      <c r="BQ97" s="1272">
        <v>0</v>
      </c>
      <c r="BR97" s="414">
        <f t="shared" si="91"/>
        <v>1</v>
      </c>
      <c r="BS97" s="413">
        <f t="shared" si="92"/>
        <v>1</v>
      </c>
      <c r="BT97" s="337"/>
      <c r="BU97" s="338"/>
      <c r="BV97" s="664">
        <f t="shared" si="123"/>
        <v>0</v>
      </c>
      <c r="BW97" s="679">
        <f t="shared" si="124"/>
        <v>0</v>
      </c>
      <c r="BX97" s="383">
        <f t="shared" si="115"/>
        <v>0</v>
      </c>
      <c r="BY97" s="386">
        <f t="shared" si="116"/>
        <v>0</v>
      </c>
      <c r="BZ97" s="534">
        <f t="shared" si="93"/>
        <v>1943</v>
      </c>
      <c r="CA97" s="664">
        <f t="shared" si="125"/>
        <v>0</v>
      </c>
      <c r="CB97" s="665">
        <f t="shared" si="126"/>
        <v>0</v>
      </c>
      <c r="CC97" s="664">
        <f t="shared" si="127"/>
        <v>0</v>
      </c>
      <c r="CD97" s="665">
        <f t="shared" si="128"/>
        <v>0</v>
      </c>
      <c r="CE97" s="337"/>
      <c r="CF97" s="338"/>
      <c r="CG97" s="383">
        <f t="shared" si="117"/>
        <v>0</v>
      </c>
      <c r="CH97" s="386">
        <f t="shared" si="118"/>
        <v>0</v>
      </c>
    </row>
    <row r="98" spans="2:86" x14ac:dyDescent="0.2">
      <c r="B98" s="276">
        <v>83</v>
      </c>
      <c r="C98" s="320">
        <f t="shared" si="94"/>
        <v>84</v>
      </c>
      <c r="D98" s="534">
        <f t="shared" si="81"/>
        <v>1942</v>
      </c>
      <c r="E98" s="337"/>
      <c r="F98" s="338"/>
      <c r="G98" s="1271">
        <v>0</v>
      </c>
      <c r="H98" s="1289">
        <v>0</v>
      </c>
      <c r="I98" s="400">
        <f t="shared" si="95"/>
        <v>0</v>
      </c>
      <c r="J98" s="401">
        <f t="shared" si="96"/>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97"/>
        <v>0.97272419557204715</v>
      </c>
      <c r="P98" s="1143">
        <f t="shared" si="98"/>
        <v>0.98163620882330882</v>
      </c>
      <c r="Q98" s="356">
        <f t="shared" si="82"/>
        <v>1942</v>
      </c>
      <c r="R98" s="337"/>
      <c r="S98" s="338"/>
      <c r="T98" s="664">
        <f t="shared" si="79"/>
        <v>0</v>
      </c>
      <c r="U98" s="665">
        <f t="shared" si="80"/>
        <v>0</v>
      </c>
      <c r="V98" s="337"/>
      <c r="W98" s="338"/>
      <c r="X98" s="383">
        <f t="shared" si="99"/>
        <v>0</v>
      </c>
      <c r="Y98" s="386">
        <f t="shared" si="100"/>
        <v>0</v>
      </c>
      <c r="Z98" s="534">
        <f t="shared" si="83"/>
        <v>1942</v>
      </c>
      <c r="AA98" s="664">
        <f t="shared" si="101"/>
        <v>0</v>
      </c>
      <c r="AB98" s="665">
        <f t="shared" si="102"/>
        <v>0</v>
      </c>
      <c r="AC98" s="337"/>
      <c r="AD98" s="338"/>
      <c r="AE98" s="383">
        <f t="shared" si="103"/>
        <v>0</v>
      </c>
      <c r="AF98" s="386">
        <f t="shared" si="104"/>
        <v>0</v>
      </c>
      <c r="AG98" s="534">
        <f t="shared" si="84"/>
        <v>1941</v>
      </c>
      <c r="AH98" s="1271">
        <f t="shared" si="105"/>
        <v>0</v>
      </c>
      <c r="AI98" s="1272">
        <f t="shared" si="106"/>
        <v>0</v>
      </c>
      <c r="AJ98" s="337"/>
      <c r="AK98" s="338"/>
      <c r="AL98" s="1271">
        <v>0</v>
      </c>
      <c r="AM98" s="1272">
        <v>0</v>
      </c>
      <c r="AN98" s="414">
        <f t="shared" si="85"/>
        <v>1</v>
      </c>
      <c r="AO98" s="413">
        <f t="shared" si="86"/>
        <v>1</v>
      </c>
      <c r="AP98" s="337"/>
      <c r="AQ98" s="338"/>
      <c r="AR98" s="664">
        <f t="shared" si="119"/>
        <v>0</v>
      </c>
      <c r="AS98" s="679">
        <f t="shared" si="120"/>
        <v>0</v>
      </c>
      <c r="AT98" s="383">
        <f t="shared" si="107"/>
        <v>0</v>
      </c>
      <c r="AU98" s="386">
        <f t="shared" si="108"/>
        <v>0</v>
      </c>
      <c r="AV98" s="534">
        <f t="shared" si="87"/>
        <v>1940</v>
      </c>
      <c r="AW98" s="1271">
        <f t="shared" si="109"/>
        <v>0</v>
      </c>
      <c r="AX98" s="1272">
        <f t="shared" si="110"/>
        <v>0</v>
      </c>
      <c r="AY98" s="337"/>
      <c r="AZ98" s="338"/>
      <c r="BA98" s="1271">
        <v>0</v>
      </c>
      <c r="BB98" s="1272">
        <v>0</v>
      </c>
      <c r="BC98" s="414">
        <f t="shared" si="88"/>
        <v>1</v>
      </c>
      <c r="BD98" s="413">
        <f t="shared" si="89"/>
        <v>1</v>
      </c>
      <c r="BE98" s="337"/>
      <c r="BF98" s="338"/>
      <c r="BG98" s="664">
        <f t="shared" si="121"/>
        <v>0</v>
      </c>
      <c r="BH98" s="679">
        <f t="shared" si="122"/>
        <v>0</v>
      </c>
      <c r="BI98" s="383">
        <f t="shared" si="111"/>
        <v>0</v>
      </c>
      <c r="BJ98" s="386">
        <f t="shared" si="112"/>
        <v>0</v>
      </c>
      <c r="BK98" s="534">
        <f t="shared" si="90"/>
        <v>1939</v>
      </c>
      <c r="BL98" s="1271">
        <f t="shared" si="113"/>
        <v>0</v>
      </c>
      <c r="BM98" s="1272">
        <f t="shared" si="114"/>
        <v>0</v>
      </c>
      <c r="BN98" s="337"/>
      <c r="BO98" s="338"/>
      <c r="BP98" s="1271">
        <v>0</v>
      </c>
      <c r="BQ98" s="1272">
        <v>0</v>
      </c>
      <c r="BR98" s="414">
        <f t="shared" si="91"/>
        <v>1</v>
      </c>
      <c r="BS98" s="413">
        <f t="shared" si="92"/>
        <v>1</v>
      </c>
      <c r="BT98" s="337"/>
      <c r="BU98" s="338"/>
      <c r="BV98" s="664">
        <f t="shared" si="123"/>
        <v>0</v>
      </c>
      <c r="BW98" s="679">
        <f t="shared" si="124"/>
        <v>0</v>
      </c>
      <c r="BX98" s="383">
        <f t="shared" si="115"/>
        <v>0</v>
      </c>
      <c r="BY98" s="386">
        <f t="shared" si="116"/>
        <v>0</v>
      </c>
      <c r="BZ98" s="534">
        <f t="shared" si="93"/>
        <v>1942</v>
      </c>
      <c r="CA98" s="664">
        <f t="shared" si="125"/>
        <v>0</v>
      </c>
      <c r="CB98" s="665">
        <f t="shared" si="126"/>
        <v>0</v>
      </c>
      <c r="CC98" s="664">
        <f t="shared" si="127"/>
        <v>0</v>
      </c>
      <c r="CD98" s="665">
        <f t="shared" si="128"/>
        <v>0</v>
      </c>
      <c r="CE98" s="337"/>
      <c r="CF98" s="338"/>
      <c r="CG98" s="383">
        <f t="shared" si="117"/>
        <v>0</v>
      </c>
      <c r="CH98" s="386">
        <f t="shared" si="118"/>
        <v>0</v>
      </c>
    </row>
    <row r="99" spans="2:86" x14ac:dyDescent="0.2">
      <c r="B99" s="276">
        <v>84</v>
      </c>
      <c r="C99" s="320">
        <f t="shared" si="94"/>
        <v>85</v>
      </c>
      <c r="D99" s="534">
        <f t="shared" si="81"/>
        <v>1941</v>
      </c>
      <c r="E99" s="337"/>
      <c r="F99" s="338"/>
      <c r="G99" s="1271">
        <v>0</v>
      </c>
      <c r="H99" s="1289">
        <v>0</v>
      </c>
      <c r="I99" s="400">
        <f t="shared" si="95"/>
        <v>0</v>
      </c>
      <c r="J99" s="401">
        <f t="shared" si="96"/>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97"/>
        <v>0.96898832972390703</v>
      </c>
      <c r="P99" s="1143">
        <f t="shared" si="98"/>
        <v>0.97872372944092079</v>
      </c>
      <c r="Q99" s="356">
        <f t="shared" si="82"/>
        <v>1941</v>
      </c>
      <c r="R99" s="337"/>
      <c r="S99" s="338"/>
      <c r="T99" s="664">
        <f t="shared" si="79"/>
        <v>0</v>
      </c>
      <c r="U99" s="665">
        <f t="shared" si="80"/>
        <v>0</v>
      </c>
      <c r="V99" s="337"/>
      <c r="W99" s="338"/>
      <c r="X99" s="383">
        <f t="shared" si="99"/>
        <v>0</v>
      </c>
      <c r="Y99" s="386">
        <f t="shared" si="100"/>
        <v>0</v>
      </c>
      <c r="Z99" s="534">
        <f t="shared" si="83"/>
        <v>1941</v>
      </c>
      <c r="AA99" s="664">
        <f t="shared" si="101"/>
        <v>0</v>
      </c>
      <c r="AB99" s="665">
        <f t="shared" si="102"/>
        <v>0</v>
      </c>
      <c r="AC99" s="337"/>
      <c r="AD99" s="338"/>
      <c r="AE99" s="383">
        <f t="shared" si="103"/>
        <v>0</v>
      </c>
      <c r="AF99" s="386">
        <f t="shared" si="104"/>
        <v>0</v>
      </c>
      <c r="AG99" s="534">
        <f t="shared" si="84"/>
        <v>1940</v>
      </c>
      <c r="AH99" s="1271">
        <f t="shared" si="105"/>
        <v>0</v>
      </c>
      <c r="AI99" s="1272">
        <f t="shared" si="106"/>
        <v>0</v>
      </c>
      <c r="AJ99" s="337"/>
      <c r="AK99" s="338"/>
      <c r="AL99" s="1271">
        <v>0</v>
      </c>
      <c r="AM99" s="1272">
        <v>0</v>
      </c>
      <c r="AN99" s="414">
        <f t="shared" si="85"/>
        <v>1</v>
      </c>
      <c r="AO99" s="413">
        <f t="shared" si="86"/>
        <v>1</v>
      </c>
      <c r="AP99" s="337"/>
      <c r="AQ99" s="338"/>
      <c r="AR99" s="664">
        <f t="shared" si="119"/>
        <v>0</v>
      </c>
      <c r="AS99" s="679">
        <f t="shared" si="120"/>
        <v>0</v>
      </c>
      <c r="AT99" s="383">
        <f t="shared" si="107"/>
        <v>0</v>
      </c>
      <c r="AU99" s="386">
        <f t="shared" si="108"/>
        <v>0</v>
      </c>
      <c r="AV99" s="534">
        <f t="shared" si="87"/>
        <v>1939</v>
      </c>
      <c r="AW99" s="1271">
        <f t="shared" si="109"/>
        <v>0</v>
      </c>
      <c r="AX99" s="1272">
        <f t="shared" si="110"/>
        <v>0</v>
      </c>
      <c r="AY99" s="337"/>
      <c r="AZ99" s="338"/>
      <c r="BA99" s="1271">
        <v>0</v>
      </c>
      <c r="BB99" s="1272">
        <v>0</v>
      </c>
      <c r="BC99" s="414">
        <f t="shared" si="88"/>
        <v>1</v>
      </c>
      <c r="BD99" s="413">
        <f t="shared" si="89"/>
        <v>1</v>
      </c>
      <c r="BE99" s="337"/>
      <c r="BF99" s="338"/>
      <c r="BG99" s="664">
        <f t="shared" si="121"/>
        <v>0</v>
      </c>
      <c r="BH99" s="679">
        <f t="shared" si="122"/>
        <v>0</v>
      </c>
      <c r="BI99" s="383">
        <f t="shared" si="111"/>
        <v>0</v>
      </c>
      <c r="BJ99" s="386">
        <f t="shared" si="112"/>
        <v>0</v>
      </c>
      <c r="BK99" s="534">
        <f t="shared" si="90"/>
        <v>1938</v>
      </c>
      <c r="BL99" s="1271">
        <f t="shared" si="113"/>
        <v>0</v>
      </c>
      <c r="BM99" s="1272">
        <f t="shared" si="114"/>
        <v>0</v>
      </c>
      <c r="BN99" s="337"/>
      <c r="BO99" s="338"/>
      <c r="BP99" s="1271">
        <v>0</v>
      </c>
      <c r="BQ99" s="1272">
        <v>0</v>
      </c>
      <c r="BR99" s="414">
        <f t="shared" si="91"/>
        <v>1</v>
      </c>
      <c r="BS99" s="413">
        <f t="shared" si="92"/>
        <v>1</v>
      </c>
      <c r="BT99" s="337"/>
      <c r="BU99" s="338"/>
      <c r="BV99" s="664">
        <f t="shared" si="123"/>
        <v>0</v>
      </c>
      <c r="BW99" s="679">
        <f t="shared" si="124"/>
        <v>0</v>
      </c>
      <c r="BX99" s="383">
        <f t="shared" si="115"/>
        <v>0</v>
      </c>
      <c r="BY99" s="386">
        <f t="shared" si="116"/>
        <v>0</v>
      </c>
      <c r="BZ99" s="534">
        <f t="shared" si="93"/>
        <v>1941</v>
      </c>
      <c r="CA99" s="664">
        <f t="shared" si="125"/>
        <v>0</v>
      </c>
      <c r="CB99" s="665">
        <f t="shared" si="126"/>
        <v>0</v>
      </c>
      <c r="CC99" s="664">
        <f t="shared" si="127"/>
        <v>0</v>
      </c>
      <c r="CD99" s="665">
        <f t="shared" si="128"/>
        <v>0</v>
      </c>
      <c r="CE99" s="337"/>
      <c r="CF99" s="338"/>
      <c r="CG99" s="383">
        <f t="shared" si="117"/>
        <v>0</v>
      </c>
      <c r="CH99" s="386">
        <f t="shared" si="118"/>
        <v>0</v>
      </c>
    </row>
    <row r="100" spans="2:86" ht="13.5" thickBot="1" x14ac:dyDescent="0.25">
      <c r="B100" s="313">
        <v>85</v>
      </c>
      <c r="C100" s="321">
        <f t="shared" si="94"/>
        <v>86</v>
      </c>
      <c r="D100" s="535">
        <f t="shared" si="81"/>
        <v>1940</v>
      </c>
      <c r="E100" s="341"/>
      <c r="F100" s="340"/>
      <c r="G100" s="1277">
        <v>0</v>
      </c>
      <c r="H100" s="1290">
        <v>0</v>
      </c>
      <c r="I100" s="406">
        <f t="shared" si="95"/>
        <v>0</v>
      </c>
      <c r="J100" s="407">
        <f t="shared" si="96"/>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97"/>
        <v>0.96466291745451382</v>
      </c>
      <c r="P100" s="1144">
        <f t="shared" si="98"/>
        <v>0.97524498420339112</v>
      </c>
      <c r="Q100" s="313">
        <f t="shared" si="82"/>
        <v>1940</v>
      </c>
      <c r="R100" s="341"/>
      <c r="S100" s="340"/>
      <c r="T100" s="666">
        <f t="shared" si="79"/>
        <v>0</v>
      </c>
      <c r="U100" s="667">
        <f t="shared" si="80"/>
        <v>0</v>
      </c>
      <c r="V100" s="341"/>
      <c r="W100" s="340"/>
      <c r="X100" s="384">
        <f t="shared" si="99"/>
        <v>0</v>
      </c>
      <c r="Y100" s="387">
        <f t="shared" si="100"/>
        <v>0</v>
      </c>
      <c r="Z100" s="535">
        <f t="shared" si="83"/>
        <v>1940</v>
      </c>
      <c r="AA100" s="666">
        <f t="shared" si="101"/>
        <v>0</v>
      </c>
      <c r="AB100" s="667">
        <f t="shared" si="102"/>
        <v>0</v>
      </c>
      <c r="AC100" s="341"/>
      <c r="AD100" s="340"/>
      <c r="AE100" s="384">
        <f t="shared" si="103"/>
        <v>0</v>
      </c>
      <c r="AF100" s="387">
        <f t="shared" si="104"/>
        <v>0</v>
      </c>
      <c r="AG100" s="535">
        <f t="shared" si="84"/>
        <v>1939</v>
      </c>
      <c r="AH100" s="1271">
        <f t="shared" si="105"/>
        <v>0</v>
      </c>
      <c r="AI100" s="1272">
        <f t="shared" si="106"/>
        <v>0</v>
      </c>
      <c r="AJ100" s="341"/>
      <c r="AK100" s="340"/>
      <c r="AL100" s="1271">
        <v>0</v>
      </c>
      <c r="AM100" s="1272">
        <v>0</v>
      </c>
      <c r="AN100" s="415">
        <f t="shared" si="85"/>
        <v>1</v>
      </c>
      <c r="AO100" s="416">
        <f t="shared" si="86"/>
        <v>1</v>
      </c>
      <c r="AP100" s="341"/>
      <c r="AQ100" s="340"/>
      <c r="AR100" s="666">
        <f t="shared" si="119"/>
        <v>0</v>
      </c>
      <c r="AS100" s="680">
        <f t="shared" si="120"/>
        <v>0</v>
      </c>
      <c r="AT100" s="384">
        <f t="shared" si="107"/>
        <v>0</v>
      </c>
      <c r="AU100" s="387">
        <f t="shared" si="108"/>
        <v>0</v>
      </c>
      <c r="AV100" s="535">
        <f t="shared" si="87"/>
        <v>1938</v>
      </c>
      <c r="AW100" s="1271">
        <f t="shared" si="109"/>
        <v>0</v>
      </c>
      <c r="AX100" s="1272">
        <f t="shared" si="110"/>
        <v>0</v>
      </c>
      <c r="AY100" s="341"/>
      <c r="AZ100" s="340"/>
      <c r="BA100" s="1271">
        <v>0</v>
      </c>
      <c r="BB100" s="1272">
        <v>0</v>
      </c>
      <c r="BC100" s="415">
        <f t="shared" si="88"/>
        <v>1</v>
      </c>
      <c r="BD100" s="416">
        <f t="shared" si="89"/>
        <v>1</v>
      </c>
      <c r="BE100" s="341"/>
      <c r="BF100" s="340"/>
      <c r="BG100" s="666">
        <f t="shared" si="121"/>
        <v>0</v>
      </c>
      <c r="BH100" s="680">
        <f t="shared" si="122"/>
        <v>0</v>
      </c>
      <c r="BI100" s="384">
        <f t="shared" si="111"/>
        <v>0</v>
      </c>
      <c r="BJ100" s="387">
        <f t="shared" si="112"/>
        <v>0</v>
      </c>
      <c r="BK100" s="535">
        <f t="shared" si="90"/>
        <v>1937</v>
      </c>
      <c r="BL100" s="1271">
        <f t="shared" si="113"/>
        <v>0</v>
      </c>
      <c r="BM100" s="1272">
        <f t="shared" si="114"/>
        <v>0</v>
      </c>
      <c r="BN100" s="341"/>
      <c r="BO100" s="340"/>
      <c r="BP100" s="1271">
        <v>0</v>
      </c>
      <c r="BQ100" s="1272">
        <v>0</v>
      </c>
      <c r="BR100" s="415">
        <f t="shared" si="91"/>
        <v>1</v>
      </c>
      <c r="BS100" s="416">
        <f t="shared" si="92"/>
        <v>1</v>
      </c>
      <c r="BT100" s="341"/>
      <c r="BU100" s="340"/>
      <c r="BV100" s="666">
        <f t="shared" si="123"/>
        <v>0</v>
      </c>
      <c r="BW100" s="680">
        <f t="shared" si="124"/>
        <v>0</v>
      </c>
      <c r="BX100" s="384">
        <f t="shared" si="115"/>
        <v>0</v>
      </c>
      <c r="BY100" s="387">
        <f t="shared" si="116"/>
        <v>0</v>
      </c>
      <c r="BZ100" s="535">
        <f t="shared" si="93"/>
        <v>1940</v>
      </c>
      <c r="CA100" s="666">
        <f t="shared" si="125"/>
        <v>0</v>
      </c>
      <c r="CB100" s="667">
        <f t="shared" si="126"/>
        <v>0</v>
      </c>
      <c r="CC100" s="666">
        <f t="shared" si="127"/>
        <v>0</v>
      </c>
      <c r="CD100" s="667">
        <f t="shared" si="128"/>
        <v>0</v>
      </c>
      <c r="CE100" s="341"/>
      <c r="CF100" s="340"/>
      <c r="CG100" s="384">
        <f t="shared" si="117"/>
        <v>0</v>
      </c>
      <c r="CH100" s="387">
        <f t="shared" si="118"/>
        <v>0</v>
      </c>
    </row>
    <row r="101" spans="2:86" ht="13.5" thickTop="1" x14ac:dyDescent="0.2">
      <c r="B101" s="276">
        <v>86</v>
      </c>
      <c r="C101" s="320">
        <f t="shared" si="94"/>
        <v>87</v>
      </c>
      <c r="D101" s="534">
        <f t="shared" si="81"/>
        <v>1939</v>
      </c>
      <c r="E101" s="337"/>
      <c r="F101" s="338"/>
      <c r="G101" s="1271">
        <v>0</v>
      </c>
      <c r="H101" s="1289">
        <v>0</v>
      </c>
      <c r="I101" s="400">
        <f t="shared" si="95"/>
        <v>0</v>
      </c>
      <c r="J101" s="401">
        <f t="shared" si="96"/>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97"/>
        <v>0.95968019061362231</v>
      </c>
      <c r="P101" s="1143">
        <f t="shared" si="98"/>
        <v>0.97112064149614574</v>
      </c>
      <c r="Q101" s="356">
        <f t="shared" si="82"/>
        <v>1939</v>
      </c>
      <c r="R101" s="337"/>
      <c r="S101" s="338"/>
      <c r="T101" s="664">
        <f t="shared" si="79"/>
        <v>0</v>
      </c>
      <c r="U101" s="665">
        <f t="shared" si="80"/>
        <v>0</v>
      </c>
      <c r="V101" s="337"/>
      <c r="W101" s="338"/>
      <c r="X101" s="383">
        <f t="shared" si="99"/>
        <v>0</v>
      </c>
      <c r="Y101" s="386">
        <f t="shared" si="100"/>
        <v>0</v>
      </c>
      <c r="Z101" s="534">
        <f t="shared" si="83"/>
        <v>1939</v>
      </c>
      <c r="AA101" s="664">
        <f t="shared" si="101"/>
        <v>0</v>
      </c>
      <c r="AB101" s="665">
        <f t="shared" si="102"/>
        <v>0</v>
      </c>
      <c r="AC101" s="337"/>
      <c r="AD101" s="338"/>
      <c r="AE101" s="383">
        <f t="shared" si="103"/>
        <v>0</v>
      </c>
      <c r="AF101" s="386">
        <f t="shared" si="104"/>
        <v>0</v>
      </c>
      <c r="AG101" s="534">
        <f t="shared" si="84"/>
        <v>1938</v>
      </c>
      <c r="AH101" s="1271">
        <f t="shared" si="105"/>
        <v>0</v>
      </c>
      <c r="AI101" s="1272">
        <f t="shared" si="106"/>
        <v>0</v>
      </c>
      <c r="AJ101" s="337"/>
      <c r="AK101" s="338"/>
      <c r="AL101" s="1271">
        <v>0</v>
      </c>
      <c r="AM101" s="1272">
        <v>0</v>
      </c>
      <c r="AN101" s="414">
        <f t="shared" si="85"/>
        <v>1</v>
      </c>
      <c r="AO101" s="413">
        <f t="shared" si="86"/>
        <v>1</v>
      </c>
      <c r="AP101" s="337"/>
      <c r="AQ101" s="338"/>
      <c r="AR101" s="664">
        <f t="shared" si="119"/>
        <v>0</v>
      </c>
      <c r="AS101" s="679">
        <f t="shared" si="120"/>
        <v>0</v>
      </c>
      <c r="AT101" s="383">
        <f t="shared" si="107"/>
        <v>0</v>
      </c>
      <c r="AU101" s="386">
        <f t="shared" si="108"/>
        <v>0</v>
      </c>
      <c r="AV101" s="534">
        <f t="shared" si="87"/>
        <v>1937</v>
      </c>
      <c r="AW101" s="1271">
        <f t="shared" si="109"/>
        <v>0</v>
      </c>
      <c r="AX101" s="1272">
        <f t="shared" si="110"/>
        <v>0</v>
      </c>
      <c r="AY101" s="337"/>
      <c r="AZ101" s="338"/>
      <c r="BA101" s="1271">
        <v>0</v>
      </c>
      <c r="BB101" s="1272">
        <v>0</v>
      </c>
      <c r="BC101" s="414">
        <f t="shared" si="88"/>
        <v>1</v>
      </c>
      <c r="BD101" s="413">
        <f t="shared" si="89"/>
        <v>1</v>
      </c>
      <c r="BE101" s="337"/>
      <c r="BF101" s="338"/>
      <c r="BG101" s="664">
        <f t="shared" si="121"/>
        <v>0</v>
      </c>
      <c r="BH101" s="679">
        <f t="shared" si="122"/>
        <v>0</v>
      </c>
      <c r="BI101" s="383">
        <f t="shared" si="111"/>
        <v>0</v>
      </c>
      <c r="BJ101" s="386">
        <f t="shared" si="112"/>
        <v>0</v>
      </c>
      <c r="BK101" s="534">
        <f t="shared" si="90"/>
        <v>1936</v>
      </c>
      <c r="BL101" s="1271">
        <f t="shared" si="113"/>
        <v>0</v>
      </c>
      <c r="BM101" s="1272">
        <f t="shared" si="114"/>
        <v>0</v>
      </c>
      <c r="BN101" s="337"/>
      <c r="BO101" s="338"/>
      <c r="BP101" s="1271">
        <v>0</v>
      </c>
      <c r="BQ101" s="1272">
        <v>0</v>
      </c>
      <c r="BR101" s="414">
        <f t="shared" si="91"/>
        <v>1</v>
      </c>
      <c r="BS101" s="413">
        <f t="shared" si="92"/>
        <v>1</v>
      </c>
      <c r="BT101" s="337"/>
      <c r="BU101" s="338"/>
      <c r="BV101" s="664">
        <f t="shared" si="123"/>
        <v>0</v>
      </c>
      <c r="BW101" s="679">
        <f t="shared" si="124"/>
        <v>0</v>
      </c>
      <c r="BX101" s="383">
        <f t="shared" si="115"/>
        <v>0</v>
      </c>
      <c r="BY101" s="386">
        <f t="shared" si="116"/>
        <v>0</v>
      </c>
      <c r="BZ101" s="534">
        <f t="shared" si="93"/>
        <v>1939</v>
      </c>
      <c r="CA101" s="664">
        <f t="shared" si="125"/>
        <v>0</v>
      </c>
      <c r="CB101" s="665">
        <f t="shared" si="126"/>
        <v>0</v>
      </c>
      <c r="CC101" s="664">
        <f t="shared" si="127"/>
        <v>0</v>
      </c>
      <c r="CD101" s="665">
        <f t="shared" si="128"/>
        <v>0</v>
      </c>
      <c r="CE101" s="337"/>
      <c r="CF101" s="338"/>
      <c r="CG101" s="383">
        <f t="shared" si="117"/>
        <v>0</v>
      </c>
      <c r="CH101" s="386">
        <f t="shared" si="118"/>
        <v>0</v>
      </c>
    </row>
    <row r="102" spans="2:86" x14ac:dyDescent="0.2">
      <c r="B102" s="276">
        <v>87</v>
      </c>
      <c r="C102" s="320">
        <f t="shared" si="94"/>
        <v>88</v>
      </c>
      <c r="D102" s="534">
        <f t="shared" si="81"/>
        <v>1938</v>
      </c>
      <c r="E102" s="337"/>
      <c r="F102" s="338"/>
      <c r="G102" s="1271">
        <v>0</v>
      </c>
      <c r="H102" s="1289">
        <v>0</v>
      </c>
      <c r="I102" s="400">
        <f t="shared" si="95"/>
        <v>0</v>
      </c>
      <c r="J102" s="401">
        <f t="shared" si="96"/>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97"/>
        <v>0.95397711971475885</v>
      </c>
      <c r="P102" s="1143">
        <f t="shared" si="98"/>
        <v>0.966277361436924</v>
      </c>
      <c r="Q102" s="356">
        <f t="shared" si="82"/>
        <v>1938</v>
      </c>
      <c r="R102" s="337"/>
      <c r="S102" s="338"/>
      <c r="T102" s="664">
        <f t="shared" si="79"/>
        <v>0</v>
      </c>
      <c r="U102" s="665">
        <f t="shared" si="80"/>
        <v>0</v>
      </c>
      <c r="V102" s="337"/>
      <c r="W102" s="338"/>
      <c r="X102" s="383">
        <f t="shared" si="99"/>
        <v>0</v>
      </c>
      <c r="Y102" s="386">
        <f t="shared" si="100"/>
        <v>0</v>
      </c>
      <c r="Z102" s="534">
        <f t="shared" si="83"/>
        <v>1938</v>
      </c>
      <c r="AA102" s="664">
        <f t="shared" si="101"/>
        <v>0</v>
      </c>
      <c r="AB102" s="665">
        <f t="shared" si="102"/>
        <v>0</v>
      </c>
      <c r="AC102" s="337"/>
      <c r="AD102" s="338"/>
      <c r="AE102" s="383">
        <f t="shared" si="103"/>
        <v>0</v>
      </c>
      <c r="AF102" s="386">
        <f t="shared" si="104"/>
        <v>0</v>
      </c>
      <c r="AG102" s="534">
        <f t="shared" si="84"/>
        <v>1937</v>
      </c>
      <c r="AH102" s="1271">
        <f t="shared" si="105"/>
        <v>0</v>
      </c>
      <c r="AI102" s="1272">
        <f t="shared" si="106"/>
        <v>0</v>
      </c>
      <c r="AJ102" s="337"/>
      <c r="AK102" s="338"/>
      <c r="AL102" s="1271">
        <v>0</v>
      </c>
      <c r="AM102" s="1272">
        <v>0</v>
      </c>
      <c r="AN102" s="414">
        <f t="shared" si="85"/>
        <v>1</v>
      </c>
      <c r="AO102" s="413">
        <f t="shared" si="86"/>
        <v>1</v>
      </c>
      <c r="AP102" s="337"/>
      <c r="AQ102" s="338"/>
      <c r="AR102" s="664">
        <f t="shared" si="119"/>
        <v>0</v>
      </c>
      <c r="AS102" s="679">
        <f t="shared" si="120"/>
        <v>0</v>
      </c>
      <c r="AT102" s="383">
        <f t="shared" si="107"/>
        <v>0</v>
      </c>
      <c r="AU102" s="386">
        <f t="shared" si="108"/>
        <v>0</v>
      </c>
      <c r="AV102" s="534">
        <f t="shared" si="87"/>
        <v>1936</v>
      </c>
      <c r="AW102" s="1271">
        <f t="shared" si="109"/>
        <v>0</v>
      </c>
      <c r="AX102" s="1272">
        <f t="shared" si="110"/>
        <v>0</v>
      </c>
      <c r="AY102" s="337"/>
      <c r="AZ102" s="338"/>
      <c r="BA102" s="1271">
        <v>0</v>
      </c>
      <c r="BB102" s="1272">
        <v>0</v>
      </c>
      <c r="BC102" s="414">
        <f t="shared" si="88"/>
        <v>1</v>
      </c>
      <c r="BD102" s="413">
        <f t="shared" si="89"/>
        <v>1</v>
      </c>
      <c r="BE102" s="337"/>
      <c r="BF102" s="338"/>
      <c r="BG102" s="664">
        <f t="shared" si="121"/>
        <v>0</v>
      </c>
      <c r="BH102" s="679">
        <f t="shared" si="122"/>
        <v>0</v>
      </c>
      <c r="BI102" s="383">
        <f t="shared" si="111"/>
        <v>0</v>
      </c>
      <c r="BJ102" s="386">
        <f t="shared" si="112"/>
        <v>0</v>
      </c>
      <c r="BK102" s="534">
        <f t="shared" si="90"/>
        <v>1935</v>
      </c>
      <c r="BL102" s="1271">
        <f t="shared" si="113"/>
        <v>0</v>
      </c>
      <c r="BM102" s="1272">
        <f t="shared" si="114"/>
        <v>0</v>
      </c>
      <c r="BN102" s="337"/>
      <c r="BO102" s="338"/>
      <c r="BP102" s="1271">
        <v>0</v>
      </c>
      <c r="BQ102" s="1272">
        <v>0</v>
      </c>
      <c r="BR102" s="414">
        <f t="shared" si="91"/>
        <v>1</v>
      </c>
      <c r="BS102" s="413">
        <f t="shared" si="92"/>
        <v>1</v>
      </c>
      <c r="BT102" s="337"/>
      <c r="BU102" s="338"/>
      <c r="BV102" s="664">
        <f t="shared" si="123"/>
        <v>0</v>
      </c>
      <c r="BW102" s="679">
        <f t="shared" si="124"/>
        <v>0</v>
      </c>
      <c r="BX102" s="383">
        <f t="shared" si="115"/>
        <v>0</v>
      </c>
      <c r="BY102" s="386">
        <f t="shared" si="116"/>
        <v>0</v>
      </c>
      <c r="BZ102" s="534">
        <f t="shared" si="93"/>
        <v>1938</v>
      </c>
      <c r="CA102" s="664">
        <f t="shared" si="125"/>
        <v>0</v>
      </c>
      <c r="CB102" s="665">
        <f t="shared" si="126"/>
        <v>0</v>
      </c>
      <c r="CC102" s="664">
        <f t="shared" si="127"/>
        <v>0</v>
      </c>
      <c r="CD102" s="665">
        <f t="shared" si="128"/>
        <v>0</v>
      </c>
      <c r="CE102" s="337"/>
      <c r="CF102" s="338"/>
      <c r="CG102" s="383">
        <f t="shared" si="117"/>
        <v>0</v>
      </c>
      <c r="CH102" s="386">
        <f t="shared" si="118"/>
        <v>0</v>
      </c>
    </row>
    <row r="103" spans="2:86" x14ac:dyDescent="0.2">
      <c r="B103" s="276">
        <v>88</v>
      </c>
      <c r="C103" s="320">
        <f t="shared" si="94"/>
        <v>89</v>
      </c>
      <c r="D103" s="534">
        <f t="shared" si="81"/>
        <v>1937</v>
      </c>
      <c r="E103" s="337"/>
      <c r="F103" s="338"/>
      <c r="G103" s="1271">
        <v>0</v>
      </c>
      <c r="H103" s="1289">
        <v>0</v>
      </c>
      <c r="I103" s="400">
        <f t="shared" si="95"/>
        <v>0</v>
      </c>
      <c r="J103" s="401">
        <f t="shared" si="96"/>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97"/>
        <v>0.94749829769860994</v>
      </c>
      <c r="P103" s="1143">
        <f t="shared" si="98"/>
        <v>0.96065237717918317</v>
      </c>
      <c r="Q103" s="356">
        <f t="shared" si="82"/>
        <v>1937</v>
      </c>
      <c r="R103" s="337"/>
      <c r="S103" s="338"/>
      <c r="T103" s="664">
        <f t="shared" si="79"/>
        <v>0</v>
      </c>
      <c r="U103" s="665">
        <f t="shared" si="80"/>
        <v>0</v>
      </c>
      <c r="V103" s="337"/>
      <c r="W103" s="338"/>
      <c r="X103" s="383">
        <f t="shared" si="99"/>
        <v>0</v>
      </c>
      <c r="Y103" s="386">
        <f t="shared" si="100"/>
        <v>0</v>
      </c>
      <c r="Z103" s="534">
        <f t="shared" si="83"/>
        <v>1937</v>
      </c>
      <c r="AA103" s="664">
        <f t="shared" si="101"/>
        <v>0</v>
      </c>
      <c r="AB103" s="665">
        <f t="shared" si="102"/>
        <v>0</v>
      </c>
      <c r="AC103" s="337"/>
      <c r="AD103" s="338"/>
      <c r="AE103" s="383">
        <f t="shared" si="103"/>
        <v>0</v>
      </c>
      <c r="AF103" s="386">
        <f t="shared" si="104"/>
        <v>0</v>
      </c>
      <c r="AG103" s="534">
        <f t="shared" si="84"/>
        <v>1936</v>
      </c>
      <c r="AH103" s="1271">
        <f t="shared" si="105"/>
        <v>0</v>
      </c>
      <c r="AI103" s="1272">
        <f t="shared" si="106"/>
        <v>0</v>
      </c>
      <c r="AJ103" s="337"/>
      <c r="AK103" s="338"/>
      <c r="AL103" s="1271">
        <v>0</v>
      </c>
      <c r="AM103" s="1272">
        <v>0</v>
      </c>
      <c r="AN103" s="414">
        <f t="shared" si="85"/>
        <v>1</v>
      </c>
      <c r="AO103" s="413">
        <f t="shared" si="86"/>
        <v>1</v>
      </c>
      <c r="AP103" s="337"/>
      <c r="AQ103" s="338"/>
      <c r="AR103" s="664">
        <f t="shared" si="119"/>
        <v>0</v>
      </c>
      <c r="AS103" s="679">
        <f t="shared" si="120"/>
        <v>0</v>
      </c>
      <c r="AT103" s="383">
        <f t="shared" si="107"/>
        <v>0</v>
      </c>
      <c r="AU103" s="386">
        <f t="shared" si="108"/>
        <v>0</v>
      </c>
      <c r="AV103" s="534">
        <f t="shared" si="87"/>
        <v>1935</v>
      </c>
      <c r="AW103" s="1271">
        <f t="shared" si="109"/>
        <v>0</v>
      </c>
      <c r="AX103" s="1272">
        <f t="shared" si="110"/>
        <v>0</v>
      </c>
      <c r="AY103" s="337"/>
      <c r="AZ103" s="338"/>
      <c r="BA103" s="1271">
        <v>0</v>
      </c>
      <c r="BB103" s="1272">
        <v>0</v>
      </c>
      <c r="BC103" s="414">
        <f t="shared" si="88"/>
        <v>1</v>
      </c>
      <c r="BD103" s="413">
        <f t="shared" si="89"/>
        <v>1</v>
      </c>
      <c r="BE103" s="337"/>
      <c r="BF103" s="338"/>
      <c r="BG103" s="664">
        <f t="shared" si="121"/>
        <v>0</v>
      </c>
      <c r="BH103" s="679">
        <f t="shared" si="122"/>
        <v>0</v>
      </c>
      <c r="BI103" s="383">
        <f t="shared" si="111"/>
        <v>0</v>
      </c>
      <c r="BJ103" s="386">
        <f t="shared" si="112"/>
        <v>0</v>
      </c>
      <c r="BK103" s="534">
        <f t="shared" si="90"/>
        <v>1934</v>
      </c>
      <c r="BL103" s="1271">
        <f t="shared" si="113"/>
        <v>0</v>
      </c>
      <c r="BM103" s="1272">
        <f t="shared" si="114"/>
        <v>0</v>
      </c>
      <c r="BN103" s="337"/>
      <c r="BO103" s="338"/>
      <c r="BP103" s="1271">
        <v>0</v>
      </c>
      <c r="BQ103" s="1272">
        <v>0</v>
      </c>
      <c r="BR103" s="414">
        <f t="shared" si="91"/>
        <v>1</v>
      </c>
      <c r="BS103" s="413">
        <f t="shared" si="92"/>
        <v>1</v>
      </c>
      <c r="BT103" s="337"/>
      <c r="BU103" s="338"/>
      <c r="BV103" s="664">
        <f t="shared" si="123"/>
        <v>0</v>
      </c>
      <c r="BW103" s="679">
        <f t="shared" si="124"/>
        <v>0</v>
      </c>
      <c r="BX103" s="383">
        <f t="shared" si="115"/>
        <v>0</v>
      </c>
      <c r="BY103" s="386">
        <f t="shared" si="116"/>
        <v>0</v>
      </c>
      <c r="BZ103" s="534">
        <f t="shared" si="93"/>
        <v>1937</v>
      </c>
      <c r="CA103" s="664">
        <f t="shared" si="125"/>
        <v>0</v>
      </c>
      <c r="CB103" s="665">
        <f t="shared" si="126"/>
        <v>0</v>
      </c>
      <c r="CC103" s="664">
        <f t="shared" si="127"/>
        <v>0</v>
      </c>
      <c r="CD103" s="665">
        <f t="shared" si="128"/>
        <v>0</v>
      </c>
      <c r="CE103" s="337"/>
      <c r="CF103" s="338"/>
      <c r="CG103" s="383">
        <f t="shared" si="117"/>
        <v>0</v>
      </c>
      <c r="CH103" s="386">
        <f t="shared" si="118"/>
        <v>0</v>
      </c>
    </row>
    <row r="104" spans="2:86" x14ac:dyDescent="0.2">
      <c r="B104" s="276">
        <v>89</v>
      </c>
      <c r="C104" s="320">
        <f t="shared" si="94"/>
        <v>90</v>
      </c>
      <c r="D104" s="534">
        <f t="shared" si="81"/>
        <v>1936</v>
      </c>
      <c r="E104" s="337"/>
      <c r="F104" s="338"/>
      <c r="G104" s="1271">
        <v>0</v>
      </c>
      <c r="H104" s="1289">
        <v>0</v>
      </c>
      <c r="I104" s="400">
        <f t="shared" si="95"/>
        <v>0</v>
      </c>
      <c r="J104" s="401">
        <f t="shared" si="96"/>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97"/>
        <v>0.94020228534724037</v>
      </c>
      <c r="P104" s="1143">
        <f t="shared" si="98"/>
        <v>0.95420350969801326</v>
      </c>
      <c r="Q104" s="356">
        <f t="shared" si="82"/>
        <v>1936</v>
      </c>
      <c r="R104" s="337"/>
      <c r="S104" s="338"/>
      <c r="T104" s="664">
        <f t="shared" si="79"/>
        <v>0</v>
      </c>
      <c r="U104" s="665">
        <f t="shared" si="80"/>
        <v>0</v>
      </c>
      <c r="V104" s="337"/>
      <c r="W104" s="338"/>
      <c r="X104" s="383">
        <f t="shared" si="99"/>
        <v>0</v>
      </c>
      <c r="Y104" s="386">
        <f t="shared" si="100"/>
        <v>0</v>
      </c>
      <c r="Z104" s="534">
        <f t="shared" si="83"/>
        <v>1936</v>
      </c>
      <c r="AA104" s="664">
        <f t="shared" si="101"/>
        <v>0</v>
      </c>
      <c r="AB104" s="665">
        <f t="shared" si="102"/>
        <v>0</v>
      </c>
      <c r="AC104" s="337"/>
      <c r="AD104" s="338"/>
      <c r="AE104" s="383">
        <f t="shared" si="103"/>
        <v>0</v>
      </c>
      <c r="AF104" s="386">
        <f t="shared" si="104"/>
        <v>0</v>
      </c>
      <c r="AG104" s="534">
        <f t="shared" si="84"/>
        <v>1935</v>
      </c>
      <c r="AH104" s="1271">
        <f t="shared" si="105"/>
        <v>0</v>
      </c>
      <c r="AI104" s="1272">
        <f t="shared" si="106"/>
        <v>0</v>
      </c>
      <c r="AJ104" s="337"/>
      <c r="AK104" s="338"/>
      <c r="AL104" s="1271">
        <v>0</v>
      </c>
      <c r="AM104" s="1272">
        <v>0</v>
      </c>
      <c r="AN104" s="414">
        <f t="shared" si="85"/>
        <v>1</v>
      </c>
      <c r="AO104" s="413">
        <f t="shared" si="86"/>
        <v>1</v>
      </c>
      <c r="AP104" s="337"/>
      <c r="AQ104" s="338"/>
      <c r="AR104" s="664">
        <f t="shared" si="119"/>
        <v>0</v>
      </c>
      <c r="AS104" s="679">
        <f t="shared" si="120"/>
        <v>0</v>
      </c>
      <c r="AT104" s="383">
        <f t="shared" si="107"/>
        <v>0</v>
      </c>
      <c r="AU104" s="386">
        <f t="shared" si="108"/>
        <v>0</v>
      </c>
      <c r="AV104" s="534">
        <f t="shared" si="87"/>
        <v>1934</v>
      </c>
      <c r="AW104" s="1271">
        <f t="shared" si="109"/>
        <v>0</v>
      </c>
      <c r="AX104" s="1272">
        <f t="shared" si="110"/>
        <v>0</v>
      </c>
      <c r="AY104" s="337"/>
      <c r="AZ104" s="338"/>
      <c r="BA104" s="1271">
        <v>0</v>
      </c>
      <c r="BB104" s="1272">
        <v>0</v>
      </c>
      <c r="BC104" s="414">
        <f t="shared" si="88"/>
        <v>1</v>
      </c>
      <c r="BD104" s="413">
        <f t="shared" si="89"/>
        <v>1</v>
      </c>
      <c r="BE104" s="337"/>
      <c r="BF104" s="338"/>
      <c r="BG104" s="664">
        <f t="shared" si="121"/>
        <v>0</v>
      </c>
      <c r="BH104" s="679">
        <f t="shared" si="122"/>
        <v>0</v>
      </c>
      <c r="BI104" s="383">
        <f t="shared" si="111"/>
        <v>0</v>
      </c>
      <c r="BJ104" s="386">
        <f t="shared" si="112"/>
        <v>0</v>
      </c>
      <c r="BK104" s="534">
        <f t="shared" si="90"/>
        <v>1933</v>
      </c>
      <c r="BL104" s="1271">
        <f t="shared" si="113"/>
        <v>0</v>
      </c>
      <c r="BM104" s="1272">
        <f t="shared" si="114"/>
        <v>0</v>
      </c>
      <c r="BN104" s="337"/>
      <c r="BO104" s="338"/>
      <c r="BP104" s="1271">
        <v>0</v>
      </c>
      <c r="BQ104" s="1272">
        <v>0</v>
      </c>
      <c r="BR104" s="414">
        <f t="shared" si="91"/>
        <v>1</v>
      </c>
      <c r="BS104" s="413">
        <f t="shared" si="92"/>
        <v>1</v>
      </c>
      <c r="BT104" s="337"/>
      <c r="BU104" s="338"/>
      <c r="BV104" s="664">
        <f t="shared" si="123"/>
        <v>0</v>
      </c>
      <c r="BW104" s="679">
        <f t="shared" si="124"/>
        <v>0</v>
      </c>
      <c r="BX104" s="383">
        <f t="shared" si="115"/>
        <v>0</v>
      </c>
      <c r="BY104" s="386">
        <f t="shared" si="116"/>
        <v>0</v>
      </c>
      <c r="BZ104" s="534">
        <f t="shared" si="93"/>
        <v>1936</v>
      </c>
      <c r="CA104" s="664">
        <f t="shared" si="125"/>
        <v>0</v>
      </c>
      <c r="CB104" s="665">
        <f t="shared" si="126"/>
        <v>0</v>
      </c>
      <c r="CC104" s="664">
        <f t="shared" si="127"/>
        <v>0</v>
      </c>
      <c r="CD104" s="665">
        <f t="shared" si="128"/>
        <v>0</v>
      </c>
      <c r="CE104" s="337"/>
      <c r="CF104" s="338"/>
      <c r="CG104" s="383">
        <f t="shared" si="117"/>
        <v>0</v>
      </c>
      <c r="CH104" s="386">
        <f t="shared" si="118"/>
        <v>0</v>
      </c>
    </row>
    <row r="105" spans="2:86" ht="13.5" thickBot="1" x14ac:dyDescent="0.25">
      <c r="B105" s="313">
        <v>90</v>
      </c>
      <c r="C105" s="321">
        <f t="shared" si="94"/>
        <v>91</v>
      </c>
      <c r="D105" s="535">
        <f t="shared" si="81"/>
        <v>1935</v>
      </c>
      <c r="E105" s="341"/>
      <c r="F105" s="340"/>
      <c r="G105" s="1277">
        <v>0</v>
      </c>
      <c r="H105" s="1290">
        <v>0</v>
      </c>
      <c r="I105" s="406">
        <f t="shared" si="95"/>
        <v>0</v>
      </c>
      <c r="J105" s="407">
        <f t="shared" si="96"/>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97"/>
        <v>0.93206909356734335</v>
      </c>
      <c r="P105" s="1144">
        <f t="shared" si="98"/>
        <v>0.94692164577319593</v>
      </c>
      <c r="Q105" s="313">
        <f t="shared" si="82"/>
        <v>1935</v>
      </c>
      <c r="R105" s="341"/>
      <c r="S105" s="340"/>
      <c r="T105" s="666">
        <f t="shared" si="79"/>
        <v>0</v>
      </c>
      <c r="U105" s="667">
        <f t="shared" si="80"/>
        <v>0</v>
      </c>
      <c r="V105" s="341"/>
      <c r="W105" s="340"/>
      <c r="X105" s="384">
        <f t="shared" si="99"/>
        <v>0</v>
      </c>
      <c r="Y105" s="387">
        <f t="shared" si="100"/>
        <v>0</v>
      </c>
      <c r="Z105" s="535">
        <f t="shared" si="83"/>
        <v>1935</v>
      </c>
      <c r="AA105" s="666">
        <f t="shared" si="101"/>
        <v>0</v>
      </c>
      <c r="AB105" s="667">
        <f t="shared" si="102"/>
        <v>0</v>
      </c>
      <c r="AC105" s="341"/>
      <c r="AD105" s="340"/>
      <c r="AE105" s="384">
        <f t="shared" si="103"/>
        <v>0</v>
      </c>
      <c r="AF105" s="387">
        <f t="shared" si="104"/>
        <v>0</v>
      </c>
      <c r="AG105" s="535">
        <f t="shared" si="84"/>
        <v>1934</v>
      </c>
      <c r="AH105" s="1271">
        <f t="shared" si="105"/>
        <v>0</v>
      </c>
      <c r="AI105" s="1272">
        <f t="shared" si="106"/>
        <v>0</v>
      </c>
      <c r="AJ105" s="341"/>
      <c r="AK105" s="340"/>
      <c r="AL105" s="1271">
        <v>0</v>
      </c>
      <c r="AM105" s="1272">
        <v>0</v>
      </c>
      <c r="AN105" s="415">
        <f t="shared" si="85"/>
        <v>1</v>
      </c>
      <c r="AO105" s="416">
        <f t="shared" si="86"/>
        <v>1</v>
      </c>
      <c r="AP105" s="341"/>
      <c r="AQ105" s="340"/>
      <c r="AR105" s="666">
        <f t="shared" si="119"/>
        <v>0</v>
      </c>
      <c r="AS105" s="680">
        <f t="shared" si="120"/>
        <v>0</v>
      </c>
      <c r="AT105" s="384">
        <f t="shared" si="107"/>
        <v>0</v>
      </c>
      <c r="AU105" s="387">
        <f t="shared" si="108"/>
        <v>0</v>
      </c>
      <c r="AV105" s="535">
        <f t="shared" si="87"/>
        <v>1933</v>
      </c>
      <c r="AW105" s="1271">
        <f t="shared" si="109"/>
        <v>0</v>
      </c>
      <c r="AX105" s="1272">
        <f t="shared" si="110"/>
        <v>0</v>
      </c>
      <c r="AY105" s="341"/>
      <c r="AZ105" s="340"/>
      <c r="BA105" s="1271">
        <v>0</v>
      </c>
      <c r="BB105" s="1272">
        <v>0</v>
      </c>
      <c r="BC105" s="415">
        <f t="shared" si="88"/>
        <v>1</v>
      </c>
      <c r="BD105" s="416">
        <f t="shared" si="89"/>
        <v>1</v>
      </c>
      <c r="BE105" s="341"/>
      <c r="BF105" s="340"/>
      <c r="BG105" s="666">
        <f t="shared" si="121"/>
        <v>0</v>
      </c>
      <c r="BH105" s="680">
        <f t="shared" si="122"/>
        <v>0</v>
      </c>
      <c r="BI105" s="384">
        <f t="shared" si="111"/>
        <v>0</v>
      </c>
      <c r="BJ105" s="387">
        <f t="shared" si="112"/>
        <v>0</v>
      </c>
      <c r="BK105" s="535">
        <f t="shared" si="90"/>
        <v>1932</v>
      </c>
      <c r="BL105" s="1271">
        <f t="shared" si="113"/>
        <v>0</v>
      </c>
      <c r="BM105" s="1272">
        <f t="shared" si="114"/>
        <v>0</v>
      </c>
      <c r="BN105" s="341"/>
      <c r="BO105" s="340"/>
      <c r="BP105" s="1271">
        <v>0</v>
      </c>
      <c r="BQ105" s="1272">
        <v>0</v>
      </c>
      <c r="BR105" s="415">
        <f t="shared" si="91"/>
        <v>1</v>
      </c>
      <c r="BS105" s="416">
        <f t="shared" si="92"/>
        <v>1</v>
      </c>
      <c r="BT105" s="341"/>
      <c r="BU105" s="340"/>
      <c r="BV105" s="666">
        <f t="shared" si="123"/>
        <v>0</v>
      </c>
      <c r="BW105" s="680">
        <f t="shared" si="124"/>
        <v>0</v>
      </c>
      <c r="BX105" s="384">
        <f t="shared" si="115"/>
        <v>0</v>
      </c>
      <c r="BY105" s="387">
        <f t="shared" si="116"/>
        <v>0</v>
      </c>
      <c r="BZ105" s="535">
        <f t="shared" si="93"/>
        <v>1935</v>
      </c>
      <c r="CA105" s="666">
        <f t="shared" si="125"/>
        <v>0</v>
      </c>
      <c r="CB105" s="667">
        <f t="shared" si="126"/>
        <v>0</v>
      </c>
      <c r="CC105" s="666">
        <f t="shared" si="127"/>
        <v>0</v>
      </c>
      <c r="CD105" s="667">
        <f t="shared" si="128"/>
        <v>0</v>
      </c>
      <c r="CE105" s="341"/>
      <c r="CF105" s="340"/>
      <c r="CG105" s="384">
        <f t="shared" si="117"/>
        <v>0</v>
      </c>
      <c r="CH105" s="387">
        <f t="shared" si="118"/>
        <v>0</v>
      </c>
    </row>
    <row r="106" spans="2:86" ht="13.5" thickTop="1" x14ac:dyDescent="0.2">
      <c r="B106" s="276">
        <v>91</v>
      </c>
      <c r="C106" s="320">
        <f t="shared" si="94"/>
        <v>92</v>
      </c>
      <c r="D106" s="534">
        <f t="shared" si="81"/>
        <v>1934</v>
      </c>
      <c r="E106" s="337"/>
      <c r="F106" s="338"/>
      <c r="G106" s="1271">
        <v>0</v>
      </c>
      <c r="H106" s="1289">
        <v>0</v>
      </c>
      <c r="I106" s="400">
        <f t="shared" si="95"/>
        <v>0</v>
      </c>
      <c r="J106" s="401">
        <f t="shared" si="96"/>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97"/>
        <v>0.92310830187009107</v>
      </c>
      <c r="P106" s="1143">
        <f t="shared" si="98"/>
        <v>0.93884517053571082</v>
      </c>
      <c r="Q106" s="356">
        <f t="shared" si="82"/>
        <v>1934</v>
      </c>
      <c r="R106" s="337"/>
      <c r="S106" s="338"/>
      <c r="T106" s="664">
        <f t="shared" si="79"/>
        <v>0</v>
      </c>
      <c r="U106" s="665">
        <f t="shared" si="80"/>
        <v>0</v>
      </c>
      <c r="V106" s="337"/>
      <c r="W106" s="338"/>
      <c r="X106" s="383">
        <f t="shared" si="99"/>
        <v>0</v>
      </c>
      <c r="Y106" s="386">
        <f t="shared" si="100"/>
        <v>0</v>
      </c>
      <c r="Z106" s="534">
        <f t="shared" si="83"/>
        <v>1934</v>
      </c>
      <c r="AA106" s="664">
        <f t="shared" si="101"/>
        <v>0</v>
      </c>
      <c r="AB106" s="665">
        <f t="shared" si="102"/>
        <v>0</v>
      </c>
      <c r="AC106" s="337"/>
      <c r="AD106" s="338"/>
      <c r="AE106" s="383">
        <f t="shared" si="103"/>
        <v>0</v>
      </c>
      <c r="AF106" s="386">
        <f t="shared" si="104"/>
        <v>0</v>
      </c>
      <c r="AG106" s="534">
        <f t="shared" si="84"/>
        <v>1933</v>
      </c>
      <c r="AH106" s="1271">
        <f t="shared" si="105"/>
        <v>0</v>
      </c>
      <c r="AI106" s="1272">
        <f t="shared" si="106"/>
        <v>0</v>
      </c>
      <c r="AJ106" s="337"/>
      <c r="AK106" s="338"/>
      <c r="AL106" s="1271">
        <v>0</v>
      </c>
      <c r="AM106" s="1272">
        <v>0</v>
      </c>
      <c r="AN106" s="414">
        <f t="shared" si="85"/>
        <v>1</v>
      </c>
      <c r="AO106" s="413">
        <f t="shared" si="86"/>
        <v>1</v>
      </c>
      <c r="AP106" s="337"/>
      <c r="AQ106" s="338"/>
      <c r="AR106" s="664">
        <f t="shared" si="119"/>
        <v>0</v>
      </c>
      <c r="AS106" s="679">
        <f t="shared" si="120"/>
        <v>0</v>
      </c>
      <c r="AT106" s="383">
        <f t="shared" si="107"/>
        <v>0</v>
      </c>
      <c r="AU106" s="386">
        <f t="shared" si="108"/>
        <v>0</v>
      </c>
      <c r="AV106" s="534">
        <f t="shared" si="87"/>
        <v>1932</v>
      </c>
      <c r="AW106" s="1271">
        <f t="shared" si="109"/>
        <v>0</v>
      </c>
      <c r="AX106" s="1272">
        <f t="shared" si="110"/>
        <v>0</v>
      </c>
      <c r="AY106" s="337"/>
      <c r="AZ106" s="338"/>
      <c r="BA106" s="1271">
        <v>0</v>
      </c>
      <c r="BB106" s="1272">
        <v>0</v>
      </c>
      <c r="BC106" s="414">
        <f t="shared" si="88"/>
        <v>1</v>
      </c>
      <c r="BD106" s="413">
        <f t="shared" si="89"/>
        <v>1</v>
      </c>
      <c r="BE106" s="337"/>
      <c r="BF106" s="338"/>
      <c r="BG106" s="664">
        <f t="shared" si="121"/>
        <v>0</v>
      </c>
      <c r="BH106" s="679">
        <f t="shared" si="122"/>
        <v>0</v>
      </c>
      <c r="BI106" s="383">
        <f t="shared" si="111"/>
        <v>0</v>
      </c>
      <c r="BJ106" s="386">
        <f t="shared" si="112"/>
        <v>0</v>
      </c>
      <c r="BK106" s="534">
        <f t="shared" si="90"/>
        <v>1931</v>
      </c>
      <c r="BL106" s="1271">
        <f t="shared" si="113"/>
        <v>0</v>
      </c>
      <c r="BM106" s="1272">
        <f t="shared" si="114"/>
        <v>0</v>
      </c>
      <c r="BN106" s="337"/>
      <c r="BO106" s="338"/>
      <c r="BP106" s="1271">
        <v>0</v>
      </c>
      <c r="BQ106" s="1272">
        <v>0</v>
      </c>
      <c r="BR106" s="414">
        <f t="shared" si="91"/>
        <v>1</v>
      </c>
      <c r="BS106" s="413">
        <f t="shared" si="92"/>
        <v>1</v>
      </c>
      <c r="BT106" s="337"/>
      <c r="BU106" s="338"/>
      <c r="BV106" s="664">
        <f t="shared" si="123"/>
        <v>0</v>
      </c>
      <c r="BW106" s="679">
        <f t="shared" si="124"/>
        <v>0</v>
      </c>
      <c r="BX106" s="383">
        <f t="shared" si="115"/>
        <v>0</v>
      </c>
      <c r="BY106" s="386">
        <f t="shared" si="116"/>
        <v>0</v>
      </c>
      <c r="BZ106" s="534">
        <f t="shared" si="93"/>
        <v>1934</v>
      </c>
      <c r="CA106" s="664">
        <f t="shared" si="125"/>
        <v>0</v>
      </c>
      <c r="CB106" s="665">
        <f t="shared" si="126"/>
        <v>0</v>
      </c>
      <c r="CC106" s="684">
        <f>IFERROR(SUMPRODUCT(E$106:E$125,CA$106:CA$125)/SUMPRODUCT(E$106:E$125),0)</f>
        <v>0</v>
      </c>
      <c r="CD106" s="685">
        <f>IFERROR(SUMPRODUCT(F$106:F$125,CB$106:CB$125)/SUMPRODUCT(F$106:F$125),0)</f>
        <v>0</v>
      </c>
      <c r="CE106" s="337"/>
      <c r="CF106" s="338"/>
      <c r="CG106" s="383">
        <f t="shared" si="117"/>
        <v>0</v>
      </c>
      <c r="CH106" s="386">
        <f t="shared" si="118"/>
        <v>0</v>
      </c>
    </row>
    <row r="107" spans="2:86" x14ac:dyDescent="0.2">
      <c r="B107" s="276">
        <v>92</v>
      </c>
      <c r="C107" s="320">
        <f t="shared" si="94"/>
        <v>93</v>
      </c>
      <c r="D107" s="534">
        <f t="shared" si="81"/>
        <v>1933</v>
      </c>
      <c r="E107" s="337"/>
      <c r="F107" s="338"/>
      <c r="G107" s="1271">
        <v>0</v>
      </c>
      <c r="H107" s="1289">
        <v>0</v>
      </c>
      <c r="I107" s="400">
        <f t="shared" si="95"/>
        <v>0</v>
      </c>
      <c r="J107" s="401">
        <f t="shared" si="96"/>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97"/>
        <v>0.91336692928214958</v>
      </c>
      <c r="P107" s="1143">
        <f t="shared" si="98"/>
        <v>0.93007520597671434</v>
      </c>
      <c r="Q107" s="356">
        <f t="shared" si="82"/>
        <v>1933</v>
      </c>
      <c r="R107" s="337"/>
      <c r="S107" s="338"/>
      <c r="T107" s="664">
        <f t="shared" si="79"/>
        <v>0</v>
      </c>
      <c r="U107" s="665">
        <f t="shared" si="80"/>
        <v>0</v>
      </c>
      <c r="V107" s="337"/>
      <c r="W107" s="338"/>
      <c r="X107" s="383">
        <f t="shared" si="99"/>
        <v>0</v>
      </c>
      <c r="Y107" s="386">
        <f t="shared" si="100"/>
        <v>0</v>
      </c>
      <c r="Z107" s="534">
        <f t="shared" si="83"/>
        <v>1933</v>
      </c>
      <c r="AA107" s="664">
        <f t="shared" si="101"/>
        <v>0</v>
      </c>
      <c r="AB107" s="665">
        <f t="shared" si="102"/>
        <v>0</v>
      </c>
      <c r="AC107" s="337"/>
      <c r="AD107" s="338"/>
      <c r="AE107" s="383">
        <f t="shared" si="103"/>
        <v>0</v>
      </c>
      <c r="AF107" s="386">
        <f t="shared" si="104"/>
        <v>0</v>
      </c>
      <c r="AG107" s="534">
        <f t="shared" si="84"/>
        <v>1932</v>
      </c>
      <c r="AH107" s="1271">
        <f t="shared" si="105"/>
        <v>0</v>
      </c>
      <c r="AI107" s="1272">
        <f t="shared" si="106"/>
        <v>0</v>
      </c>
      <c r="AJ107" s="337"/>
      <c r="AK107" s="338"/>
      <c r="AL107" s="1271">
        <v>0</v>
      </c>
      <c r="AM107" s="1272">
        <v>0</v>
      </c>
      <c r="AN107" s="414">
        <f t="shared" si="85"/>
        <v>1</v>
      </c>
      <c r="AO107" s="413">
        <f t="shared" si="86"/>
        <v>1</v>
      </c>
      <c r="AP107" s="337"/>
      <c r="AQ107" s="338"/>
      <c r="AR107" s="664">
        <f t="shared" si="119"/>
        <v>0</v>
      </c>
      <c r="AS107" s="679">
        <f t="shared" si="120"/>
        <v>0</v>
      </c>
      <c r="AT107" s="383">
        <f t="shared" si="107"/>
        <v>0</v>
      </c>
      <c r="AU107" s="386">
        <f t="shared" si="108"/>
        <v>0</v>
      </c>
      <c r="AV107" s="534">
        <f t="shared" si="87"/>
        <v>1931</v>
      </c>
      <c r="AW107" s="1271">
        <f t="shared" si="109"/>
        <v>0</v>
      </c>
      <c r="AX107" s="1272">
        <f t="shared" si="110"/>
        <v>0</v>
      </c>
      <c r="AY107" s="337"/>
      <c r="AZ107" s="338"/>
      <c r="BA107" s="1271">
        <v>0</v>
      </c>
      <c r="BB107" s="1272">
        <v>0</v>
      </c>
      <c r="BC107" s="414">
        <f t="shared" si="88"/>
        <v>1</v>
      </c>
      <c r="BD107" s="413">
        <f t="shared" si="89"/>
        <v>1</v>
      </c>
      <c r="BE107" s="337"/>
      <c r="BF107" s="338"/>
      <c r="BG107" s="664">
        <f t="shared" si="121"/>
        <v>0</v>
      </c>
      <c r="BH107" s="679">
        <f t="shared" si="122"/>
        <v>0</v>
      </c>
      <c r="BI107" s="383">
        <f t="shared" si="111"/>
        <v>0</v>
      </c>
      <c r="BJ107" s="386">
        <f t="shared" si="112"/>
        <v>0</v>
      </c>
      <c r="BK107" s="534">
        <f t="shared" si="90"/>
        <v>1930</v>
      </c>
      <c r="BL107" s="1271">
        <f t="shared" si="113"/>
        <v>0</v>
      </c>
      <c r="BM107" s="1272">
        <f t="shared" si="114"/>
        <v>0</v>
      </c>
      <c r="BN107" s="337"/>
      <c r="BO107" s="338"/>
      <c r="BP107" s="1271">
        <v>0</v>
      </c>
      <c r="BQ107" s="1272">
        <v>0</v>
      </c>
      <c r="BR107" s="414">
        <f t="shared" si="91"/>
        <v>1</v>
      </c>
      <c r="BS107" s="413">
        <f t="shared" si="92"/>
        <v>1</v>
      </c>
      <c r="BT107" s="337"/>
      <c r="BU107" s="338"/>
      <c r="BV107" s="664">
        <f t="shared" si="123"/>
        <v>0</v>
      </c>
      <c r="BW107" s="679">
        <f t="shared" si="124"/>
        <v>0</v>
      </c>
      <c r="BX107" s="383">
        <f t="shared" si="115"/>
        <v>0</v>
      </c>
      <c r="BY107" s="386">
        <f t="shared" si="116"/>
        <v>0</v>
      </c>
      <c r="BZ107" s="534">
        <f t="shared" si="93"/>
        <v>1933</v>
      </c>
      <c r="CA107" s="664">
        <f t="shared" si="125"/>
        <v>0</v>
      </c>
      <c r="CB107" s="665">
        <f t="shared" si="126"/>
        <v>0</v>
      </c>
      <c r="CC107" s="684">
        <f t="shared" ref="CC107:CC125" si="129">IFERROR(SUMPRODUCT(E$106:E$125,CA$106:CA$125)/SUMPRODUCT(E$106:E$125),0)</f>
        <v>0</v>
      </c>
      <c r="CD107" s="685">
        <f t="shared" ref="CD107:CD125" si="130">IFERROR(SUMPRODUCT(F$106:F$125,CB$106:CB$125)/SUMPRODUCT(F$106:F$125),0)</f>
        <v>0</v>
      </c>
      <c r="CE107" s="337"/>
      <c r="CF107" s="338"/>
      <c r="CG107" s="383">
        <f t="shared" si="117"/>
        <v>0</v>
      </c>
      <c r="CH107" s="386">
        <f t="shared" si="118"/>
        <v>0</v>
      </c>
    </row>
    <row r="108" spans="2:86" x14ac:dyDescent="0.2">
      <c r="B108" s="276">
        <v>93</v>
      </c>
      <c r="C108" s="320">
        <f t="shared" si="94"/>
        <v>94</v>
      </c>
      <c r="D108" s="534">
        <f t="shared" si="81"/>
        <v>1932</v>
      </c>
      <c r="E108" s="337"/>
      <c r="F108" s="338"/>
      <c r="G108" s="1271">
        <v>0</v>
      </c>
      <c r="H108" s="1289">
        <v>0</v>
      </c>
      <c r="I108" s="400">
        <f t="shared" si="95"/>
        <v>0</v>
      </c>
      <c r="J108" s="401">
        <f t="shared" si="96"/>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97"/>
        <v>0.90293577500787614</v>
      </c>
      <c r="P108" s="1143">
        <f t="shared" si="98"/>
        <v>0.92078973896251737</v>
      </c>
      <c r="Q108" s="356">
        <f t="shared" si="82"/>
        <v>1932</v>
      </c>
      <c r="R108" s="337"/>
      <c r="S108" s="338"/>
      <c r="T108" s="664">
        <f t="shared" si="79"/>
        <v>0</v>
      </c>
      <c r="U108" s="665">
        <f t="shared" si="80"/>
        <v>0</v>
      </c>
      <c r="V108" s="337"/>
      <c r="W108" s="338"/>
      <c r="X108" s="383">
        <f t="shared" si="99"/>
        <v>0</v>
      </c>
      <c r="Y108" s="386">
        <f t="shared" si="100"/>
        <v>0</v>
      </c>
      <c r="Z108" s="534">
        <f t="shared" si="83"/>
        <v>1932</v>
      </c>
      <c r="AA108" s="664">
        <f t="shared" si="101"/>
        <v>0</v>
      </c>
      <c r="AB108" s="665">
        <f t="shared" si="102"/>
        <v>0</v>
      </c>
      <c r="AC108" s="337"/>
      <c r="AD108" s="338"/>
      <c r="AE108" s="383">
        <f t="shared" si="103"/>
        <v>0</v>
      </c>
      <c r="AF108" s="386">
        <f t="shared" si="104"/>
        <v>0</v>
      </c>
      <c r="AG108" s="534">
        <f t="shared" si="84"/>
        <v>1931</v>
      </c>
      <c r="AH108" s="1271">
        <f t="shared" si="105"/>
        <v>0</v>
      </c>
      <c r="AI108" s="1272">
        <f t="shared" si="106"/>
        <v>0</v>
      </c>
      <c r="AJ108" s="337"/>
      <c r="AK108" s="338"/>
      <c r="AL108" s="1271">
        <v>0</v>
      </c>
      <c r="AM108" s="1272">
        <v>0</v>
      </c>
      <c r="AN108" s="414">
        <f t="shared" si="85"/>
        <v>1</v>
      </c>
      <c r="AO108" s="413">
        <f t="shared" si="86"/>
        <v>1</v>
      </c>
      <c r="AP108" s="337"/>
      <c r="AQ108" s="338"/>
      <c r="AR108" s="664">
        <f t="shared" si="119"/>
        <v>0</v>
      </c>
      <c r="AS108" s="679">
        <f t="shared" si="120"/>
        <v>0</v>
      </c>
      <c r="AT108" s="383">
        <f t="shared" si="107"/>
        <v>0</v>
      </c>
      <c r="AU108" s="386">
        <f t="shared" si="108"/>
        <v>0</v>
      </c>
      <c r="AV108" s="534">
        <f t="shared" si="87"/>
        <v>1930</v>
      </c>
      <c r="AW108" s="1271">
        <f t="shared" si="109"/>
        <v>0</v>
      </c>
      <c r="AX108" s="1272">
        <f t="shared" si="110"/>
        <v>0</v>
      </c>
      <c r="AY108" s="337"/>
      <c r="AZ108" s="338"/>
      <c r="BA108" s="1271">
        <v>0</v>
      </c>
      <c r="BB108" s="1272">
        <v>0</v>
      </c>
      <c r="BC108" s="414">
        <f t="shared" si="88"/>
        <v>1</v>
      </c>
      <c r="BD108" s="413">
        <f t="shared" si="89"/>
        <v>1</v>
      </c>
      <c r="BE108" s="337"/>
      <c r="BF108" s="338"/>
      <c r="BG108" s="664">
        <f t="shared" si="121"/>
        <v>0</v>
      </c>
      <c r="BH108" s="679">
        <f t="shared" si="122"/>
        <v>0</v>
      </c>
      <c r="BI108" s="383">
        <f t="shared" si="111"/>
        <v>0</v>
      </c>
      <c r="BJ108" s="386">
        <f t="shared" si="112"/>
        <v>0</v>
      </c>
      <c r="BK108" s="534">
        <f t="shared" si="90"/>
        <v>1929</v>
      </c>
      <c r="BL108" s="1271">
        <f t="shared" si="113"/>
        <v>0</v>
      </c>
      <c r="BM108" s="1272">
        <f t="shared" si="114"/>
        <v>0</v>
      </c>
      <c r="BN108" s="337"/>
      <c r="BO108" s="338"/>
      <c r="BP108" s="1271">
        <v>0</v>
      </c>
      <c r="BQ108" s="1272">
        <v>0</v>
      </c>
      <c r="BR108" s="414">
        <f t="shared" si="91"/>
        <v>1</v>
      </c>
      <c r="BS108" s="413">
        <f t="shared" si="92"/>
        <v>1</v>
      </c>
      <c r="BT108" s="337"/>
      <c r="BU108" s="338"/>
      <c r="BV108" s="664">
        <f t="shared" si="123"/>
        <v>0</v>
      </c>
      <c r="BW108" s="679">
        <f t="shared" si="124"/>
        <v>0</v>
      </c>
      <c r="BX108" s="383">
        <f t="shared" si="115"/>
        <v>0</v>
      </c>
      <c r="BY108" s="386">
        <f t="shared" si="116"/>
        <v>0</v>
      </c>
      <c r="BZ108" s="534">
        <f t="shared" si="93"/>
        <v>1932</v>
      </c>
      <c r="CA108" s="664">
        <f t="shared" si="125"/>
        <v>0</v>
      </c>
      <c r="CB108" s="665">
        <f t="shared" si="126"/>
        <v>0</v>
      </c>
      <c r="CC108" s="684">
        <f t="shared" si="129"/>
        <v>0</v>
      </c>
      <c r="CD108" s="685">
        <f t="shared" si="130"/>
        <v>0</v>
      </c>
      <c r="CE108" s="337"/>
      <c r="CF108" s="338"/>
      <c r="CG108" s="383">
        <f t="shared" si="117"/>
        <v>0</v>
      </c>
      <c r="CH108" s="386">
        <f t="shared" si="118"/>
        <v>0</v>
      </c>
    </row>
    <row r="109" spans="2:86" x14ac:dyDescent="0.2">
      <c r="B109" s="276">
        <v>94</v>
      </c>
      <c r="C109" s="320">
        <f t="shared" si="94"/>
        <v>95</v>
      </c>
      <c r="D109" s="534">
        <f t="shared" si="81"/>
        <v>1931</v>
      </c>
      <c r="E109" s="337"/>
      <c r="F109" s="338"/>
      <c r="G109" s="1271">
        <v>0</v>
      </c>
      <c r="H109" s="1289">
        <v>0</v>
      </c>
      <c r="I109" s="400">
        <f t="shared" si="95"/>
        <v>0</v>
      </c>
      <c r="J109" s="401">
        <f t="shared" si="96"/>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97"/>
        <v>0.89194275323465322</v>
      </c>
      <c r="P109" s="1143">
        <f t="shared" si="98"/>
        <v>0.91122588066828836</v>
      </c>
      <c r="Q109" s="356">
        <f t="shared" si="82"/>
        <v>1931</v>
      </c>
      <c r="R109" s="337"/>
      <c r="S109" s="338"/>
      <c r="T109" s="664">
        <f t="shared" si="79"/>
        <v>0</v>
      </c>
      <c r="U109" s="665">
        <f t="shared" si="80"/>
        <v>0</v>
      </c>
      <c r="V109" s="337"/>
      <c r="W109" s="338"/>
      <c r="X109" s="383">
        <f t="shared" si="99"/>
        <v>0</v>
      </c>
      <c r="Y109" s="386">
        <f t="shared" si="100"/>
        <v>0</v>
      </c>
      <c r="Z109" s="534">
        <f t="shared" si="83"/>
        <v>1931</v>
      </c>
      <c r="AA109" s="664">
        <f t="shared" si="101"/>
        <v>0</v>
      </c>
      <c r="AB109" s="665">
        <f t="shared" si="102"/>
        <v>0</v>
      </c>
      <c r="AC109" s="337"/>
      <c r="AD109" s="338"/>
      <c r="AE109" s="383">
        <f t="shared" si="103"/>
        <v>0</v>
      </c>
      <c r="AF109" s="386">
        <f t="shared" si="104"/>
        <v>0</v>
      </c>
      <c r="AG109" s="534">
        <f t="shared" si="84"/>
        <v>1930</v>
      </c>
      <c r="AH109" s="1271">
        <f t="shared" si="105"/>
        <v>0</v>
      </c>
      <c r="AI109" s="1272">
        <f t="shared" si="106"/>
        <v>0</v>
      </c>
      <c r="AJ109" s="337"/>
      <c r="AK109" s="338"/>
      <c r="AL109" s="1271">
        <v>0</v>
      </c>
      <c r="AM109" s="1272">
        <v>0</v>
      </c>
      <c r="AN109" s="414">
        <f t="shared" si="85"/>
        <v>1</v>
      </c>
      <c r="AO109" s="413">
        <f t="shared" si="86"/>
        <v>1</v>
      </c>
      <c r="AP109" s="337"/>
      <c r="AQ109" s="338"/>
      <c r="AR109" s="664">
        <f t="shared" si="119"/>
        <v>0</v>
      </c>
      <c r="AS109" s="679">
        <f t="shared" si="120"/>
        <v>0</v>
      </c>
      <c r="AT109" s="383">
        <f t="shared" si="107"/>
        <v>0</v>
      </c>
      <c r="AU109" s="386">
        <f t="shared" si="108"/>
        <v>0</v>
      </c>
      <c r="AV109" s="534">
        <f t="shared" si="87"/>
        <v>1929</v>
      </c>
      <c r="AW109" s="1271">
        <f t="shared" si="109"/>
        <v>0</v>
      </c>
      <c r="AX109" s="1272">
        <f t="shared" si="110"/>
        <v>0</v>
      </c>
      <c r="AY109" s="337"/>
      <c r="AZ109" s="338"/>
      <c r="BA109" s="1271">
        <v>0</v>
      </c>
      <c r="BB109" s="1272">
        <v>0</v>
      </c>
      <c r="BC109" s="414">
        <f t="shared" si="88"/>
        <v>1</v>
      </c>
      <c r="BD109" s="413">
        <f t="shared" si="89"/>
        <v>1</v>
      </c>
      <c r="BE109" s="337"/>
      <c r="BF109" s="338"/>
      <c r="BG109" s="664">
        <f t="shared" si="121"/>
        <v>0</v>
      </c>
      <c r="BH109" s="679">
        <f t="shared" si="122"/>
        <v>0</v>
      </c>
      <c r="BI109" s="383">
        <f t="shared" si="111"/>
        <v>0</v>
      </c>
      <c r="BJ109" s="386">
        <f t="shared" si="112"/>
        <v>0</v>
      </c>
      <c r="BK109" s="534">
        <f t="shared" si="90"/>
        <v>1928</v>
      </c>
      <c r="BL109" s="1271">
        <f t="shared" si="113"/>
        <v>0</v>
      </c>
      <c r="BM109" s="1272">
        <f t="shared" si="114"/>
        <v>0</v>
      </c>
      <c r="BN109" s="337"/>
      <c r="BO109" s="338"/>
      <c r="BP109" s="1271">
        <v>0</v>
      </c>
      <c r="BQ109" s="1272">
        <v>0</v>
      </c>
      <c r="BR109" s="414">
        <f t="shared" si="91"/>
        <v>1</v>
      </c>
      <c r="BS109" s="413">
        <f t="shared" si="92"/>
        <v>1</v>
      </c>
      <c r="BT109" s="337"/>
      <c r="BU109" s="338"/>
      <c r="BV109" s="664">
        <f t="shared" si="123"/>
        <v>0</v>
      </c>
      <c r="BW109" s="679">
        <f t="shared" si="124"/>
        <v>0</v>
      </c>
      <c r="BX109" s="383">
        <f t="shared" si="115"/>
        <v>0</v>
      </c>
      <c r="BY109" s="386">
        <f t="shared" si="116"/>
        <v>0</v>
      </c>
      <c r="BZ109" s="534">
        <f t="shared" si="93"/>
        <v>1931</v>
      </c>
      <c r="CA109" s="664">
        <f t="shared" si="125"/>
        <v>0</v>
      </c>
      <c r="CB109" s="665">
        <f t="shared" si="126"/>
        <v>0</v>
      </c>
      <c r="CC109" s="684">
        <f t="shared" si="129"/>
        <v>0</v>
      </c>
      <c r="CD109" s="685">
        <f t="shared" si="130"/>
        <v>0</v>
      </c>
      <c r="CE109" s="337"/>
      <c r="CF109" s="338"/>
      <c r="CG109" s="383">
        <f t="shared" si="117"/>
        <v>0</v>
      </c>
      <c r="CH109" s="386">
        <f t="shared" si="118"/>
        <v>0</v>
      </c>
    </row>
    <row r="110" spans="2:86" x14ac:dyDescent="0.2">
      <c r="B110" s="276">
        <v>95</v>
      </c>
      <c r="C110" s="320">
        <f t="shared" si="94"/>
        <v>96</v>
      </c>
      <c r="D110" s="534">
        <f t="shared" si="81"/>
        <v>1930</v>
      </c>
      <c r="E110" s="337"/>
      <c r="F110" s="338"/>
      <c r="G110" s="1271">
        <v>0</v>
      </c>
      <c r="H110" s="1289">
        <v>0</v>
      </c>
      <c r="I110" s="400">
        <f t="shared" si="95"/>
        <v>0</v>
      </c>
      <c r="J110" s="401">
        <f t="shared" si="96"/>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97"/>
        <v>0.88050961351928381</v>
      </c>
      <c r="P110" s="1143">
        <f t="shared" si="98"/>
        <v>0.90154856786837811</v>
      </c>
      <c r="Q110" s="356">
        <f t="shared" si="82"/>
        <v>1930</v>
      </c>
      <c r="R110" s="337"/>
      <c r="S110" s="338"/>
      <c r="T110" s="664">
        <f t="shared" ref="T110:T125" si="131">IF(E110&gt;0,R110/E110,0)</f>
        <v>0</v>
      </c>
      <c r="U110" s="665">
        <f t="shared" ref="U110:U125" si="132">IF(F110&gt;0,S110/F110,0)</f>
        <v>0</v>
      </c>
      <c r="V110" s="337"/>
      <c r="W110" s="338"/>
      <c r="X110" s="383">
        <f t="shared" si="99"/>
        <v>0</v>
      </c>
      <c r="Y110" s="386">
        <f t="shared" si="100"/>
        <v>0</v>
      </c>
      <c r="Z110" s="534">
        <f t="shared" si="83"/>
        <v>1930</v>
      </c>
      <c r="AA110" s="664">
        <f t="shared" si="101"/>
        <v>0</v>
      </c>
      <c r="AB110" s="665">
        <f t="shared" si="102"/>
        <v>0</v>
      </c>
      <c r="AC110" s="337"/>
      <c r="AD110" s="338"/>
      <c r="AE110" s="383">
        <f t="shared" si="103"/>
        <v>0</v>
      </c>
      <c r="AF110" s="386">
        <f t="shared" si="104"/>
        <v>0</v>
      </c>
      <c r="AG110" s="534">
        <f t="shared" si="84"/>
        <v>1929</v>
      </c>
      <c r="AH110" s="1271">
        <f t="shared" si="105"/>
        <v>0</v>
      </c>
      <c r="AI110" s="1272">
        <f t="shared" si="106"/>
        <v>0</v>
      </c>
      <c r="AJ110" s="337"/>
      <c r="AK110" s="338"/>
      <c r="AL110" s="1271">
        <v>0</v>
      </c>
      <c r="AM110" s="1272">
        <v>0</v>
      </c>
      <c r="AN110" s="414">
        <f t="shared" si="85"/>
        <v>1</v>
      </c>
      <c r="AO110" s="413">
        <f t="shared" si="86"/>
        <v>1</v>
      </c>
      <c r="AP110" s="337"/>
      <c r="AQ110" s="338"/>
      <c r="AR110" s="664">
        <f t="shared" si="119"/>
        <v>0</v>
      </c>
      <c r="AS110" s="679">
        <f t="shared" si="120"/>
        <v>0</v>
      </c>
      <c r="AT110" s="383">
        <f t="shared" si="107"/>
        <v>0</v>
      </c>
      <c r="AU110" s="386">
        <f t="shared" si="108"/>
        <v>0</v>
      </c>
      <c r="AV110" s="534">
        <f t="shared" si="87"/>
        <v>1928</v>
      </c>
      <c r="AW110" s="1271">
        <f t="shared" si="109"/>
        <v>0</v>
      </c>
      <c r="AX110" s="1272">
        <f t="shared" si="110"/>
        <v>0</v>
      </c>
      <c r="AY110" s="337"/>
      <c r="AZ110" s="338"/>
      <c r="BA110" s="1271">
        <v>0</v>
      </c>
      <c r="BB110" s="1272">
        <v>0</v>
      </c>
      <c r="BC110" s="414">
        <f t="shared" si="88"/>
        <v>1</v>
      </c>
      <c r="BD110" s="413">
        <f t="shared" si="89"/>
        <v>1</v>
      </c>
      <c r="BE110" s="337"/>
      <c r="BF110" s="338"/>
      <c r="BG110" s="664">
        <f t="shared" si="121"/>
        <v>0</v>
      </c>
      <c r="BH110" s="679">
        <f t="shared" si="122"/>
        <v>0</v>
      </c>
      <c r="BI110" s="383">
        <f t="shared" si="111"/>
        <v>0</v>
      </c>
      <c r="BJ110" s="386">
        <f t="shared" si="112"/>
        <v>0</v>
      </c>
      <c r="BK110" s="534">
        <f t="shared" si="90"/>
        <v>1927</v>
      </c>
      <c r="BL110" s="1271">
        <f t="shared" si="113"/>
        <v>0</v>
      </c>
      <c r="BM110" s="1272">
        <f t="shared" si="114"/>
        <v>0</v>
      </c>
      <c r="BN110" s="337"/>
      <c r="BO110" s="338"/>
      <c r="BP110" s="1271">
        <v>0</v>
      </c>
      <c r="BQ110" s="1272">
        <v>0</v>
      </c>
      <c r="BR110" s="414">
        <f t="shared" si="91"/>
        <v>1</v>
      </c>
      <c r="BS110" s="413">
        <f t="shared" si="92"/>
        <v>1</v>
      </c>
      <c r="BT110" s="337"/>
      <c r="BU110" s="338"/>
      <c r="BV110" s="664">
        <f t="shared" si="123"/>
        <v>0</v>
      </c>
      <c r="BW110" s="679">
        <f t="shared" si="124"/>
        <v>0</v>
      </c>
      <c r="BX110" s="383">
        <f t="shared" si="115"/>
        <v>0</v>
      </c>
      <c r="BY110" s="386">
        <f t="shared" si="116"/>
        <v>0</v>
      </c>
      <c r="BZ110" s="534">
        <f t="shared" si="93"/>
        <v>1930</v>
      </c>
      <c r="CA110" s="664">
        <f t="shared" si="125"/>
        <v>0</v>
      </c>
      <c r="CB110" s="665">
        <f t="shared" si="126"/>
        <v>0</v>
      </c>
      <c r="CC110" s="684">
        <f t="shared" si="129"/>
        <v>0</v>
      </c>
      <c r="CD110" s="685">
        <f t="shared" si="130"/>
        <v>0</v>
      </c>
      <c r="CE110" s="337"/>
      <c r="CF110" s="338"/>
      <c r="CG110" s="383">
        <f t="shared" si="117"/>
        <v>0</v>
      </c>
      <c r="CH110" s="386">
        <f t="shared" si="118"/>
        <v>0</v>
      </c>
    </row>
    <row r="111" spans="2:86" x14ac:dyDescent="0.2">
      <c r="B111" s="276">
        <v>96</v>
      </c>
      <c r="C111" s="320">
        <f t="shared" si="94"/>
        <v>97</v>
      </c>
      <c r="D111" s="534">
        <f t="shared" ref="D111:D125" si="133">HE_CY-$B111</f>
        <v>1929</v>
      </c>
      <c r="E111" s="337"/>
      <c r="F111" s="338"/>
      <c r="G111" s="1271">
        <v>0</v>
      </c>
      <c r="H111" s="1289">
        <v>0</v>
      </c>
      <c r="I111" s="400">
        <f t="shared" si="95"/>
        <v>0</v>
      </c>
      <c r="J111" s="401">
        <f t="shared" si="96"/>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97"/>
        <v>0.86874488303170483</v>
      </c>
      <c r="P111" s="1143">
        <f t="shared" si="98"/>
        <v>0.89178542868533983</v>
      </c>
      <c r="Q111" s="356">
        <f t="shared" ref="Q111:Q125" si="134">HE_CY-$B111</f>
        <v>1929</v>
      </c>
      <c r="R111" s="337"/>
      <c r="S111" s="338"/>
      <c r="T111" s="664">
        <f t="shared" si="131"/>
        <v>0</v>
      </c>
      <c r="U111" s="665">
        <f t="shared" si="132"/>
        <v>0</v>
      </c>
      <c r="V111" s="337"/>
      <c r="W111" s="338"/>
      <c r="X111" s="383">
        <f t="shared" si="99"/>
        <v>0</v>
      </c>
      <c r="Y111" s="386">
        <f t="shared" si="100"/>
        <v>0</v>
      </c>
      <c r="Z111" s="534">
        <f t="shared" ref="Z111:Z125" si="135">HE_CY-$B111</f>
        <v>1929</v>
      </c>
      <c r="AA111" s="664">
        <f t="shared" si="101"/>
        <v>0</v>
      </c>
      <c r="AB111" s="665">
        <f t="shared" si="102"/>
        <v>0</v>
      </c>
      <c r="AC111" s="337"/>
      <c r="AD111" s="338"/>
      <c r="AE111" s="383">
        <f t="shared" si="103"/>
        <v>0</v>
      </c>
      <c r="AF111" s="386">
        <f t="shared" si="104"/>
        <v>0</v>
      </c>
      <c r="AG111" s="534">
        <f t="shared" ref="AG111:AG125" si="136">HE_PY1-$B111</f>
        <v>1928</v>
      </c>
      <c r="AH111" s="1271">
        <f t="shared" si="105"/>
        <v>0</v>
      </c>
      <c r="AI111" s="1272">
        <f t="shared" si="106"/>
        <v>0</v>
      </c>
      <c r="AJ111" s="337"/>
      <c r="AK111" s="338"/>
      <c r="AL111" s="1271">
        <v>0</v>
      </c>
      <c r="AM111" s="1272">
        <v>0</v>
      </c>
      <c r="AN111" s="414">
        <f t="shared" si="85"/>
        <v>1</v>
      </c>
      <c r="AO111" s="413">
        <f t="shared" si="86"/>
        <v>1</v>
      </c>
      <c r="AP111" s="337"/>
      <c r="AQ111" s="338"/>
      <c r="AR111" s="664">
        <f t="shared" si="119"/>
        <v>0</v>
      </c>
      <c r="AS111" s="679">
        <f t="shared" si="120"/>
        <v>0</v>
      </c>
      <c r="AT111" s="383">
        <f t="shared" si="107"/>
        <v>0</v>
      </c>
      <c r="AU111" s="386">
        <f t="shared" si="108"/>
        <v>0</v>
      </c>
      <c r="AV111" s="534">
        <f t="shared" ref="AV111:AV125" si="137">HE_PY2-$B111</f>
        <v>1927</v>
      </c>
      <c r="AW111" s="1271">
        <f t="shared" si="109"/>
        <v>0</v>
      </c>
      <c r="AX111" s="1272">
        <f t="shared" si="110"/>
        <v>0</v>
      </c>
      <c r="AY111" s="337"/>
      <c r="AZ111" s="338"/>
      <c r="BA111" s="1271">
        <v>0</v>
      </c>
      <c r="BB111" s="1272">
        <v>0</v>
      </c>
      <c r="BC111" s="414">
        <f t="shared" si="88"/>
        <v>1</v>
      </c>
      <c r="BD111" s="413">
        <f t="shared" si="89"/>
        <v>1</v>
      </c>
      <c r="BE111" s="337"/>
      <c r="BF111" s="338"/>
      <c r="BG111" s="664">
        <f t="shared" si="121"/>
        <v>0</v>
      </c>
      <c r="BH111" s="679">
        <f t="shared" si="122"/>
        <v>0</v>
      </c>
      <c r="BI111" s="383">
        <f t="shared" si="111"/>
        <v>0</v>
      </c>
      <c r="BJ111" s="386">
        <f t="shared" si="112"/>
        <v>0</v>
      </c>
      <c r="BK111" s="534">
        <f t="shared" ref="BK111:BK125" si="138">HE_PY3-$B111</f>
        <v>1926</v>
      </c>
      <c r="BL111" s="1271">
        <f t="shared" si="113"/>
        <v>0</v>
      </c>
      <c r="BM111" s="1272">
        <f t="shared" si="114"/>
        <v>0</v>
      </c>
      <c r="BN111" s="337"/>
      <c r="BO111" s="338"/>
      <c r="BP111" s="1271">
        <v>0</v>
      </c>
      <c r="BQ111" s="1272">
        <v>0</v>
      </c>
      <c r="BR111" s="414">
        <f t="shared" si="91"/>
        <v>1</v>
      </c>
      <c r="BS111" s="413">
        <f t="shared" si="92"/>
        <v>1</v>
      </c>
      <c r="BT111" s="337"/>
      <c r="BU111" s="338"/>
      <c r="BV111" s="664">
        <f t="shared" si="123"/>
        <v>0</v>
      </c>
      <c r="BW111" s="679">
        <f t="shared" si="124"/>
        <v>0</v>
      </c>
      <c r="BX111" s="383">
        <f t="shared" si="115"/>
        <v>0</v>
      </c>
      <c r="BY111" s="386">
        <f t="shared" si="116"/>
        <v>0</v>
      </c>
      <c r="BZ111" s="534">
        <f t="shared" si="93"/>
        <v>1929</v>
      </c>
      <c r="CA111" s="664">
        <f t="shared" si="125"/>
        <v>0</v>
      </c>
      <c r="CB111" s="665">
        <f t="shared" si="126"/>
        <v>0</v>
      </c>
      <c r="CC111" s="684">
        <f t="shared" si="129"/>
        <v>0</v>
      </c>
      <c r="CD111" s="685">
        <f t="shared" si="130"/>
        <v>0</v>
      </c>
      <c r="CE111" s="337"/>
      <c r="CF111" s="338"/>
      <c r="CG111" s="383">
        <f t="shared" si="117"/>
        <v>0</v>
      </c>
      <c r="CH111" s="386">
        <f t="shared" si="118"/>
        <v>0</v>
      </c>
    </row>
    <row r="112" spans="2:86" x14ac:dyDescent="0.2">
      <c r="B112" s="276">
        <v>97</v>
      </c>
      <c r="C112" s="320">
        <f t="shared" si="94"/>
        <v>98</v>
      </c>
      <c r="D112" s="534">
        <f t="shared" si="133"/>
        <v>1928</v>
      </c>
      <c r="E112" s="337"/>
      <c r="F112" s="338"/>
      <c r="G112" s="1271">
        <v>0</v>
      </c>
      <c r="H112" s="1289">
        <v>0</v>
      </c>
      <c r="I112" s="400">
        <f t="shared" ref="I112:I125" si="139">E112-G112</f>
        <v>0</v>
      </c>
      <c r="J112" s="401">
        <f t="shared" si="96"/>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97"/>
        <v>0.85678388491415702</v>
      </c>
      <c r="P112" s="1143">
        <f t="shared" si="98"/>
        <v>0.88188883135922025</v>
      </c>
      <c r="Q112" s="356">
        <f t="shared" si="134"/>
        <v>1928</v>
      </c>
      <c r="R112" s="337"/>
      <c r="S112" s="338"/>
      <c r="T112" s="664">
        <f t="shared" si="131"/>
        <v>0</v>
      </c>
      <c r="U112" s="665">
        <f t="shared" si="132"/>
        <v>0</v>
      </c>
      <c r="V112" s="337"/>
      <c r="W112" s="338"/>
      <c r="X112" s="383">
        <f t="shared" si="99"/>
        <v>0</v>
      </c>
      <c r="Y112" s="386">
        <f t="shared" si="100"/>
        <v>0</v>
      </c>
      <c r="Z112" s="534">
        <f t="shared" si="135"/>
        <v>1928</v>
      </c>
      <c r="AA112" s="664">
        <f t="shared" si="101"/>
        <v>0</v>
      </c>
      <c r="AB112" s="665">
        <f t="shared" si="102"/>
        <v>0</v>
      </c>
      <c r="AC112" s="337"/>
      <c r="AD112" s="338"/>
      <c r="AE112" s="383">
        <f t="shared" si="103"/>
        <v>0</v>
      </c>
      <c r="AF112" s="386">
        <f t="shared" si="104"/>
        <v>0</v>
      </c>
      <c r="AG112" s="534">
        <f t="shared" si="136"/>
        <v>1927</v>
      </c>
      <c r="AH112" s="1271">
        <f t="shared" si="105"/>
        <v>0</v>
      </c>
      <c r="AI112" s="1272">
        <f t="shared" si="106"/>
        <v>0</v>
      </c>
      <c r="AJ112" s="337"/>
      <c r="AK112" s="338"/>
      <c r="AL112" s="1271">
        <v>0</v>
      </c>
      <c r="AM112" s="1272">
        <v>0</v>
      </c>
      <c r="AN112" s="414">
        <f t="shared" si="85"/>
        <v>1</v>
      </c>
      <c r="AO112" s="413">
        <f t="shared" si="86"/>
        <v>1</v>
      </c>
      <c r="AP112" s="337"/>
      <c r="AQ112" s="338"/>
      <c r="AR112" s="664">
        <f t="shared" si="119"/>
        <v>0</v>
      </c>
      <c r="AS112" s="679">
        <f t="shared" si="120"/>
        <v>0</v>
      </c>
      <c r="AT112" s="383">
        <f t="shared" si="107"/>
        <v>0</v>
      </c>
      <c r="AU112" s="386">
        <f t="shared" si="108"/>
        <v>0</v>
      </c>
      <c r="AV112" s="534">
        <f t="shared" si="137"/>
        <v>1926</v>
      </c>
      <c r="AW112" s="1271">
        <f t="shared" si="109"/>
        <v>0</v>
      </c>
      <c r="AX112" s="1272">
        <f t="shared" si="110"/>
        <v>0</v>
      </c>
      <c r="AY112" s="337"/>
      <c r="AZ112" s="338"/>
      <c r="BA112" s="1271">
        <v>0</v>
      </c>
      <c r="BB112" s="1272">
        <v>0</v>
      </c>
      <c r="BC112" s="414">
        <f t="shared" si="88"/>
        <v>1</v>
      </c>
      <c r="BD112" s="413">
        <f t="shared" si="89"/>
        <v>1</v>
      </c>
      <c r="BE112" s="337"/>
      <c r="BF112" s="338"/>
      <c r="BG112" s="664">
        <f t="shared" si="121"/>
        <v>0</v>
      </c>
      <c r="BH112" s="679">
        <f t="shared" si="122"/>
        <v>0</v>
      </c>
      <c r="BI112" s="383">
        <f t="shared" si="111"/>
        <v>0</v>
      </c>
      <c r="BJ112" s="386">
        <f t="shared" si="112"/>
        <v>0</v>
      </c>
      <c r="BK112" s="534">
        <f t="shared" si="138"/>
        <v>1925</v>
      </c>
      <c r="BL112" s="1271">
        <f t="shared" si="113"/>
        <v>0</v>
      </c>
      <c r="BM112" s="1272">
        <f t="shared" si="114"/>
        <v>0</v>
      </c>
      <c r="BN112" s="337"/>
      <c r="BO112" s="338"/>
      <c r="BP112" s="1271">
        <v>0</v>
      </c>
      <c r="BQ112" s="1272">
        <v>0</v>
      </c>
      <c r="BR112" s="414">
        <f t="shared" si="91"/>
        <v>1</v>
      </c>
      <c r="BS112" s="413">
        <f t="shared" si="92"/>
        <v>1</v>
      </c>
      <c r="BT112" s="337"/>
      <c r="BU112" s="338"/>
      <c r="BV112" s="664">
        <f t="shared" si="123"/>
        <v>0</v>
      </c>
      <c r="BW112" s="679">
        <f t="shared" si="124"/>
        <v>0</v>
      </c>
      <c r="BX112" s="383">
        <f t="shared" si="115"/>
        <v>0</v>
      </c>
      <c r="BY112" s="386">
        <f t="shared" si="116"/>
        <v>0</v>
      </c>
      <c r="BZ112" s="534">
        <f t="shared" si="93"/>
        <v>1928</v>
      </c>
      <c r="CA112" s="664">
        <f t="shared" si="125"/>
        <v>0</v>
      </c>
      <c r="CB112" s="665">
        <f t="shared" si="126"/>
        <v>0</v>
      </c>
      <c r="CC112" s="684">
        <f t="shared" si="129"/>
        <v>0</v>
      </c>
      <c r="CD112" s="685">
        <f t="shared" si="130"/>
        <v>0</v>
      </c>
      <c r="CE112" s="337"/>
      <c r="CF112" s="338"/>
      <c r="CG112" s="383">
        <f t="shared" si="117"/>
        <v>0</v>
      </c>
      <c r="CH112" s="386">
        <f t="shared" si="118"/>
        <v>0</v>
      </c>
    </row>
    <row r="113" spans="2:86" x14ac:dyDescent="0.2">
      <c r="B113" s="276">
        <v>98</v>
      </c>
      <c r="C113" s="320">
        <f t="shared" si="94"/>
        <v>99</v>
      </c>
      <c r="D113" s="534">
        <f t="shared" si="133"/>
        <v>1927</v>
      </c>
      <c r="E113" s="337"/>
      <c r="F113" s="338"/>
      <c r="G113" s="1271">
        <v>0</v>
      </c>
      <c r="H113" s="1289">
        <v>0</v>
      </c>
      <c r="I113" s="400">
        <f t="shared" si="139"/>
        <v>0</v>
      </c>
      <c r="J113" s="401">
        <f t="shared" si="96"/>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97"/>
        <v>0.84479761462593328</v>
      </c>
      <c r="P113" s="1143">
        <f t="shared" si="98"/>
        <v>0.87175385711885811</v>
      </c>
      <c r="Q113" s="356">
        <f t="shared" si="134"/>
        <v>1927</v>
      </c>
      <c r="R113" s="337"/>
      <c r="S113" s="338"/>
      <c r="T113" s="664">
        <f t="shared" si="131"/>
        <v>0</v>
      </c>
      <c r="U113" s="665">
        <f t="shared" si="132"/>
        <v>0</v>
      </c>
      <c r="V113" s="337"/>
      <c r="W113" s="338"/>
      <c r="X113" s="383">
        <f t="shared" si="99"/>
        <v>0</v>
      </c>
      <c r="Y113" s="386">
        <f t="shared" si="100"/>
        <v>0</v>
      </c>
      <c r="Z113" s="534">
        <f t="shared" si="135"/>
        <v>1927</v>
      </c>
      <c r="AA113" s="664">
        <f t="shared" si="101"/>
        <v>0</v>
      </c>
      <c r="AB113" s="665">
        <f t="shared" si="102"/>
        <v>0</v>
      </c>
      <c r="AC113" s="337"/>
      <c r="AD113" s="338"/>
      <c r="AE113" s="383">
        <f t="shared" si="103"/>
        <v>0</v>
      </c>
      <c r="AF113" s="386">
        <f t="shared" si="104"/>
        <v>0</v>
      </c>
      <c r="AG113" s="534">
        <f t="shared" si="136"/>
        <v>1926</v>
      </c>
      <c r="AH113" s="1271">
        <f t="shared" si="105"/>
        <v>0</v>
      </c>
      <c r="AI113" s="1272">
        <f t="shared" si="106"/>
        <v>0</v>
      </c>
      <c r="AJ113" s="337"/>
      <c r="AK113" s="338"/>
      <c r="AL113" s="1271">
        <v>0</v>
      </c>
      <c r="AM113" s="1272">
        <v>0</v>
      </c>
      <c r="AN113" s="414">
        <f t="shared" si="85"/>
        <v>1</v>
      </c>
      <c r="AO113" s="413">
        <f t="shared" si="86"/>
        <v>1</v>
      </c>
      <c r="AP113" s="337"/>
      <c r="AQ113" s="338"/>
      <c r="AR113" s="664">
        <f t="shared" si="119"/>
        <v>0</v>
      </c>
      <c r="AS113" s="679">
        <f t="shared" si="120"/>
        <v>0</v>
      </c>
      <c r="AT113" s="383">
        <f t="shared" si="107"/>
        <v>0</v>
      </c>
      <c r="AU113" s="386">
        <f t="shared" si="108"/>
        <v>0</v>
      </c>
      <c r="AV113" s="534">
        <f t="shared" si="137"/>
        <v>1925</v>
      </c>
      <c r="AW113" s="1271">
        <f t="shared" si="109"/>
        <v>0</v>
      </c>
      <c r="AX113" s="1272">
        <f t="shared" si="110"/>
        <v>0</v>
      </c>
      <c r="AY113" s="337"/>
      <c r="AZ113" s="338"/>
      <c r="BA113" s="1271">
        <v>0</v>
      </c>
      <c r="BB113" s="1272">
        <v>0</v>
      </c>
      <c r="BC113" s="414">
        <f t="shared" si="88"/>
        <v>1</v>
      </c>
      <c r="BD113" s="413">
        <f t="shared" si="89"/>
        <v>1</v>
      </c>
      <c r="BE113" s="337"/>
      <c r="BF113" s="338"/>
      <c r="BG113" s="664">
        <f t="shared" si="121"/>
        <v>0</v>
      </c>
      <c r="BH113" s="679">
        <f t="shared" si="122"/>
        <v>0</v>
      </c>
      <c r="BI113" s="383">
        <f t="shared" si="111"/>
        <v>0</v>
      </c>
      <c r="BJ113" s="386">
        <f t="shared" si="112"/>
        <v>0</v>
      </c>
      <c r="BK113" s="534">
        <f t="shared" si="138"/>
        <v>1924</v>
      </c>
      <c r="BL113" s="1271">
        <f t="shared" si="113"/>
        <v>0</v>
      </c>
      <c r="BM113" s="1272">
        <f t="shared" si="114"/>
        <v>0</v>
      </c>
      <c r="BN113" s="337"/>
      <c r="BO113" s="338"/>
      <c r="BP113" s="1271">
        <v>0</v>
      </c>
      <c r="BQ113" s="1272">
        <v>0</v>
      </c>
      <c r="BR113" s="414">
        <f t="shared" si="91"/>
        <v>1</v>
      </c>
      <c r="BS113" s="413">
        <f t="shared" si="92"/>
        <v>1</v>
      </c>
      <c r="BT113" s="337"/>
      <c r="BU113" s="338"/>
      <c r="BV113" s="664">
        <f t="shared" si="123"/>
        <v>0</v>
      </c>
      <c r="BW113" s="679">
        <f t="shared" si="124"/>
        <v>0</v>
      </c>
      <c r="BX113" s="383">
        <f t="shared" si="115"/>
        <v>0</v>
      </c>
      <c r="BY113" s="386">
        <f t="shared" si="116"/>
        <v>0</v>
      </c>
      <c r="BZ113" s="534">
        <f t="shared" si="93"/>
        <v>1927</v>
      </c>
      <c r="CA113" s="664">
        <f t="shared" si="125"/>
        <v>0</v>
      </c>
      <c r="CB113" s="665">
        <f t="shared" si="126"/>
        <v>0</v>
      </c>
      <c r="CC113" s="684">
        <f t="shared" si="129"/>
        <v>0</v>
      </c>
      <c r="CD113" s="685">
        <f t="shared" si="130"/>
        <v>0</v>
      </c>
      <c r="CE113" s="337"/>
      <c r="CF113" s="338"/>
      <c r="CG113" s="383">
        <f t="shared" si="117"/>
        <v>0</v>
      </c>
      <c r="CH113" s="386">
        <f t="shared" si="118"/>
        <v>0</v>
      </c>
    </row>
    <row r="114" spans="2:86" x14ac:dyDescent="0.2">
      <c r="B114" s="276">
        <v>99</v>
      </c>
      <c r="C114" s="320">
        <f t="shared" si="94"/>
        <v>100</v>
      </c>
      <c r="D114" s="534">
        <f t="shared" si="133"/>
        <v>1926</v>
      </c>
      <c r="E114" s="337"/>
      <c r="F114" s="338"/>
      <c r="G114" s="1271">
        <v>0</v>
      </c>
      <c r="H114" s="1289">
        <v>0</v>
      </c>
      <c r="I114" s="400">
        <f t="shared" si="139"/>
        <v>0</v>
      </c>
      <c r="J114" s="401">
        <f t="shared" si="96"/>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97"/>
        <v>0.8329711230245086</v>
      </c>
      <c r="P114" s="1143">
        <f t="shared" si="98"/>
        <v>0.86121319098446747</v>
      </c>
      <c r="Q114" s="356">
        <f t="shared" si="134"/>
        <v>1926</v>
      </c>
      <c r="R114" s="337"/>
      <c r="S114" s="338"/>
      <c r="T114" s="664">
        <f t="shared" si="131"/>
        <v>0</v>
      </c>
      <c r="U114" s="665">
        <f t="shared" si="132"/>
        <v>0</v>
      </c>
      <c r="V114" s="337"/>
      <c r="W114" s="338"/>
      <c r="X114" s="383">
        <f t="shared" si="99"/>
        <v>0</v>
      </c>
      <c r="Y114" s="386">
        <f t="shared" si="100"/>
        <v>0</v>
      </c>
      <c r="Z114" s="534">
        <f t="shared" si="135"/>
        <v>1926</v>
      </c>
      <c r="AA114" s="664">
        <f t="shared" si="101"/>
        <v>0</v>
      </c>
      <c r="AB114" s="665">
        <f t="shared" si="102"/>
        <v>0</v>
      </c>
      <c r="AC114" s="337"/>
      <c r="AD114" s="338"/>
      <c r="AE114" s="383">
        <f t="shared" si="103"/>
        <v>0</v>
      </c>
      <c r="AF114" s="386">
        <f t="shared" si="104"/>
        <v>0</v>
      </c>
      <c r="AG114" s="534">
        <f t="shared" si="136"/>
        <v>1925</v>
      </c>
      <c r="AH114" s="1271">
        <f t="shared" si="105"/>
        <v>0</v>
      </c>
      <c r="AI114" s="1272">
        <f t="shared" si="106"/>
        <v>0</v>
      </c>
      <c r="AJ114" s="337"/>
      <c r="AK114" s="338"/>
      <c r="AL114" s="1271">
        <v>0</v>
      </c>
      <c r="AM114" s="1272">
        <v>0</v>
      </c>
      <c r="AN114" s="414">
        <f t="shared" si="85"/>
        <v>1</v>
      </c>
      <c r="AO114" s="413">
        <f t="shared" si="86"/>
        <v>1</v>
      </c>
      <c r="AP114" s="337"/>
      <c r="AQ114" s="338"/>
      <c r="AR114" s="664">
        <f t="shared" si="119"/>
        <v>0</v>
      </c>
      <c r="AS114" s="679">
        <f t="shared" si="120"/>
        <v>0</v>
      </c>
      <c r="AT114" s="383">
        <f t="shared" si="107"/>
        <v>0</v>
      </c>
      <c r="AU114" s="386">
        <f t="shared" si="108"/>
        <v>0</v>
      </c>
      <c r="AV114" s="534">
        <f t="shared" si="137"/>
        <v>1924</v>
      </c>
      <c r="AW114" s="1271">
        <f t="shared" si="109"/>
        <v>0</v>
      </c>
      <c r="AX114" s="1272">
        <f t="shared" si="110"/>
        <v>0</v>
      </c>
      <c r="AY114" s="337"/>
      <c r="AZ114" s="338"/>
      <c r="BA114" s="1271">
        <v>0</v>
      </c>
      <c r="BB114" s="1272">
        <v>0</v>
      </c>
      <c r="BC114" s="414">
        <f t="shared" si="88"/>
        <v>1</v>
      </c>
      <c r="BD114" s="413">
        <f t="shared" si="89"/>
        <v>1</v>
      </c>
      <c r="BE114" s="337"/>
      <c r="BF114" s="338"/>
      <c r="BG114" s="664">
        <f t="shared" si="121"/>
        <v>0</v>
      </c>
      <c r="BH114" s="679">
        <f t="shared" si="122"/>
        <v>0</v>
      </c>
      <c r="BI114" s="383">
        <f t="shared" si="111"/>
        <v>0</v>
      </c>
      <c r="BJ114" s="386">
        <f t="shared" si="112"/>
        <v>0</v>
      </c>
      <c r="BK114" s="534">
        <f t="shared" si="138"/>
        <v>1923</v>
      </c>
      <c r="BL114" s="1271">
        <f t="shared" si="113"/>
        <v>0</v>
      </c>
      <c r="BM114" s="1272">
        <f t="shared" si="114"/>
        <v>0</v>
      </c>
      <c r="BN114" s="337"/>
      <c r="BO114" s="338"/>
      <c r="BP114" s="1271">
        <v>0</v>
      </c>
      <c r="BQ114" s="1272">
        <v>0</v>
      </c>
      <c r="BR114" s="414">
        <f t="shared" si="91"/>
        <v>1</v>
      </c>
      <c r="BS114" s="413">
        <f t="shared" si="92"/>
        <v>1</v>
      </c>
      <c r="BT114" s="337"/>
      <c r="BU114" s="338"/>
      <c r="BV114" s="664">
        <f t="shared" si="123"/>
        <v>0</v>
      </c>
      <c r="BW114" s="679">
        <f t="shared" si="124"/>
        <v>0</v>
      </c>
      <c r="BX114" s="383">
        <f t="shared" si="115"/>
        <v>0</v>
      </c>
      <c r="BY114" s="386">
        <f t="shared" si="116"/>
        <v>0</v>
      </c>
      <c r="BZ114" s="534">
        <f t="shared" si="93"/>
        <v>1926</v>
      </c>
      <c r="CA114" s="664">
        <f t="shared" si="125"/>
        <v>0</v>
      </c>
      <c r="CB114" s="665">
        <f t="shared" si="126"/>
        <v>0</v>
      </c>
      <c r="CC114" s="684">
        <f t="shared" si="129"/>
        <v>0</v>
      </c>
      <c r="CD114" s="685">
        <f t="shared" si="130"/>
        <v>0</v>
      </c>
      <c r="CE114" s="337"/>
      <c r="CF114" s="338"/>
      <c r="CG114" s="383">
        <f t="shared" si="117"/>
        <v>0</v>
      </c>
      <c r="CH114" s="386">
        <f t="shared" si="118"/>
        <v>0</v>
      </c>
    </row>
    <row r="115" spans="2:86" ht="13.5" thickBot="1" x14ac:dyDescent="0.25">
      <c r="B115" s="313">
        <v>100</v>
      </c>
      <c r="C115" s="321">
        <f t="shared" si="94"/>
        <v>101</v>
      </c>
      <c r="D115" s="535">
        <f t="shared" si="133"/>
        <v>1925</v>
      </c>
      <c r="E115" s="341"/>
      <c r="F115" s="340"/>
      <c r="G115" s="1277">
        <v>0</v>
      </c>
      <c r="H115" s="1290">
        <v>0</v>
      </c>
      <c r="I115" s="406">
        <f t="shared" si="139"/>
        <v>0</v>
      </c>
      <c r="J115" s="407">
        <f t="shared" si="96"/>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97"/>
        <v>0.55449999999999999</v>
      </c>
      <c r="P115" s="1144">
        <f t="shared" si="98"/>
        <v>0.55699999999999994</v>
      </c>
      <c r="Q115" s="313">
        <f t="shared" si="134"/>
        <v>1925</v>
      </c>
      <c r="R115" s="341"/>
      <c r="S115" s="340"/>
      <c r="T115" s="666">
        <f t="shared" si="131"/>
        <v>0</v>
      </c>
      <c r="U115" s="667">
        <f t="shared" si="132"/>
        <v>0</v>
      </c>
      <c r="V115" s="341"/>
      <c r="W115" s="340"/>
      <c r="X115" s="384">
        <f t="shared" si="99"/>
        <v>0</v>
      </c>
      <c r="Y115" s="387">
        <f t="shared" si="100"/>
        <v>0</v>
      </c>
      <c r="Z115" s="535">
        <f t="shared" si="135"/>
        <v>1925</v>
      </c>
      <c r="AA115" s="666">
        <f t="shared" si="101"/>
        <v>0</v>
      </c>
      <c r="AB115" s="667">
        <f t="shared" si="102"/>
        <v>0</v>
      </c>
      <c r="AC115" s="341"/>
      <c r="AD115" s="340"/>
      <c r="AE115" s="384">
        <f t="shared" si="103"/>
        <v>0</v>
      </c>
      <c r="AF115" s="387">
        <f t="shared" si="104"/>
        <v>0</v>
      </c>
      <c r="AG115" s="535">
        <f t="shared" si="136"/>
        <v>1924</v>
      </c>
      <c r="AH115" s="1271">
        <f t="shared" si="105"/>
        <v>0</v>
      </c>
      <c r="AI115" s="1272">
        <f t="shared" si="106"/>
        <v>0</v>
      </c>
      <c r="AJ115" s="341"/>
      <c r="AK115" s="340"/>
      <c r="AL115" s="1271">
        <v>0</v>
      </c>
      <c r="AM115" s="1272">
        <v>0</v>
      </c>
      <c r="AN115" s="415">
        <f t="shared" si="85"/>
        <v>1</v>
      </c>
      <c r="AO115" s="416">
        <f t="shared" si="86"/>
        <v>1</v>
      </c>
      <c r="AP115" s="341"/>
      <c r="AQ115" s="340"/>
      <c r="AR115" s="666">
        <f t="shared" si="119"/>
        <v>0</v>
      </c>
      <c r="AS115" s="680">
        <f t="shared" si="120"/>
        <v>0</v>
      </c>
      <c r="AT115" s="384">
        <f t="shared" si="107"/>
        <v>0</v>
      </c>
      <c r="AU115" s="387">
        <f t="shared" si="108"/>
        <v>0</v>
      </c>
      <c r="AV115" s="535">
        <f t="shared" si="137"/>
        <v>1923</v>
      </c>
      <c r="AW115" s="1271">
        <f t="shared" si="109"/>
        <v>0</v>
      </c>
      <c r="AX115" s="1272">
        <f t="shared" si="110"/>
        <v>0</v>
      </c>
      <c r="AY115" s="341"/>
      <c r="AZ115" s="340"/>
      <c r="BA115" s="1271">
        <v>0</v>
      </c>
      <c r="BB115" s="1272">
        <v>0</v>
      </c>
      <c r="BC115" s="415">
        <f t="shared" si="88"/>
        <v>1</v>
      </c>
      <c r="BD115" s="416">
        <f t="shared" si="89"/>
        <v>1</v>
      </c>
      <c r="BE115" s="341"/>
      <c r="BF115" s="340"/>
      <c r="BG115" s="666">
        <f t="shared" si="121"/>
        <v>0</v>
      </c>
      <c r="BH115" s="680">
        <f t="shared" si="122"/>
        <v>0</v>
      </c>
      <c r="BI115" s="384">
        <f t="shared" si="111"/>
        <v>0</v>
      </c>
      <c r="BJ115" s="387">
        <f t="shared" si="112"/>
        <v>0</v>
      </c>
      <c r="BK115" s="535">
        <f t="shared" si="138"/>
        <v>1922</v>
      </c>
      <c r="BL115" s="1271">
        <f t="shared" si="113"/>
        <v>0</v>
      </c>
      <c r="BM115" s="1272">
        <f t="shared" si="114"/>
        <v>0</v>
      </c>
      <c r="BN115" s="341"/>
      <c r="BO115" s="340"/>
      <c r="BP115" s="1271">
        <v>0</v>
      </c>
      <c r="BQ115" s="1272">
        <v>0</v>
      </c>
      <c r="BR115" s="415">
        <f t="shared" si="91"/>
        <v>1</v>
      </c>
      <c r="BS115" s="416">
        <f t="shared" si="92"/>
        <v>1</v>
      </c>
      <c r="BT115" s="341"/>
      <c r="BU115" s="340"/>
      <c r="BV115" s="666">
        <f t="shared" si="123"/>
        <v>0</v>
      </c>
      <c r="BW115" s="680">
        <f t="shared" si="124"/>
        <v>0</v>
      </c>
      <c r="BX115" s="384">
        <f t="shared" si="115"/>
        <v>0</v>
      </c>
      <c r="BY115" s="387">
        <f t="shared" si="116"/>
        <v>0</v>
      </c>
      <c r="BZ115" s="535">
        <f t="shared" si="93"/>
        <v>1925</v>
      </c>
      <c r="CA115" s="666">
        <f t="shared" si="125"/>
        <v>0</v>
      </c>
      <c r="CB115" s="667">
        <f t="shared" si="126"/>
        <v>0</v>
      </c>
      <c r="CC115" s="686">
        <f t="shared" si="129"/>
        <v>0</v>
      </c>
      <c r="CD115" s="687">
        <f t="shared" si="130"/>
        <v>0</v>
      </c>
      <c r="CE115" s="341"/>
      <c r="CF115" s="340"/>
      <c r="CG115" s="384">
        <f t="shared" si="117"/>
        <v>0</v>
      </c>
      <c r="CH115" s="387">
        <f t="shared" si="118"/>
        <v>0</v>
      </c>
    </row>
    <row r="116" spans="2:86" ht="13.5" thickTop="1" x14ac:dyDescent="0.2">
      <c r="B116" s="276">
        <v>101</v>
      </c>
      <c r="C116" s="320">
        <f t="shared" si="94"/>
        <v>102</v>
      </c>
      <c r="D116" s="534">
        <f t="shared" si="133"/>
        <v>1924</v>
      </c>
      <c r="E116" s="337"/>
      <c r="F116" s="338"/>
      <c r="G116" s="1271">
        <v>0</v>
      </c>
      <c r="H116" s="1289">
        <v>0</v>
      </c>
      <c r="I116" s="400">
        <f t="shared" si="139"/>
        <v>0</v>
      </c>
      <c r="J116" s="401">
        <f t="shared" si="96"/>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97"/>
        <v>0.5</v>
      </c>
      <c r="P116" s="1143">
        <f t="shared" si="98"/>
        <v>0.5</v>
      </c>
      <c r="Q116" s="356">
        <f t="shared" si="134"/>
        <v>1924</v>
      </c>
      <c r="R116" s="337"/>
      <c r="S116" s="338"/>
      <c r="T116" s="664">
        <f t="shared" si="131"/>
        <v>0</v>
      </c>
      <c r="U116" s="665">
        <f t="shared" si="132"/>
        <v>0</v>
      </c>
      <c r="V116" s="337"/>
      <c r="W116" s="338"/>
      <c r="X116" s="383">
        <f t="shared" si="99"/>
        <v>0</v>
      </c>
      <c r="Y116" s="386">
        <f t="shared" si="100"/>
        <v>0</v>
      </c>
      <c r="Z116" s="534">
        <f t="shared" si="135"/>
        <v>1924</v>
      </c>
      <c r="AA116" s="664">
        <f t="shared" si="101"/>
        <v>0</v>
      </c>
      <c r="AB116" s="665">
        <f t="shared" si="102"/>
        <v>0</v>
      </c>
      <c r="AC116" s="337"/>
      <c r="AD116" s="338"/>
      <c r="AE116" s="383">
        <f t="shared" si="103"/>
        <v>0</v>
      </c>
      <c r="AF116" s="386">
        <f t="shared" si="104"/>
        <v>0</v>
      </c>
      <c r="AG116" s="534">
        <f t="shared" si="136"/>
        <v>1923</v>
      </c>
      <c r="AH116" s="1271">
        <f t="shared" si="105"/>
        <v>0</v>
      </c>
      <c r="AI116" s="1272">
        <f t="shared" si="106"/>
        <v>0</v>
      </c>
      <c r="AJ116" s="337"/>
      <c r="AK116" s="338"/>
      <c r="AL116" s="1271">
        <v>0</v>
      </c>
      <c r="AM116" s="1272">
        <v>0</v>
      </c>
      <c r="AN116" s="414">
        <f t="shared" si="85"/>
        <v>1</v>
      </c>
      <c r="AO116" s="413">
        <f t="shared" si="86"/>
        <v>1</v>
      </c>
      <c r="AP116" s="337"/>
      <c r="AQ116" s="338"/>
      <c r="AR116" s="664">
        <f t="shared" si="119"/>
        <v>0</v>
      </c>
      <c r="AS116" s="679">
        <f t="shared" si="120"/>
        <v>0</v>
      </c>
      <c r="AT116" s="383">
        <f t="shared" si="107"/>
        <v>0</v>
      </c>
      <c r="AU116" s="386">
        <f t="shared" si="108"/>
        <v>0</v>
      </c>
      <c r="AV116" s="534">
        <f t="shared" si="137"/>
        <v>1922</v>
      </c>
      <c r="AW116" s="1271">
        <f t="shared" si="109"/>
        <v>0</v>
      </c>
      <c r="AX116" s="1272">
        <f t="shared" si="110"/>
        <v>0</v>
      </c>
      <c r="AY116" s="337"/>
      <c r="AZ116" s="338"/>
      <c r="BA116" s="1271">
        <v>0</v>
      </c>
      <c r="BB116" s="1272">
        <v>0</v>
      </c>
      <c r="BC116" s="414">
        <f t="shared" si="88"/>
        <v>1</v>
      </c>
      <c r="BD116" s="413">
        <f t="shared" si="89"/>
        <v>1</v>
      </c>
      <c r="BE116" s="337"/>
      <c r="BF116" s="338"/>
      <c r="BG116" s="664">
        <f t="shared" si="121"/>
        <v>0</v>
      </c>
      <c r="BH116" s="679">
        <f t="shared" si="122"/>
        <v>0</v>
      </c>
      <c r="BI116" s="383">
        <f t="shared" si="111"/>
        <v>0</v>
      </c>
      <c r="BJ116" s="386">
        <f t="shared" si="112"/>
        <v>0</v>
      </c>
      <c r="BK116" s="534">
        <f t="shared" si="138"/>
        <v>1921</v>
      </c>
      <c r="BL116" s="1271">
        <f t="shared" si="113"/>
        <v>0</v>
      </c>
      <c r="BM116" s="1272">
        <f t="shared" si="114"/>
        <v>0</v>
      </c>
      <c r="BN116" s="337"/>
      <c r="BO116" s="338"/>
      <c r="BP116" s="1271">
        <v>0</v>
      </c>
      <c r="BQ116" s="1272">
        <v>0</v>
      </c>
      <c r="BR116" s="414">
        <f t="shared" si="91"/>
        <v>1</v>
      </c>
      <c r="BS116" s="413">
        <f t="shared" si="92"/>
        <v>1</v>
      </c>
      <c r="BT116" s="337"/>
      <c r="BU116" s="338"/>
      <c r="BV116" s="664">
        <f t="shared" si="123"/>
        <v>0</v>
      </c>
      <c r="BW116" s="679">
        <f t="shared" si="124"/>
        <v>0</v>
      </c>
      <c r="BX116" s="383">
        <f t="shared" si="115"/>
        <v>0</v>
      </c>
      <c r="BY116" s="386">
        <f t="shared" si="116"/>
        <v>0</v>
      </c>
      <c r="BZ116" s="534">
        <f t="shared" si="93"/>
        <v>1924</v>
      </c>
      <c r="CA116" s="664">
        <f t="shared" si="125"/>
        <v>0</v>
      </c>
      <c r="CB116" s="665">
        <f t="shared" si="126"/>
        <v>0</v>
      </c>
      <c r="CC116" s="684">
        <f t="shared" si="129"/>
        <v>0</v>
      </c>
      <c r="CD116" s="685">
        <f t="shared" si="130"/>
        <v>0</v>
      </c>
      <c r="CE116" s="337"/>
      <c r="CF116" s="338"/>
      <c r="CG116" s="383">
        <f t="shared" si="117"/>
        <v>0</v>
      </c>
      <c r="CH116" s="386">
        <f t="shared" si="118"/>
        <v>0</v>
      </c>
    </row>
    <row r="117" spans="2:86" x14ac:dyDescent="0.2">
      <c r="B117" s="276">
        <v>102</v>
      </c>
      <c r="C117" s="320">
        <f t="shared" si="94"/>
        <v>103</v>
      </c>
      <c r="D117" s="534">
        <f t="shared" si="133"/>
        <v>1923</v>
      </c>
      <c r="E117" s="337"/>
      <c r="F117" s="338"/>
      <c r="G117" s="1271">
        <v>0</v>
      </c>
      <c r="H117" s="1289">
        <v>0</v>
      </c>
      <c r="I117" s="400">
        <f t="shared" si="139"/>
        <v>0</v>
      </c>
      <c r="J117" s="401">
        <f t="shared" si="96"/>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97"/>
        <v>0.5</v>
      </c>
      <c r="P117" s="1143">
        <f t="shared" si="98"/>
        <v>0.5</v>
      </c>
      <c r="Q117" s="356">
        <f t="shared" si="134"/>
        <v>1923</v>
      </c>
      <c r="R117" s="337"/>
      <c r="S117" s="338"/>
      <c r="T117" s="664">
        <f t="shared" si="131"/>
        <v>0</v>
      </c>
      <c r="U117" s="665">
        <f t="shared" si="132"/>
        <v>0</v>
      </c>
      <c r="V117" s="337"/>
      <c r="W117" s="338"/>
      <c r="X117" s="383">
        <f t="shared" si="99"/>
        <v>0</v>
      </c>
      <c r="Y117" s="386">
        <f t="shared" si="100"/>
        <v>0</v>
      </c>
      <c r="Z117" s="534">
        <f t="shared" si="135"/>
        <v>1923</v>
      </c>
      <c r="AA117" s="664">
        <f t="shared" si="101"/>
        <v>0</v>
      </c>
      <c r="AB117" s="665">
        <f t="shared" si="102"/>
        <v>0</v>
      </c>
      <c r="AC117" s="337"/>
      <c r="AD117" s="338"/>
      <c r="AE117" s="383">
        <f t="shared" si="103"/>
        <v>0</v>
      </c>
      <c r="AF117" s="386">
        <f t="shared" si="104"/>
        <v>0</v>
      </c>
      <c r="AG117" s="534">
        <f t="shared" si="136"/>
        <v>1922</v>
      </c>
      <c r="AH117" s="1271">
        <f t="shared" si="105"/>
        <v>0</v>
      </c>
      <c r="AI117" s="1272">
        <f t="shared" si="106"/>
        <v>0</v>
      </c>
      <c r="AJ117" s="337"/>
      <c r="AK117" s="338"/>
      <c r="AL117" s="1271">
        <v>0</v>
      </c>
      <c r="AM117" s="1272">
        <v>0</v>
      </c>
      <c r="AN117" s="414">
        <f t="shared" si="85"/>
        <v>1</v>
      </c>
      <c r="AO117" s="413">
        <f t="shared" si="86"/>
        <v>1</v>
      </c>
      <c r="AP117" s="337"/>
      <c r="AQ117" s="338"/>
      <c r="AR117" s="664">
        <f t="shared" si="119"/>
        <v>0</v>
      </c>
      <c r="AS117" s="679">
        <f t="shared" si="120"/>
        <v>0</v>
      </c>
      <c r="AT117" s="383">
        <f t="shared" si="107"/>
        <v>0</v>
      </c>
      <c r="AU117" s="386">
        <f t="shared" si="108"/>
        <v>0</v>
      </c>
      <c r="AV117" s="534">
        <f t="shared" si="137"/>
        <v>1921</v>
      </c>
      <c r="AW117" s="1271">
        <f t="shared" si="109"/>
        <v>0</v>
      </c>
      <c r="AX117" s="1272">
        <f t="shared" si="110"/>
        <v>0</v>
      </c>
      <c r="AY117" s="337"/>
      <c r="AZ117" s="338"/>
      <c r="BA117" s="1271">
        <v>0</v>
      </c>
      <c r="BB117" s="1272">
        <v>0</v>
      </c>
      <c r="BC117" s="414">
        <f t="shared" si="88"/>
        <v>1</v>
      </c>
      <c r="BD117" s="413">
        <f t="shared" si="89"/>
        <v>1</v>
      </c>
      <c r="BE117" s="337"/>
      <c r="BF117" s="338"/>
      <c r="BG117" s="664">
        <f t="shared" si="121"/>
        <v>0</v>
      </c>
      <c r="BH117" s="679">
        <f t="shared" si="122"/>
        <v>0</v>
      </c>
      <c r="BI117" s="383">
        <f t="shared" si="111"/>
        <v>0</v>
      </c>
      <c r="BJ117" s="386">
        <f t="shared" si="112"/>
        <v>0</v>
      </c>
      <c r="BK117" s="534">
        <f t="shared" si="138"/>
        <v>1920</v>
      </c>
      <c r="BL117" s="1271">
        <f t="shared" si="113"/>
        <v>0</v>
      </c>
      <c r="BM117" s="1272">
        <f t="shared" si="114"/>
        <v>0</v>
      </c>
      <c r="BN117" s="337"/>
      <c r="BO117" s="338"/>
      <c r="BP117" s="1271">
        <v>0</v>
      </c>
      <c r="BQ117" s="1272">
        <v>0</v>
      </c>
      <c r="BR117" s="414">
        <f t="shared" si="91"/>
        <v>1</v>
      </c>
      <c r="BS117" s="413">
        <f t="shared" si="92"/>
        <v>1</v>
      </c>
      <c r="BT117" s="337"/>
      <c r="BU117" s="338"/>
      <c r="BV117" s="664">
        <f t="shared" si="123"/>
        <v>0</v>
      </c>
      <c r="BW117" s="679">
        <f t="shared" si="124"/>
        <v>0</v>
      </c>
      <c r="BX117" s="383">
        <f t="shared" si="115"/>
        <v>0</v>
      </c>
      <c r="BY117" s="386">
        <f t="shared" si="116"/>
        <v>0</v>
      </c>
      <c r="BZ117" s="534">
        <f t="shared" si="93"/>
        <v>1923</v>
      </c>
      <c r="CA117" s="664">
        <f t="shared" si="125"/>
        <v>0</v>
      </c>
      <c r="CB117" s="665">
        <f t="shared" si="126"/>
        <v>0</v>
      </c>
      <c r="CC117" s="684">
        <f t="shared" si="129"/>
        <v>0</v>
      </c>
      <c r="CD117" s="685">
        <f t="shared" si="130"/>
        <v>0</v>
      </c>
      <c r="CE117" s="337"/>
      <c r="CF117" s="338"/>
      <c r="CG117" s="383">
        <f t="shared" si="117"/>
        <v>0</v>
      </c>
      <c r="CH117" s="386">
        <f t="shared" si="118"/>
        <v>0</v>
      </c>
    </row>
    <row r="118" spans="2:86" x14ac:dyDescent="0.2">
      <c r="B118" s="276">
        <v>103</v>
      </c>
      <c r="C118" s="320">
        <f t="shared" si="94"/>
        <v>104</v>
      </c>
      <c r="D118" s="534">
        <f t="shared" si="133"/>
        <v>1922</v>
      </c>
      <c r="E118" s="337"/>
      <c r="F118" s="338"/>
      <c r="G118" s="1271">
        <v>0</v>
      </c>
      <c r="H118" s="1289">
        <v>0</v>
      </c>
      <c r="I118" s="400">
        <f t="shared" si="139"/>
        <v>0</v>
      </c>
      <c r="J118" s="401">
        <f t="shared" si="96"/>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97"/>
        <v>0.5</v>
      </c>
      <c r="P118" s="1143">
        <f t="shared" si="98"/>
        <v>0.5</v>
      </c>
      <c r="Q118" s="356">
        <f t="shared" si="134"/>
        <v>1922</v>
      </c>
      <c r="R118" s="337"/>
      <c r="S118" s="338"/>
      <c r="T118" s="664">
        <f t="shared" si="131"/>
        <v>0</v>
      </c>
      <c r="U118" s="665">
        <f t="shared" si="132"/>
        <v>0</v>
      </c>
      <c r="V118" s="337"/>
      <c r="W118" s="338"/>
      <c r="X118" s="383">
        <f t="shared" si="99"/>
        <v>0</v>
      </c>
      <c r="Y118" s="386">
        <f t="shared" si="100"/>
        <v>0</v>
      </c>
      <c r="Z118" s="534">
        <f t="shared" si="135"/>
        <v>1922</v>
      </c>
      <c r="AA118" s="664">
        <f t="shared" si="101"/>
        <v>0</v>
      </c>
      <c r="AB118" s="665">
        <f t="shared" si="102"/>
        <v>0</v>
      </c>
      <c r="AC118" s="337"/>
      <c r="AD118" s="338"/>
      <c r="AE118" s="383">
        <f t="shared" si="103"/>
        <v>0</v>
      </c>
      <c r="AF118" s="386">
        <f t="shared" si="104"/>
        <v>0</v>
      </c>
      <c r="AG118" s="534">
        <f t="shared" si="136"/>
        <v>1921</v>
      </c>
      <c r="AH118" s="1271">
        <f t="shared" si="105"/>
        <v>0</v>
      </c>
      <c r="AI118" s="1272">
        <f t="shared" si="106"/>
        <v>0</v>
      </c>
      <c r="AJ118" s="337"/>
      <c r="AK118" s="338"/>
      <c r="AL118" s="1271">
        <v>0</v>
      </c>
      <c r="AM118" s="1272">
        <v>0</v>
      </c>
      <c r="AN118" s="414">
        <f t="shared" si="85"/>
        <v>1</v>
      </c>
      <c r="AO118" s="413">
        <f t="shared" si="86"/>
        <v>1</v>
      </c>
      <c r="AP118" s="337"/>
      <c r="AQ118" s="338"/>
      <c r="AR118" s="664">
        <f t="shared" si="119"/>
        <v>0</v>
      </c>
      <c r="AS118" s="679">
        <f t="shared" si="120"/>
        <v>0</v>
      </c>
      <c r="AT118" s="383">
        <f t="shared" si="107"/>
        <v>0</v>
      </c>
      <c r="AU118" s="386">
        <f t="shared" si="108"/>
        <v>0</v>
      </c>
      <c r="AV118" s="534">
        <f t="shared" si="137"/>
        <v>1920</v>
      </c>
      <c r="AW118" s="1271">
        <f t="shared" si="109"/>
        <v>0</v>
      </c>
      <c r="AX118" s="1272">
        <f t="shared" si="110"/>
        <v>0</v>
      </c>
      <c r="AY118" s="337"/>
      <c r="AZ118" s="338"/>
      <c r="BA118" s="1271">
        <v>0</v>
      </c>
      <c r="BB118" s="1272">
        <v>0</v>
      </c>
      <c r="BC118" s="414">
        <f t="shared" si="88"/>
        <v>1</v>
      </c>
      <c r="BD118" s="413">
        <f t="shared" si="89"/>
        <v>1</v>
      </c>
      <c r="BE118" s="337"/>
      <c r="BF118" s="338"/>
      <c r="BG118" s="664">
        <f t="shared" si="121"/>
        <v>0</v>
      </c>
      <c r="BH118" s="679">
        <f t="shared" si="122"/>
        <v>0</v>
      </c>
      <c r="BI118" s="383">
        <f t="shared" si="111"/>
        <v>0</v>
      </c>
      <c r="BJ118" s="386">
        <f t="shared" si="112"/>
        <v>0</v>
      </c>
      <c r="BK118" s="534">
        <f t="shared" si="138"/>
        <v>1919</v>
      </c>
      <c r="BL118" s="1271">
        <f t="shared" si="113"/>
        <v>0</v>
      </c>
      <c r="BM118" s="1272">
        <f t="shared" si="114"/>
        <v>0</v>
      </c>
      <c r="BN118" s="337"/>
      <c r="BO118" s="338"/>
      <c r="BP118" s="1271">
        <v>0</v>
      </c>
      <c r="BQ118" s="1272">
        <v>0</v>
      </c>
      <c r="BR118" s="414">
        <f t="shared" si="91"/>
        <v>1</v>
      </c>
      <c r="BS118" s="413">
        <f t="shared" si="92"/>
        <v>1</v>
      </c>
      <c r="BT118" s="337"/>
      <c r="BU118" s="338"/>
      <c r="BV118" s="664">
        <f t="shared" si="123"/>
        <v>0</v>
      </c>
      <c r="BW118" s="679">
        <f t="shared" si="124"/>
        <v>0</v>
      </c>
      <c r="BX118" s="383">
        <f t="shared" si="115"/>
        <v>0</v>
      </c>
      <c r="BY118" s="386">
        <f t="shared" si="116"/>
        <v>0</v>
      </c>
      <c r="BZ118" s="534">
        <f t="shared" si="93"/>
        <v>1922</v>
      </c>
      <c r="CA118" s="664">
        <f t="shared" si="125"/>
        <v>0</v>
      </c>
      <c r="CB118" s="665">
        <f t="shared" si="126"/>
        <v>0</v>
      </c>
      <c r="CC118" s="684">
        <f t="shared" si="129"/>
        <v>0</v>
      </c>
      <c r="CD118" s="685">
        <f t="shared" si="130"/>
        <v>0</v>
      </c>
      <c r="CE118" s="337"/>
      <c r="CF118" s="338"/>
      <c r="CG118" s="383">
        <f t="shared" si="117"/>
        <v>0</v>
      </c>
      <c r="CH118" s="386">
        <f t="shared" si="118"/>
        <v>0</v>
      </c>
    </row>
    <row r="119" spans="2:86" x14ac:dyDescent="0.2">
      <c r="B119" s="276">
        <v>104</v>
      </c>
      <c r="C119" s="320">
        <f t="shared" si="94"/>
        <v>105</v>
      </c>
      <c r="D119" s="534">
        <f t="shared" si="133"/>
        <v>1921</v>
      </c>
      <c r="E119" s="337"/>
      <c r="F119" s="338"/>
      <c r="G119" s="1271">
        <v>0</v>
      </c>
      <c r="H119" s="1289">
        <v>0</v>
      </c>
      <c r="I119" s="400">
        <f t="shared" si="139"/>
        <v>0</v>
      </c>
      <c r="J119" s="401">
        <f t="shared" si="96"/>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97"/>
        <v>0.5</v>
      </c>
      <c r="P119" s="1143">
        <f t="shared" si="98"/>
        <v>0.5</v>
      </c>
      <c r="Q119" s="356">
        <f t="shared" si="134"/>
        <v>1921</v>
      </c>
      <c r="R119" s="337"/>
      <c r="S119" s="338"/>
      <c r="T119" s="664">
        <f t="shared" si="131"/>
        <v>0</v>
      </c>
      <c r="U119" s="665">
        <f t="shared" si="132"/>
        <v>0</v>
      </c>
      <c r="V119" s="337"/>
      <c r="W119" s="338"/>
      <c r="X119" s="383">
        <f t="shared" si="99"/>
        <v>0</v>
      </c>
      <c r="Y119" s="386">
        <f t="shared" si="100"/>
        <v>0</v>
      </c>
      <c r="Z119" s="534">
        <f t="shared" si="135"/>
        <v>1921</v>
      </c>
      <c r="AA119" s="664">
        <f t="shared" si="101"/>
        <v>0</v>
      </c>
      <c r="AB119" s="665">
        <f t="shared" si="102"/>
        <v>0</v>
      </c>
      <c r="AC119" s="337"/>
      <c r="AD119" s="338"/>
      <c r="AE119" s="383">
        <f t="shared" si="103"/>
        <v>0</v>
      </c>
      <c r="AF119" s="386">
        <f t="shared" si="104"/>
        <v>0</v>
      </c>
      <c r="AG119" s="534">
        <f t="shared" si="136"/>
        <v>1920</v>
      </c>
      <c r="AH119" s="1271">
        <f t="shared" si="105"/>
        <v>0</v>
      </c>
      <c r="AI119" s="1272">
        <f t="shared" si="106"/>
        <v>0</v>
      </c>
      <c r="AJ119" s="337"/>
      <c r="AK119" s="338"/>
      <c r="AL119" s="1271">
        <v>0</v>
      </c>
      <c r="AM119" s="1272">
        <v>0</v>
      </c>
      <c r="AN119" s="414">
        <f t="shared" si="85"/>
        <v>1</v>
      </c>
      <c r="AO119" s="413">
        <f t="shared" si="86"/>
        <v>1</v>
      </c>
      <c r="AP119" s="337"/>
      <c r="AQ119" s="338"/>
      <c r="AR119" s="664">
        <f t="shared" si="119"/>
        <v>0</v>
      </c>
      <c r="AS119" s="679">
        <f t="shared" si="120"/>
        <v>0</v>
      </c>
      <c r="AT119" s="383">
        <f t="shared" si="107"/>
        <v>0</v>
      </c>
      <c r="AU119" s="386">
        <f t="shared" si="108"/>
        <v>0</v>
      </c>
      <c r="AV119" s="534">
        <f t="shared" si="137"/>
        <v>1919</v>
      </c>
      <c r="AW119" s="1271">
        <f t="shared" si="109"/>
        <v>0</v>
      </c>
      <c r="AX119" s="1272">
        <f t="shared" si="110"/>
        <v>0</v>
      </c>
      <c r="AY119" s="337"/>
      <c r="AZ119" s="338"/>
      <c r="BA119" s="1271">
        <v>0</v>
      </c>
      <c r="BB119" s="1272">
        <v>0</v>
      </c>
      <c r="BC119" s="414">
        <f t="shared" si="88"/>
        <v>1</v>
      </c>
      <c r="BD119" s="413">
        <f t="shared" si="89"/>
        <v>1</v>
      </c>
      <c r="BE119" s="337"/>
      <c r="BF119" s="338"/>
      <c r="BG119" s="664">
        <f t="shared" si="121"/>
        <v>0</v>
      </c>
      <c r="BH119" s="679">
        <f t="shared" si="122"/>
        <v>0</v>
      </c>
      <c r="BI119" s="383">
        <f t="shared" si="111"/>
        <v>0</v>
      </c>
      <c r="BJ119" s="386">
        <f t="shared" si="112"/>
        <v>0</v>
      </c>
      <c r="BK119" s="534">
        <f t="shared" si="138"/>
        <v>1918</v>
      </c>
      <c r="BL119" s="1271">
        <f t="shared" si="113"/>
        <v>0</v>
      </c>
      <c r="BM119" s="1272">
        <f t="shared" si="114"/>
        <v>0</v>
      </c>
      <c r="BN119" s="337"/>
      <c r="BO119" s="338"/>
      <c r="BP119" s="1271">
        <v>0</v>
      </c>
      <c r="BQ119" s="1272">
        <v>0</v>
      </c>
      <c r="BR119" s="414">
        <f t="shared" si="91"/>
        <v>1</v>
      </c>
      <c r="BS119" s="413">
        <f t="shared" si="92"/>
        <v>1</v>
      </c>
      <c r="BT119" s="337"/>
      <c r="BU119" s="338"/>
      <c r="BV119" s="664">
        <f t="shared" si="123"/>
        <v>0</v>
      </c>
      <c r="BW119" s="679">
        <f t="shared" si="124"/>
        <v>0</v>
      </c>
      <c r="BX119" s="383">
        <f t="shared" si="115"/>
        <v>0</v>
      </c>
      <c r="BY119" s="386">
        <f t="shared" si="116"/>
        <v>0</v>
      </c>
      <c r="BZ119" s="534">
        <f t="shared" si="93"/>
        <v>1921</v>
      </c>
      <c r="CA119" s="664">
        <f t="shared" si="125"/>
        <v>0</v>
      </c>
      <c r="CB119" s="665">
        <f t="shared" si="126"/>
        <v>0</v>
      </c>
      <c r="CC119" s="684">
        <f t="shared" si="129"/>
        <v>0</v>
      </c>
      <c r="CD119" s="685">
        <f t="shared" si="130"/>
        <v>0</v>
      </c>
      <c r="CE119" s="337"/>
      <c r="CF119" s="338"/>
      <c r="CG119" s="383">
        <f t="shared" si="117"/>
        <v>0</v>
      </c>
      <c r="CH119" s="386">
        <f t="shared" si="118"/>
        <v>0</v>
      </c>
    </row>
    <row r="120" spans="2:86" x14ac:dyDescent="0.2">
      <c r="B120" s="276">
        <v>105</v>
      </c>
      <c r="C120" s="320">
        <f t="shared" si="94"/>
        <v>106</v>
      </c>
      <c r="D120" s="534">
        <f t="shared" si="133"/>
        <v>1920</v>
      </c>
      <c r="E120" s="337"/>
      <c r="F120" s="338"/>
      <c r="G120" s="1271">
        <v>0</v>
      </c>
      <c r="H120" s="1289">
        <v>0</v>
      </c>
      <c r="I120" s="400">
        <f t="shared" si="139"/>
        <v>0</v>
      </c>
      <c r="J120" s="401">
        <f t="shared" si="96"/>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97"/>
        <v>0.5</v>
      </c>
      <c r="P120" s="1143">
        <f t="shared" si="98"/>
        <v>0.5</v>
      </c>
      <c r="Q120" s="356">
        <f t="shared" si="134"/>
        <v>1920</v>
      </c>
      <c r="R120" s="337"/>
      <c r="S120" s="338"/>
      <c r="T120" s="664">
        <f t="shared" si="131"/>
        <v>0</v>
      </c>
      <c r="U120" s="665">
        <f t="shared" si="132"/>
        <v>0</v>
      </c>
      <c r="V120" s="337"/>
      <c r="W120" s="338"/>
      <c r="X120" s="383">
        <f t="shared" si="99"/>
        <v>0</v>
      </c>
      <c r="Y120" s="386">
        <f t="shared" si="100"/>
        <v>0</v>
      </c>
      <c r="Z120" s="534">
        <f t="shared" si="135"/>
        <v>1920</v>
      </c>
      <c r="AA120" s="664">
        <f t="shared" si="101"/>
        <v>0</v>
      </c>
      <c r="AB120" s="665">
        <f t="shared" si="102"/>
        <v>0</v>
      </c>
      <c r="AC120" s="337"/>
      <c r="AD120" s="338"/>
      <c r="AE120" s="383">
        <f t="shared" si="103"/>
        <v>0</v>
      </c>
      <c r="AF120" s="386">
        <f t="shared" si="104"/>
        <v>0</v>
      </c>
      <c r="AG120" s="534">
        <f t="shared" si="136"/>
        <v>1919</v>
      </c>
      <c r="AH120" s="1271">
        <f t="shared" si="105"/>
        <v>0</v>
      </c>
      <c r="AI120" s="1272">
        <f t="shared" si="106"/>
        <v>0</v>
      </c>
      <c r="AJ120" s="337"/>
      <c r="AK120" s="338"/>
      <c r="AL120" s="1271">
        <v>0</v>
      </c>
      <c r="AM120" s="1272">
        <v>0</v>
      </c>
      <c r="AN120" s="414">
        <f t="shared" si="85"/>
        <v>1</v>
      </c>
      <c r="AO120" s="413">
        <f t="shared" si="86"/>
        <v>1</v>
      </c>
      <c r="AP120" s="337"/>
      <c r="AQ120" s="338"/>
      <c r="AR120" s="664">
        <f t="shared" si="119"/>
        <v>0</v>
      </c>
      <c r="AS120" s="679">
        <f t="shared" si="120"/>
        <v>0</v>
      </c>
      <c r="AT120" s="383">
        <f t="shared" si="107"/>
        <v>0</v>
      </c>
      <c r="AU120" s="386">
        <f t="shared" si="108"/>
        <v>0</v>
      </c>
      <c r="AV120" s="534">
        <f t="shared" si="137"/>
        <v>1918</v>
      </c>
      <c r="AW120" s="1271">
        <f t="shared" si="109"/>
        <v>0</v>
      </c>
      <c r="AX120" s="1272">
        <f t="shared" si="110"/>
        <v>0</v>
      </c>
      <c r="AY120" s="337"/>
      <c r="AZ120" s="338"/>
      <c r="BA120" s="1271">
        <v>0</v>
      </c>
      <c r="BB120" s="1272">
        <v>0</v>
      </c>
      <c r="BC120" s="414">
        <f t="shared" si="88"/>
        <v>1</v>
      </c>
      <c r="BD120" s="413">
        <f t="shared" si="89"/>
        <v>1</v>
      </c>
      <c r="BE120" s="337"/>
      <c r="BF120" s="338"/>
      <c r="BG120" s="664">
        <f t="shared" si="121"/>
        <v>0</v>
      </c>
      <c r="BH120" s="679">
        <f t="shared" si="122"/>
        <v>0</v>
      </c>
      <c r="BI120" s="383">
        <f t="shared" si="111"/>
        <v>0</v>
      </c>
      <c r="BJ120" s="386">
        <f t="shared" si="112"/>
        <v>0</v>
      </c>
      <c r="BK120" s="534">
        <f t="shared" si="138"/>
        <v>1917</v>
      </c>
      <c r="BL120" s="1271">
        <f t="shared" si="113"/>
        <v>0</v>
      </c>
      <c r="BM120" s="1272">
        <f t="shared" si="114"/>
        <v>0</v>
      </c>
      <c r="BN120" s="337"/>
      <c r="BO120" s="338"/>
      <c r="BP120" s="1271">
        <v>0</v>
      </c>
      <c r="BQ120" s="1272">
        <v>0</v>
      </c>
      <c r="BR120" s="414">
        <f t="shared" si="91"/>
        <v>1</v>
      </c>
      <c r="BS120" s="413">
        <f t="shared" si="92"/>
        <v>1</v>
      </c>
      <c r="BT120" s="337"/>
      <c r="BU120" s="338"/>
      <c r="BV120" s="664">
        <f t="shared" si="123"/>
        <v>0</v>
      </c>
      <c r="BW120" s="679">
        <f t="shared" si="124"/>
        <v>0</v>
      </c>
      <c r="BX120" s="383">
        <f t="shared" si="115"/>
        <v>0</v>
      </c>
      <c r="BY120" s="386">
        <f t="shared" si="116"/>
        <v>0</v>
      </c>
      <c r="BZ120" s="534">
        <f t="shared" si="93"/>
        <v>1920</v>
      </c>
      <c r="CA120" s="664">
        <f t="shared" si="125"/>
        <v>0</v>
      </c>
      <c r="CB120" s="665">
        <f t="shared" si="126"/>
        <v>0</v>
      </c>
      <c r="CC120" s="684">
        <f t="shared" si="129"/>
        <v>0</v>
      </c>
      <c r="CD120" s="685">
        <f t="shared" si="130"/>
        <v>0</v>
      </c>
      <c r="CE120" s="337"/>
      <c r="CF120" s="338"/>
      <c r="CG120" s="383">
        <f t="shared" si="117"/>
        <v>0</v>
      </c>
      <c r="CH120" s="386">
        <f t="shared" si="118"/>
        <v>0</v>
      </c>
    </row>
    <row r="121" spans="2:86" x14ac:dyDescent="0.2">
      <c r="B121" s="276">
        <v>106</v>
      </c>
      <c r="C121" s="320">
        <f t="shared" si="94"/>
        <v>107</v>
      </c>
      <c r="D121" s="534">
        <f t="shared" si="133"/>
        <v>1919</v>
      </c>
      <c r="E121" s="337"/>
      <c r="F121" s="338"/>
      <c r="G121" s="1271">
        <v>0</v>
      </c>
      <c r="H121" s="1289">
        <v>0</v>
      </c>
      <c r="I121" s="400">
        <f t="shared" si="139"/>
        <v>0</v>
      </c>
      <c r="J121" s="401">
        <f t="shared" si="96"/>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97"/>
        <v>0.5</v>
      </c>
      <c r="P121" s="1143">
        <f t="shared" si="98"/>
        <v>0.5</v>
      </c>
      <c r="Q121" s="356">
        <f t="shared" si="134"/>
        <v>1919</v>
      </c>
      <c r="R121" s="337"/>
      <c r="S121" s="338"/>
      <c r="T121" s="664">
        <f t="shared" si="131"/>
        <v>0</v>
      </c>
      <c r="U121" s="665">
        <f t="shared" si="132"/>
        <v>0</v>
      </c>
      <c r="V121" s="337"/>
      <c r="W121" s="338"/>
      <c r="X121" s="383">
        <f t="shared" si="99"/>
        <v>0</v>
      </c>
      <c r="Y121" s="386">
        <f t="shared" si="100"/>
        <v>0</v>
      </c>
      <c r="Z121" s="534">
        <f t="shared" si="135"/>
        <v>1919</v>
      </c>
      <c r="AA121" s="664">
        <f t="shared" si="101"/>
        <v>0</v>
      </c>
      <c r="AB121" s="665">
        <f t="shared" si="102"/>
        <v>0</v>
      </c>
      <c r="AC121" s="337"/>
      <c r="AD121" s="338"/>
      <c r="AE121" s="383">
        <f t="shared" si="103"/>
        <v>0</v>
      </c>
      <c r="AF121" s="386">
        <f t="shared" si="104"/>
        <v>0</v>
      </c>
      <c r="AG121" s="534">
        <f t="shared" si="136"/>
        <v>1918</v>
      </c>
      <c r="AH121" s="1271">
        <f t="shared" si="105"/>
        <v>0</v>
      </c>
      <c r="AI121" s="1272">
        <f t="shared" si="106"/>
        <v>0</v>
      </c>
      <c r="AJ121" s="337"/>
      <c r="AK121" s="338"/>
      <c r="AL121" s="1271">
        <v>0</v>
      </c>
      <c r="AM121" s="1272">
        <v>0</v>
      </c>
      <c r="AN121" s="414">
        <f t="shared" si="85"/>
        <v>1</v>
      </c>
      <c r="AO121" s="413">
        <f t="shared" si="86"/>
        <v>1</v>
      </c>
      <c r="AP121" s="337"/>
      <c r="AQ121" s="338"/>
      <c r="AR121" s="664">
        <f t="shared" si="119"/>
        <v>0</v>
      </c>
      <c r="AS121" s="679">
        <f t="shared" si="120"/>
        <v>0</v>
      </c>
      <c r="AT121" s="383">
        <f t="shared" si="107"/>
        <v>0</v>
      </c>
      <c r="AU121" s="386">
        <f t="shared" si="108"/>
        <v>0</v>
      </c>
      <c r="AV121" s="534">
        <f t="shared" si="137"/>
        <v>1917</v>
      </c>
      <c r="AW121" s="1271">
        <f t="shared" si="109"/>
        <v>0</v>
      </c>
      <c r="AX121" s="1272">
        <f t="shared" si="110"/>
        <v>0</v>
      </c>
      <c r="AY121" s="337"/>
      <c r="AZ121" s="338"/>
      <c r="BA121" s="1271">
        <v>0</v>
      </c>
      <c r="BB121" s="1272">
        <v>0</v>
      </c>
      <c r="BC121" s="414">
        <f t="shared" si="88"/>
        <v>1</v>
      </c>
      <c r="BD121" s="413">
        <f t="shared" si="89"/>
        <v>1</v>
      </c>
      <c r="BE121" s="337"/>
      <c r="BF121" s="338"/>
      <c r="BG121" s="664">
        <f t="shared" si="121"/>
        <v>0</v>
      </c>
      <c r="BH121" s="679">
        <f t="shared" si="122"/>
        <v>0</v>
      </c>
      <c r="BI121" s="383">
        <f t="shared" si="111"/>
        <v>0</v>
      </c>
      <c r="BJ121" s="386">
        <f t="shared" si="112"/>
        <v>0</v>
      </c>
      <c r="BK121" s="534">
        <f t="shared" si="138"/>
        <v>1916</v>
      </c>
      <c r="BL121" s="1271">
        <f t="shared" si="113"/>
        <v>0</v>
      </c>
      <c r="BM121" s="1272">
        <f t="shared" si="114"/>
        <v>0</v>
      </c>
      <c r="BN121" s="337"/>
      <c r="BO121" s="338"/>
      <c r="BP121" s="1271">
        <v>0</v>
      </c>
      <c r="BQ121" s="1272">
        <v>0</v>
      </c>
      <c r="BR121" s="414">
        <f t="shared" si="91"/>
        <v>1</v>
      </c>
      <c r="BS121" s="413">
        <f t="shared" si="92"/>
        <v>1</v>
      </c>
      <c r="BT121" s="337"/>
      <c r="BU121" s="338"/>
      <c r="BV121" s="664">
        <f t="shared" si="123"/>
        <v>0</v>
      </c>
      <c r="BW121" s="679">
        <f t="shared" si="124"/>
        <v>0</v>
      </c>
      <c r="BX121" s="383">
        <f t="shared" si="115"/>
        <v>0</v>
      </c>
      <c r="BY121" s="386">
        <f t="shared" si="116"/>
        <v>0</v>
      </c>
      <c r="BZ121" s="534">
        <f t="shared" si="93"/>
        <v>1919</v>
      </c>
      <c r="CA121" s="664">
        <f t="shared" si="125"/>
        <v>0</v>
      </c>
      <c r="CB121" s="665">
        <f t="shared" si="126"/>
        <v>0</v>
      </c>
      <c r="CC121" s="684">
        <f t="shared" si="129"/>
        <v>0</v>
      </c>
      <c r="CD121" s="685">
        <f t="shared" si="130"/>
        <v>0</v>
      </c>
      <c r="CE121" s="337"/>
      <c r="CF121" s="338"/>
      <c r="CG121" s="383">
        <f t="shared" si="117"/>
        <v>0</v>
      </c>
      <c r="CH121" s="386">
        <f t="shared" si="118"/>
        <v>0</v>
      </c>
    </row>
    <row r="122" spans="2:86" x14ac:dyDescent="0.2">
      <c r="B122" s="276">
        <v>107</v>
      </c>
      <c r="C122" s="320">
        <f t="shared" si="94"/>
        <v>108</v>
      </c>
      <c r="D122" s="534">
        <f t="shared" si="133"/>
        <v>1918</v>
      </c>
      <c r="E122" s="337"/>
      <c r="F122" s="338"/>
      <c r="G122" s="1271">
        <v>0</v>
      </c>
      <c r="H122" s="1289">
        <v>0</v>
      </c>
      <c r="I122" s="400">
        <f t="shared" si="139"/>
        <v>0</v>
      </c>
      <c r="J122" s="401">
        <f t="shared" si="96"/>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97"/>
        <v>0.5</v>
      </c>
      <c r="P122" s="1143">
        <f t="shared" si="98"/>
        <v>0.5</v>
      </c>
      <c r="Q122" s="356">
        <f t="shared" si="134"/>
        <v>1918</v>
      </c>
      <c r="R122" s="337"/>
      <c r="S122" s="338"/>
      <c r="T122" s="664">
        <f t="shared" si="131"/>
        <v>0</v>
      </c>
      <c r="U122" s="665">
        <f t="shared" si="132"/>
        <v>0</v>
      </c>
      <c r="V122" s="337"/>
      <c r="W122" s="338"/>
      <c r="X122" s="383">
        <f t="shared" si="99"/>
        <v>0</v>
      </c>
      <c r="Y122" s="386">
        <f t="shared" si="100"/>
        <v>0</v>
      </c>
      <c r="Z122" s="534">
        <f t="shared" si="135"/>
        <v>1918</v>
      </c>
      <c r="AA122" s="664">
        <f t="shared" si="101"/>
        <v>0</v>
      </c>
      <c r="AB122" s="665">
        <f t="shared" si="102"/>
        <v>0</v>
      </c>
      <c r="AC122" s="337"/>
      <c r="AD122" s="338"/>
      <c r="AE122" s="383">
        <f t="shared" si="103"/>
        <v>0</v>
      </c>
      <c r="AF122" s="386">
        <f t="shared" si="104"/>
        <v>0</v>
      </c>
      <c r="AG122" s="534">
        <f t="shared" si="136"/>
        <v>1917</v>
      </c>
      <c r="AH122" s="1271">
        <f t="shared" si="105"/>
        <v>0</v>
      </c>
      <c r="AI122" s="1272">
        <f t="shared" si="106"/>
        <v>0</v>
      </c>
      <c r="AJ122" s="337"/>
      <c r="AK122" s="338"/>
      <c r="AL122" s="1271">
        <v>0</v>
      </c>
      <c r="AM122" s="1272">
        <v>0</v>
      </c>
      <c r="AN122" s="414">
        <f t="shared" si="85"/>
        <v>1</v>
      </c>
      <c r="AO122" s="413">
        <f t="shared" si="86"/>
        <v>1</v>
      </c>
      <c r="AP122" s="337"/>
      <c r="AQ122" s="338"/>
      <c r="AR122" s="664">
        <f t="shared" si="119"/>
        <v>0</v>
      </c>
      <c r="AS122" s="679">
        <f t="shared" si="120"/>
        <v>0</v>
      </c>
      <c r="AT122" s="383">
        <f t="shared" si="107"/>
        <v>0</v>
      </c>
      <c r="AU122" s="386">
        <f t="shared" si="108"/>
        <v>0</v>
      </c>
      <c r="AV122" s="534">
        <f t="shared" si="137"/>
        <v>1916</v>
      </c>
      <c r="AW122" s="1271">
        <f t="shared" si="109"/>
        <v>0</v>
      </c>
      <c r="AX122" s="1272">
        <f t="shared" si="110"/>
        <v>0</v>
      </c>
      <c r="AY122" s="337"/>
      <c r="AZ122" s="338"/>
      <c r="BA122" s="1271">
        <v>0</v>
      </c>
      <c r="BB122" s="1272">
        <v>0</v>
      </c>
      <c r="BC122" s="414">
        <f t="shared" si="88"/>
        <v>1</v>
      </c>
      <c r="BD122" s="413">
        <f t="shared" si="89"/>
        <v>1</v>
      </c>
      <c r="BE122" s="337"/>
      <c r="BF122" s="338"/>
      <c r="BG122" s="664">
        <f t="shared" si="121"/>
        <v>0</v>
      </c>
      <c r="BH122" s="679">
        <f t="shared" si="122"/>
        <v>0</v>
      </c>
      <c r="BI122" s="383">
        <f t="shared" si="111"/>
        <v>0</v>
      </c>
      <c r="BJ122" s="386">
        <f t="shared" si="112"/>
        <v>0</v>
      </c>
      <c r="BK122" s="534">
        <f t="shared" si="138"/>
        <v>1915</v>
      </c>
      <c r="BL122" s="1271">
        <f t="shared" si="113"/>
        <v>0</v>
      </c>
      <c r="BM122" s="1272">
        <f t="shared" si="114"/>
        <v>0</v>
      </c>
      <c r="BN122" s="337"/>
      <c r="BO122" s="338"/>
      <c r="BP122" s="1271">
        <v>0</v>
      </c>
      <c r="BQ122" s="1272">
        <v>0</v>
      </c>
      <c r="BR122" s="414">
        <f t="shared" si="91"/>
        <v>1</v>
      </c>
      <c r="BS122" s="413">
        <f t="shared" si="92"/>
        <v>1</v>
      </c>
      <c r="BT122" s="337"/>
      <c r="BU122" s="338"/>
      <c r="BV122" s="664">
        <f t="shared" si="123"/>
        <v>0</v>
      </c>
      <c r="BW122" s="679">
        <f t="shared" si="124"/>
        <v>0</v>
      </c>
      <c r="BX122" s="383">
        <f t="shared" si="115"/>
        <v>0</v>
      </c>
      <c r="BY122" s="386">
        <f t="shared" si="116"/>
        <v>0</v>
      </c>
      <c r="BZ122" s="534">
        <f t="shared" si="93"/>
        <v>1918</v>
      </c>
      <c r="CA122" s="664">
        <f t="shared" si="125"/>
        <v>0</v>
      </c>
      <c r="CB122" s="665">
        <f t="shared" si="126"/>
        <v>0</v>
      </c>
      <c r="CC122" s="684">
        <f t="shared" si="129"/>
        <v>0</v>
      </c>
      <c r="CD122" s="685">
        <f t="shared" si="130"/>
        <v>0</v>
      </c>
      <c r="CE122" s="337"/>
      <c r="CF122" s="338"/>
      <c r="CG122" s="383">
        <f t="shared" si="117"/>
        <v>0</v>
      </c>
      <c r="CH122" s="386">
        <f t="shared" si="118"/>
        <v>0</v>
      </c>
    </row>
    <row r="123" spans="2:86" x14ac:dyDescent="0.2">
      <c r="B123" s="276">
        <v>108</v>
      </c>
      <c r="C123" s="320">
        <f t="shared" si="94"/>
        <v>109</v>
      </c>
      <c r="D123" s="534">
        <f t="shared" si="133"/>
        <v>1917</v>
      </c>
      <c r="E123" s="337"/>
      <c r="F123" s="338"/>
      <c r="G123" s="1271">
        <v>0</v>
      </c>
      <c r="H123" s="1289">
        <v>0</v>
      </c>
      <c r="I123" s="400">
        <f t="shared" si="139"/>
        <v>0</v>
      </c>
      <c r="J123" s="401">
        <f t="shared" si="96"/>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97"/>
        <v>0.5</v>
      </c>
      <c r="P123" s="1143">
        <f t="shared" si="98"/>
        <v>0.5</v>
      </c>
      <c r="Q123" s="356">
        <f t="shared" si="134"/>
        <v>1917</v>
      </c>
      <c r="R123" s="337"/>
      <c r="S123" s="338"/>
      <c r="T123" s="664">
        <f t="shared" si="131"/>
        <v>0</v>
      </c>
      <c r="U123" s="665">
        <f t="shared" si="132"/>
        <v>0</v>
      </c>
      <c r="V123" s="337"/>
      <c r="W123" s="338"/>
      <c r="X123" s="383">
        <f t="shared" si="99"/>
        <v>0</v>
      </c>
      <c r="Y123" s="386">
        <f t="shared" si="100"/>
        <v>0</v>
      </c>
      <c r="Z123" s="534">
        <f t="shared" si="135"/>
        <v>1917</v>
      </c>
      <c r="AA123" s="664">
        <f t="shared" si="101"/>
        <v>0</v>
      </c>
      <c r="AB123" s="665">
        <f t="shared" si="102"/>
        <v>0</v>
      </c>
      <c r="AC123" s="337"/>
      <c r="AD123" s="338"/>
      <c r="AE123" s="383">
        <f t="shared" si="103"/>
        <v>0</v>
      </c>
      <c r="AF123" s="386">
        <f t="shared" si="104"/>
        <v>0</v>
      </c>
      <c r="AG123" s="534">
        <f t="shared" si="136"/>
        <v>1916</v>
      </c>
      <c r="AH123" s="1271">
        <f t="shared" si="105"/>
        <v>0</v>
      </c>
      <c r="AI123" s="1272">
        <f t="shared" si="106"/>
        <v>0</v>
      </c>
      <c r="AJ123" s="337"/>
      <c r="AK123" s="338"/>
      <c r="AL123" s="1271">
        <v>0</v>
      </c>
      <c r="AM123" s="1272">
        <v>0</v>
      </c>
      <c r="AN123" s="414">
        <f t="shared" si="85"/>
        <v>1</v>
      </c>
      <c r="AO123" s="413">
        <f t="shared" si="86"/>
        <v>1</v>
      </c>
      <c r="AP123" s="337"/>
      <c r="AQ123" s="338"/>
      <c r="AR123" s="664">
        <f t="shared" si="119"/>
        <v>0</v>
      </c>
      <c r="AS123" s="679">
        <f t="shared" si="120"/>
        <v>0</v>
      </c>
      <c r="AT123" s="383">
        <f t="shared" si="107"/>
        <v>0</v>
      </c>
      <c r="AU123" s="386">
        <f t="shared" si="108"/>
        <v>0</v>
      </c>
      <c r="AV123" s="534">
        <f t="shared" si="137"/>
        <v>1915</v>
      </c>
      <c r="AW123" s="1271">
        <f t="shared" si="109"/>
        <v>0</v>
      </c>
      <c r="AX123" s="1272">
        <f t="shared" si="110"/>
        <v>0</v>
      </c>
      <c r="AY123" s="337"/>
      <c r="AZ123" s="338"/>
      <c r="BA123" s="1271">
        <v>0</v>
      </c>
      <c r="BB123" s="1272">
        <v>0</v>
      </c>
      <c r="BC123" s="414">
        <f t="shared" si="88"/>
        <v>1</v>
      </c>
      <c r="BD123" s="413">
        <f t="shared" si="89"/>
        <v>1</v>
      </c>
      <c r="BE123" s="337"/>
      <c r="BF123" s="338"/>
      <c r="BG123" s="664">
        <f t="shared" si="121"/>
        <v>0</v>
      </c>
      <c r="BH123" s="679">
        <f t="shared" si="122"/>
        <v>0</v>
      </c>
      <c r="BI123" s="383">
        <f t="shared" si="111"/>
        <v>0</v>
      </c>
      <c r="BJ123" s="386">
        <f t="shared" si="112"/>
        <v>0</v>
      </c>
      <c r="BK123" s="534">
        <f t="shared" si="138"/>
        <v>1914</v>
      </c>
      <c r="BL123" s="1271">
        <f t="shared" si="113"/>
        <v>0</v>
      </c>
      <c r="BM123" s="1272">
        <f t="shared" si="114"/>
        <v>0</v>
      </c>
      <c r="BN123" s="337"/>
      <c r="BO123" s="338"/>
      <c r="BP123" s="1271">
        <v>0</v>
      </c>
      <c r="BQ123" s="1272">
        <v>0</v>
      </c>
      <c r="BR123" s="414">
        <f t="shared" si="91"/>
        <v>1</v>
      </c>
      <c r="BS123" s="413">
        <f t="shared" si="92"/>
        <v>1</v>
      </c>
      <c r="BT123" s="337"/>
      <c r="BU123" s="338"/>
      <c r="BV123" s="664">
        <f t="shared" si="123"/>
        <v>0</v>
      </c>
      <c r="BW123" s="679">
        <f t="shared" si="124"/>
        <v>0</v>
      </c>
      <c r="BX123" s="383">
        <f t="shared" si="115"/>
        <v>0</v>
      </c>
      <c r="BY123" s="386">
        <f t="shared" si="116"/>
        <v>0</v>
      </c>
      <c r="BZ123" s="534">
        <f t="shared" si="93"/>
        <v>1917</v>
      </c>
      <c r="CA123" s="664">
        <f t="shared" si="125"/>
        <v>0</v>
      </c>
      <c r="CB123" s="665">
        <f t="shared" si="126"/>
        <v>0</v>
      </c>
      <c r="CC123" s="684">
        <f t="shared" si="129"/>
        <v>0</v>
      </c>
      <c r="CD123" s="685">
        <f t="shared" si="130"/>
        <v>0</v>
      </c>
      <c r="CE123" s="337"/>
      <c r="CF123" s="338"/>
      <c r="CG123" s="383">
        <f t="shared" si="117"/>
        <v>0</v>
      </c>
      <c r="CH123" s="386">
        <f t="shared" si="118"/>
        <v>0</v>
      </c>
    </row>
    <row r="124" spans="2:86" x14ac:dyDescent="0.2">
      <c r="B124" s="276">
        <v>109</v>
      </c>
      <c r="C124" s="320">
        <f t="shared" si="94"/>
        <v>110</v>
      </c>
      <c r="D124" s="534">
        <f t="shared" si="133"/>
        <v>1916</v>
      </c>
      <c r="E124" s="337"/>
      <c r="F124" s="338"/>
      <c r="G124" s="1271">
        <v>0</v>
      </c>
      <c r="H124" s="1289">
        <v>0</v>
      </c>
      <c r="I124" s="400">
        <f t="shared" si="139"/>
        <v>0</v>
      </c>
      <c r="J124" s="401">
        <f t="shared" si="96"/>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97"/>
        <v>0.5</v>
      </c>
      <c r="P124" s="1143">
        <f t="shared" si="98"/>
        <v>0.5</v>
      </c>
      <c r="Q124" s="356">
        <f t="shared" si="134"/>
        <v>1916</v>
      </c>
      <c r="R124" s="337"/>
      <c r="S124" s="338"/>
      <c r="T124" s="664">
        <f t="shared" si="131"/>
        <v>0</v>
      </c>
      <c r="U124" s="665">
        <f t="shared" si="132"/>
        <v>0</v>
      </c>
      <c r="V124" s="337"/>
      <c r="W124" s="338"/>
      <c r="X124" s="383">
        <f t="shared" si="99"/>
        <v>0</v>
      </c>
      <c r="Y124" s="386">
        <f t="shared" si="100"/>
        <v>0</v>
      </c>
      <c r="Z124" s="534">
        <f t="shared" si="135"/>
        <v>1916</v>
      </c>
      <c r="AA124" s="664">
        <f t="shared" si="101"/>
        <v>0</v>
      </c>
      <c r="AB124" s="665">
        <f t="shared" si="102"/>
        <v>0</v>
      </c>
      <c r="AC124" s="337"/>
      <c r="AD124" s="338"/>
      <c r="AE124" s="383">
        <f t="shared" si="103"/>
        <v>0</v>
      </c>
      <c r="AF124" s="386">
        <f t="shared" si="104"/>
        <v>0</v>
      </c>
      <c r="AG124" s="534">
        <f t="shared" si="136"/>
        <v>1915</v>
      </c>
      <c r="AH124" s="1271">
        <f t="shared" si="105"/>
        <v>0</v>
      </c>
      <c r="AI124" s="1272">
        <f t="shared" si="106"/>
        <v>0</v>
      </c>
      <c r="AJ124" s="337"/>
      <c r="AK124" s="338"/>
      <c r="AL124" s="1271">
        <v>0</v>
      </c>
      <c r="AM124" s="1272">
        <v>0</v>
      </c>
      <c r="AN124" s="414">
        <f t="shared" si="85"/>
        <v>1</v>
      </c>
      <c r="AO124" s="413">
        <f t="shared" si="86"/>
        <v>1</v>
      </c>
      <c r="AP124" s="337"/>
      <c r="AQ124" s="338"/>
      <c r="AR124" s="664">
        <f t="shared" si="119"/>
        <v>0</v>
      </c>
      <c r="AS124" s="679">
        <f t="shared" si="120"/>
        <v>0</v>
      </c>
      <c r="AT124" s="383">
        <f t="shared" si="107"/>
        <v>0</v>
      </c>
      <c r="AU124" s="386">
        <f t="shared" si="108"/>
        <v>0</v>
      </c>
      <c r="AV124" s="534">
        <f t="shared" si="137"/>
        <v>1914</v>
      </c>
      <c r="AW124" s="1271">
        <f t="shared" si="109"/>
        <v>0</v>
      </c>
      <c r="AX124" s="1272">
        <f t="shared" si="110"/>
        <v>0</v>
      </c>
      <c r="AY124" s="337"/>
      <c r="AZ124" s="338"/>
      <c r="BA124" s="1271">
        <v>0</v>
      </c>
      <c r="BB124" s="1272">
        <v>0</v>
      </c>
      <c r="BC124" s="414">
        <f t="shared" si="88"/>
        <v>1</v>
      </c>
      <c r="BD124" s="413">
        <f t="shared" si="89"/>
        <v>1</v>
      </c>
      <c r="BE124" s="337"/>
      <c r="BF124" s="338"/>
      <c r="BG124" s="664">
        <f t="shared" si="121"/>
        <v>0</v>
      </c>
      <c r="BH124" s="679">
        <f t="shared" si="122"/>
        <v>0</v>
      </c>
      <c r="BI124" s="383">
        <f t="shared" si="111"/>
        <v>0</v>
      </c>
      <c r="BJ124" s="386">
        <f t="shared" si="112"/>
        <v>0</v>
      </c>
      <c r="BK124" s="534">
        <f t="shared" si="138"/>
        <v>1913</v>
      </c>
      <c r="BL124" s="1271">
        <f t="shared" si="113"/>
        <v>0</v>
      </c>
      <c r="BM124" s="1272">
        <f t="shared" si="114"/>
        <v>0</v>
      </c>
      <c r="BN124" s="337"/>
      <c r="BO124" s="338"/>
      <c r="BP124" s="1271">
        <v>0</v>
      </c>
      <c r="BQ124" s="1272">
        <v>0</v>
      </c>
      <c r="BR124" s="414">
        <f t="shared" si="91"/>
        <v>1</v>
      </c>
      <c r="BS124" s="413">
        <f t="shared" si="92"/>
        <v>1</v>
      </c>
      <c r="BT124" s="337"/>
      <c r="BU124" s="338"/>
      <c r="BV124" s="664">
        <f t="shared" si="123"/>
        <v>0</v>
      </c>
      <c r="BW124" s="679">
        <f t="shared" si="124"/>
        <v>0</v>
      </c>
      <c r="BX124" s="383">
        <f t="shared" si="115"/>
        <v>0</v>
      </c>
      <c r="BY124" s="386">
        <f t="shared" si="116"/>
        <v>0</v>
      </c>
      <c r="BZ124" s="534">
        <f t="shared" si="93"/>
        <v>1916</v>
      </c>
      <c r="CA124" s="664">
        <f t="shared" si="125"/>
        <v>0</v>
      </c>
      <c r="CB124" s="665">
        <f t="shared" si="126"/>
        <v>0</v>
      </c>
      <c r="CC124" s="684">
        <f t="shared" si="129"/>
        <v>0</v>
      </c>
      <c r="CD124" s="685">
        <f t="shared" si="130"/>
        <v>0</v>
      </c>
      <c r="CE124" s="337"/>
      <c r="CF124" s="338"/>
      <c r="CG124" s="383">
        <f t="shared" si="117"/>
        <v>0</v>
      </c>
      <c r="CH124" s="386">
        <f t="shared" si="118"/>
        <v>0</v>
      </c>
    </row>
    <row r="125" spans="2:86" x14ac:dyDescent="0.2">
      <c r="B125" s="418">
        <v>110</v>
      </c>
      <c r="C125" s="419">
        <f t="shared" si="94"/>
        <v>111</v>
      </c>
      <c r="D125" s="537">
        <f t="shared" si="133"/>
        <v>1915</v>
      </c>
      <c r="E125" s="420"/>
      <c r="F125" s="421"/>
      <c r="G125" s="1279">
        <v>0</v>
      </c>
      <c r="H125" s="1291">
        <v>0</v>
      </c>
      <c r="I125" s="422">
        <f t="shared" si="139"/>
        <v>0</v>
      </c>
      <c r="J125" s="423">
        <f t="shared" si="96"/>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97"/>
        <v>0.5</v>
      </c>
      <c r="P125" s="1145">
        <f t="shared" si="98"/>
        <v>0.5</v>
      </c>
      <c r="Q125" s="1140">
        <f t="shared" si="134"/>
        <v>1915</v>
      </c>
      <c r="R125" s="420"/>
      <c r="S125" s="421"/>
      <c r="T125" s="670">
        <f t="shared" si="131"/>
        <v>0</v>
      </c>
      <c r="U125" s="671">
        <f t="shared" si="132"/>
        <v>0</v>
      </c>
      <c r="V125" s="420"/>
      <c r="W125" s="421"/>
      <c r="X125" s="427">
        <f t="shared" si="99"/>
        <v>0</v>
      </c>
      <c r="Y125" s="428">
        <f t="shared" si="100"/>
        <v>0</v>
      </c>
      <c r="Z125" s="537">
        <f t="shared" si="135"/>
        <v>1915</v>
      </c>
      <c r="AA125" s="670">
        <f t="shared" si="101"/>
        <v>0</v>
      </c>
      <c r="AB125" s="671">
        <f t="shared" si="102"/>
        <v>0</v>
      </c>
      <c r="AC125" s="420"/>
      <c r="AD125" s="421"/>
      <c r="AE125" s="427">
        <f t="shared" si="103"/>
        <v>0</v>
      </c>
      <c r="AF125" s="428">
        <f t="shared" si="104"/>
        <v>0</v>
      </c>
      <c r="AG125" s="537">
        <f t="shared" si="136"/>
        <v>1914</v>
      </c>
      <c r="AH125" s="1275">
        <f t="shared" si="105"/>
        <v>0</v>
      </c>
      <c r="AI125" s="1274">
        <f t="shared" si="106"/>
        <v>0</v>
      </c>
      <c r="AJ125" s="420"/>
      <c r="AK125" s="421"/>
      <c r="AL125" s="1273">
        <v>0</v>
      </c>
      <c r="AM125" s="1274">
        <v>0</v>
      </c>
      <c r="AN125" s="429">
        <f t="shared" si="85"/>
        <v>1</v>
      </c>
      <c r="AO125" s="430">
        <f t="shared" si="86"/>
        <v>1</v>
      </c>
      <c r="AP125" s="420"/>
      <c r="AQ125" s="421"/>
      <c r="AR125" s="670">
        <f t="shared" si="119"/>
        <v>0</v>
      </c>
      <c r="AS125" s="682">
        <f t="shared" si="120"/>
        <v>0</v>
      </c>
      <c r="AT125" s="427">
        <f t="shared" si="107"/>
        <v>0</v>
      </c>
      <c r="AU125" s="428">
        <f t="shared" si="108"/>
        <v>0</v>
      </c>
      <c r="AV125" s="537">
        <f t="shared" si="137"/>
        <v>1913</v>
      </c>
      <c r="AW125" s="1275">
        <f t="shared" si="109"/>
        <v>0</v>
      </c>
      <c r="AX125" s="1274">
        <f t="shared" si="110"/>
        <v>0</v>
      </c>
      <c r="AY125" s="420"/>
      <c r="AZ125" s="421"/>
      <c r="BA125" s="1273">
        <v>0</v>
      </c>
      <c r="BB125" s="1274">
        <v>0</v>
      </c>
      <c r="BC125" s="429">
        <f t="shared" si="88"/>
        <v>1</v>
      </c>
      <c r="BD125" s="430">
        <f t="shared" si="89"/>
        <v>1</v>
      </c>
      <c r="BE125" s="420"/>
      <c r="BF125" s="421"/>
      <c r="BG125" s="670">
        <f t="shared" si="121"/>
        <v>0</v>
      </c>
      <c r="BH125" s="682">
        <f t="shared" si="122"/>
        <v>0</v>
      </c>
      <c r="BI125" s="427">
        <f t="shared" si="111"/>
        <v>0</v>
      </c>
      <c r="BJ125" s="428">
        <f t="shared" si="112"/>
        <v>0</v>
      </c>
      <c r="BK125" s="537">
        <f t="shared" si="138"/>
        <v>1912</v>
      </c>
      <c r="BL125" s="1275">
        <f t="shared" si="113"/>
        <v>0</v>
      </c>
      <c r="BM125" s="1274">
        <f t="shared" si="114"/>
        <v>0</v>
      </c>
      <c r="BN125" s="420"/>
      <c r="BO125" s="421"/>
      <c r="BP125" s="1273">
        <v>0</v>
      </c>
      <c r="BQ125" s="1274">
        <v>0</v>
      </c>
      <c r="BR125" s="429">
        <f t="shared" si="91"/>
        <v>1</v>
      </c>
      <c r="BS125" s="430">
        <f t="shared" si="92"/>
        <v>1</v>
      </c>
      <c r="BT125" s="420"/>
      <c r="BU125" s="421"/>
      <c r="BV125" s="670">
        <f t="shared" si="123"/>
        <v>0</v>
      </c>
      <c r="BW125" s="682">
        <f t="shared" si="124"/>
        <v>0</v>
      </c>
      <c r="BX125" s="427">
        <f t="shared" si="115"/>
        <v>0</v>
      </c>
      <c r="BY125" s="428">
        <f t="shared" si="116"/>
        <v>0</v>
      </c>
      <c r="BZ125" s="537">
        <f t="shared" si="93"/>
        <v>1915</v>
      </c>
      <c r="CA125" s="670">
        <f t="shared" si="125"/>
        <v>0</v>
      </c>
      <c r="CB125" s="671">
        <f t="shared" si="126"/>
        <v>0</v>
      </c>
      <c r="CC125" s="688">
        <f t="shared" si="129"/>
        <v>0</v>
      </c>
      <c r="CD125" s="689">
        <f t="shared" si="130"/>
        <v>0</v>
      </c>
      <c r="CE125" s="420"/>
      <c r="CF125" s="421"/>
      <c r="CG125" s="427">
        <f t="shared" si="117"/>
        <v>0</v>
      </c>
      <c r="CH125" s="428">
        <f t="shared" si="118"/>
        <v>0</v>
      </c>
    </row>
  </sheetData>
  <mergeCells count="45">
    <mergeCell ref="B11:B13"/>
    <mergeCell ref="AH11:AI11"/>
    <mergeCell ref="AN11:AO11"/>
    <mergeCell ref="AP11:AQ11"/>
    <mergeCell ref="AJ11:AK11"/>
    <mergeCell ref="AL11:AM11"/>
    <mergeCell ref="R11:S11"/>
    <mergeCell ref="E11:F11"/>
    <mergeCell ref="G11:H11"/>
    <mergeCell ref="K11:L11"/>
    <mergeCell ref="M11:N11"/>
    <mergeCell ref="I11:J11"/>
    <mergeCell ref="O11:P11"/>
    <mergeCell ref="T12:U12"/>
    <mergeCell ref="V12:W12"/>
    <mergeCell ref="X12:Y12"/>
    <mergeCell ref="T11:Y11"/>
    <mergeCell ref="AA11:AF11"/>
    <mergeCell ref="AA12:AB12"/>
    <mergeCell ref="AC12:AD12"/>
    <mergeCell ref="AE12:AF12"/>
    <mergeCell ref="BV12:BW12"/>
    <mergeCell ref="BX12:BY12"/>
    <mergeCell ref="CC12:CD12"/>
    <mergeCell ref="AT12:AU12"/>
    <mergeCell ref="AR11:AU11"/>
    <mergeCell ref="AW11:AX11"/>
    <mergeCell ref="AY11:AZ11"/>
    <mergeCell ref="AR12:AS12"/>
    <mergeCell ref="CE12:CF12"/>
    <mergeCell ref="CG12:CH12"/>
    <mergeCell ref="CA12:CB12"/>
    <mergeCell ref="CA11:CH11"/>
    <mergeCell ref="BA11:BB11"/>
    <mergeCell ref="BG11:BJ11"/>
    <mergeCell ref="BG12:BH12"/>
    <mergeCell ref="BI12:BJ12"/>
    <mergeCell ref="BT11:BU11"/>
    <mergeCell ref="BC11:BD11"/>
    <mergeCell ref="BP11:BQ11"/>
    <mergeCell ref="BR11:BS11"/>
    <mergeCell ref="BE11:BF11"/>
    <mergeCell ref="BL11:BM11"/>
    <mergeCell ref="BN11:BO11"/>
    <mergeCell ref="BV11:BY11"/>
  </mergeCells>
  <conditionalFormatting sqref="E116:H125 R116:S125 AJ17:AK114 AK16 AJ116:AK125 AP116:AQ125 E15:H114">
    <cfRule type="expression" dxfId="623" priority="64">
      <formula>IF($G15="Ground-up loss",TRUE,FALSE)</formula>
    </cfRule>
  </conditionalFormatting>
  <conditionalFormatting sqref="E115:H115">
    <cfRule type="expression" dxfId="622" priority="63">
      <formula>IF($G115="Ground-up loss",TRUE,FALSE)</formula>
    </cfRule>
  </conditionalFormatting>
  <conditionalFormatting sqref="R15:S114">
    <cfRule type="expression" dxfId="621" priority="60">
      <formula>IF($G15="Ground-up loss",TRUE,FALSE)</formula>
    </cfRule>
  </conditionalFormatting>
  <conditionalFormatting sqref="R115:S115">
    <cfRule type="expression" dxfId="620" priority="59">
      <formula>IF($G115="Ground-up loss",TRUE,FALSE)</formula>
    </cfRule>
  </conditionalFormatting>
  <conditionalFormatting sqref="AH15:AI125">
    <cfRule type="expression" dxfId="619" priority="56">
      <formula>IF($G15="Ground-up loss",TRUE,FALSE)</formula>
    </cfRule>
  </conditionalFormatting>
  <conditionalFormatting sqref="AJ15:AK15">
    <cfRule type="expression" dxfId="618" priority="54">
      <formula>IF($G15="Ground-up loss",TRUE,FALSE)</formula>
    </cfRule>
  </conditionalFormatting>
  <conditionalFormatting sqref="AJ115:AK115">
    <cfRule type="expression" dxfId="617" priority="53">
      <formula>IF($G115="Ground-up loss",TRUE,FALSE)</formula>
    </cfRule>
  </conditionalFormatting>
  <conditionalFormatting sqref="AL15:AM125">
    <cfRule type="expression" dxfId="616" priority="52">
      <formula>IF($G15="Ground-up loss",TRUE,FALSE)</formula>
    </cfRule>
  </conditionalFormatting>
  <conditionalFormatting sqref="AP15:AQ114">
    <cfRule type="expression" dxfId="615" priority="50">
      <formula>IF($G15="Ground-up loss",TRUE,FALSE)</formula>
    </cfRule>
  </conditionalFormatting>
  <conditionalFormatting sqref="AP115:AQ115">
    <cfRule type="expression" dxfId="614" priority="49">
      <formula>IF($G115="Ground-up loss",TRUE,FALSE)</formula>
    </cfRule>
  </conditionalFormatting>
  <conditionalFormatting sqref="AJ16">
    <cfRule type="expression" dxfId="613" priority="48">
      <formula>IF($G16="Ground-up loss",TRUE,FALSE)</formula>
    </cfRule>
  </conditionalFormatting>
  <conditionalFormatting sqref="V116:W125">
    <cfRule type="expression" dxfId="612" priority="29">
      <formula>IF($G116="Ground-up loss",TRUE,FALSE)</formula>
    </cfRule>
  </conditionalFormatting>
  <conditionalFormatting sqref="V15:W114">
    <cfRule type="expression" dxfId="611" priority="28">
      <formula>IF($G15="Ground-up loss",TRUE,FALSE)</formula>
    </cfRule>
  </conditionalFormatting>
  <conditionalFormatting sqref="V115:W115">
    <cfRule type="expression" dxfId="610" priority="27">
      <formula>IF($G115="Ground-up loss",TRUE,FALSE)</formula>
    </cfRule>
  </conditionalFormatting>
  <conditionalFormatting sqref="AC116:AD125">
    <cfRule type="expression" dxfId="609" priority="26">
      <formula>IF($G116="Ground-up loss",TRUE,FALSE)</formula>
    </cfRule>
  </conditionalFormatting>
  <conditionalFormatting sqref="AC15:AD114">
    <cfRule type="expression" dxfId="608" priority="25">
      <formula>IF($G15="Ground-up loss",TRUE,FALSE)</formula>
    </cfRule>
  </conditionalFormatting>
  <conditionalFormatting sqref="AC115:AD115">
    <cfRule type="expression" dxfId="607" priority="24">
      <formula>IF($G115="Ground-up loss",TRUE,FALSE)</formula>
    </cfRule>
  </conditionalFormatting>
  <conditionalFormatting sqref="AY17:AZ114 AZ16 AY116:AZ125 BE116:BF125">
    <cfRule type="expression" dxfId="606" priority="23">
      <formula>IF($G16="Ground-up loss",TRUE,FALSE)</formula>
    </cfRule>
  </conditionalFormatting>
  <conditionalFormatting sqref="AW15:AX125">
    <cfRule type="expression" dxfId="605" priority="22">
      <formula>IF($G15="Ground-up loss",TRUE,FALSE)</formula>
    </cfRule>
  </conditionalFormatting>
  <conditionalFormatting sqref="AY15:AZ15">
    <cfRule type="expression" dxfId="604" priority="20">
      <formula>IF($G15="Ground-up loss",TRUE,FALSE)</formula>
    </cfRule>
  </conditionalFormatting>
  <conditionalFormatting sqref="AY115:AZ115">
    <cfRule type="expression" dxfId="603" priority="19">
      <formula>IF($G115="Ground-up loss",TRUE,FALSE)</formula>
    </cfRule>
  </conditionalFormatting>
  <conditionalFormatting sqref="BA15:BB125">
    <cfRule type="expression" dxfId="602" priority="18">
      <formula>IF($G15="Ground-up loss",TRUE,FALSE)</formula>
    </cfRule>
  </conditionalFormatting>
  <conditionalFormatting sqref="BE15:BF114">
    <cfRule type="expression" dxfId="601" priority="16">
      <formula>IF($G15="Ground-up loss",TRUE,FALSE)</formula>
    </cfRule>
  </conditionalFormatting>
  <conditionalFormatting sqref="BE115:BF115">
    <cfRule type="expression" dxfId="600" priority="15">
      <formula>IF($G115="Ground-up loss",TRUE,FALSE)</formula>
    </cfRule>
  </conditionalFormatting>
  <conditionalFormatting sqref="AY16">
    <cfRule type="expression" dxfId="599" priority="14">
      <formula>IF($G16="Ground-up loss",TRUE,FALSE)</formula>
    </cfRule>
  </conditionalFormatting>
  <conditionalFormatting sqref="BN17:BO114 BO16 BN116:BO125 BT116:BU125">
    <cfRule type="expression" dxfId="598" priority="13">
      <formula>IF($G16="Ground-up loss",TRUE,FALSE)</formula>
    </cfRule>
  </conditionalFormatting>
  <conditionalFormatting sqref="BL15:BM125">
    <cfRule type="expression" dxfId="597" priority="12">
      <formula>IF($G15="Ground-up loss",TRUE,FALSE)</formula>
    </cfRule>
  </conditionalFormatting>
  <conditionalFormatting sqref="BN15:BO15">
    <cfRule type="expression" dxfId="596" priority="10">
      <formula>IF($G15="Ground-up loss",TRUE,FALSE)</formula>
    </cfRule>
  </conditionalFormatting>
  <conditionalFormatting sqref="BN115:BO115">
    <cfRule type="expression" dxfId="595" priority="9">
      <formula>IF($G115="Ground-up loss",TRUE,FALSE)</formula>
    </cfRule>
  </conditionalFormatting>
  <conditionalFormatting sqref="BP15:BQ125">
    <cfRule type="expression" dxfId="594" priority="8">
      <formula>IF($G15="Ground-up loss",TRUE,FALSE)</formula>
    </cfRule>
  </conditionalFormatting>
  <conditionalFormatting sqref="BT15:BU114">
    <cfRule type="expression" dxfId="593" priority="6">
      <formula>IF($G15="Ground-up loss",TRUE,FALSE)</formula>
    </cfRule>
  </conditionalFormatting>
  <conditionalFormatting sqref="BT115:BU115">
    <cfRule type="expression" dxfId="592" priority="5">
      <formula>IF($G115="Ground-up loss",TRUE,FALSE)</formula>
    </cfRule>
  </conditionalFormatting>
  <conditionalFormatting sqref="BN16">
    <cfRule type="expression" dxfId="591" priority="4">
      <formula>IF($G16="Ground-up loss",TRUE,FALSE)</formula>
    </cfRule>
  </conditionalFormatting>
  <conditionalFormatting sqref="CE116:CF125">
    <cfRule type="expression" dxfId="590" priority="3">
      <formula>IF($G116="Ground-up loss",TRUE,FALSE)</formula>
    </cfRule>
  </conditionalFormatting>
  <conditionalFormatting sqref="CE15:CF114">
    <cfRule type="expression" dxfId="589" priority="2">
      <formula>IF($G15="Ground-up loss",TRUE,FALSE)</formula>
    </cfRule>
  </conditionalFormatting>
  <conditionalFormatting sqref="CE115:CF115">
    <cfRule type="expression" dxfId="588" priority="1">
      <formula>IF($G115="Ground-up loss",TRUE,FALSE)</formula>
    </cfRule>
  </conditionalFormatting>
  <pageMargins left="0.7" right="0.7" top="0.75" bottom="0.75" header="0.3" footer="0.3"/>
  <pageSetup paperSize="9" orientation="portrait" verticalDpi="0" r:id="rId1"/>
  <ignoredErrors>
    <ignoredError sqref="F13:S13 T13:BJ13" formula="1"/>
    <ignoredError sqref="E14:S1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4211-09D4-455F-97A2-63AAF06A4187}">
  <sheetPr>
    <tabColor rgb="FFA2D3EE"/>
  </sheetPr>
  <dimension ref="A1:CJ125"/>
  <sheetViews>
    <sheetView showGridLines="0" zoomScale="90" zoomScaleNormal="90" workbookViewId="0">
      <pane xSplit="3" topLeftCell="D1" activePane="topRight" state="frozen"/>
      <selection activeCell="Q5" sqref="Q5"/>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HE_CGSheetsNr&amp;".2"</f>
        <v>15.2</v>
      </c>
      <c r="B1" s="54" t="str">
        <f>VLOOKUP("T.15.01",HE_label,2,FALSE)&amp;$N$3&amp;IF($N$5="",""," ("&amp;$N$5&amp;")")</f>
        <v>Kranken VVG: Daten nach Alter und Vertragsgruppe 2</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2</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HE_CG2</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87" priority="42">
      <formula>IF($G15="Ground-up loss",TRUE,FALSE)</formula>
    </cfRule>
  </conditionalFormatting>
  <conditionalFormatting sqref="E115:H115">
    <cfRule type="expression" dxfId="586" priority="41">
      <formula>IF($G115="Ground-up loss",TRUE,FALSE)</formula>
    </cfRule>
  </conditionalFormatting>
  <conditionalFormatting sqref="R15:S114">
    <cfRule type="expression" dxfId="585" priority="40">
      <formula>IF($G15="Ground-up loss",TRUE,FALSE)</formula>
    </cfRule>
  </conditionalFormatting>
  <conditionalFormatting sqref="R115:S115">
    <cfRule type="expression" dxfId="584" priority="39">
      <formula>IF($G115="Ground-up loss",TRUE,FALSE)</formula>
    </cfRule>
  </conditionalFormatting>
  <conditionalFormatting sqref="AH15:AI114">
    <cfRule type="expression" dxfId="583" priority="38">
      <formula>IF($G15="Ground-up loss",TRUE,FALSE)</formula>
    </cfRule>
  </conditionalFormatting>
  <conditionalFormatting sqref="AH115:AI115">
    <cfRule type="expression" dxfId="582" priority="37">
      <formula>IF($G115="Ground-up loss",TRUE,FALSE)</formula>
    </cfRule>
  </conditionalFormatting>
  <conditionalFormatting sqref="AJ15:AK15">
    <cfRule type="expression" dxfId="581" priority="36">
      <formula>IF($G15="Ground-up loss",TRUE,FALSE)</formula>
    </cfRule>
  </conditionalFormatting>
  <conditionalFormatting sqref="AJ115:AK115">
    <cfRule type="expression" dxfId="580" priority="35">
      <formula>IF($G115="Ground-up loss",TRUE,FALSE)</formula>
    </cfRule>
  </conditionalFormatting>
  <conditionalFormatting sqref="AL15:AM114">
    <cfRule type="expression" dxfId="579" priority="34">
      <formula>IF($G15="Ground-up loss",TRUE,FALSE)</formula>
    </cfRule>
  </conditionalFormatting>
  <conditionalFormatting sqref="AL115:AM115">
    <cfRule type="expression" dxfId="578" priority="33">
      <formula>IF($G115="Ground-up loss",TRUE,FALSE)</formula>
    </cfRule>
  </conditionalFormatting>
  <conditionalFormatting sqref="AP15:AQ114">
    <cfRule type="expression" dxfId="577" priority="32">
      <formula>IF($G15="Ground-up loss",TRUE,FALSE)</formula>
    </cfRule>
  </conditionalFormatting>
  <conditionalFormatting sqref="AP115:AQ115">
    <cfRule type="expression" dxfId="576" priority="31">
      <formula>IF($G115="Ground-up loss",TRUE,FALSE)</formula>
    </cfRule>
  </conditionalFormatting>
  <conditionalFormatting sqref="AJ16">
    <cfRule type="expression" dxfId="575" priority="30">
      <formula>IF($G16="Ground-up loss",TRUE,FALSE)</formula>
    </cfRule>
  </conditionalFormatting>
  <conditionalFormatting sqref="V116:W125">
    <cfRule type="expression" dxfId="574" priority="29">
      <formula>IF($G116="Ground-up loss",TRUE,FALSE)</formula>
    </cfRule>
  </conditionalFormatting>
  <conditionalFormatting sqref="V15:W114">
    <cfRule type="expression" dxfId="573" priority="28">
      <formula>IF($G15="Ground-up loss",TRUE,FALSE)</formula>
    </cfRule>
  </conditionalFormatting>
  <conditionalFormatting sqref="V115:W115">
    <cfRule type="expression" dxfId="572" priority="27">
      <formula>IF($G115="Ground-up loss",TRUE,FALSE)</formula>
    </cfRule>
  </conditionalFormatting>
  <conditionalFormatting sqref="AC116:AD125">
    <cfRule type="expression" dxfId="571" priority="26">
      <formula>IF($G116="Ground-up loss",TRUE,FALSE)</formula>
    </cfRule>
  </conditionalFormatting>
  <conditionalFormatting sqref="AC15:AD114">
    <cfRule type="expression" dxfId="570" priority="25">
      <formula>IF($G15="Ground-up loss",TRUE,FALSE)</formula>
    </cfRule>
  </conditionalFormatting>
  <conditionalFormatting sqref="AC115:AD115">
    <cfRule type="expression" dxfId="569" priority="24">
      <formula>IF($G115="Ground-up loss",TRUE,FALSE)</formula>
    </cfRule>
  </conditionalFormatting>
  <conditionalFormatting sqref="AY17:AZ114 AZ16 AW116:BB125 BE116:BF125">
    <cfRule type="expression" dxfId="568" priority="23">
      <formula>IF($G16="Ground-up loss",TRUE,FALSE)</formula>
    </cfRule>
  </conditionalFormatting>
  <conditionalFormatting sqref="AW15:AX114">
    <cfRule type="expression" dxfId="567" priority="22">
      <formula>IF($G15="Ground-up loss",TRUE,FALSE)</formula>
    </cfRule>
  </conditionalFormatting>
  <conditionalFormatting sqref="AW115:AX115">
    <cfRule type="expression" dxfId="566" priority="21">
      <formula>IF($G115="Ground-up loss",TRUE,FALSE)</formula>
    </cfRule>
  </conditionalFormatting>
  <conditionalFormatting sqref="AY15:AZ15">
    <cfRule type="expression" dxfId="565" priority="20">
      <formula>IF($G15="Ground-up loss",TRUE,FALSE)</formula>
    </cfRule>
  </conditionalFormatting>
  <conditionalFormatting sqref="AY115:AZ115">
    <cfRule type="expression" dxfId="564" priority="19">
      <formula>IF($G115="Ground-up loss",TRUE,FALSE)</formula>
    </cfRule>
  </conditionalFormatting>
  <conditionalFormatting sqref="BA15:BB114">
    <cfRule type="expression" dxfId="563" priority="18">
      <formula>IF($G15="Ground-up loss",TRUE,FALSE)</formula>
    </cfRule>
  </conditionalFormatting>
  <conditionalFormatting sqref="BA115:BB115">
    <cfRule type="expression" dxfId="562" priority="17">
      <formula>IF($G115="Ground-up loss",TRUE,FALSE)</formula>
    </cfRule>
  </conditionalFormatting>
  <conditionalFormatting sqref="BE15:BF114">
    <cfRule type="expression" dxfId="561" priority="16">
      <formula>IF($G15="Ground-up loss",TRUE,FALSE)</formula>
    </cfRule>
  </conditionalFormatting>
  <conditionalFormatting sqref="BE115:BF115">
    <cfRule type="expression" dxfId="560" priority="15">
      <formula>IF($G115="Ground-up loss",TRUE,FALSE)</formula>
    </cfRule>
  </conditionalFormatting>
  <conditionalFormatting sqref="AY16">
    <cfRule type="expression" dxfId="559" priority="14">
      <formula>IF($G16="Ground-up loss",TRUE,FALSE)</formula>
    </cfRule>
  </conditionalFormatting>
  <conditionalFormatting sqref="BN17:BO114 BO16 BL116:BQ125 BT116:BU125">
    <cfRule type="expression" dxfId="558" priority="13">
      <formula>IF($G16="Ground-up loss",TRUE,FALSE)</formula>
    </cfRule>
  </conditionalFormatting>
  <conditionalFormatting sqref="BL15:BM114">
    <cfRule type="expression" dxfId="557" priority="12">
      <formula>IF($G15="Ground-up loss",TRUE,FALSE)</formula>
    </cfRule>
  </conditionalFormatting>
  <conditionalFormatting sqref="BL115:BM115">
    <cfRule type="expression" dxfId="556" priority="11">
      <formula>IF($G115="Ground-up loss",TRUE,FALSE)</formula>
    </cfRule>
  </conditionalFormatting>
  <conditionalFormatting sqref="BN15:BO15">
    <cfRule type="expression" dxfId="555" priority="10">
      <formula>IF($G15="Ground-up loss",TRUE,FALSE)</formula>
    </cfRule>
  </conditionalFormatting>
  <conditionalFormatting sqref="BN115:BO115">
    <cfRule type="expression" dxfId="554" priority="9">
      <formula>IF($G115="Ground-up loss",TRUE,FALSE)</formula>
    </cfRule>
  </conditionalFormatting>
  <conditionalFormatting sqref="BP15:BQ114">
    <cfRule type="expression" dxfId="553" priority="8">
      <formula>IF($G15="Ground-up loss",TRUE,FALSE)</formula>
    </cfRule>
  </conditionalFormatting>
  <conditionalFormatting sqref="BP115:BQ115">
    <cfRule type="expression" dxfId="552" priority="7">
      <formula>IF($G115="Ground-up loss",TRUE,FALSE)</formula>
    </cfRule>
  </conditionalFormatting>
  <conditionalFormatting sqref="BT15:BU114">
    <cfRule type="expression" dxfId="551" priority="6">
      <formula>IF($G15="Ground-up loss",TRUE,FALSE)</formula>
    </cfRule>
  </conditionalFormatting>
  <conditionalFormatting sqref="BT115:BU115">
    <cfRule type="expression" dxfId="550" priority="5">
      <formula>IF($G115="Ground-up loss",TRUE,FALSE)</formula>
    </cfRule>
  </conditionalFormatting>
  <conditionalFormatting sqref="BN16">
    <cfRule type="expression" dxfId="549" priority="4">
      <formula>IF($G16="Ground-up loss",TRUE,FALSE)</formula>
    </cfRule>
  </conditionalFormatting>
  <conditionalFormatting sqref="CE116:CF125">
    <cfRule type="expression" dxfId="548" priority="3">
      <formula>IF($G116="Ground-up loss",TRUE,FALSE)</formula>
    </cfRule>
  </conditionalFormatting>
  <conditionalFormatting sqref="CE15:CF114">
    <cfRule type="expression" dxfId="547" priority="2">
      <formula>IF($G15="Ground-up loss",TRUE,FALSE)</formula>
    </cfRule>
  </conditionalFormatting>
  <conditionalFormatting sqref="CE115:CF115">
    <cfRule type="expression" dxfId="546" priority="1">
      <formula>IF($G115="Ground-up loss",TRUE,FALSE)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2F53-9FC1-46CA-BADA-112E14E4617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HE_CGSheetsNr&amp;".3"</f>
        <v>15.3</v>
      </c>
      <c r="B1" s="54" t="str">
        <f>VLOOKUP("T.15.01",HE_label,2,FALSE)&amp;$N$3&amp;IF($N$5="",""," ("&amp;$N$5&amp;")")</f>
        <v>Kranken VVG: Daten nach Alter und Vertragsgruppe 3</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3</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HE_CG3</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45" priority="42">
      <formula>IF($G15="Ground-up loss",TRUE,FALSE)</formula>
    </cfRule>
  </conditionalFormatting>
  <conditionalFormatting sqref="E115:H115">
    <cfRule type="expression" dxfId="544" priority="41">
      <formula>IF($G115="Ground-up loss",TRUE,FALSE)</formula>
    </cfRule>
  </conditionalFormatting>
  <conditionalFormatting sqref="R15:S114">
    <cfRule type="expression" dxfId="543" priority="40">
      <formula>IF($G15="Ground-up loss",TRUE,FALSE)</formula>
    </cfRule>
  </conditionalFormatting>
  <conditionalFormatting sqref="R115:S115">
    <cfRule type="expression" dxfId="542" priority="39">
      <formula>IF($G115="Ground-up loss",TRUE,FALSE)</formula>
    </cfRule>
  </conditionalFormatting>
  <conditionalFormatting sqref="AH15:AI114">
    <cfRule type="expression" dxfId="541" priority="38">
      <formula>IF($G15="Ground-up loss",TRUE,FALSE)</formula>
    </cfRule>
  </conditionalFormatting>
  <conditionalFormatting sqref="AH115:AI115">
    <cfRule type="expression" dxfId="540" priority="37">
      <formula>IF($G115="Ground-up loss",TRUE,FALSE)</formula>
    </cfRule>
  </conditionalFormatting>
  <conditionalFormatting sqref="AJ15:AK15">
    <cfRule type="expression" dxfId="539" priority="36">
      <formula>IF($G15="Ground-up loss",TRUE,FALSE)</formula>
    </cfRule>
  </conditionalFormatting>
  <conditionalFormatting sqref="AJ115:AK115">
    <cfRule type="expression" dxfId="538" priority="35">
      <formula>IF($G115="Ground-up loss",TRUE,FALSE)</formula>
    </cfRule>
  </conditionalFormatting>
  <conditionalFormatting sqref="AL15:AM114">
    <cfRule type="expression" dxfId="537" priority="34">
      <formula>IF($G15="Ground-up loss",TRUE,FALSE)</formula>
    </cfRule>
  </conditionalFormatting>
  <conditionalFormatting sqref="AL115:AM115">
    <cfRule type="expression" dxfId="536" priority="33">
      <formula>IF($G115="Ground-up loss",TRUE,FALSE)</formula>
    </cfRule>
  </conditionalFormatting>
  <conditionalFormatting sqref="AP15:AQ114">
    <cfRule type="expression" dxfId="535" priority="32">
      <formula>IF($G15="Ground-up loss",TRUE,FALSE)</formula>
    </cfRule>
  </conditionalFormatting>
  <conditionalFormatting sqref="AP115:AQ115">
    <cfRule type="expression" dxfId="534" priority="31">
      <formula>IF($G115="Ground-up loss",TRUE,FALSE)</formula>
    </cfRule>
  </conditionalFormatting>
  <conditionalFormatting sqref="AJ16">
    <cfRule type="expression" dxfId="533" priority="30">
      <formula>IF($G16="Ground-up loss",TRUE,FALSE)</formula>
    </cfRule>
  </conditionalFormatting>
  <conditionalFormatting sqref="V116:W125">
    <cfRule type="expression" dxfId="532" priority="29">
      <formula>IF($G116="Ground-up loss",TRUE,FALSE)</formula>
    </cfRule>
  </conditionalFormatting>
  <conditionalFormatting sqref="V15:W114">
    <cfRule type="expression" dxfId="531" priority="28">
      <formula>IF($G15="Ground-up loss",TRUE,FALSE)</formula>
    </cfRule>
  </conditionalFormatting>
  <conditionalFormatting sqref="V115:W115">
    <cfRule type="expression" dxfId="530" priority="27">
      <formula>IF($G115="Ground-up loss",TRUE,FALSE)</formula>
    </cfRule>
  </conditionalFormatting>
  <conditionalFormatting sqref="AC116:AD125">
    <cfRule type="expression" dxfId="529" priority="26">
      <formula>IF($G116="Ground-up loss",TRUE,FALSE)</formula>
    </cfRule>
  </conditionalFormatting>
  <conditionalFormatting sqref="AC15:AD114">
    <cfRule type="expression" dxfId="528" priority="25">
      <formula>IF($G15="Ground-up loss",TRUE,FALSE)</formula>
    </cfRule>
  </conditionalFormatting>
  <conditionalFormatting sqref="AC115:AD115">
    <cfRule type="expression" dxfId="527" priority="24">
      <formula>IF($G115="Ground-up loss",TRUE,FALSE)</formula>
    </cfRule>
  </conditionalFormatting>
  <conditionalFormatting sqref="AY17:AZ114 AZ16 AW116:BB125 BE116:BF125">
    <cfRule type="expression" dxfId="526" priority="23">
      <formula>IF($G16="Ground-up loss",TRUE,FALSE)</formula>
    </cfRule>
  </conditionalFormatting>
  <conditionalFormatting sqref="AW15:AX114">
    <cfRule type="expression" dxfId="525" priority="22">
      <formula>IF($G15="Ground-up loss",TRUE,FALSE)</formula>
    </cfRule>
  </conditionalFormatting>
  <conditionalFormatting sqref="AW115:AX115">
    <cfRule type="expression" dxfId="524" priority="21">
      <formula>IF($G115="Ground-up loss",TRUE,FALSE)</formula>
    </cfRule>
  </conditionalFormatting>
  <conditionalFormatting sqref="AY15:AZ15">
    <cfRule type="expression" dxfId="523" priority="20">
      <formula>IF($G15="Ground-up loss",TRUE,FALSE)</formula>
    </cfRule>
  </conditionalFormatting>
  <conditionalFormatting sqref="AY115:AZ115">
    <cfRule type="expression" dxfId="522" priority="19">
      <formula>IF($G115="Ground-up loss",TRUE,FALSE)</formula>
    </cfRule>
  </conditionalFormatting>
  <conditionalFormatting sqref="BA15:BB114">
    <cfRule type="expression" dxfId="521" priority="18">
      <formula>IF($G15="Ground-up loss",TRUE,FALSE)</formula>
    </cfRule>
  </conditionalFormatting>
  <conditionalFormatting sqref="BA115:BB115">
    <cfRule type="expression" dxfId="520" priority="17">
      <formula>IF($G115="Ground-up loss",TRUE,FALSE)</formula>
    </cfRule>
  </conditionalFormatting>
  <conditionalFormatting sqref="BE15:BF114">
    <cfRule type="expression" dxfId="519" priority="16">
      <formula>IF($G15="Ground-up loss",TRUE,FALSE)</formula>
    </cfRule>
  </conditionalFormatting>
  <conditionalFormatting sqref="BE115:BF115">
    <cfRule type="expression" dxfId="518" priority="15">
      <formula>IF($G115="Ground-up loss",TRUE,FALSE)</formula>
    </cfRule>
  </conditionalFormatting>
  <conditionalFormatting sqref="AY16">
    <cfRule type="expression" dxfId="517" priority="14">
      <formula>IF($G16="Ground-up loss",TRUE,FALSE)</formula>
    </cfRule>
  </conditionalFormatting>
  <conditionalFormatting sqref="BN17:BO114 BO16 BL116:BQ125 BT116:BU125">
    <cfRule type="expression" dxfId="516" priority="13">
      <formula>IF($G16="Ground-up loss",TRUE,FALSE)</formula>
    </cfRule>
  </conditionalFormatting>
  <conditionalFormatting sqref="BL15:BM114">
    <cfRule type="expression" dxfId="515" priority="12">
      <formula>IF($G15="Ground-up loss",TRUE,FALSE)</formula>
    </cfRule>
  </conditionalFormatting>
  <conditionalFormatting sqref="BL115:BM115">
    <cfRule type="expression" dxfId="514" priority="11">
      <formula>IF($G115="Ground-up loss",TRUE,FALSE)</formula>
    </cfRule>
  </conditionalFormatting>
  <conditionalFormatting sqref="BN15:BO15">
    <cfRule type="expression" dxfId="513" priority="10">
      <formula>IF($G15="Ground-up loss",TRUE,FALSE)</formula>
    </cfRule>
  </conditionalFormatting>
  <conditionalFormatting sqref="BN115:BO115">
    <cfRule type="expression" dxfId="512" priority="9">
      <formula>IF($G115="Ground-up loss",TRUE,FALSE)</formula>
    </cfRule>
  </conditionalFormatting>
  <conditionalFormatting sqref="BP15:BQ114">
    <cfRule type="expression" dxfId="511" priority="8">
      <formula>IF($G15="Ground-up loss",TRUE,FALSE)</formula>
    </cfRule>
  </conditionalFormatting>
  <conditionalFormatting sqref="BP115:BQ115">
    <cfRule type="expression" dxfId="510" priority="7">
      <formula>IF($G115="Ground-up loss",TRUE,FALSE)</formula>
    </cfRule>
  </conditionalFormatting>
  <conditionalFormatting sqref="BT15:BU114">
    <cfRule type="expression" dxfId="509" priority="6">
      <formula>IF($G15="Ground-up loss",TRUE,FALSE)</formula>
    </cfRule>
  </conditionalFormatting>
  <conditionalFormatting sqref="BT115:BU115">
    <cfRule type="expression" dxfId="508" priority="5">
      <formula>IF($G115="Ground-up loss",TRUE,FALSE)</formula>
    </cfRule>
  </conditionalFormatting>
  <conditionalFormatting sqref="BN16">
    <cfRule type="expression" dxfId="507" priority="4">
      <formula>IF($G16="Ground-up loss",TRUE,FALSE)</formula>
    </cfRule>
  </conditionalFormatting>
  <conditionalFormatting sqref="CE116:CF125">
    <cfRule type="expression" dxfId="506" priority="3">
      <formula>IF($G116="Ground-up loss",TRUE,FALSE)</formula>
    </cfRule>
  </conditionalFormatting>
  <conditionalFormatting sqref="CE15:CF114">
    <cfRule type="expression" dxfId="505" priority="2">
      <formula>IF($G15="Ground-up loss",TRUE,FALSE)</formula>
    </cfRule>
  </conditionalFormatting>
  <conditionalFormatting sqref="CE115:CF115">
    <cfRule type="expression" dxfId="504" priority="1">
      <formula>IF($G115="Ground-up loss",TRUE,FALSE)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242-66C6-4354-8569-F6DA937076F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HE_CGSheetsNr&amp;".4"</f>
        <v>15.4</v>
      </c>
      <c r="B1" s="54" t="str">
        <f>VLOOKUP("T.15.01",HE_label,2,FALSE)&amp;$N$3&amp;IF($N$5="",""," ("&amp;$N$5&amp;")")</f>
        <v>Kranken VVG: Daten nach Alter und Vertragsgruppe 4</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4</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HE_CG4</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03" priority="42">
      <formula>IF($G15="Ground-up loss",TRUE,FALSE)</formula>
    </cfRule>
  </conditionalFormatting>
  <conditionalFormatting sqref="E115:H115">
    <cfRule type="expression" dxfId="502" priority="41">
      <formula>IF($G115="Ground-up loss",TRUE,FALSE)</formula>
    </cfRule>
  </conditionalFormatting>
  <conditionalFormatting sqref="R15:S114">
    <cfRule type="expression" dxfId="501" priority="40">
      <formula>IF($G15="Ground-up loss",TRUE,FALSE)</formula>
    </cfRule>
  </conditionalFormatting>
  <conditionalFormatting sqref="R115:S115">
    <cfRule type="expression" dxfId="500" priority="39">
      <formula>IF($G115="Ground-up loss",TRUE,FALSE)</formula>
    </cfRule>
  </conditionalFormatting>
  <conditionalFormatting sqref="AH15:AI114">
    <cfRule type="expression" dxfId="499" priority="38">
      <formula>IF($G15="Ground-up loss",TRUE,FALSE)</formula>
    </cfRule>
  </conditionalFormatting>
  <conditionalFormatting sqref="AH115:AI115">
    <cfRule type="expression" dxfId="498" priority="37">
      <formula>IF($G115="Ground-up loss",TRUE,FALSE)</formula>
    </cfRule>
  </conditionalFormatting>
  <conditionalFormatting sqref="AJ15:AK15">
    <cfRule type="expression" dxfId="497" priority="36">
      <formula>IF($G15="Ground-up loss",TRUE,FALSE)</formula>
    </cfRule>
  </conditionalFormatting>
  <conditionalFormatting sqref="AJ115:AK115">
    <cfRule type="expression" dxfId="496" priority="35">
      <formula>IF($G115="Ground-up loss",TRUE,FALSE)</formula>
    </cfRule>
  </conditionalFormatting>
  <conditionalFormatting sqref="AL15:AM114">
    <cfRule type="expression" dxfId="495" priority="34">
      <formula>IF($G15="Ground-up loss",TRUE,FALSE)</formula>
    </cfRule>
  </conditionalFormatting>
  <conditionalFormatting sqref="AL115:AM115">
    <cfRule type="expression" dxfId="494" priority="33">
      <formula>IF($G115="Ground-up loss",TRUE,FALSE)</formula>
    </cfRule>
  </conditionalFormatting>
  <conditionalFormatting sqref="AP15:AQ114">
    <cfRule type="expression" dxfId="493" priority="32">
      <formula>IF($G15="Ground-up loss",TRUE,FALSE)</formula>
    </cfRule>
  </conditionalFormatting>
  <conditionalFormatting sqref="AP115:AQ115">
    <cfRule type="expression" dxfId="492" priority="31">
      <formula>IF($G115="Ground-up loss",TRUE,FALSE)</formula>
    </cfRule>
  </conditionalFormatting>
  <conditionalFormatting sqref="AJ16">
    <cfRule type="expression" dxfId="491" priority="30">
      <formula>IF($G16="Ground-up loss",TRUE,FALSE)</formula>
    </cfRule>
  </conditionalFormatting>
  <conditionalFormatting sqref="V116:W125">
    <cfRule type="expression" dxfId="490" priority="29">
      <formula>IF($G116="Ground-up loss",TRUE,FALSE)</formula>
    </cfRule>
  </conditionalFormatting>
  <conditionalFormatting sqref="V15:W114">
    <cfRule type="expression" dxfId="489" priority="28">
      <formula>IF($G15="Ground-up loss",TRUE,FALSE)</formula>
    </cfRule>
  </conditionalFormatting>
  <conditionalFormatting sqref="V115:W115">
    <cfRule type="expression" dxfId="488" priority="27">
      <formula>IF($G115="Ground-up loss",TRUE,FALSE)</formula>
    </cfRule>
  </conditionalFormatting>
  <conditionalFormatting sqref="AC116:AD125">
    <cfRule type="expression" dxfId="487" priority="26">
      <formula>IF($G116="Ground-up loss",TRUE,FALSE)</formula>
    </cfRule>
  </conditionalFormatting>
  <conditionalFormatting sqref="AC15:AD114">
    <cfRule type="expression" dxfId="486" priority="25">
      <formula>IF($G15="Ground-up loss",TRUE,FALSE)</formula>
    </cfRule>
  </conditionalFormatting>
  <conditionalFormatting sqref="AC115:AD115">
    <cfRule type="expression" dxfId="485" priority="24">
      <formula>IF($G115="Ground-up loss",TRUE,FALSE)</formula>
    </cfRule>
  </conditionalFormatting>
  <conditionalFormatting sqref="AY17:AZ114 AZ16 AW116:BB125 BE116:BF125">
    <cfRule type="expression" dxfId="484" priority="23">
      <formula>IF($G16="Ground-up loss",TRUE,FALSE)</formula>
    </cfRule>
  </conditionalFormatting>
  <conditionalFormatting sqref="AW15:AX114">
    <cfRule type="expression" dxfId="483" priority="22">
      <formula>IF($G15="Ground-up loss",TRUE,FALSE)</formula>
    </cfRule>
  </conditionalFormatting>
  <conditionalFormatting sqref="AW115:AX115">
    <cfRule type="expression" dxfId="482" priority="21">
      <formula>IF($G115="Ground-up loss",TRUE,FALSE)</formula>
    </cfRule>
  </conditionalFormatting>
  <conditionalFormatting sqref="AY15:AZ15">
    <cfRule type="expression" dxfId="481" priority="20">
      <formula>IF($G15="Ground-up loss",TRUE,FALSE)</formula>
    </cfRule>
  </conditionalFormatting>
  <conditionalFormatting sqref="AY115:AZ115">
    <cfRule type="expression" dxfId="480" priority="19">
      <formula>IF($G115="Ground-up loss",TRUE,FALSE)</formula>
    </cfRule>
  </conditionalFormatting>
  <conditionalFormatting sqref="BA15:BB114">
    <cfRule type="expression" dxfId="479" priority="18">
      <formula>IF($G15="Ground-up loss",TRUE,FALSE)</formula>
    </cfRule>
  </conditionalFormatting>
  <conditionalFormatting sqref="BA115:BB115">
    <cfRule type="expression" dxfId="478" priority="17">
      <formula>IF($G115="Ground-up loss",TRUE,FALSE)</formula>
    </cfRule>
  </conditionalFormatting>
  <conditionalFormatting sqref="BE15:BF114">
    <cfRule type="expression" dxfId="477" priority="16">
      <formula>IF($G15="Ground-up loss",TRUE,FALSE)</formula>
    </cfRule>
  </conditionalFormatting>
  <conditionalFormatting sqref="BE115:BF115">
    <cfRule type="expression" dxfId="476" priority="15">
      <formula>IF($G115="Ground-up loss",TRUE,FALSE)</formula>
    </cfRule>
  </conditionalFormatting>
  <conditionalFormatting sqref="AY16">
    <cfRule type="expression" dxfId="475" priority="14">
      <formula>IF($G16="Ground-up loss",TRUE,FALSE)</formula>
    </cfRule>
  </conditionalFormatting>
  <conditionalFormatting sqref="BN17:BO114 BO16 BL116:BQ125 BT116:BU125">
    <cfRule type="expression" dxfId="474" priority="13">
      <formula>IF($G16="Ground-up loss",TRUE,FALSE)</formula>
    </cfRule>
  </conditionalFormatting>
  <conditionalFormatting sqref="BL15:BM114">
    <cfRule type="expression" dxfId="473" priority="12">
      <formula>IF($G15="Ground-up loss",TRUE,FALSE)</formula>
    </cfRule>
  </conditionalFormatting>
  <conditionalFormatting sqref="BL115:BM115">
    <cfRule type="expression" dxfId="472" priority="11">
      <formula>IF($G115="Ground-up loss",TRUE,FALSE)</formula>
    </cfRule>
  </conditionalFormatting>
  <conditionalFormatting sqref="BN15:BO15">
    <cfRule type="expression" dxfId="471" priority="10">
      <formula>IF($G15="Ground-up loss",TRUE,FALSE)</formula>
    </cfRule>
  </conditionalFormatting>
  <conditionalFormatting sqref="BN115:BO115">
    <cfRule type="expression" dxfId="470" priority="9">
      <formula>IF($G115="Ground-up loss",TRUE,FALSE)</formula>
    </cfRule>
  </conditionalFormatting>
  <conditionalFormatting sqref="BP15:BQ114">
    <cfRule type="expression" dxfId="469" priority="8">
      <formula>IF($G15="Ground-up loss",TRUE,FALSE)</formula>
    </cfRule>
  </conditionalFormatting>
  <conditionalFormatting sqref="BP115:BQ115">
    <cfRule type="expression" dxfId="468" priority="7">
      <formula>IF($G115="Ground-up loss",TRUE,FALSE)</formula>
    </cfRule>
  </conditionalFormatting>
  <conditionalFormatting sqref="BT15:BU114">
    <cfRule type="expression" dxfId="467" priority="6">
      <formula>IF($G15="Ground-up loss",TRUE,FALSE)</formula>
    </cfRule>
  </conditionalFormatting>
  <conditionalFormatting sqref="BT115:BU115">
    <cfRule type="expression" dxfId="466" priority="5">
      <formula>IF($G115="Ground-up loss",TRUE,FALSE)</formula>
    </cfRule>
  </conditionalFormatting>
  <conditionalFormatting sqref="BN16">
    <cfRule type="expression" dxfId="465" priority="4">
      <formula>IF($G16="Ground-up loss",TRUE,FALSE)</formula>
    </cfRule>
  </conditionalFormatting>
  <conditionalFormatting sqref="CE116:CF125">
    <cfRule type="expression" dxfId="464" priority="3">
      <formula>IF($G116="Ground-up loss",TRUE,FALSE)</formula>
    </cfRule>
  </conditionalFormatting>
  <conditionalFormatting sqref="CE15:CF114">
    <cfRule type="expression" dxfId="463" priority="2">
      <formula>IF($G15="Ground-up loss",TRUE,FALSE)</formula>
    </cfRule>
  </conditionalFormatting>
  <conditionalFormatting sqref="CE115:CF115">
    <cfRule type="expression" dxfId="462" priority="1">
      <formula>IF($G115="Ground-up loss",TRUE,FALSE)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539E"/>
  </sheetPr>
  <dimension ref="A1:G50"/>
  <sheetViews>
    <sheetView showGridLines="0" zoomScale="90" zoomScaleNormal="90" workbookViewId="0"/>
  </sheetViews>
  <sheetFormatPr defaultColWidth="8.85546875" defaultRowHeight="12.75" x14ac:dyDescent="0.2"/>
  <cols>
    <col min="1" max="1" width="5.7109375" customWidth="1"/>
    <col min="2" max="2" width="3.85546875" customWidth="1"/>
    <col min="3" max="3" width="2" customWidth="1"/>
    <col min="4" max="4" width="19.42578125" style="360" customWidth="1"/>
    <col min="5" max="5" width="27.7109375" customWidth="1"/>
    <col min="6" max="6" width="36.140625" customWidth="1"/>
    <col min="7" max="7" width="136.140625" customWidth="1"/>
  </cols>
  <sheetData>
    <row r="1" spans="1:7" ht="20.25" x14ac:dyDescent="0.25">
      <c r="A1" s="53">
        <v>2</v>
      </c>
      <c r="B1" s="54" t="str">
        <f>VLOOKUP("T.02.01",HE_label,2,FALSE)</f>
        <v>Kranken VVG: Aktualisierungsliste</v>
      </c>
      <c r="C1" s="54"/>
      <c r="D1" s="54"/>
      <c r="E1" s="227"/>
      <c r="F1" s="227"/>
    </row>
    <row r="2" spans="1:7" ht="14.25" customHeight="1" x14ac:dyDescent="0.2">
      <c r="B2" s="228" t="str" cm="1">
        <f t="array" ref="B2">HE_company_name&amp;" - SST "&amp;HE_CY&amp;HE_suffix</f>
        <v xml:space="preserve"> - SST 2025</v>
      </c>
      <c r="C2" s="45"/>
    </row>
    <row r="3" spans="1:7" ht="14.25" customHeight="1" x14ac:dyDescent="0.2"/>
    <row r="4" spans="1:7" ht="14.25" customHeight="1" x14ac:dyDescent="0.2">
      <c r="B4" s="17"/>
      <c r="C4" s="17"/>
      <c r="D4" s="563"/>
      <c r="E4" s="17"/>
      <c r="F4" s="17"/>
      <c r="G4" s="17"/>
    </row>
    <row r="5" spans="1:7" s="51" customFormat="1" ht="14.25" customHeight="1" x14ac:dyDescent="0.2">
      <c r="B5" s="1154" t="str">
        <f>VLOOKUP("T.02.02",HE_label,2,FALSE)</f>
        <v>Nr.</v>
      </c>
      <c r="C5" s="1155"/>
      <c r="D5" s="1156" t="str">
        <f>VLOOKUP("T.02.03",HE_label,2,FALSE)</f>
        <v>Datum</v>
      </c>
      <c r="E5" s="1157" t="str">
        <f>VLOOKUP("T.02.04",HE_label,2,FALSE)</f>
        <v>Tabellenblatt</v>
      </c>
      <c r="F5" s="1157" t="str">
        <f>VLOOKUP("T.02.05",HE_label,2,FALSE)</f>
        <v>Zellen</v>
      </c>
      <c r="G5" s="1157" t="str">
        <f>VLOOKUP("T.02.06",HE_label,2,FALSE)</f>
        <v>Erklärungen</v>
      </c>
    </row>
    <row r="6" spans="1:7" s="230" customFormat="1" x14ac:dyDescent="0.2">
      <c r="B6" s="1208">
        <v>1</v>
      </c>
      <c r="C6" s="1209"/>
      <c r="D6" s="1210" t="s">
        <v>1134</v>
      </c>
      <c r="E6" s="1211" t="s">
        <v>246</v>
      </c>
      <c r="F6" s="1212"/>
      <c r="G6" s="1213" t="s">
        <v>379</v>
      </c>
    </row>
    <row r="7" spans="1:7" s="230" customFormat="1" x14ac:dyDescent="0.2">
      <c r="B7" s="1208">
        <v>2</v>
      </c>
      <c r="C7" s="1209"/>
      <c r="D7" s="1210" t="s">
        <v>1134</v>
      </c>
      <c r="E7" s="1211" t="s">
        <v>48</v>
      </c>
      <c r="F7" s="1212"/>
      <c r="G7" s="1213" t="s">
        <v>487</v>
      </c>
    </row>
    <row r="8" spans="1:7" s="230" customFormat="1" x14ac:dyDescent="0.2">
      <c r="B8" s="1208">
        <v>3</v>
      </c>
      <c r="C8" s="1209"/>
      <c r="D8" s="1210" t="s">
        <v>1134</v>
      </c>
      <c r="E8" s="1211" t="s">
        <v>193</v>
      </c>
      <c r="F8" s="1212"/>
      <c r="G8" s="1213" t="s">
        <v>244</v>
      </c>
    </row>
    <row r="9" spans="1:7" s="230" customFormat="1" x14ac:dyDescent="0.2">
      <c r="B9" s="1208">
        <v>4</v>
      </c>
      <c r="C9" s="1209"/>
      <c r="D9" s="1210" t="s">
        <v>1134</v>
      </c>
      <c r="E9" s="1211" t="s">
        <v>194</v>
      </c>
      <c r="F9" s="1212"/>
      <c r="G9" s="1213" t="s">
        <v>245</v>
      </c>
    </row>
    <row r="10" spans="1:7" s="230" customFormat="1" ht="51" x14ac:dyDescent="0.2">
      <c r="B10" s="1208">
        <v>5</v>
      </c>
      <c r="C10" s="1209"/>
      <c r="D10" s="1210" t="s">
        <v>1134</v>
      </c>
      <c r="E10" s="1211" t="s">
        <v>192</v>
      </c>
      <c r="F10" s="1212"/>
      <c r="G10" s="1214" t="s">
        <v>495</v>
      </c>
    </row>
    <row r="11" spans="1:7" s="230" customFormat="1" x14ac:dyDescent="0.2">
      <c r="B11" s="1215">
        <v>6</v>
      </c>
      <c r="C11" s="1209"/>
      <c r="D11" s="1210" t="s">
        <v>1134</v>
      </c>
      <c r="E11" s="1211" t="s">
        <v>195</v>
      </c>
      <c r="F11" s="1212"/>
      <c r="G11" s="1213" t="s">
        <v>378</v>
      </c>
    </row>
    <row r="12" spans="1:7" s="344" customFormat="1" x14ac:dyDescent="0.2">
      <c r="A12" s="230"/>
      <c r="B12" s="1215">
        <v>7</v>
      </c>
      <c r="C12" s="1216"/>
      <c r="D12" s="1217" t="s">
        <v>1134</v>
      </c>
      <c r="E12" s="1218" t="s">
        <v>197</v>
      </c>
      <c r="F12" s="1219"/>
      <c r="G12" s="1220" t="s">
        <v>1588</v>
      </c>
    </row>
    <row r="13" spans="1:7" s="344" customFormat="1" x14ac:dyDescent="0.2">
      <c r="A13" s="230"/>
      <c r="B13" s="1215">
        <v>8</v>
      </c>
      <c r="C13" s="1216"/>
      <c r="D13" s="1217" t="s">
        <v>1134</v>
      </c>
      <c r="E13" s="1218" t="s">
        <v>380</v>
      </c>
      <c r="F13" s="1219"/>
      <c r="G13" s="1220" t="s">
        <v>1135</v>
      </c>
    </row>
    <row r="14" spans="1:7" s="344" customFormat="1" x14ac:dyDescent="0.2">
      <c r="A14" s="230"/>
      <c r="B14" s="1215">
        <v>9</v>
      </c>
      <c r="C14" s="1216"/>
      <c r="D14" s="1217" t="s">
        <v>1134</v>
      </c>
      <c r="E14" s="1218" t="s">
        <v>384</v>
      </c>
      <c r="F14" s="1219"/>
      <c r="G14" s="1220" t="s">
        <v>1589</v>
      </c>
    </row>
    <row r="15" spans="1:7" s="344" customFormat="1" x14ac:dyDescent="0.2">
      <c r="A15" s="230"/>
      <c r="B15" s="1215">
        <v>10</v>
      </c>
      <c r="C15" s="1216"/>
      <c r="D15" s="1217" t="s">
        <v>1134</v>
      </c>
      <c r="E15" s="1218" t="s">
        <v>45</v>
      </c>
      <c r="F15" s="1219"/>
      <c r="G15" s="1220" t="s">
        <v>496</v>
      </c>
    </row>
    <row r="16" spans="1:7" s="344" customFormat="1" ht="38.25" x14ac:dyDescent="0.2">
      <c r="A16" s="230"/>
      <c r="B16" s="1215">
        <v>11</v>
      </c>
      <c r="C16" s="1216"/>
      <c r="D16" s="1217" t="s">
        <v>1134</v>
      </c>
      <c r="E16" s="1218" t="s">
        <v>251</v>
      </c>
      <c r="F16" s="1219"/>
      <c r="G16" s="1221" t="s">
        <v>1136</v>
      </c>
    </row>
    <row r="17" spans="1:7" s="344" customFormat="1" x14ac:dyDescent="0.2">
      <c r="A17" s="230"/>
      <c r="B17" s="1215">
        <v>12</v>
      </c>
      <c r="C17" s="1216"/>
      <c r="D17" s="1217" t="s">
        <v>1134</v>
      </c>
      <c r="E17" s="1218" t="s">
        <v>47</v>
      </c>
      <c r="F17" s="1219" t="s">
        <v>494</v>
      </c>
      <c r="G17" s="1220" t="s">
        <v>448</v>
      </c>
    </row>
    <row r="18" spans="1:7" s="344" customFormat="1" x14ac:dyDescent="0.2">
      <c r="A18" s="230"/>
      <c r="B18" s="1215">
        <v>13</v>
      </c>
      <c r="C18" s="1216"/>
      <c r="D18" s="1217" t="s">
        <v>1134</v>
      </c>
      <c r="E18" s="1218" t="s">
        <v>47</v>
      </c>
      <c r="F18" s="1219" t="s">
        <v>1133</v>
      </c>
      <c r="G18" s="1220" t="s">
        <v>493</v>
      </c>
    </row>
    <row r="19" spans="1:7" s="344" customFormat="1" ht="25.5" x14ac:dyDescent="0.2">
      <c r="A19" s="230"/>
      <c r="B19" s="1215">
        <v>14</v>
      </c>
      <c r="C19" s="1216"/>
      <c r="D19" s="1217" t="s">
        <v>1134</v>
      </c>
      <c r="E19" s="1218" t="s">
        <v>198</v>
      </c>
      <c r="F19" s="1222" t="s">
        <v>449</v>
      </c>
      <c r="G19" s="1221" t="s">
        <v>450</v>
      </c>
    </row>
    <row r="20" spans="1:7" s="344" customFormat="1" x14ac:dyDescent="0.2">
      <c r="A20" s="230"/>
      <c r="B20" s="1215">
        <v>15</v>
      </c>
      <c r="C20" s="1216"/>
      <c r="D20" s="1217" t="s">
        <v>1134</v>
      </c>
      <c r="E20" s="1218" t="s">
        <v>198</v>
      </c>
      <c r="F20" s="1219" t="s">
        <v>451</v>
      </c>
      <c r="G20" s="1220" t="s">
        <v>452</v>
      </c>
    </row>
    <row r="21" spans="1:7" s="344" customFormat="1" x14ac:dyDescent="0.2">
      <c r="A21" s="230"/>
      <c r="B21" s="1215">
        <v>16</v>
      </c>
      <c r="C21" s="1216"/>
      <c r="D21" s="1217" t="s">
        <v>1134</v>
      </c>
      <c r="E21" s="1218" t="s">
        <v>198</v>
      </c>
      <c r="F21" s="1219" t="s">
        <v>453</v>
      </c>
      <c r="G21" s="1220" t="s">
        <v>454</v>
      </c>
    </row>
    <row r="22" spans="1:7" s="344" customFormat="1" x14ac:dyDescent="0.2">
      <c r="A22" s="230"/>
      <c r="B22" s="1215">
        <v>17</v>
      </c>
      <c r="C22" s="1216"/>
      <c r="D22" s="1217" t="s">
        <v>1134</v>
      </c>
      <c r="E22" s="1218" t="s">
        <v>199</v>
      </c>
      <c r="F22" s="1219" t="s">
        <v>455</v>
      </c>
      <c r="G22" s="1220" t="s">
        <v>1137</v>
      </c>
    </row>
    <row r="23" spans="1:7" s="344" customFormat="1" ht="38.25" x14ac:dyDescent="0.2">
      <c r="A23" s="230"/>
      <c r="B23" s="1215">
        <v>18</v>
      </c>
      <c r="C23" s="1216"/>
      <c r="D23" s="1217" t="s">
        <v>1134</v>
      </c>
      <c r="E23" s="1218" t="s">
        <v>456</v>
      </c>
      <c r="F23" s="1219"/>
      <c r="G23" s="1221" t="s">
        <v>457</v>
      </c>
    </row>
    <row r="24" spans="1:7" s="344" customFormat="1" x14ac:dyDescent="0.2">
      <c r="A24" s="230"/>
      <c r="B24" s="1215">
        <v>19</v>
      </c>
      <c r="C24" s="1216"/>
      <c r="D24" s="1217" t="s">
        <v>1134</v>
      </c>
      <c r="E24" s="1218" t="s">
        <v>456</v>
      </c>
      <c r="F24" s="1219" t="s">
        <v>458</v>
      </c>
      <c r="G24" s="1220" t="s">
        <v>1138</v>
      </c>
    </row>
    <row r="25" spans="1:7" s="344" customFormat="1" x14ac:dyDescent="0.2">
      <c r="A25" s="230"/>
      <c r="B25" s="1215">
        <v>20</v>
      </c>
      <c r="C25" s="1216"/>
      <c r="D25" s="1217" t="s">
        <v>1134</v>
      </c>
      <c r="E25" s="1218" t="s">
        <v>258</v>
      </c>
      <c r="F25" s="1219" t="s">
        <v>744</v>
      </c>
      <c r="G25" s="1220" t="s">
        <v>1132</v>
      </c>
    </row>
    <row r="26" spans="1:7" s="344" customFormat="1" x14ac:dyDescent="0.2">
      <c r="A26" s="230"/>
      <c r="B26" s="1215">
        <v>21</v>
      </c>
      <c r="C26" s="1216"/>
      <c r="D26" s="1217" t="s">
        <v>1134</v>
      </c>
      <c r="E26" s="1218" t="s">
        <v>258</v>
      </c>
      <c r="F26" s="1219" t="s">
        <v>743</v>
      </c>
      <c r="G26" s="1220" t="s">
        <v>481</v>
      </c>
    </row>
    <row r="27" spans="1:7" s="344" customFormat="1" x14ac:dyDescent="0.2">
      <c r="A27" s="230"/>
      <c r="B27" s="1215">
        <v>22</v>
      </c>
      <c r="C27" s="1216"/>
      <c r="D27" s="1217" t="s">
        <v>1134</v>
      </c>
      <c r="E27" s="1218" t="s">
        <v>257</v>
      </c>
      <c r="F27" s="1219"/>
      <c r="G27" s="1220" t="s">
        <v>466</v>
      </c>
    </row>
    <row r="28" spans="1:7" x14ac:dyDescent="0.2">
      <c r="B28" s="1215">
        <v>23</v>
      </c>
      <c r="C28" s="1216"/>
      <c r="D28" s="1217">
        <v>45252</v>
      </c>
      <c r="E28" s="1218" t="s">
        <v>1914</v>
      </c>
      <c r="F28" s="1219"/>
      <c r="G28" s="1220" t="s">
        <v>1915</v>
      </c>
    </row>
    <row r="29" spans="1:7" x14ac:dyDescent="0.2">
      <c r="B29" s="1215">
        <v>24</v>
      </c>
      <c r="C29" s="1216"/>
      <c r="D29" s="1217">
        <v>45322</v>
      </c>
      <c r="E29" s="1218" t="s">
        <v>192</v>
      </c>
      <c r="F29" s="1219" t="s">
        <v>2070</v>
      </c>
      <c r="G29" s="1220" t="s">
        <v>2071</v>
      </c>
    </row>
    <row r="30" spans="1:7" x14ac:dyDescent="0.2">
      <c r="B30" s="1215">
        <v>25</v>
      </c>
      <c r="C30" s="1216"/>
      <c r="D30" s="1248">
        <v>45322</v>
      </c>
      <c r="E30" s="1249" t="s">
        <v>192</v>
      </c>
      <c r="F30" s="1250" t="s">
        <v>2072</v>
      </c>
      <c r="G30" s="1251" t="s">
        <v>2073</v>
      </c>
    </row>
    <row r="31" spans="1:7" x14ac:dyDescent="0.2">
      <c r="B31" s="1215">
        <v>26</v>
      </c>
      <c r="C31" s="1216"/>
      <c r="D31" s="1248">
        <v>45322</v>
      </c>
      <c r="E31" s="1249" t="s">
        <v>192</v>
      </c>
      <c r="F31" s="1250" t="s">
        <v>2074</v>
      </c>
      <c r="G31" s="1251" t="s">
        <v>2075</v>
      </c>
    </row>
    <row r="32" spans="1:7" x14ac:dyDescent="0.2">
      <c r="B32" s="1215">
        <v>27</v>
      </c>
      <c r="C32" s="1216"/>
      <c r="D32" s="1217">
        <v>45359</v>
      </c>
      <c r="E32" s="1218" t="s">
        <v>384</v>
      </c>
      <c r="F32" s="1219" t="s">
        <v>1919</v>
      </c>
      <c r="G32" s="1220" t="s">
        <v>1916</v>
      </c>
    </row>
    <row r="33" spans="1:7" x14ac:dyDescent="0.2">
      <c r="B33" s="1215">
        <v>28</v>
      </c>
      <c r="C33" s="1216"/>
      <c r="D33" s="1217">
        <v>45359</v>
      </c>
      <c r="E33" s="1218" t="s">
        <v>384</v>
      </c>
      <c r="F33" s="1219" t="s">
        <v>1917</v>
      </c>
      <c r="G33" s="1220" t="s">
        <v>1918</v>
      </c>
    </row>
    <row r="34" spans="1:7" x14ac:dyDescent="0.2">
      <c r="B34" s="1215">
        <v>29</v>
      </c>
      <c r="C34" s="1216"/>
      <c r="D34" s="1217">
        <v>45359</v>
      </c>
      <c r="E34" s="1218" t="s">
        <v>384</v>
      </c>
      <c r="F34" s="1219" t="s">
        <v>2061</v>
      </c>
      <c r="G34" s="1220" t="s">
        <v>2064</v>
      </c>
    </row>
    <row r="35" spans="1:7" x14ac:dyDescent="0.2">
      <c r="B35" s="1215">
        <v>30</v>
      </c>
      <c r="C35" s="1216"/>
      <c r="D35" s="1217">
        <v>45359</v>
      </c>
      <c r="E35" s="1218" t="s">
        <v>194</v>
      </c>
      <c r="F35" s="1219"/>
      <c r="G35" s="1220" t="s">
        <v>2069</v>
      </c>
    </row>
    <row r="36" spans="1:7" x14ac:dyDescent="0.2">
      <c r="A36" s="1252"/>
      <c r="B36" s="1263">
        <v>31</v>
      </c>
      <c r="C36" s="1264"/>
      <c r="D36" s="1210">
        <v>45371</v>
      </c>
      <c r="E36" s="1211" t="s">
        <v>192</v>
      </c>
      <c r="F36" s="1212" t="s">
        <v>2077</v>
      </c>
      <c r="G36" s="1213" t="s">
        <v>2078</v>
      </c>
    </row>
    <row r="37" spans="1:7" x14ac:dyDescent="0.2">
      <c r="A37" s="1252"/>
      <c r="B37" s="1263">
        <v>32</v>
      </c>
      <c r="C37" s="1264"/>
      <c r="D37" s="1210">
        <v>45371</v>
      </c>
      <c r="E37" s="1211" t="s">
        <v>192</v>
      </c>
      <c r="F37" s="1212" t="s">
        <v>2087</v>
      </c>
      <c r="G37" s="1213" t="s">
        <v>2079</v>
      </c>
    </row>
    <row r="38" spans="1:7" x14ac:dyDescent="0.2">
      <c r="A38" s="1252"/>
      <c r="B38" s="1263">
        <v>33</v>
      </c>
      <c r="C38" s="1264"/>
      <c r="D38" s="1210">
        <v>45371</v>
      </c>
      <c r="E38" s="1211" t="s">
        <v>192</v>
      </c>
      <c r="F38" s="1212" t="s">
        <v>2080</v>
      </c>
      <c r="G38" s="1213" t="s">
        <v>2081</v>
      </c>
    </row>
    <row r="39" spans="1:7" x14ac:dyDescent="0.2">
      <c r="B39" s="1263">
        <v>34</v>
      </c>
      <c r="C39" s="1264"/>
      <c r="D39" s="1210">
        <v>45371</v>
      </c>
      <c r="E39" s="1211" t="s">
        <v>192</v>
      </c>
      <c r="F39" s="1212" t="s">
        <v>2085</v>
      </c>
      <c r="G39" s="1213" t="s">
        <v>2086</v>
      </c>
    </row>
    <row r="40" spans="1:7" x14ac:dyDescent="0.2">
      <c r="B40" s="1282">
        <v>35</v>
      </c>
      <c r="C40" s="258"/>
      <c r="D40" s="1283" t="s">
        <v>2101</v>
      </c>
      <c r="E40" s="1284" t="s">
        <v>198</v>
      </c>
      <c r="F40" s="1285" t="s">
        <v>2090</v>
      </c>
      <c r="G40" s="1286" t="s">
        <v>2089</v>
      </c>
    </row>
    <row r="41" spans="1:7" x14ac:dyDescent="0.2">
      <c r="B41" s="1282">
        <v>36</v>
      </c>
      <c r="C41" s="258"/>
      <c r="D41" s="1283" t="s">
        <v>2101</v>
      </c>
      <c r="E41" s="1284" t="s">
        <v>1914</v>
      </c>
      <c r="F41" s="1285"/>
      <c r="G41" s="1286" t="s">
        <v>2100</v>
      </c>
    </row>
    <row r="42" spans="1:7" x14ac:dyDescent="0.2">
      <c r="B42" s="1265">
        <v>37</v>
      </c>
      <c r="C42" s="1282"/>
      <c r="D42" s="1283" t="s">
        <v>2102</v>
      </c>
      <c r="E42" s="1284" t="s">
        <v>384</v>
      </c>
      <c r="F42" s="1285" t="s">
        <v>2095</v>
      </c>
      <c r="G42" s="1286" t="s">
        <v>2096</v>
      </c>
    </row>
    <row r="43" spans="1:7" x14ac:dyDescent="0.2">
      <c r="B43" s="1282">
        <v>38</v>
      </c>
      <c r="C43" s="258"/>
      <c r="D43" s="1283" t="s">
        <v>2102</v>
      </c>
      <c r="E43" s="1284" t="s">
        <v>384</v>
      </c>
      <c r="F43" s="1285" t="s">
        <v>2097</v>
      </c>
      <c r="G43" s="1286" t="s">
        <v>2098</v>
      </c>
    </row>
    <row r="44" spans="1:7" x14ac:dyDescent="0.2">
      <c r="B44" s="1282">
        <v>39</v>
      </c>
      <c r="C44" s="258"/>
      <c r="D44" s="1283" t="s">
        <v>2102</v>
      </c>
      <c r="E44" s="1284" t="s">
        <v>384</v>
      </c>
      <c r="F44" s="1285" t="s">
        <v>2094</v>
      </c>
      <c r="G44" s="1286" t="s">
        <v>2103</v>
      </c>
    </row>
    <row r="45" spans="1:7" x14ac:dyDescent="0.2">
      <c r="B45" s="1282">
        <v>40</v>
      </c>
      <c r="C45" s="258"/>
      <c r="D45" s="1283" t="s">
        <v>2102</v>
      </c>
      <c r="E45" s="1284" t="s">
        <v>200</v>
      </c>
      <c r="F45" s="1285" t="s">
        <v>2099</v>
      </c>
      <c r="G45" s="1286" t="s">
        <v>2104</v>
      </c>
    </row>
    <row r="46" spans="1:7" x14ac:dyDescent="0.2">
      <c r="B46" s="1282">
        <v>41</v>
      </c>
      <c r="C46" s="258"/>
      <c r="D46" s="1283">
        <v>45579</v>
      </c>
      <c r="E46" s="1284" t="s">
        <v>48</v>
      </c>
      <c r="F46" s="1285"/>
      <c r="G46" s="1286" t="s">
        <v>2105</v>
      </c>
    </row>
    <row r="47" spans="1:7" x14ac:dyDescent="0.2">
      <c r="B47" s="1282">
        <v>42</v>
      </c>
      <c r="C47" s="258"/>
      <c r="D47" s="1283">
        <v>45579</v>
      </c>
      <c r="E47" s="1284" t="s">
        <v>192</v>
      </c>
      <c r="F47" s="1285" t="s">
        <v>2106</v>
      </c>
      <c r="G47" s="1286" t="s">
        <v>2107</v>
      </c>
    </row>
    <row r="48" spans="1:7" x14ac:dyDescent="0.2">
      <c r="B48" s="1282">
        <v>43</v>
      </c>
      <c r="C48" s="258"/>
      <c r="D48" s="1283">
        <v>45579</v>
      </c>
      <c r="E48" s="1284" t="s">
        <v>384</v>
      </c>
      <c r="F48" s="1285" t="s">
        <v>2108</v>
      </c>
      <c r="G48" s="1286" t="s">
        <v>2109</v>
      </c>
    </row>
    <row r="49" spans="1:7" x14ac:dyDescent="0.2">
      <c r="B49" s="1282">
        <v>44</v>
      </c>
      <c r="C49" s="258"/>
      <c r="D49" s="1283">
        <v>45579</v>
      </c>
      <c r="E49" s="1284" t="s">
        <v>251</v>
      </c>
      <c r="F49" s="1285"/>
      <c r="G49" s="1286" t="s">
        <v>2130</v>
      </c>
    </row>
    <row r="50" spans="1:7" x14ac:dyDescent="0.2">
      <c r="A50" s="48"/>
      <c r="B50" s="1215">
        <v>45</v>
      </c>
      <c r="C50" s="1216"/>
      <c r="D50" s="1217">
        <v>45688</v>
      </c>
      <c r="E50" s="1218" t="s">
        <v>192</v>
      </c>
      <c r="F50" s="1219" t="s">
        <v>2145</v>
      </c>
      <c r="G50" s="1221" t="s">
        <v>2144</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F70-3AAE-4CE2-942A-95951028E94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HE_CGSheetsNr&amp;".5"</f>
        <v>15.5</v>
      </c>
      <c r="B1" s="54" t="str">
        <f>VLOOKUP("T.15.01",HE_label,2,FALSE)&amp;$N$3&amp;IF($N$5="",""," ("&amp;$N$5&amp;")")</f>
        <v>Kranken VVG: Daten nach Alter und Vertragsgruppe 5</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5</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HE_CG5</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61" priority="42">
      <formula>IF($G15="Ground-up loss",TRUE,FALSE)</formula>
    </cfRule>
  </conditionalFormatting>
  <conditionalFormatting sqref="E115:H115">
    <cfRule type="expression" dxfId="460" priority="41">
      <formula>IF($G115="Ground-up loss",TRUE,FALSE)</formula>
    </cfRule>
  </conditionalFormatting>
  <conditionalFormatting sqref="R15:S114">
    <cfRule type="expression" dxfId="459" priority="40">
      <formula>IF($G15="Ground-up loss",TRUE,FALSE)</formula>
    </cfRule>
  </conditionalFormatting>
  <conditionalFormatting sqref="R115:S115">
    <cfRule type="expression" dxfId="458" priority="39">
      <formula>IF($G115="Ground-up loss",TRUE,FALSE)</formula>
    </cfRule>
  </conditionalFormatting>
  <conditionalFormatting sqref="AH15:AI114">
    <cfRule type="expression" dxfId="457" priority="38">
      <formula>IF($G15="Ground-up loss",TRUE,FALSE)</formula>
    </cfRule>
  </conditionalFormatting>
  <conditionalFormatting sqref="AH115:AI115">
    <cfRule type="expression" dxfId="456" priority="37">
      <formula>IF($G115="Ground-up loss",TRUE,FALSE)</formula>
    </cfRule>
  </conditionalFormatting>
  <conditionalFormatting sqref="AJ15:AK15">
    <cfRule type="expression" dxfId="455" priority="36">
      <formula>IF($G15="Ground-up loss",TRUE,FALSE)</formula>
    </cfRule>
  </conditionalFormatting>
  <conditionalFormatting sqref="AJ115:AK115">
    <cfRule type="expression" dxfId="454" priority="35">
      <formula>IF($G115="Ground-up loss",TRUE,FALSE)</formula>
    </cfRule>
  </conditionalFormatting>
  <conditionalFormatting sqref="AL15:AM114">
    <cfRule type="expression" dxfId="453" priority="34">
      <formula>IF($G15="Ground-up loss",TRUE,FALSE)</formula>
    </cfRule>
  </conditionalFormatting>
  <conditionalFormatting sqref="AL115:AM115">
    <cfRule type="expression" dxfId="452" priority="33">
      <formula>IF($G115="Ground-up loss",TRUE,FALSE)</formula>
    </cfRule>
  </conditionalFormatting>
  <conditionalFormatting sqref="AP15:AQ114">
    <cfRule type="expression" dxfId="451" priority="32">
      <formula>IF($G15="Ground-up loss",TRUE,FALSE)</formula>
    </cfRule>
  </conditionalFormatting>
  <conditionalFormatting sqref="AP115:AQ115">
    <cfRule type="expression" dxfId="450" priority="31">
      <formula>IF($G115="Ground-up loss",TRUE,FALSE)</formula>
    </cfRule>
  </conditionalFormatting>
  <conditionalFormatting sqref="AJ16">
    <cfRule type="expression" dxfId="449" priority="30">
      <formula>IF($G16="Ground-up loss",TRUE,FALSE)</formula>
    </cfRule>
  </conditionalFormatting>
  <conditionalFormatting sqref="V116:W125">
    <cfRule type="expression" dxfId="448" priority="29">
      <formula>IF($G116="Ground-up loss",TRUE,FALSE)</formula>
    </cfRule>
  </conditionalFormatting>
  <conditionalFormatting sqref="V15:W114">
    <cfRule type="expression" dxfId="447" priority="28">
      <formula>IF($G15="Ground-up loss",TRUE,FALSE)</formula>
    </cfRule>
  </conditionalFormatting>
  <conditionalFormatting sqref="V115:W115">
    <cfRule type="expression" dxfId="446" priority="27">
      <formula>IF($G115="Ground-up loss",TRUE,FALSE)</formula>
    </cfRule>
  </conditionalFormatting>
  <conditionalFormatting sqref="AC116:AD125">
    <cfRule type="expression" dxfId="445" priority="26">
      <formula>IF($G116="Ground-up loss",TRUE,FALSE)</formula>
    </cfRule>
  </conditionalFormatting>
  <conditionalFormatting sqref="AC15:AD114">
    <cfRule type="expression" dxfId="444" priority="25">
      <formula>IF($G15="Ground-up loss",TRUE,FALSE)</formula>
    </cfRule>
  </conditionalFormatting>
  <conditionalFormatting sqref="AC115:AD115">
    <cfRule type="expression" dxfId="443" priority="24">
      <formula>IF($G115="Ground-up loss",TRUE,FALSE)</formula>
    </cfRule>
  </conditionalFormatting>
  <conditionalFormatting sqref="AY17:AZ114 AZ16 AW116:BB125 BE116:BF125">
    <cfRule type="expression" dxfId="442" priority="23">
      <formula>IF($G16="Ground-up loss",TRUE,FALSE)</formula>
    </cfRule>
  </conditionalFormatting>
  <conditionalFormatting sqref="AW15:AX114">
    <cfRule type="expression" dxfId="441" priority="22">
      <formula>IF($G15="Ground-up loss",TRUE,FALSE)</formula>
    </cfRule>
  </conditionalFormatting>
  <conditionalFormatting sqref="AW115:AX115">
    <cfRule type="expression" dxfId="440" priority="21">
      <formula>IF($G115="Ground-up loss",TRUE,FALSE)</formula>
    </cfRule>
  </conditionalFormatting>
  <conditionalFormatting sqref="AY15:AZ15">
    <cfRule type="expression" dxfId="439" priority="20">
      <formula>IF($G15="Ground-up loss",TRUE,FALSE)</formula>
    </cfRule>
  </conditionalFormatting>
  <conditionalFormatting sqref="AY115:AZ115">
    <cfRule type="expression" dxfId="438" priority="19">
      <formula>IF($G115="Ground-up loss",TRUE,FALSE)</formula>
    </cfRule>
  </conditionalFormatting>
  <conditionalFormatting sqref="BA15:BB114">
    <cfRule type="expression" dxfId="437" priority="18">
      <formula>IF($G15="Ground-up loss",TRUE,FALSE)</formula>
    </cfRule>
  </conditionalFormatting>
  <conditionalFormatting sqref="BA115:BB115">
    <cfRule type="expression" dxfId="436" priority="17">
      <formula>IF($G115="Ground-up loss",TRUE,FALSE)</formula>
    </cfRule>
  </conditionalFormatting>
  <conditionalFormatting sqref="BE15:BF114">
    <cfRule type="expression" dxfId="435" priority="16">
      <formula>IF($G15="Ground-up loss",TRUE,FALSE)</formula>
    </cfRule>
  </conditionalFormatting>
  <conditionalFormatting sqref="BE115:BF115">
    <cfRule type="expression" dxfId="434" priority="15">
      <formula>IF($G115="Ground-up loss",TRUE,FALSE)</formula>
    </cfRule>
  </conditionalFormatting>
  <conditionalFormatting sqref="AY16">
    <cfRule type="expression" dxfId="433" priority="14">
      <formula>IF($G16="Ground-up loss",TRUE,FALSE)</formula>
    </cfRule>
  </conditionalFormatting>
  <conditionalFormatting sqref="BN17:BO114 BO16 BL116:BQ125 BT116:BU125">
    <cfRule type="expression" dxfId="432" priority="13">
      <formula>IF($G16="Ground-up loss",TRUE,FALSE)</formula>
    </cfRule>
  </conditionalFormatting>
  <conditionalFormatting sqref="BL15:BM114">
    <cfRule type="expression" dxfId="431" priority="12">
      <formula>IF($G15="Ground-up loss",TRUE,FALSE)</formula>
    </cfRule>
  </conditionalFormatting>
  <conditionalFormatting sqref="BL115:BM115">
    <cfRule type="expression" dxfId="430" priority="11">
      <formula>IF($G115="Ground-up loss",TRUE,FALSE)</formula>
    </cfRule>
  </conditionalFormatting>
  <conditionalFormatting sqref="BN15:BO15">
    <cfRule type="expression" dxfId="429" priority="10">
      <formula>IF($G15="Ground-up loss",TRUE,FALSE)</formula>
    </cfRule>
  </conditionalFormatting>
  <conditionalFormatting sqref="BN115:BO115">
    <cfRule type="expression" dxfId="428" priority="9">
      <formula>IF($G115="Ground-up loss",TRUE,FALSE)</formula>
    </cfRule>
  </conditionalFormatting>
  <conditionalFormatting sqref="BP15:BQ114">
    <cfRule type="expression" dxfId="427" priority="8">
      <formula>IF($G15="Ground-up loss",TRUE,FALSE)</formula>
    </cfRule>
  </conditionalFormatting>
  <conditionalFormatting sqref="BP115:BQ115">
    <cfRule type="expression" dxfId="426" priority="7">
      <formula>IF($G115="Ground-up loss",TRUE,FALSE)</formula>
    </cfRule>
  </conditionalFormatting>
  <conditionalFormatting sqref="BT15:BU114">
    <cfRule type="expression" dxfId="425" priority="6">
      <formula>IF($G15="Ground-up loss",TRUE,FALSE)</formula>
    </cfRule>
  </conditionalFormatting>
  <conditionalFormatting sqref="BT115:BU115">
    <cfRule type="expression" dxfId="424" priority="5">
      <formula>IF($G115="Ground-up loss",TRUE,FALSE)</formula>
    </cfRule>
  </conditionalFormatting>
  <conditionalFormatting sqref="BN16">
    <cfRule type="expression" dxfId="423" priority="4">
      <formula>IF($G16="Ground-up loss",TRUE,FALSE)</formula>
    </cfRule>
  </conditionalFormatting>
  <conditionalFormatting sqref="CE116:CF125">
    <cfRule type="expression" dxfId="422" priority="3">
      <formula>IF($G116="Ground-up loss",TRUE,FALSE)</formula>
    </cfRule>
  </conditionalFormatting>
  <conditionalFormatting sqref="CE15:CF114">
    <cfRule type="expression" dxfId="421" priority="2">
      <formula>IF($G15="Ground-up loss",TRUE,FALSE)</formula>
    </cfRule>
  </conditionalFormatting>
  <conditionalFormatting sqref="CE115:CF115">
    <cfRule type="expression" dxfId="420" priority="1">
      <formula>IF($G115="Ground-up loss",TRUE,FALSE)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8BA-E1CD-4395-A6C6-C9CE7FB50DE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HE_CGSheetsNr&amp;".6"</f>
        <v>15.6</v>
      </c>
      <c r="B1" s="54" t="str">
        <f>VLOOKUP("T.15.01",HE_label,2,FALSE)&amp;$N$3&amp;IF($N$5="",""," ("&amp;$N$5&amp;")")</f>
        <v>Kranken VVG: Daten nach Alter und Vertragsgruppe 6</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6</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HE_CG6</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9" priority="42">
      <formula>IF($G15="Ground-up loss",TRUE,FALSE)</formula>
    </cfRule>
  </conditionalFormatting>
  <conditionalFormatting sqref="E115:H115">
    <cfRule type="expression" dxfId="418" priority="41">
      <formula>IF($G115="Ground-up loss",TRUE,FALSE)</formula>
    </cfRule>
  </conditionalFormatting>
  <conditionalFormatting sqref="R15:S114">
    <cfRule type="expression" dxfId="417" priority="40">
      <formula>IF($G15="Ground-up loss",TRUE,FALSE)</formula>
    </cfRule>
  </conditionalFormatting>
  <conditionalFormatting sqref="R115:S115">
    <cfRule type="expression" dxfId="416" priority="39">
      <formula>IF($G115="Ground-up loss",TRUE,FALSE)</formula>
    </cfRule>
  </conditionalFormatting>
  <conditionalFormatting sqref="AH15:AI114">
    <cfRule type="expression" dxfId="415" priority="38">
      <formula>IF($G15="Ground-up loss",TRUE,FALSE)</formula>
    </cfRule>
  </conditionalFormatting>
  <conditionalFormatting sqref="AH115:AI115">
    <cfRule type="expression" dxfId="414" priority="37">
      <formula>IF($G115="Ground-up loss",TRUE,FALSE)</formula>
    </cfRule>
  </conditionalFormatting>
  <conditionalFormatting sqref="AJ15:AK15">
    <cfRule type="expression" dxfId="413" priority="36">
      <formula>IF($G15="Ground-up loss",TRUE,FALSE)</formula>
    </cfRule>
  </conditionalFormatting>
  <conditionalFormatting sqref="AJ115:AK115">
    <cfRule type="expression" dxfId="412" priority="35">
      <formula>IF($G115="Ground-up loss",TRUE,FALSE)</formula>
    </cfRule>
  </conditionalFormatting>
  <conditionalFormatting sqref="AL15:AM114">
    <cfRule type="expression" dxfId="411" priority="34">
      <formula>IF($G15="Ground-up loss",TRUE,FALSE)</formula>
    </cfRule>
  </conditionalFormatting>
  <conditionalFormatting sqref="AL115:AM115">
    <cfRule type="expression" dxfId="410" priority="33">
      <formula>IF($G115="Ground-up loss",TRUE,FALSE)</formula>
    </cfRule>
  </conditionalFormatting>
  <conditionalFormatting sqref="AP15:AQ114">
    <cfRule type="expression" dxfId="409" priority="32">
      <formula>IF($G15="Ground-up loss",TRUE,FALSE)</formula>
    </cfRule>
  </conditionalFormatting>
  <conditionalFormatting sqref="AP115:AQ115">
    <cfRule type="expression" dxfId="408" priority="31">
      <formula>IF($G115="Ground-up loss",TRUE,FALSE)</formula>
    </cfRule>
  </conditionalFormatting>
  <conditionalFormatting sqref="AJ16">
    <cfRule type="expression" dxfId="407" priority="30">
      <formula>IF($G16="Ground-up loss",TRUE,FALSE)</formula>
    </cfRule>
  </conditionalFormatting>
  <conditionalFormatting sqref="V116:W125">
    <cfRule type="expression" dxfId="406" priority="29">
      <formula>IF($G116="Ground-up loss",TRUE,FALSE)</formula>
    </cfRule>
  </conditionalFormatting>
  <conditionalFormatting sqref="V15:W114">
    <cfRule type="expression" dxfId="405" priority="28">
      <formula>IF($G15="Ground-up loss",TRUE,FALSE)</formula>
    </cfRule>
  </conditionalFormatting>
  <conditionalFormatting sqref="V115:W115">
    <cfRule type="expression" dxfId="404" priority="27">
      <formula>IF($G115="Ground-up loss",TRUE,FALSE)</formula>
    </cfRule>
  </conditionalFormatting>
  <conditionalFormatting sqref="AC116:AD125">
    <cfRule type="expression" dxfId="403" priority="26">
      <formula>IF($G116="Ground-up loss",TRUE,FALSE)</formula>
    </cfRule>
  </conditionalFormatting>
  <conditionalFormatting sqref="AC15:AD114">
    <cfRule type="expression" dxfId="402" priority="25">
      <formula>IF($G15="Ground-up loss",TRUE,FALSE)</formula>
    </cfRule>
  </conditionalFormatting>
  <conditionalFormatting sqref="AC115:AD115">
    <cfRule type="expression" dxfId="401" priority="24">
      <formula>IF($G115="Ground-up loss",TRUE,FALSE)</formula>
    </cfRule>
  </conditionalFormatting>
  <conditionalFormatting sqref="AY17:AZ114 AZ16 AW116:BB125 BE116:BF125">
    <cfRule type="expression" dxfId="400" priority="23">
      <formula>IF($G16="Ground-up loss",TRUE,FALSE)</formula>
    </cfRule>
  </conditionalFormatting>
  <conditionalFormatting sqref="AW15:AX114">
    <cfRule type="expression" dxfId="399" priority="22">
      <formula>IF($G15="Ground-up loss",TRUE,FALSE)</formula>
    </cfRule>
  </conditionalFormatting>
  <conditionalFormatting sqref="AW115:AX115">
    <cfRule type="expression" dxfId="398" priority="21">
      <formula>IF($G115="Ground-up loss",TRUE,FALSE)</formula>
    </cfRule>
  </conditionalFormatting>
  <conditionalFormatting sqref="AY15:AZ15">
    <cfRule type="expression" dxfId="397" priority="20">
      <formula>IF($G15="Ground-up loss",TRUE,FALSE)</formula>
    </cfRule>
  </conditionalFormatting>
  <conditionalFormatting sqref="AY115:AZ115">
    <cfRule type="expression" dxfId="396" priority="19">
      <formula>IF($G115="Ground-up loss",TRUE,FALSE)</formula>
    </cfRule>
  </conditionalFormatting>
  <conditionalFormatting sqref="BA15:BB114">
    <cfRule type="expression" dxfId="395" priority="18">
      <formula>IF($G15="Ground-up loss",TRUE,FALSE)</formula>
    </cfRule>
  </conditionalFormatting>
  <conditionalFormatting sqref="BA115:BB115">
    <cfRule type="expression" dxfId="394" priority="17">
      <formula>IF($G115="Ground-up loss",TRUE,FALSE)</formula>
    </cfRule>
  </conditionalFormatting>
  <conditionalFormatting sqref="BE15:BF114">
    <cfRule type="expression" dxfId="393" priority="16">
      <formula>IF($G15="Ground-up loss",TRUE,FALSE)</formula>
    </cfRule>
  </conditionalFormatting>
  <conditionalFormatting sqref="BE115:BF115">
    <cfRule type="expression" dxfId="392" priority="15">
      <formula>IF($G115="Ground-up loss",TRUE,FALSE)</formula>
    </cfRule>
  </conditionalFormatting>
  <conditionalFormatting sqref="AY16">
    <cfRule type="expression" dxfId="391" priority="14">
      <formula>IF($G16="Ground-up loss",TRUE,FALSE)</formula>
    </cfRule>
  </conditionalFormatting>
  <conditionalFormatting sqref="BN17:BO114 BO16 BL116:BQ125 BT116:BU125">
    <cfRule type="expression" dxfId="390" priority="13">
      <formula>IF($G16="Ground-up loss",TRUE,FALSE)</formula>
    </cfRule>
  </conditionalFormatting>
  <conditionalFormatting sqref="BL15:BM114">
    <cfRule type="expression" dxfId="389" priority="12">
      <formula>IF($G15="Ground-up loss",TRUE,FALSE)</formula>
    </cfRule>
  </conditionalFormatting>
  <conditionalFormatting sqref="BL115:BM115">
    <cfRule type="expression" dxfId="388" priority="11">
      <formula>IF($G115="Ground-up loss",TRUE,FALSE)</formula>
    </cfRule>
  </conditionalFormatting>
  <conditionalFormatting sqref="BN15:BO15">
    <cfRule type="expression" dxfId="387" priority="10">
      <formula>IF($G15="Ground-up loss",TRUE,FALSE)</formula>
    </cfRule>
  </conditionalFormatting>
  <conditionalFormatting sqref="BN115:BO115">
    <cfRule type="expression" dxfId="386" priority="9">
      <formula>IF($G115="Ground-up loss",TRUE,FALSE)</formula>
    </cfRule>
  </conditionalFormatting>
  <conditionalFormatting sqref="BP15:BQ114">
    <cfRule type="expression" dxfId="385" priority="8">
      <formula>IF($G15="Ground-up loss",TRUE,FALSE)</formula>
    </cfRule>
  </conditionalFormatting>
  <conditionalFormatting sqref="BP115:BQ115">
    <cfRule type="expression" dxfId="384" priority="7">
      <formula>IF($G115="Ground-up loss",TRUE,FALSE)</formula>
    </cfRule>
  </conditionalFormatting>
  <conditionalFormatting sqref="BT15:BU114">
    <cfRule type="expression" dxfId="383" priority="6">
      <formula>IF($G15="Ground-up loss",TRUE,FALSE)</formula>
    </cfRule>
  </conditionalFormatting>
  <conditionalFormatting sqref="BT115:BU115">
    <cfRule type="expression" dxfId="382" priority="5">
      <formula>IF($G115="Ground-up loss",TRUE,FALSE)</formula>
    </cfRule>
  </conditionalFormatting>
  <conditionalFormatting sqref="BN16">
    <cfRule type="expression" dxfId="381" priority="4">
      <formula>IF($G16="Ground-up loss",TRUE,FALSE)</formula>
    </cfRule>
  </conditionalFormatting>
  <conditionalFormatting sqref="CE116:CF125">
    <cfRule type="expression" dxfId="380" priority="3">
      <formula>IF($G116="Ground-up loss",TRUE,FALSE)</formula>
    </cfRule>
  </conditionalFormatting>
  <conditionalFormatting sqref="CE15:CF114">
    <cfRule type="expression" dxfId="379" priority="2">
      <formula>IF($G15="Ground-up loss",TRUE,FALSE)</formula>
    </cfRule>
  </conditionalFormatting>
  <conditionalFormatting sqref="CE115:CF115">
    <cfRule type="expression" dxfId="378" priority="1">
      <formula>IF($G115="Ground-up loss",TRUE,FALSE)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52CB-2257-4E4F-9184-981AC31E1681}">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HE_CGSheetsNr&amp;".7"</f>
        <v>15.7</v>
      </c>
      <c r="B1" s="54" t="str">
        <f>VLOOKUP("T.15.01",HE_label,2,FALSE)&amp;$N$3&amp;IF($N$5="",""," ("&amp;$N$5&amp;")")</f>
        <v>Kranken VVG: Daten nach Alter und Vertragsgruppe 7</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7</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HE_CG7</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4">HE_CY-$B15</f>
        <v>2025</v>
      </c>
      <c r="R15" s="337"/>
      <c r="S15" s="339"/>
      <c r="T15" s="668">
        <f t="shared" ref="T15:T78" si="15">IF(E15&gt;0,R15/E15,0)</f>
        <v>0</v>
      </c>
      <c r="U15" s="669">
        <f t="shared" ref="U15:U78" si="16">IF(F15&gt;0,S15/F15,0)</f>
        <v>0</v>
      </c>
      <c r="V15" s="337"/>
      <c r="W15" s="339"/>
      <c r="X15" s="653">
        <f>IFERROR(X16,0)</f>
        <v>0</v>
      </c>
      <c r="Y15" s="653">
        <f>IFERROR(Y16,0)</f>
        <v>0</v>
      </c>
      <c r="Z15" s="533">
        <f t="shared" ref="Z15:Z78" si="17">HE_CY-$B15</f>
        <v>2025</v>
      </c>
      <c r="AA15" s="668">
        <f>$P$4*X15</f>
        <v>0</v>
      </c>
      <c r="AB15" s="669">
        <f>$P$4*Y15</f>
        <v>0</v>
      </c>
      <c r="AC15" s="337"/>
      <c r="AD15" s="339"/>
      <c r="AE15" s="382">
        <f>IF(ISBLANK(AC15),AA15,AC15)</f>
        <v>0</v>
      </c>
      <c r="AF15" s="382">
        <f>IF(ISBLANK(AD15),AB15,AD15)</f>
        <v>0</v>
      </c>
      <c r="AG15" s="533">
        <f t="shared" ref="AG15:AG78" si="18">HE_PY1-$B15</f>
        <v>2024</v>
      </c>
      <c r="AH15" s="1271">
        <f>AJ15</f>
        <v>0</v>
      </c>
      <c r="AI15" s="1272">
        <f>AK15</f>
        <v>0</v>
      </c>
      <c r="AJ15" s="337"/>
      <c r="AK15" s="339"/>
      <c r="AL15" s="1271">
        <v>0</v>
      </c>
      <c r="AM15" s="1272">
        <v>0</v>
      </c>
      <c r="AN15" s="393">
        <f t="shared" ref="AN15:AO78" si="19">IF(AH15&gt;0,$P$3+(1-$P$3)*(AJ15-AL15)/AH15,1)</f>
        <v>1</v>
      </c>
      <c r="AO15" s="513">
        <f t="shared" si="3"/>
        <v>1</v>
      </c>
      <c r="AP15" s="337"/>
      <c r="AQ15" s="339"/>
      <c r="AR15" s="662">
        <f>IF(AJ15&gt;0,AP15/(AJ15/2),0)</f>
        <v>0</v>
      </c>
      <c r="AS15" s="678">
        <f t="shared" ref="AS15" si="20">IF(AK15&gt;0,AQ15/(AK15/2),0)</f>
        <v>0</v>
      </c>
      <c r="AT15" s="382">
        <f>AR15*$P$5</f>
        <v>0</v>
      </c>
      <c r="AU15" s="385">
        <f t="shared" si="4"/>
        <v>0</v>
      </c>
      <c r="AV15" s="533">
        <f t="shared" ref="AV15:AV78" si="21">HE_PY2-$B15</f>
        <v>2023</v>
      </c>
      <c r="AW15" s="1271">
        <f>AY15</f>
        <v>0</v>
      </c>
      <c r="AX15" s="1272">
        <f>AZ15</f>
        <v>0</v>
      </c>
      <c r="AY15" s="337"/>
      <c r="AZ15" s="339"/>
      <c r="BA15" s="1271">
        <v>0</v>
      </c>
      <c r="BB15" s="1272">
        <v>0</v>
      </c>
      <c r="BC15" s="393">
        <f t="shared" ref="BC15:BD78" si="22">IF(AW15&gt;0,$P$3+(1-$P$3)*(AY15-BA15)/AW15,1)</f>
        <v>1</v>
      </c>
      <c r="BD15" s="513">
        <f t="shared" si="7"/>
        <v>1</v>
      </c>
      <c r="BE15" s="337"/>
      <c r="BF15" s="339"/>
      <c r="BG15" s="662">
        <f>IF(AY15&gt;0,BE15/(AY15/2),0)</f>
        <v>0</v>
      </c>
      <c r="BH15" s="678">
        <f t="shared" ref="BH15" si="23">IF(AZ15&gt;0,BF15/(AZ15/2),0)</f>
        <v>0</v>
      </c>
      <c r="BI15" s="382">
        <f>BG15*$P$6</f>
        <v>0</v>
      </c>
      <c r="BJ15" s="385">
        <f>BH15*$P$6</f>
        <v>0</v>
      </c>
      <c r="BK15" s="533">
        <f t="shared" ref="BK15:BK78" si="24">HE_PY3-$B15</f>
        <v>2022</v>
      </c>
      <c r="BL15" s="1271">
        <f>BN15</f>
        <v>0</v>
      </c>
      <c r="BM15" s="1272">
        <f>BO15</f>
        <v>0</v>
      </c>
      <c r="BN15" s="337"/>
      <c r="BO15" s="339"/>
      <c r="BP15" s="1271">
        <v>0</v>
      </c>
      <c r="BQ15" s="1272">
        <v>0</v>
      </c>
      <c r="BR15" s="393">
        <f t="shared" ref="BR15:BS78" si="25">IF(BL15&gt;0,$P$3+(1-$P$3)*(BN15-BP15)/BL15,1)</f>
        <v>1</v>
      </c>
      <c r="BS15" s="513">
        <f t="shared" si="11"/>
        <v>1</v>
      </c>
      <c r="BT15" s="337"/>
      <c r="BU15" s="339"/>
      <c r="BV15" s="662">
        <f>IF(BN15&gt;0,BT15/(BN15/2),0)</f>
        <v>0</v>
      </c>
      <c r="BW15" s="678">
        <f t="shared" ref="BW15" si="26">IF(BO15&gt;0,BU15/(BO15/2),0)</f>
        <v>0</v>
      </c>
      <c r="BX15" s="382">
        <f>BV15*$P$7</f>
        <v>0</v>
      </c>
      <c r="BY15" s="385">
        <f>BW15*$P$7</f>
        <v>0</v>
      </c>
      <c r="BZ15" s="533">
        <f t="shared" ref="BZ15:BZ78" si="27">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8">B16+1</f>
        <v>2</v>
      </c>
      <c r="D16" s="534">
        <f t="shared" si="13"/>
        <v>2024</v>
      </c>
      <c r="E16" s="337"/>
      <c r="F16" s="338"/>
      <c r="G16" s="1271">
        <v>0</v>
      </c>
      <c r="H16" s="1289">
        <v>0</v>
      </c>
      <c r="I16" s="400">
        <f>E16-G16</f>
        <v>0</v>
      </c>
      <c r="J16" s="401">
        <f>F16-H16</f>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29">$P$3+(1-$P$3)*(1-K16)</f>
        <v>0.99911853373827042</v>
      </c>
      <c r="P16" s="1143">
        <f t="shared" si="29"/>
        <v>0.99926893705793307</v>
      </c>
      <c r="Q16" s="356">
        <f t="shared" si="14"/>
        <v>2024</v>
      </c>
      <c r="R16" s="337"/>
      <c r="S16" s="338"/>
      <c r="T16" s="664">
        <f t="shared" si="15"/>
        <v>0</v>
      </c>
      <c r="U16" s="665">
        <f t="shared" si="16"/>
        <v>0</v>
      </c>
      <c r="V16" s="337"/>
      <c r="W16" s="338"/>
      <c r="X16" s="383">
        <f t="shared" ref="X16:Y79" si="30">IF(ISBLANK(V16),T16,V16)</f>
        <v>0</v>
      </c>
      <c r="Y16" s="386">
        <f t="shared" si="30"/>
        <v>0</v>
      </c>
      <c r="Z16" s="534">
        <f t="shared" si="17"/>
        <v>2024</v>
      </c>
      <c r="AA16" s="664">
        <f t="shared" ref="AA16:AB79" si="31">$P$4*X16</f>
        <v>0</v>
      </c>
      <c r="AB16" s="665">
        <f t="shared" si="31"/>
        <v>0</v>
      </c>
      <c r="AC16" s="337"/>
      <c r="AD16" s="338"/>
      <c r="AE16" s="383">
        <f t="shared" ref="AE16:AF79" si="32">IF(ISBLANK(AC16),AA16,AC16)</f>
        <v>0</v>
      </c>
      <c r="AF16" s="386">
        <f t="shared" si="32"/>
        <v>0</v>
      </c>
      <c r="AG16" s="534">
        <f t="shared" si="18"/>
        <v>2023</v>
      </c>
      <c r="AH16" s="1271">
        <f t="shared" ref="AH16:AH79" si="33">AJ16</f>
        <v>0</v>
      </c>
      <c r="AI16" s="1276">
        <f t="shared" ref="AI16:AI79" si="34">AK16</f>
        <v>0</v>
      </c>
      <c r="AJ16" s="337"/>
      <c r="AK16" s="338"/>
      <c r="AL16" s="1271">
        <v>0</v>
      </c>
      <c r="AM16" s="1276">
        <v>0</v>
      </c>
      <c r="AN16" s="412">
        <f t="shared" si="19"/>
        <v>1</v>
      </c>
      <c r="AO16" s="413">
        <f t="shared" si="3"/>
        <v>1</v>
      </c>
      <c r="AP16" s="337"/>
      <c r="AQ16" s="338"/>
      <c r="AR16" s="664">
        <f>IF(AH16&gt;0,AP16/(AH16*AN16),0)</f>
        <v>0</v>
      </c>
      <c r="AS16" s="679">
        <f>IF(AI16&gt;0,AQ16/(AI16*AO16),0)</f>
        <v>0</v>
      </c>
      <c r="AT16" s="383">
        <f t="shared" ref="AT16:AU79" si="35">AR16*$P$5</f>
        <v>0</v>
      </c>
      <c r="AU16" s="386">
        <f t="shared" si="4"/>
        <v>0</v>
      </c>
      <c r="AV16" s="534">
        <f t="shared" si="21"/>
        <v>2022</v>
      </c>
      <c r="AW16" s="1271">
        <f t="shared" ref="AW16:AW79" si="36">AY16</f>
        <v>0</v>
      </c>
      <c r="AX16" s="1276">
        <f t="shared" ref="AX16:AX79" si="37">AZ16</f>
        <v>0</v>
      </c>
      <c r="AY16" s="337"/>
      <c r="AZ16" s="338"/>
      <c r="BA16" s="1271">
        <v>0</v>
      </c>
      <c r="BB16" s="1276">
        <v>0</v>
      </c>
      <c r="BC16" s="412">
        <f t="shared" si="22"/>
        <v>1</v>
      </c>
      <c r="BD16" s="413">
        <f t="shared" si="7"/>
        <v>1</v>
      </c>
      <c r="BE16" s="337"/>
      <c r="BF16" s="338"/>
      <c r="BG16" s="664">
        <f>IF(AW16&gt;0,BE16/(AW16*BC16),0)</f>
        <v>0</v>
      </c>
      <c r="BH16" s="679">
        <f>IF(AX16&gt;0,BF16/(AX16*BD16),0)</f>
        <v>0</v>
      </c>
      <c r="BI16" s="383">
        <f t="shared" ref="BI16:BJ79" si="38">BG16*$P$6</f>
        <v>0</v>
      </c>
      <c r="BJ16" s="386">
        <f t="shared" si="38"/>
        <v>0</v>
      </c>
      <c r="BK16" s="534">
        <f t="shared" si="24"/>
        <v>2021</v>
      </c>
      <c r="BL16" s="1271">
        <f t="shared" ref="BL16:BL79" si="39">BN16</f>
        <v>0</v>
      </c>
      <c r="BM16" s="1276">
        <f t="shared" ref="BM16:BM79" si="40">BO16</f>
        <v>0</v>
      </c>
      <c r="BN16" s="337"/>
      <c r="BO16" s="338"/>
      <c r="BP16" s="1271">
        <v>0</v>
      </c>
      <c r="BQ16" s="1276">
        <v>0</v>
      </c>
      <c r="BR16" s="412">
        <f t="shared" si="25"/>
        <v>1</v>
      </c>
      <c r="BS16" s="413">
        <f t="shared" si="11"/>
        <v>1</v>
      </c>
      <c r="BT16" s="337"/>
      <c r="BU16" s="338"/>
      <c r="BV16" s="664">
        <f>IF(BL16&gt;0,BT16/(BL16*BR16),0)</f>
        <v>0</v>
      </c>
      <c r="BW16" s="679">
        <f>IF(BM16&gt;0,BU16/(BM16*BS16),0)</f>
        <v>0</v>
      </c>
      <c r="BX16" s="383">
        <f t="shared" ref="BX16:BY79" si="41">BV16*$P$7</f>
        <v>0</v>
      </c>
      <c r="BY16" s="386">
        <f t="shared" si="41"/>
        <v>0</v>
      </c>
      <c r="BZ16" s="534">
        <f t="shared" si="27"/>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2">IF(ISBLANK(CE16),CC16,CE16)</f>
        <v>0</v>
      </c>
      <c r="CH16" s="386">
        <f t="shared" si="42"/>
        <v>0</v>
      </c>
    </row>
    <row r="17" spans="2:86" x14ac:dyDescent="0.2">
      <c r="B17" s="276">
        <v>2</v>
      </c>
      <c r="C17" s="320">
        <f t="shared" si="28"/>
        <v>3</v>
      </c>
      <c r="D17" s="534">
        <f t="shared" si="13"/>
        <v>2023</v>
      </c>
      <c r="E17" s="337"/>
      <c r="F17" s="338"/>
      <c r="G17" s="1271">
        <v>0</v>
      </c>
      <c r="H17" s="1289">
        <v>0</v>
      </c>
      <c r="I17" s="400">
        <f t="shared" ref="I17:J79" si="43">E17-G17</f>
        <v>0</v>
      </c>
      <c r="J17" s="401">
        <f t="shared" ref="J17:J78" si="44">F17-H17</f>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29"/>
        <v>0.99992956377967723</v>
      </c>
      <c r="P17" s="1143">
        <f t="shared" si="29"/>
        <v>0.99993261157954449</v>
      </c>
      <c r="Q17" s="356">
        <f t="shared" si="14"/>
        <v>2023</v>
      </c>
      <c r="R17" s="337"/>
      <c r="S17" s="338"/>
      <c r="T17" s="664">
        <f t="shared" si="15"/>
        <v>0</v>
      </c>
      <c r="U17" s="665">
        <f t="shared" si="16"/>
        <v>0</v>
      </c>
      <c r="V17" s="337"/>
      <c r="W17" s="338"/>
      <c r="X17" s="383">
        <f t="shared" si="30"/>
        <v>0</v>
      </c>
      <c r="Y17" s="386">
        <f t="shared" si="30"/>
        <v>0</v>
      </c>
      <c r="Z17" s="534">
        <f t="shared" si="17"/>
        <v>2023</v>
      </c>
      <c r="AA17" s="664">
        <f t="shared" si="31"/>
        <v>0</v>
      </c>
      <c r="AB17" s="665">
        <f t="shared" si="31"/>
        <v>0</v>
      </c>
      <c r="AC17" s="337"/>
      <c r="AD17" s="338"/>
      <c r="AE17" s="383">
        <f t="shared" si="32"/>
        <v>0</v>
      </c>
      <c r="AF17" s="386">
        <f t="shared" si="32"/>
        <v>0</v>
      </c>
      <c r="AG17" s="534">
        <f t="shared" si="18"/>
        <v>2022</v>
      </c>
      <c r="AH17" s="1271">
        <f t="shared" si="33"/>
        <v>0</v>
      </c>
      <c r="AI17" s="1276">
        <f t="shared" si="34"/>
        <v>0</v>
      </c>
      <c r="AJ17" s="337"/>
      <c r="AK17" s="338"/>
      <c r="AL17" s="1271">
        <v>0</v>
      </c>
      <c r="AM17" s="1276">
        <v>0</v>
      </c>
      <c r="AN17" s="414">
        <f t="shared" si="19"/>
        <v>1</v>
      </c>
      <c r="AO17" s="413">
        <f t="shared" si="3"/>
        <v>1</v>
      </c>
      <c r="AP17" s="337"/>
      <c r="AQ17" s="338"/>
      <c r="AR17" s="664">
        <f t="shared" ref="AR17:AS80" si="45">IF(AH17&gt;0,AP17/(AH17*AN17),0)</f>
        <v>0</v>
      </c>
      <c r="AS17" s="679">
        <f t="shared" si="45"/>
        <v>0</v>
      </c>
      <c r="AT17" s="383">
        <f t="shared" si="35"/>
        <v>0</v>
      </c>
      <c r="AU17" s="386">
        <f t="shared" si="4"/>
        <v>0</v>
      </c>
      <c r="AV17" s="534">
        <f t="shared" si="21"/>
        <v>2021</v>
      </c>
      <c r="AW17" s="1271">
        <f t="shared" si="36"/>
        <v>0</v>
      </c>
      <c r="AX17" s="1276">
        <f t="shared" si="37"/>
        <v>0</v>
      </c>
      <c r="AY17" s="337"/>
      <c r="AZ17" s="338"/>
      <c r="BA17" s="1271">
        <v>0</v>
      </c>
      <c r="BB17" s="1276">
        <v>0</v>
      </c>
      <c r="BC17" s="414">
        <f t="shared" si="22"/>
        <v>1</v>
      </c>
      <c r="BD17" s="413">
        <f t="shared" si="7"/>
        <v>1</v>
      </c>
      <c r="BE17" s="337"/>
      <c r="BF17" s="338"/>
      <c r="BG17" s="664">
        <f t="shared" ref="BG17:BH80" si="46">IF(AW17&gt;0,BE17/(AW17*BC17),0)</f>
        <v>0</v>
      </c>
      <c r="BH17" s="679">
        <f t="shared" si="46"/>
        <v>0</v>
      </c>
      <c r="BI17" s="383">
        <f t="shared" si="38"/>
        <v>0</v>
      </c>
      <c r="BJ17" s="386">
        <f t="shared" si="38"/>
        <v>0</v>
      </c>
      <c r="BK17" s="534">
        <f t="shared" si="24"/>
        <v>2020</v>
      </c>
      <c r="BL17" s="1271">
        <f t="shared" si="39"/>
        <v>0</v>
      </c>
      <c r="BM17" s="1276">
        <f t="shared" si="40"/>
        <v>0</v>
      </c>
      <c r="BN17" s="337"/>
      <c r="BO17" s="338"/>
      <c r="BP17" s="1271">
        <v>0</v>
      </c>
      <c r="BQ17" s="1276">
        <v>0</v>
      </c>
      <c r="BR17" s="414">
        <f t="shared" si="25"/>
        <v>1</v>
      </c>
      <c r="BS17" s="413">
        <f t="shared" si="11"/>
        <v>1</v>
      </c>
      <c r="BT17" s="337"/>
      <c r="BU17" s="338"/>
      <c r="BV17" s="664">
        <f t="shared" ref="BV17:BW80" si="47">IF(BL17&gt;0,BT17/(BL17*BR17),0)</f>
        <v>0</v>
      </c>
      <c r="BW17" s="679">
        <f t="shared" si="47"/>
        <v>0</v>
      </c>
      <c r="BX17" s="383">
        <f t="shared" si="41"/>
        <v>0</v>
      </c>
      <c r="BY17" s="386">
        <f t="shared" si="41"/>
        <v>0</v>
      </c>
      <c r="BZ17" s="534">
        <f t="shared" si="27"/>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2"/>
        <v>0</v>
      </c>
      <c r="CH17" s="386">
        <f t="shared" si="42"/>
        <v>0</v>
      </c>
    </row>
    <row r="18" spans="2:86" x14ac:dyDescent="0.2">
      <c r="B18" s="276">
        <v>3</v>
      </c>
      <c r="C18" s="320">
        <f t="shared" si="28"/>
        <v>4</v>
      </c>
      <c r="D18" s="534">
        <f t="shared" si="13"/>
        <v>2022</v>
      </c>
      <c r="E18" s="337"/>
      <c r="F18" s="338"/>
      <c r="G18" s="1271">
        <v>0</v>
      </c>
      <c r="H18" s="1289">
        <v>0</v>
      </c>
      <c r="I18" s="400">
        <f t="shared" si="43"/>
        <v>0</v>
      </c>
      <c r="J18" s="401">
        <f t="shared" si="4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29"/>
        <v>0.99994704029654802</v>
      </c>
      <c r="P18" s="1143">
        <f t="shared" si="29"/>
        <v>0.9999499304557562</v>
      </c>
      <c r="Q18" s="356">
        <f t="shared" si="14"/>
        <v>2022</v>
      </c>
      <c r="R18" s="337"/>
      <c r="S18" s="338"/>
      <c r="T18" s="664">
        <f t="shared" si="15"/>
        <v>0</v>
      </c>
      <c r="U18" s="665">
        <f t="shared" si="16"/>
        <v>0</v>
      </c>
      <c r="V18" s="337"/>
      <c r="W18" s="338"/>
      <c r="X18" s="383">
        <f t="shared" si="30"/>
        <v>0</v>
      </c>
      <c r="Y18" s="386">
        <f t="shared" si="30"/>
        <v>0</v>
      </c>
      <c r="Z18" s="534">
        <f t="shared" si="17"/>
        <v>2022</v>
      </c>
      <c r="AA18" s="664">
        <f t="shared" si="31"/>
        <v>0</v>
      </c>
      <c r="AB18" s="665">
        <f t="shared" si="31"/>
        <v>0</v>
      </c>
      <c r="AC18" s="337"/>
      <c r="AD18" s="338"/>
      <c r="AE18" s="383">
        <f t="shared" si="32"/>
        <v>0</v>
      </c>
      <c r="AF18" s="386">
        <f t="shared" si="32"/>
        <v>0</v>
      </c>
      <c r="AG18" s="534">
        <f t="shared" si="18"/>
        <v>2021</v>
      </c>
      <c r="AH18" s="1271">
        <f t="shared" si="33"/>
        <v>0</v>
      </c>
      <c r="AI18" s="1276">
        <f t="shared" si="34"/>
        <v>0</v>
      </c>
      <c r="AJ18" s="337"/>
      <c r="AK18" s="338"/>
      <c r="AL18" s="1271">
        <v>0</v>
      </c>
      <c r="AM18" s="1276">
        <v>0</v>
      </c>
      <c r="AN18" s="414">
        <f t="shared" si="19"/>
        <v>1</v>
      </c>
      <c r="AO18" s="413">
        <f t="shared" si="3"/>
        <v>1</v>
      </c>
      <c r="AP18" s="337"/>
      <c r="AQ18" s="338"/>
      <c r="AR18" s="664">
        <f t="shared" si="45"/>
        <v>0</v>
      </c>
      <c r="AS18" s="679">
        <f t="shared" si="45"/>
        <v>0</v>
      </c>
      <c r="AT18" s="383">
        <f t="shared" si="35"/>
        <v>0</v>
      </c>
      <c r="AU18" s="386">
        <f t="shared" si="4"/>
        <v>0</v>
      </c>
      <c r="AV18" s="534">
        <f t="shared" si="21"/>
        <v>2020</v>
      </c>
      <c r="AW18" s="1271">
        <f t="shared" si="36"/>
        <v>0</v>
      </c>
      <c r="AX18" s="1276">
        <f t="shared" si="37"/>
        <v>0</v>
      </c>
      <c r="AY18" s="337"/>
      <c r="AZ18" s="338"/>
      <c r="BA18" s="1271">
        <v>0</v>
      </c>
      <c r="BB18" s="1276">
        <v>0</v>
      </c>
      <c r="BC18" s="414">
        <f t="shared" si="22"/>
        <v>1</v>
      </c>
      <c r="BD18" s="413">
        <f t="shared" si="7"/>
        <v>1</v>
      </c>
      <c r="BE18" s="337"/>
      <c r="BF18" s="338"/>
      <c r="BG18" s="664">
        <f t="shared" si="46"/>
        <v>0</v>
      </c>
      <c r="BH18" s="679">
        <f t="shared" si="46"/>
        <v>0</v>
      </c>
      <c r="BI18" s="383">
        <f t="shared" si="38"/>
        <v>0</v>
      </c>
      <c r="BJ18" s="386">
        <f t="shared" si="38"/>
        <v>0</v>
      </c>
      <c r="BK18" s="534">
        <f t="shared" si="24"/>
        <v>2019</v>
      </c>
      <c r="BL18" s="1271">
        <f t="shared" si="39"/>
        <v>0</v>
      </c>
      <c r="BM18" s="1276">
        <f t="shared" si="40"/>
        <v>0</v>
      </c>
      <c r="BN18" s="337"/>
      <c r="BO18" s="338"/>
      <c r="BP18" s="1271">
        <v>0</v>
      </c>
      <c r="BQ18" s="1276">
        <v>0</v>
      </c>
      <c r="BR18" s="414">
        <f t="shared" si="25"/>
        <v>1</v>
      </c>
      <c r="BS18" s="413">
        <f t="shared" si="11"/>
        <v>1</v>
      </c>
      <c r="BT18" s="337"/>
      <c r="BU18" s="338"/>
      <c r="BV18" s="664">
        <f t="shared" si="47"/>
        <v>0</v>
      </c>
      <c r="BW18" s="679">
        <f t="shared" si="47"/>
        <v>0</v>
      </c>
      <c r="BX18" s="383">
        <f t="shared" si="41"/>
        <v>0</v>
      </c>
      <c r="BY18" s="386">
        <f t="shared" si="41"/>
        <v>0</v>
      </c>
      <c r="BZ18" s="534">
        <f t="shared" si="27"/>
        <v>2022</v>
      </c>
      <c r="CA18" s="664">
        <f t="shared" si="48"/>
        <v>0</v>
      </c>
      <c r="CB18" s="665">
        <f t="shared" si="48"/>
        <v>0</v>
      </c>
      <c r="CC18" s="664">
        <f t="shared" ref="CC18:CD81" si="49">IFERROR(AVERAGE(CA17:CA19),0)</f>
        <v>0</v>
      </c>
      <c r="CD18" s="665">
        <f t="shared" si="49"/>
        <v>0</v>
      </c>
      <c r="CE18" s="337"/>
      <c r="CF18" s="338"/>
      <c r="CG18" s="383">
        <f t="shared" si="42"/>
        <v>0</v>
      </c>
      <c r="CH18" s="386">
        <f t="shared" si="42"/>
        <v>0</v>
      </c>
    </row>
    <row r="19" spans="2:86" x14ac:dyDescent="0.2">
      <c r="B19" s="276">
        <v>4</v>
      </c>
      <c r="C19" s="320">
        <f t="shared" si="28"/>
        <v>5</v>
      </c>
      <c r="D19" s="534">
        <f t="shared" si="13"/>
        <v>2021</v>
      </c>
      <c r="E19" s="337"/>
      <c r="F19" s="338"/>
      <c r="G19" s="1271">
        <v>0</v>
      </c>
      <c r="H19" s="1289">
        <v>0</v>
      </c>
      <c r="I19" s="400">
        <f t="shared" si="43"/>
        <v>0</v>
      </c>
      <c r="J19" s="401">
        <f t="shared" si="4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29"/>
        <v>0.99995204525575876</v>
      </c>
      <c r="P19" s="1143">
        <f t="shared" si="29"/>
        <v>0.99995611687441033</v>
      </c>
      <c r="Q19" s="356">
        <f t="shared" si="14"/>
        <v>2021</v>
      </c>
      <c r="R19" s="337"/>
      <c r="S19" s="338"/>
      <c r="T19" s="664">
        <f t="shared" si="15"/>
        <v>0</v>
      </c>
      <c r="U19" s="665">
        <f t="shared" si="16"/>
        <v>0</v>
      </c>
      <c r="V19" s="337"/>
      <c r="W19" s="338"/>
      <c r="X19" s="383">
        <f t="shared" si="30"/>
        <v>0</v>
      </c>
      <c r="Y19" s="386">
        <f t="shared" si="30"/>
        <v>0</v>
      </c>
      <c r="Z19" s="534">
        <f t="shared" si="17"/>
        <v>2021</v>
      </c>
      <c r="AA19" s="664">
        <f t="shared" si="31"/>
        <v>0</v>
      </c>
      <c r="AB19" s="665">
        <f t="shared" si="31"/>
        <v>0</v>
      </c>
      <c r="AC19" s="337"/>
      <c r="AD19" s="338"/>
      <c r="AE19" s="383">
        <f t="shared" si="32"/>
        <v>0</v>
      </c>
      <c r="AF19" s="386">
        <f t="shared" si="32"/>
        <v>0</v>
      </c>
      <c r="AG19" s="534">
        <f t="shared" si="18"/>
        <v>2020</v>
      </c>
      <c r="AH19" s="1271">
        <f t="shared" si="33"/>
        <v>0</v>
      </c>
      <c r="AI19" s="1276">
        <f t="shared" si="34"/>
        <v>0</v>
      </c>
      <c r="AJ19" s="337"/>
      <c r="AK19" s="338"/>
      <c r="AL19" s="1271">
        <v>0</v>
      </c>
      <c r="AM19" s="1276">
        <v>0</v>
      </c>
      <c r="AN19" s="414">
        <f t="shared" si="19"/>
        <v>1</v>
      </c>
      <c r="AO19" s="413">
        <f t="shared" si="3"/>
        <v>1</v>
      </c>
      <c r="AP19" s="337"/>
      <c r="AQ19" s="338"/>
      <c r="AR19" s="664">
        <f t="shared" si="45"/>
        <v>0</v>
      </c>
      <c r="AS19" s="679">
        <f t="shared" si="45"/>
        <v>0</v>
      </c>
      <c r="AT19" s="383">
        <f t="shared" si="35"/>
        <v>0</v>
      </c>
      <c r="AU19" s="386">
        <f t="shared" si="4"/>
        <v>0</v>
      </c>
      <c r="AV19" s="534">
        <f t="shared" si="21"/>
        <v>2019</v>
      </c>
      <c r="AW19" s="1271">
        <f t="shared" si="36"/>
        <v>0</v>
      </c>
      <c r="AX19" s="1276">
        <f t="shared" si="37"/>
        <v>0</v>
      </c>
      <c r="AY19" s="337"/>
      <c r="AZ19" s="338"/>
      <c r="BA19" s="1271">
        <v>0</v>
      </c>
      <c r="BB19" s="1276">
        <v>0</v>
      </c>
      <c r="BC19" s="414">
        <f t="shared" si="22"/>
        <v>1</v>
      </c>
      <c r="BD19" s="413">
        <f t="shared" si="7"/>
        <v>1</v>
      </c>
      <c r="BE19" s="337"/>
      <c r="BF19" s="338"/>
      <c r="BG19" s="664">
        <f t="shared" si="46"/>
        <v>0</v>
      </c>
      <c r="BH19" s="679">
        <f t="shared" si="46"/>
        <v>0</v>
      </c>
      <c r="BI19" s="383">
        <f t="shared" si="38"/>
        <v>0</v>
      </c>
      <c r="BJ19" s="386">
        <f t="shared" si="38"/>
        <v>0</v>
      </c>
      <c r="BK19" s="534">
        <f t="shared" si="24"/>
        <v>2018</v>
      </c>
      <c r="BL19" s="1271">
        <f t="shared" si="39"/>
        <v>0</v>
      </c>
      <c r="BM19" s="1276">
        <f t="shared" si="40"/>
        <v>0</v>
      </c>
      <c r="BN19" s="337"/>
      <c r="BO19" s="338"/>
      <c r="BP19" s="1271">
        <v>0</v>
      </c>
      <c r="BQ19" s="1276">
        <v>0</v>
      </c>
      <c r="BR19" s="414">
        <f t="shared" si="25"/>
        <v>1</v>
      </c>
      <c r="BS19" s="413">
        <f t="shared" si="11"/>
        <v>1</v>
      </c>
      <c r="BT19" s="337"/>
      <c r="BU19" s="338"/>
      <c r="BV19" s="664">
        <f t="shared" si="47"/>
        <v>0</v>
      </c>
      <c r="BW19" s="679">
        <f t="shared" si="47"/>
        <v>0</v>
      </c>
      <c r="BX19" s="383">
        <f t="shared" si="41"/>
        <v>0</v>
      </c>
      <c r="BY19" s="386">
        <f t="shared" si="41"/>
        <v>0</v>
      </c>
      <c r="BZ19" s="534">
        <f t="shared" si="27"/>
        <v>2021</v>
      </c>
      <c r="CA19" s="664">
        <f t="shared" si="48"/>
        <v>0</v>
      </c>
      <c r="CB19" s="665">
        <f t="shared" si="48"/>
        <v>0</v>
      </c>
      <c r="CC19" s="664">
        <f t="shared" si="49"/>
        <v>0</v>
      </c>
      <c r="CD19" s="665">
        <f t="shared" si="49"/>
        <v>0</v>
      </c>
      <c r="CE19" s="337"/>
      <c r="CF19" s="338"/>
      <c r="CG19" s="383">
        <f t="shared" si="42"/>
        <v>0</v>
      </c>
      <c r="CH19" s="386">
        <f t="shared" si="42"/>
        <v>0</v>
      </c>
    </row>
    <row r="20" spans="2:86" x14ac:dyDescent="0.2">
      <c r="B20" s="276">
        <v>5</v>
      </c>
      <c r="C20" s="320">
        <f t="shared" si="28"/>
        <v>6</v>
      </c>
      <c r="D20" s="534">
        <f t="shared" si="13"/>
        <v>2020</v>
      </c>
      <c r="E20" s="337"/>
      <c r="F20" s="338"/>
      <c r="G20" s="1271">
        <v>0</v>
      </c>
      <c r="H20" s="1289">
        <v>0</v>
      </c>
      <c r="I20" s="400">
        <f t="shared" si="43"/>
        <v>0</v>
      </c>
      <c r="J20" s="401">
        <f t="shared" si="4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29"/>
        <v>0.99995825478008071</v>
      </c>
      <c r="P20" s="1143">
        <f t="shared" si="29"/>
        <v>0.99996299966986046</v>
      </c>
      <c r="Q20" s="356">
        <f t="shared" si="14"/>
        <v>2020</v>
      </c>
      <c r="R20" s="337"/>
      <c r="S20" s="338"/>
      <c r="T20" s="664">
        <f t="shared" si="15"/>
        <v>0</v>
      </c>
      <c r="U20" s="665">
        <f t="shared" si="16"/>
        <v>0</v>
      </c>
      <c r="V20" s="337"/>
      <c r="W20" s="338"/>
      <c r="X20" s="383">
        <f t="shared" si="30"/>
        <v>0</v>
      </c>
      <c r="Y20" s="386">
        <f t="shared" si="30"/>
        <v>0</v>
      </c>
      <c r="Z20" s="534">
        <f t="shared" si="17"/>
        <v>2020</v>
      </c>
      <c r="AA20" s="664">
        <f t="shared" si="31"/>
        <v>0</v>
      </c>
      <c r="AB20" s="665">
        <f t="shared" si="31"/>
        <v>0</v>
      </c>
      <c r="AC20" s="337"/>
      <c r="AD20" s="338"/>
      <c r="AE20" s="383">
        <f t="shared" si="32"/>
        <v>0</v>
      </c>
      <c r="AF20" s="386">
        <f t="shared" si="32"/>
        <v>0</v>
      </c>
      <c r="AG20" s="534">
        <f t="shared" si="18"/>
        <v>2019</v>
      </c>
      <c r="AH20" s="1271">
        <f t="shared" si="33"/>
        <v>0</v>
      </c>
      <c r="AI20" s="1276">
        <f t="shared" si="34"/>
        <v>0</v>
      </c>
      <c r="AJ20" s="337"/>
      <c r="AK20" s="338"/>
      <c r="AL20" s="1271">
        <v>0</v>
      </c>
      <c r="AM20" s="1276">
        <v>0</v>
      </c>
      <c r="AN20" s="414">
        <f t="shared" si="19"/>
        <v>1</v>
      </c>
      <c r="AO20" s="413">
        <f t="shared" si="3"/>
        <v>1</v>
      </c>
      <c r="AP20" s="337"/>
      <c r="AQ20" s="338"/>
      <c r="AR20" s="664">
        <f t="shared" si="45"/>
        <v>0</v>
      </c>
      <c r="AS20" s="679">
        <f t="shared" si="45"/>
        <v>0</v>
      </c>
      <c r="AT20" s="383">
        <f t="shared" si="35"/>
        <v>0</v>
      </c>
      <c r="AU20" s="386">
        <f t="shared" si="4"/>
        <v>0</v>
      </c>
      <c r="AV20" s="534">
        <f t="shared" si="21"/>
        <v>2018</v>
      </c>
      <c r="AW20" s="1271">
        <f t="shared" si="36"/>
        <v>0</v>
      </c>
      <c r="AX20" s="1276">
        <f t="shared" si="37"/>
        <v>0</v>
      </c>
      <c r="AY20" s="337"/>
      <c r="AZ20" s="338"/>
      <c r="BA20" s="1271">
        <v>0</v>
      </c>
      <c r="BB20" s="1276">
        <v>0</v>
      </c>
      <c r="BC20" s="414">
        <f t="shared" si="22"/>
        <v>1</v>
      </c>
      <c r="BD20" s="413">
        <f t="shared" si="7"/>
        <v>1</v>
      </c>
      <c r="BE20" s="337"/>
      <c r="BF20" s="338"/>
      <c r="BG20" s="664">
        <f t="shared" si="46"/>
        <v>0</v>
      </c>
      <c r="BH20" s="679">
        <f t="shared" si="46"/>
        <v>0</v>
      </c>
      <c r="BI20" s="383">
        <f t="shared" si="38"/>
        <v>0</v>
      </c>
      <c r="BJ20" s="386">
        <f t="shared" si="38"/>
        <v>0</v>
      </c>
      <c r="BK20" s="534">
        <f t="shared" si="24"/>
        <v>2017</v>
      </c>
      <c r="BL20" s="1271">
        <f t="shared" si="39"/>
        <v>0</v>
      </c>
      <c r="BM20" s="1276">
        <f t="shared" si="40"/>
        <v>0</v>
      </c>
      <c r="BN20" s="337"/>
      <c r="BO20" s="338"/>
      <c r="BP20" s="1271">
        <v>0</v>
      </c>
      <c r="BQ20" s="1276">
        <v>0</v>
      </c>
      <c r="BR20" s="414">
        <f t="shared" si="25"/>
        <v>1</v>
      </c>
      <c r="BS20" s="413">
        <f t="shared" si="11"/>
        <v>1</v>
      </c>
      <c r="BT20" s="337"/>
      <c r="BU20" s="338"/>
      <c r="BV20" s="664">
        <f t="shared" si="47"/>
        <v>0</v>
      </c>
      <c r="BW20" s="679">
        <f t="shared" si="47"/>
        <v>0</v>
      </c>
      <c r="BX20" s="383">
        <f t="shared" si="41"/>
        <v>0</v>
      </c>
      <c r="BY20" s="386">
        <f t="shared" si="41"/>
        <v>0</v>
      </c>
      <c r="BZ20" s="534">
        <f t="shared" si="27"/>
        <v>2020</v>
      </c>
      <c r="CA20" s="664">
        <f t="shared" si="48"/>
        <v>0</v>
      </c>
      <c r="CB20" s="665">
        <f t="shared" si="48"/>
        <v>0</v>
      </c>
      <c r="CC20" s="664">
        <f t="shared" si="49"/>
        <v>0</v>
      </c>
      <c r="CD20" s="665">
        <f t="shared" si="49"/>
        <v>0</v>
      </c>
      <c r="CE20" s="337"/>
      <c r="CF20" s="338"/>
      <c r="CG20" s="383">
        <f t="shared" si="42"/>
        <v>0</v>
      </c>
      <c r="CH20" s="386">
        <f t="shared" si="42"/>
        <v>0</v>
      </c>
    </row>
    <row r="21" spans="2:86" x14ac:dyDescent="0.2">
      <c r="B21" s="276">
        <v>6</v>
      </c>
      <c r="C21" s="320">
        <f t="shared" si="28"/>
        <v>7</v>
      </c>
      <c r="D21" s="534">
        <f t="shared" si="13"/>
        <v>2019</v>
      </c>
      <c r="E21" s="337"/>
      <c r="F21" s="338"/>
      <c r="G21" s="1271">
        <v>0</v>
      </c>
      <c r="H21" s="1289">
        <v>0</v>
      </c>
      <c r="I21" s="400">
        <f t="shared" si="43"/>
        <v>0</v>
      </c>
      <c r="J21" s="401">
        <f t="shared" si="4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29"/>
        <v>0.99996434432191439</v>
      </c>
      <c r="P21" s="1143">
        <f t="shared" si="29"/>
        <v>0.99996924260183606</v>
      </c>
      <c r="Q21" s="356">
        <f t="shared" si="14"/>
        <v>2019</v>
      </c>
      <c r="R21" s="337"/>
      <c r="S21" s="338"/>
      <c r="T21" s="664">
        <f t="shared" si="15"/>
        <v>0</v>
      </c>
      <c r="U21" s="665">
        <f t="shared" si="16"/>
        <v>0</v>
      </c>
      <c r="V21" s="337"/>
      <c r="W21" s="338"/>
      <c r="X21" s="383">
        <f t="shared" si="30"/>
        <v>0</v>
      </c>
      <c r="Y21" s="386">
        <f t="shared" si="30"/>
        <v>0</v>
      </c>
      <c r="Z21" s="534">
        <f t="shared" si="17"/>
        <v>2019</v>
      </c>
      <c r="AA21" s="664">
        <f t="shared" si="31"/>
        <v>0</v>
      </c>
      <c r="AB21" s="665">
        <f t="shared" si="31"/>
        <v>0</v>
      </c>
      <c r="AC21" s="337"/>
      <c r="AD21" s="338"/>
      <c r="AE21" s="383">
        <f t="shared" si="32"/>
        <v>0</v>
      </c>
      <c r="AF21" s="386">
        <f t="shared" si="32"/>
        <v>0</v>
      </c>
      <c r="AG21" s="534">
        <f t="shared" si="18"/>
        <v>2018</v>
      </c>
      <c r="AH21" s="1271">
        <f t="shared" si="33"/>
        <v>0</v>
      </c>
      <c r="AI21" s="1276">
        <f t="shared" si="34"/>
        <v>0</v>
      </c>
      <c r="AJ21" s="337"/>
      <c r="AK21" s="338"/>
      <c r="AL21" s="1271">
        <v>0</v>
      </c>
      <c r="AM21" s="1276">
        <v>0</v>
      </c>
      <c r="AN21" s="414">
        <f t="shared" si="19"/>
        <v>1</v>
      </c>
      <c r="AO21" s="413">
        <f t="shared" si="3"/>
        <v>1</v>
      </c>
      <c r="AP21" s="337"/>
      <c r="AQ21" s="338"/>
      <c r="AR21" s="664">
        <f t="shared" si="45"/>
        <v>0</v>
      </c>
      <c r="AS21" s="679">
        <f t="shared" si="45"/>
        <v>0</v>
      </c>
      <c r="AT21" s="383">
        <f t="shared" si="35"/>
        <v>0</v>
      </c>
      <c r="AU21" s="386">
        <f t="shared" si="4"/>
        <v>0</v>
      </c>
      <c r="AV21" s="534">
        <f t="shared" si="21"/>
        <v>2017</v>
      </c>
      <c r="AW21" s="1271">
        <f t="shared" si="36"/>
        <v>0</v>
      </c>
      <c r="AX21" s="1276">
        <f t="shared" si="37"/>
        <v>0</v>
      </c>
      <c r="AY21" s="337"/>
      <c r="AZ21" s="338"/>
      <c r="BA21" s="1271">
        <v>0</v>
      </c>
      <c r="BB21" s="1276">
        <v>0</v>
      </c>
      <c r="BC21" s="414">
        <f t="shared" si="22"/>
        <v>1</v>
      </c>
      <c r="BD21" s="413">
        <f t="shared" si="7"/>
        <v>1</v>
      </c>
      <c r="BE21" s="337"/>
      <c r="BF21" s="338"/>
      <c r="BG21" s="664">
        <f t="shared" si="46"/>
        <v>0</v>
      </c>
      <c r="BH21" s="679">
        <f t="shared" si="46"/>
        <v>0</v>
      </c>
      <c r="BI21" s="383">
        <f t="shared" si="38"/>
        <v>0</v>
      </c>
      <c r="BJ21" s="386">
        <f t="shared" si="38"/>
        <v>0</v>
      </c>
      <c r="BK21" s="534">
        <f t="shared" si="24"/>
        <v>2016</v>
      </c>
      <c r="BL21" s="1271">
        <f t="shared" si="39"/>
        <v>0</v>
      </c>
      <c r="BM21" s="1276">
        <f t="shared" si="40"/>
        <v>0</v>
      </c>
      <c r="BN21" s="337"/>
      <c r="BO21" s="338"/>
      <c r="BP21" s="1271">
        <v>0</v>
      </c>
      <c r="BQ21" s="1276">
        <v>0</v>
      </c>
      <c r="BR21" s="414">
        <f t="shared" si="25"/>
        <v>1</v>
      </c>
      <c r="BS21" s="413">
        <f t="shared" si="11"/>
        <v>1</v>
      </c>
      <c r="BT21" s="337"/>
      <c r="BU21" s="338"/>
      <c r="BV21" s="664">
        <f t="shared" si="47"/>
        <v>0</v>
      </c>
      <c r="BW21" s="679">
        <f t="shared" si="47"/>
        <v>0</v>
      </c>
      <c r="BX21" s="383">
        <f t="shared" si="41"/>
        <v>0</v>
      </c>
      <c r="BY21" s="386">
        <f t="shared" si="41"/>
        <v>0</v>
      </c>
      <c r="BZ21" s="534">
        <f t="shared" si="27"/>
        <v>2019</v>
      </c>
      <c r="CA21" s="664">
        <f t="shared" si="48"/>
        <v>0</v>
      </c>
      <c r="CB21" s="665">
        <f t="shared" si="48"/>
        <v>0</v>
      </c>
      <c r="CC21" s="664">
        <f t="shared" si="49"/>
        <v>0</v>
      </c>
      <c r="CD21" s="665">
        <f t="shared" si="49"/>
        <v>0</v>
      </c>
      <c r="CE21" s="337"/>
      <c r="CF21" s="338"/>
      <c r="CG21" s="383">
        <f t="shared" si="42"/>
        <v>0</v>
      </c>
      <c r="CH21" s="386">
        <f t="shared" si="42"/>
        <v>0</v>
      </c>
    </row>
    <row r="22" spans="2:86" x14ac:dyDescent="0.2">
      <c r="B22" s="276">
        <v>7</v>
      </c>
      <c r="C22" s="320">
        <f t="shared" si="28"/>
        <v>8</v>
      </c>
      <c r="D22" s="534">
        <f t="shared" si="13"/>
        <v>2018</v>
      </c>
      <c r="E22" s="337"/>
      <c r="F22" s="338"/>
      <c r="G22" s="1271">
        <v>0</v>
      </c>
      <c r="H22" s="1289">
        <v>0</v>
      </c>
      <c r="I22" s="400">
        <f t="shared" si="43"/>
        <v>0</v>
      </c>
      <c r="J22" s="401">
        <f t="shared" si="4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29"/>
        <v>0.99996948484506265</v>
      </c>
      <c r="P22" s="1143">
        <f t="shared" si="29"/>
        <v>0.99997421635652239</v>
      </c>
      <c r="Q22" s="356">
        <f t="shared" si="14"/>
        <v>2018</v>
      </c>
      <c r="R22" s="337"/>
      <c r="S22" s="338"/>
      <c r="T22" s="664">
        <f t="shared" si="15"/>
        <v>0</v>
      </c>
      <c r="U22" s="665">
        <f t="shared" si="16"/>
        <v>0</v>
      </c>
      <c r="V22" s="337"/>
      <c r="W22" s="338"/>
      <c r="X22" s="383">
        <f t="shared" si="30"/>
        <v>0</v>
      </c>
      <c r="Y22" s="386">
        <f t="shared" si="30"/>
        <v>0</v>
      </c>
      <c r="Z22" s="534">
        <f t="shared" si="17"/>
        <v>2018</v>
      </c>
      <c r="AA22" s="664">
        <f t="shared" si="31"/>
        <v>0</v>
      </c>
      <c r="AB22" s="665">
        <f t="shared" si="31"/>
        <v>0</v>
      </c>
      <c r="AC22" s="337"/>
      <c r="AD22" s="338"/>
      <c r="AE22" s="383">
        <f t="shared" si="32"/>
        <v>0</v>
      </c>
      <c r="AF22" s="386">
        <f t="shared" si="32"/>
        <v>0</v>
      </c>
      <c r="AG22" s="534">
        <f t="shared" si="18"/>
        <v>2017</v>
      </c>
      <c r="AH22" s="1271">
        <f t="shared" si="33"/>
        <v>0</v>
      </c>
      <c r="AI22" s="1276">
        <f t="shared" si="34"/>
        <v>0</v>
      </c>
      <c r="AJ22" s="337"/>
      <c r="AK22" s="338"/>
      <c r="AL22" s="1271">
        <v>0</v>
      </c>
      <c r="AM22" s="1276">
        <v>0</v>
      </c>
      <c r="AN22" s="414">
        <f t="shared" si="19"/>
        <v>1</v>
      </c>
      <c r="AO22" s="413">
        <f t="shared" si="3"/>
        <v>1</v>
      </c>
      <c r="AP22" s="337"/>
      <c r="AQ22" s="338"/>
      <c r="AR22" s="664">
        <f t="shared" si="45"/>
        <v>0</v>
      </c>
      <c r="AS22" s="679">
        <f t="shared" si="45"/>
        <v>0</v>
      </c>
      <c r="AT22" s="383">
        <f t="shared" si="35"/>
        <v>0</v>
      </c>
      <c r="AU22" s="386">
        <f t="shared" si="4"/>
        <v>0</v>
      </c>
      <c r="AV22" s="534">
        <f t="shared" si="21"/>
        <v>2016</v>
      </c>
      <c r="AW22" s="1271">
        <f t="shared" si="36"/>
        <v>0</v>
      </c>
      <c r="AX22" s="1276">
        <f t="shared" si="37"/>
        <v>0</v>
      </c>
      <c r="AY22" s="337"/>
      <c r="AZ22" s="338"/>
      <c r="BA22" s="1271">
        <v>0</v>
      </c>
      <c r="BB22" s="1276">
        <v>0</v>
      </c>
      <c r="BC22" s="414">
        <f t="shared" si="22"/>
        <v>1</v>
      </c>
      <c r="BD22" s="413">
        <f t="shared" si="7"/>
        <v>1</v>
      </c>
      <c r="BE22" s="337"/>
      <c r="BF22" s="338"/>
      <c r="BG22" s="664">
        <f t="shared" si="46"/>
        <v>0</v>
      </c>
      <c r="BH22" s="679">
        <f t="shared" si="46"/>
        <v>0</v>
      </c>
      <c r="BI22" s="383">
        <f t="shared" si="38"/>
        <v>0</v>
      </c>
      <c r="BJ22" s="386">
        <f t="shared" si="38"/>
        <v>0</v>
      </c>
      <c r="BK22" s="534">
        <f t="shared" si="24"/>
        <v>2015</v>
      </c>
      <c r="BL22" s="1271">
        <f t="shared" si="39"/>
        <v>0</v>
      </c>
      <c r="BM22" s="1276">
        <f t="shared" si="40"/>
        <v>0</v>
      </c>
      <c r="BN22" s="337"/>
      <c r="BO22" s="338"/>
      <c r="BP22" s="1271">
        <v>0</v>
      </c>
      <c r="BQ22" s="1276">
        <v>0</v>
      </c>
      <c r="BR22" s="414">
        <f t="shared" si="25"/>
        <v>1</v>
      </c>
      <c r="BS22" s="413">
        <f t="shared" si="11"/>
        <v>1</v>
      </c>
      <c r="BT22" s="337"/>
      <c r="BU22" s="338"/>
      <c r="BV22" s="664">
        <f t="shared" si="47"/>
        <v>0</v>
      </c>
      <c r="BW22" s="679">
        <f t="shared" si="47"/>
        <v>0</v>
      </c>
      <c r="BX22" s="383">
        <f t="shared" si="41"/>
        <v>0</v>
      </c>
      <c r="BY22" s="386">
        <f t="shared" si="41"/>
        <v>0</v>
      </c>
      <c r="BZ22" s="534">
        <f t="shared" si="27"/>
        <v>2018</v>
      </c>
      <c r="CA22" s="664">
        <f t="shared" si="48"/>
        <v>0</v>
      </c>
      <c r="CB22" s="665">
        <f t="shared" si="48"/>
        <v>0</v>
      </c>
      <c r="CC22" s="664">
        <f t="shared" si="49"/>
        <v>0</v>
      </c>
      <c r="CD22" s="665">
        <f t="shared" si="49"/>
        <v>0</v>
      </c>
      <c r="CE22" s="337"/>
      <c r="CF22" s="338"/>
      <c r="CG22" s="383">
        <f t="shared" si="42"/>
        <v>0</v>
      </c>
      <c r="CH22" s="386">
        <f t="shared" si="42"/>
        <v>0</v>
      </c>
    </row>
    <row r="23" spans="2:86" x14ac:dyDescent="0.2">
      <c r="B23" s="276">
        <v>8</v>
      </c>
      <c r="C23" s="320">
        <f t="shared" si="28"/>
        <v>9</v>
      </c>
      <c r="D23" s="534">
        <f t="shared" si="13"/>
        <v>2017</v>
      </c>
      <c r="E23" s="337"/>
      <c r="F23" s="338"/>
      <c r="G23" s="1271">
        <v>0</v>
      </c>
      <c r="H23" s="1289">
        <v>0</v>
      </c>
      <c r="I23" s="400">
        <f t="shared" si="43"/>
        <v>0</v>
      </c>
      <c r="J23" s="401">
        <f t="shared" si="4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29"/>
        <v>0.99997332886813428</v>
      </c>
      <c r="P23" s="1143">
        <f t="shared" si="29"/>
        <v>0.99997778747296051</v>
      </c>
      <c r="Q23" s="356">
        <f t="shared" si="14"/>
        <v>2017</v>
      </c>
      <c r="R23" s="337"/>
      <c r="S23" s="338"/>
      <c r="T23" s="664">
        <f t="shared" si="15"/>
        <v>0</v>
      </c>
      <c r="U23" s="665">
        <f t="shared" si="16"/>
        <v>0</v>
      </c>
      <c r="V23" s="337"/>
      <c r="W23" s="338"/>
      <c r="X23" s="383">
        <f t="shared" si="30"/>
        <v>0</v>
      </c>
      <c r="Y23" s="386">
        <f t="shared" si="30"/>
        <v>0</v>
      </c>
      <c r="Z23" s="534">
        <f t="shared" si="17"/>
        <v>2017</v>
      </c>
      <c r="AA23" s="664">
        <f t="shared" si="31"/>
        <v>0</v>
      </c>
      <c r="AB23" s="665">
        <f t="shared" si="31"/>
        <v>0</v>
      </c>
      <c r="AC23" s="337"/>
      <c r="AD23" s="338"/>
      <c r="AE23" s="383">
        <f t="shared" si="32"/>
        <v>0</v>
      </c>
      <c r="AF23" s="386">
        <f t="shared" si="32"/>
        <v>0</v>
      </c>
      <c r="AG23" s="534">
        <f t="shared" si="18"/>
        <v>2016</v>
      </c>
      <c r="AH23" s="1271">
        <f t="shared" si="33"/>
        <v>0</v>
      </c>
      <c r="AI23" s="1276">
        <f t="shared" si="34"/>
        <v>0</v>
      </c>
      <c r="AJ23" s="337"/>
      <c r="AK23" s="338"/>
      <c r="AL23" s="1271">
        <v>0</v>
      </c>
      <c r="AM23" s="1276">
        <v>0</v>
      </c>
      <c r="AN23" s="414">
        <f t="shared" si="19"/>
        <v>1</v>
      </c>
      <c r="AO23" s="413">
        <f t="shared" si="3"/>
        <v>1</v>
      </c>
      <c r="AP23" s="337"/>
      <c r="AQ23" s="338"/>
      <c r="AR23" s="664">
        <f t="shared" si="45"/>
        <v>0</v>
      </c>
      <c r="AS23" s="679">
        <f t="shared" si="45"/>
        <v>0</v>
      </c>
      <c r="AT23" s="383">
        <f t="shared" si="35"/>
        <v>0</v>
      </c>
      <c r="AU23" s="386">
        <f t="shared" si="4"/>
        <v>0</v>
      </c>
      <c r="AV23" s="534">
        <f t="shared" si="21"/>
        <v>2015</v>
      </c>
      <c r="AW23" s="1271">
        <f t="shared" si="36"/>
        <v>0</v>
      </c>
      <c r="AX23" s="1276">
        <f t="shared" si="37"/>
        <v>0</v>
      </c>
      <c r="AY23" s="337"/>
      <c r="AZ23" s="338"/>
      <c r="BA23" s="1271">
        <v>0</v>
      </c>
      <c r="BB23" s="1276">
        <v>0</v>
      </c>
      <c r="BC23" s="414">
        <f t="shared" si="22"/>
        <v>1</v>
      </c>
      <c r="BD23" s="413">
        <f t="shared" si="7"/>
        <v>1</v>
      </c>
      <c r="BE23" s="337"/>
      <c r="BF23" s="338"/>
      <c r="BG23" s="664">
        <f t="shared" si="46"/>
        <v>0</v>
      </c>
      <c r="BH23" s="679">
        <f t="shared" si="46"/>
        <v>0</v>
      </c>
      <c r="BI23" s="383">
        <f t="shared" si="38"/>
        <v>0</v>
      </c>
      <c r="BJ23" s="386">
        <f t="shared" si="38"/>
        <v>0</v>
      </c>
      <c r="BK23" s="534">
        <f t="shared" si="24"/>
        <v>2014</v>
      </c>
      <c r="BL23" s="1271">
        <f t="shared" si="39"/>
        <v>0</v>
      </c>
      <c r="BM23" s="1276">
        <f t="shared" si="40"/>
        <v>0</v>
      </c>
      <c r="BN23" s="337"/>
      <c r="BO23" s="338"/>
      <c r="BP23" s="1271">
        <v>0</v>
      </c>
      <c r="BQ23" s="1276">
        <v>0</v>
      </c>
      <c r="BR23" s="414">
        <f t="shared" si="25"/>
        <v>1</v>
      </c>
      <c r="BS23" s="413">
        <f t="shared" si="11"/>
        <v>1</v>
      </c>
      <c r="BT23" s="337"/>
      <c r="BU23" s="338"/>
      <c r="BV23" s="664">
        <f t="shared" si="47"/>
        <v>0</v>
      </c>
      <c r="BW23" s="679">
        <f t="shared" si="47"/>
        <v>0</v>
      </c>
      <c r="BX23" s="383">
        <f t="shared" si="41"/>
        <v>0</v>
      </c>
      <c r="BY23" s="386">
        <f t="shared" si="41"/>
        <v>0</v>
      </c>
      <c r="BZ23" s="534">
        <f t="shared" si="27"/>
        <v>2017</v>
      </c>
      <c r="CA23" s="664">
        <f t="shared" si="48"/>
        <v>0</v>
      </c>
      <c r="CB23" s="665">
        <f t="shared" si="48"/>
        <v>0</v>
      </c>
      <c r="CC23" s="664">
        <f t="shared" si="49"/>
        <v>0</v>
      </c>
      <c r="CD23" s="665">
        <f t="shared" si="49"/>
        <v>0</v>
      </c>
      <c r="CE23" s="337"/>
      <c r="CF23" s="338"/>
      <c r="CG23" s="383">
        <f t="shared" si="42"/>
        <v>0</v>
      </c>
      <c r="CH23" s="386">
        <f t="shared" si="42"/>
        <v>0</v>
      </c>
    </row>
    <row r="24" spans="2:86" x14ac:dyDescent="0.2">
      <c r="B24" s="276">
        <v>9</v>
      </c>
      <c r="C24" s="320">
        <f t="shared" si="28"/>
        <v>10</v>
      </c>
      <c r="D24" s="534">
        <f t="shared" si="13"/>
        <v>2016</v>
      </c>
      <c r="E24" s="337"/>
      <c r="F24" s="338"/>
      <c r="G24" s="1271">
        <v>0</v>
      </c>
      <c r="H24" s="1289">
        <v>0</v>
      </c>
      <c r="I24" s="400">
        <f t="shared" si="43"/>
        <v>0</v>
      </c>
      <c r="J24" s="401">
        <f t="shared" si="4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29"/>
        <v>0.99997579824584903</v>
      </c>
      <c r="P24" s="1143">
        <f t="shared" si="29"/>
        <v>0.99998003551516945</v>
      </c>
      <c r="Q24" s="356">
        <f t="shared" si="14"/>
        <v>2016</v>
      </c>
      <c r="R24" s="337"/>
      <c r="S24" s="338"/>
      <c r="T24" s="664">
        <f t="shared" si="15"/>
        <v>0</v>
      </c>
      <c r="U24" s="665">
        <f t="shared" si="16"/>
        <v>0</v>
      </c>
      <c r="V24" s="337"/>
      <c r="W24" s="338"/>
      <c r="X24" s="383">
        <f t="shared" si="30"/>
        <v>0</v>
      </c>
      <c r="Y24" s="386">
        <f t="shared" si="30"/>
        <v>0</v>
      </c>
      <c r="Z24" s="534">
        <f t="shared" si="17"/>
        <v>2016</v>
      </c>
      <c r="AA24" s="664">
        <f t="shared" si="31"/>
        <v>0</v>
      </c>
      <c r="AB24" s="665">
        <f t="shared" si="31"/>
        <v>0</v>
      </c>
      <c r="AC24" s="337"/>
      <c r="AD24" s="338"/>
      <c r="AE24" s="383">
        <f t="shared" si="32"/>
        <v>0</v>
      </c>
      <c r="AF24" s="386">
        <f t="shared" si="32"/>
        <v>0</v>
      </c>
      <c r="AG24" s="534">
        <f t="shared" si="18"/>
        <v>2015</v>
      </c>
      <c r="AH24" s="1271">
        <f t="shared" si="33"/>
        <v>0</v>
      </c>
      <c r="AI24" s="1276">
        <f t="shared" si="34"/>
        <v>0</v>
      </c>
      <c r="AJ24" s="337"/>
      <c r="AK24" s="338"/>
      <c r="AL24" s="1271">
        <v>0</v>
      </c>
      <c r="AM24" s="1276">
        <v>0</v>
      </c>
      <c r="AN24" s="414">
        <f t="shared" si="19"/>
        <v>1</v>
      </c>
      <c r="AO24" s="413">
        <f t="shared" si="3"/>
        <v>1</v>
      </c>
      <c r="AP24" s="337"/>
      <c r="AQ24" s="338"/>
      <c r="AR24" s="664">
        <f t="shared" si="45"/>
        <v>0</v>
      </c>
      <c r="AS24" s="679">
        <f t="shared" si="45"/>
        <v>0</v>
      </c>
      <c r="AT24" s="383">
        <f t="shared" si="35"/>
        <v>0</v>
      </c>
      <c r="AU24" s="386">
        <f t="shared" si="4"/>
        <v>0</v>
      </c>
      <c r="AV24" s="534">
        <f t="shared" si="21"/>
        <v>2014</v>
      </c>
      <c r="AW24" s="1271">
        <f t="shared" si="36"/>
        <v>0</v>
      </c>
      <c r="AX24" s="1276">
        <f t="shared" si="37"/>
        <v>0</v>
      </c>
      <c r="AY24" s="337"/>
      <c r="AZ24" s="338"/>
      <c r="BA24" s="1271">
        <v>0</v>
      </c>
      <c r="BB24" s="1276">
        <v>0</v>
      </c>
      <c r="BC24" s="414">
        <f t="shared" si="22"/>
        <v>1</v>
      </c>
      <c r="BD24" s="413">
        <f t="shared" si="7"/>
        <v>1</v>
      </c>
      <c r="BE24" s="337"/>
      <c r="BF24" s="338"/>
      <c r="BG24" s="664">
        <f t="shared" si="46"/>
        <v>0</v>
      </c>
      <c r="BH24" s="679">
        <f t="shared" si="46"/>
        <v>0</v>
      </c>
      <c r="BI24" s="383">
        <f t="shared" si="38"/>
        <v>0</v>
      </c>
      <c r="BJ24" s="386">
        <f t="shared" si="38"/>
        <v>0</v>
      </c>
      <c r="BK24" s="534">
        <f t="shared" si="24"/>
        <v>2013</v>
      </c>
      <c r="BL24" s="1271">
        <f t="shared" si="39"/>
        <v>0</v>
      </c>
      <c r="BM24" s="1276">
        <f t="shared" si="40"/>
        <v>0</v>
      </c>
      <c r="BN24" s="337"/>
      <c r="BO24" s="338"/>
      <c r="BP24" s="1271">
        <v>0</v>
      </c>
      <c r="BQ24" s="1276">
        <v>0</v>
      </c>
      <c r="BR24" s="414">
        <f t="shared" si="25"/>
        <v>1</v>
      </c>
      <c r="BS24" s="413">
        <f t="shared" si="11"/>
        <v>1</v>
      </c>
      <c r="BT24" s="337"/>
      <c r="BU24" s="338"/>
      <c r="BV24" s="664">
        <f t="shared" si="47"/>
        <v>0</v>
      </c>
      <c r="BW24" s="679">
        <f t="shared" si="47"/>
        <v>0</v>
      </c>
      <c r="BX24" s="383">
        <f t="shared" si="41"/>
        <v>0</v>
      </c>
      <c r="BY24" s="386">
        <f t="shared" si="41"/>
        <v>0</v>
      </c>
      <c r="BZ24" s="534">
        <f t="shared" si="27"/>
        <v>2016</v>
      </c>
      <c r="CA24" s="664">
        <f t="shared" si="48"/>
        <v>0</v>
      </c>
      <c r="CB24" s="665">
        <f t="shared" si="48"/>
        <v>0</v>
      </c>
      <c r="CC24" s="664">
        <f t="shared" si="49"/>
        <v>0</v>
      </c>
      <c r="CD24" s="665">
        <f t="shared" si="49"/>
        <v>0</v>
      </c>
      <c r="CE24" s="337"/>
      <c r="CF24" s="338"/>
      <c r="CG24" s="383">
        <f t="shared" si="42"/>
        <v>0</v>
      </c>
      <c r="CH24" s="386">
        <f t="shared" si="42"/>
        <v>0</v>
      </c>
    </row>
    <row r="25" spans="2:86" x14ac:dyDescent="0.2">
      <c r="B25" s="276">
        <v>10</v>
      </c>
      <c r="C25" s="320">
        <f t="shared" si="28"/>
        <v>11</v>
      </c>
      <c r="D25" s="534">
        <f t="shared" si="13"/>
        <v>2015</v>
      </c>
      <c r="E25" s="337"/>
      <c r="F25" s="338"/>
      <c r="G25" s="1271">
        <v>0</v>
      </c>
      <c r="H25" s="1289">
        <v>0</v>
      </c>
      <c r="I25" s="400">
        <f t="shared" si="43"/>
        <v>0</v>
      </c>
      <c r="J25" s="401">
        <f t="shared" si="4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29"/>
        <v>0.99997686567311872</v>
      </c>
      <c r="P25" s="1143">
        <f t="shared" si="29"/>
        <v>0.99998104057973958</v>
      </c>
      <c r="Q25" s="356">
        <f t="shared" si="14"/>
        <v>2015</v>
      </c>
      <c r="R25" s="337"/>
      <c r="S25" s="338"/>
      <c r="T25" s="664">
        <f t="shared" si="15"/>
        <v>0</v>
      </c>
      <c r="U25" s="665">
        <f t="shared" si="16"/>
        <v>0</v>
      </c>
      <c r="V25" s="337"/>
      <c r="W25" s="338"/>
      <c r="X25" s="383">
        <f t="shared" si="30"/>
        <v>0</v>
      </c>
      <c r="Y25" s="386">
        <f t="shared" si="30"/>
        <v>0</v>
      </c>
      <c r="Z25" s="534">
        <f t="shared" si="17"/>
        <v>2015</v>
      </c>
      <c r="AA25" s="664">
        <f t="shared" si="31"/>
        <v>0</v>
      </c>
      <c r="AB25" s="665">
        <f t="shared" si="31"/>
        <v>0</v>
      </c>
      <c r="AC25" s="337"/>
      <c r="AD25" s="338"/>
      <c r="AE25" s="383">
        <f t="shared" si="32"/>
        <v>0</v>
      </c>
      <c r="AF25" s="386">
        <f t="shared" si="32"/>
        <v>0</v>
      </c>
      <c r="AG25" s="534">
        <f t="shared" si="18"/>
        <v>2014</v>
      </c>
      <c r="AH25" s="1271">
        <f t="shared" si="33"/>
        <v>0</v>
      </c>
      <c r="AI25" s="1276">
        <f t="shared" si="34"/>
        <v>0</v>
      </c>
      <c r="AJ25" s="337"/>
      <c r="AK25" s="338"/>
      <c r="AL25" s="1271">
        <v>0</v>
      </c>
      <c r="AM25" s="1276">
        <v>0</v>
      </c>
      <c r="AN25" s="414">
        <f t="shared" si="19"/>
        <v>1</v>
      </c>
      <c r="AO25" s="413">
        <f t="shared" si="3"/>
        <v>1</v>
      </c>
      <c r="AP25" s="337"/>
      <c r="AQ25" s="338"/>
      <c r="AR25" s="664">
        <f t="shared" si="45"/>
        <v>0</v>
      </c>
      <c r="AS25" s="679">
        <f t="shared" si="45"/>
        <v>0</v>
      </c>
      <c r="AT25" s="383">
        <f t="shared" si="35"/>
        <v>0</v>
      </c>
      <c r="AU25" s="386">
        <f t="shared" si="4"/>
        <v>0</v>
      </c>
      <c r="AV25" s="534">
        <f t="shared" si="21"/>
        <v>2013</v>
      </c>
      <c r="AW25" s="1271">
        <f t="shared" si="36"/>
        <v>0</v>
      </c>
      <c r="AX25" s="1276">
        <f t="shared" si="37"/>
        <v>0</v>
      </c>
      <c r="AY25" s="337"/>
      <c r="AZ25" s="338"/>
      <c r="BA25" s="1271">
        <v>0</v>
      </c>
      <c r="BB25" s="1276">
        <v>0</v>
      </c>
      <c r="BC25" s="414">
        <f t="shared" si="22"/>
        <v>1</v>
      </c>
      <c r="BD25" s="413">
        <f t="shared" si="7"/>
        <v>1</v>
      </c>
      <c r="BE25" s="337"/>
      <c r="BF25" s="338"/>
      <c r="BG25" s="664">
        <f t="shared" si="46"/>
        <v>0</v>
      </c>
      <c r="BH25" s="679">
        <f t="shared" si="46"/>
        <v>0</v>
      </c>
      <c r="BI25" s="383">
        <f t="shared" si="38"/>
        <v>0</v>
      </c>
      <c r="BJ25" s="386">
        <f t="shared" si="38"/>
        <v>0</v>
      </c>
      <c r="BK25" s="534">
        <f t="shared" si="24"/>
        <v>2012</v>
      </c>
      <c r="BL25" s="1271">
        <f t="shared" si="39"/>
        <v>0</v>
      </c>
      <c r="BM25" s="1276">
        <f t="shared" si="40"/>
        <v>0</v>
      </c>
      <c r="BN25" s="337"/>
      <c r="BO25" s="338"/>
      <c r="BP25" s="1271">
        <v>0</v>
      </c>
      <c r="BQ25" s="1276">
        <v>0</v>
      </c>
      <c r="BR25" s="414">
        <f t="shared" si="25"/>
        <v>1</v>
      </c>
      <c r="BS25" s="413">
        <f t="shared" si="11"/>
        <v>1</v>
      </c>
      <c r="BT25" s="337"/>
      <c r="BU25" s="338"/>
      <c r="BV25" s="664">
        <f t="shared" si="47"/>
        <v>0</v>
      </c>
      <c r="BW25" s="679">
        <f t="shared" si="47"/>
        <v>0</v>
      </c>
      <c r="BX25" s="383">
        <f t="shared" si="41"/>
        <v>0</v>
      </c>
      <c r="BY25" s="386">
        <f t="shared" si="41"/>
        <v>0</v>
      </c>
      <c r="BZ25" s="534">
        <f t="shared" si="27"/>
        <v>2015</v>
      </c>
      <c r="CA25" s="664">
        <f t="shared" si="48"/>
        <v>0</v>
      </c>
      <c r="CB25" s="665">
        <f t="shared" si="48"/>
        <v>0</v>
      </c>
      <c r="CC25" s="664">
        <f t="shared" si="49"/>
        <v>0</v>
      </c>
      <c r="CD25" s="665">
        <f t="shared" si="49"/>
        <v>0</v>
      </c>
      <c r="CE25" s="337"/>
      <c r="CF25" s="338"/>
      <c r="CG25" s="383">
        <f t="shared" si="42"/>
        <v>0</v>
      </c>
      <c r="CH25" s="386">
        <f t="shared" si="42"/>
        <v>0</v>
      </c>
    </row>
    <row r="26" spans="2:86" x14ac:dyDescent="0.2">
      <c r="B26" s="276">
        <v>11</v>
      </c>
      <c r="C26" s="320">
        <f t="shared" si="28"/>
        <v>12</v>
      </c>
      <c r="D26" s="534">
        <f t="shared" si="13"/>
        <v>2014</v>
      </c>
      <c r="E26" s="337"/>
      <c r="F26" s="338"/>
      <c r="G26" s="1271">
        <v>0</v>
      </c>
      <c r="H26" s="1289">
        <v>0</v>
      </c>
      <c r="I26" s="400">
        <f t="shared" si="43"/>
        <v>0</v>
      </c>
      <c r="J26" s="401">
        <f t="shared" si="4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29"/>
        <v>0.99997636774857468</v>
      </c>
      <c r="P26" s="1143">
        <f t="shared" si="29"/>
        <v>0.9999807315098066</v>
      </c>
      <c r="Q26" s="356">
        <f t="shared" si="14"/>
        <v>2014</v>
      </c>
      <c r="R26" s="337"/>
      <c r="S26" s="338"/>
      <c r="T26" s="664">
        <f t="shared" si="15"/>
        <v>0</v>
      </c>
      <c r="U26" s="665">
        <f t="shared" si="16"/>
        <v>0</v>
      </c>
      <c r="V26" s="337"/>
      <c r="W26" s="338"/>
      <c r="X26" s="383">
        <f t="shared" si="30"/>
        <v>0</v>
      </c>
      <c r="Y26" s="386">
        <f t="shared" si="30"/>
        <v>0</v>
      </c>
      <c r="Z26" s="534">
        <f t="shared" si="17"/>
        <v>2014</v>
      </c>
      <c r="AA26" s="664">
        <f t="shared" si="31"/>
        <v>0</v>
      </c>
      <c r="AB26" s="665">
        <f t="shared" si="31"/>
        <v>0</v>
      </c>
      <c r="AC26" s="337"/>
      <c r="AD26" s="338"/>
      <c r="AE26" s="383">
        <f t="shared" si="32"/>
        <v>0</v>
      </c>
      <c r="AF26" s="386">
        <f t="shared" si="32"/>
        <v>0</v>
      </c>
      <c r="AG26" s="534">
        <f t="shared" si="18"/>
        <v>2013</v>
      </c>
      <c r="AH26" s="1271">
        <f t="shared" si="33"/>
        <v>0</v>
      </c>
      <c r="AI26" s="1276">
        <f t="shared" si="34"/>
        <v>0</v>
      </c>
      <c r="AJ26" s="337"/>
      <c r="AK26" s="338"/>
      <c r="AL26" s="1271">
        <v>0</v>
      </c>
      <c r="AM26" s="1276">
        <v>0</v>
      </c>
      <c r="AN26" s="414">
        <f t="shared" si="19"/>
        <v>1</v>
      </c>
      <c r="AO26" s="413">
        <f t="shared" si="3"/>
        <v>1</v>
      </c>
      <c r="AP26" s="337"/>
      <c r="AQ26" s="338"/>
      <c r="AR26" s="664">
        <f t="shared" si="45"/>
        <v>0</v>
      </c>
      <c r="AS26" s="679">
        <f t="shared" si="45"/>
        <v>0</v>
      </c>
      <c r="AT26" s="383">
        <f t="shared" si="35"/>
        <v>0</v>
      </c>
      <c r="AU26" s="386">
        <f t="shared" si="4"/>
        <v>0</v>
      </c>
      <c r="AV26" s="534">
        <f t="shared" si="21"/>
        <v>2012</v>
      </c>
      <c r="AW26" s="1271">
        <f t="shared" si="36"/>
        <v>0</v>
      </c>
      <c r="AX26" s="1276">
        <f t="shared" si="37"/>
        <v>0</v>
      </c>
      <c r="AY26" s="337"/>
      <c r="AZ26" s="338"/>
      <c r="BA26" s="1271">
        <v>0</v>
      </c>
      <c r="BB26" s="1276">
        <v>0</v>
      </c>
      <c r="BC26" s="414">
        <f t="shared" si="22"/>
        <v>1</v>
      </c>
      <c r="BD26" s="413">
        <f t="shared" si="7"/>
        <v>1</v>
      </c>
      <c r="BE26" s="337"/>
      <c r="BF26" s="338"/>
      <c r="BG26" s="664">
        <f t="shared" si="46"/>
        <v>0</v>
      </c>
      <c r="BH26" s="679">
        <f t="shared" si="46"/>
        <v>0</v>
      </c>
      <c r="BI26" s="383">
        <f t="shared" si="38"/>
        <v>0</v>
      </c>
      <c r="BJ26" s="386">
        <f t="shared" si="38"/>
        <v>0</v>
      </c>
      <c r="BK26" s="534">
        <f t="shared" si="24"/>
        <v>2011</v>
      </c>
      <c r="BL26" s="1271">
        <f t="shared" si="39"/>
        <v>0</v>
      </c>
      <c r="BM26" s="1276">
        <f t="shared" si="40"/>
        <v>0</v>
      </c>
      <c r="BN26" s="337"/>
      <c r="BO26" s="338"/>
      <c r="BP26" s="1271">
        <v>0</v>
      </c>
      <c r="BQ26" s="1276">
        <v>0</v>
      </c>
      <c r="BR26" s="414">
        <f t="shared" si="25"/>
        <v>1</v>
      </c>
      <c r="BS26" s="413">
        <f t="shared" si="11"/>
        <v>1</v>
      </c>
      <c r="BT26" s="337"/>
      <c r="BU26" s="338"/>
      <c r="BV26" s="664">
        <f t="shared" si="47"/>
        <v>0</v>
      </c>
      <c r="BW26" s="679">
        <f t="shared" si="47"/>
        <v>0</v>
      </c>
      <c r="BX26" s="383">
        <f t="shared" si="41"/>
        <v>0</v>
      </c>
      <c r="BY26" s="386">
        <f t="shared" si="41"/>
        <v>0</v>
      </c>
      <c r="BZ26" s="534">
        <f t="shared" si="27"/>
        <v>2014</v>
      </c>
      <c r="CA26" s="664">
        <f t="shared" si="48"/>
        <v>0</v>
      </c>
      <c r="CB26" s="665">
        <f t="shared" si="48"/>
        <v>0</v>
      </c>
      <c r="CC26" s="664">
        <f t="shared" si="49"/>
        <v>0</v>
      </c>
      <c r="CD26" s="665">
        <f t="shared" si="49"/>
        <v>0</v>
      </c>
      <c r="CE26" s="337"/>
      <c r="CF26" s="338"/>
      <c r="CG26" s="383">
        <f t="shared" si="42"/>
        <v>0</v>
      </c>
      <c r="CH26" s="386">
        <f t="shared" si="42"/>
        <v>0</v>
      </c>
    </row>
    <row r="27" spans="2:86" x14ac:dyDescent="0.2">
      <c r="B27" s="276">
        <v>12</v>
      </c>
      <c r="C27" s="320">
        <f t="shared" si="28"/>
        <v>13</v>
      </c>
      <c r="D27" s="534">
        <f t="shared" si="13"/>
        <v>2013</v>
      </c>
      <c r="E27" s="337"/>
      <c r="F27" s="338"/>
      <c r="G27" s="1271">
        <v>0</v>
      </c>
      <c r="H27" s="1289">
        <v>0</v>
      </c>
      <c r="I27" s="400">
        <f t="shared" si="43"/>
        <v>0</v>
      </c>
      <c r="J27" s="401">
        <f t="shared" si="4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29"/>
        <v>0.99997376885366762</v>
      </c>
      <c r="P27" s="1143">
        <f t="shared" si="29"/>
        <v>0.99997870085216167</v>
      </c>
      <c r="Q27" s="356">
        <f t="shared" si="14"/>
        <v>2013</v>
      </c>
      <c r="R27" s="337"/>
      <c r="S27" s="338"/>
      <c r="T27" s="664">
        <f t="shared" si="15"/>
        <v>0</v>
      </c>
      <c r="U27" s="665">
        <f t="shared" si="16"/>
        <v>0</v>
      </c>
      <c r="V27" s="337"/>
      <c r="W27" s="338"/>
      <c r="X27" s="383">
        <f t="shared" si="30"/>
        <v>0</v>
      </c>
      <c r="Y27" s="386">
        <f t="shared" si="30"/>
        <v>0</v>
      </c>
      <c r="Z27" s="534">
        <f t="shared" si="17"/>
        <v>2013</v>
      </c>
      <c r="AA27" s="664">
        <f t="shared" si="31"/>
        <v>0</v>
      </c>
      <c r="AB27" s="665">
        <f t="shared" si="31"/>
        <v>0</v>
      </c>
      <c r="AC27" s="337"/>
      <c r="AD27" s="338"/>
      <c r="AE27" s="383">
        <f t="shared" si="32"/>
        <v>0</v>
      </c>
      <c r="AF27" s="386">
        <f t="shared" si="32"/>
        <v>0</v>
      </c>
      <c r="AG27" s="534">
        <f t="shared" si="18"/>
        <v>2012</v>
      </c>
      <c r="AH27" s="1271">
        <f t="shared" si="33"/>
        <v>0</v>
      </c>
      <c r="AI27" s="1276">
        <f t="shared" si="34"/>
        <v>0</v>
      </c>
      <c r="AJ27" s="337"/>
      <c r="AK27" s="338"/>
      <c r="AL27" s="1271">
        <v>0</v>
      </c>
      <c r="AM27" s="1276">
        <v>0</v>
      </c>
      <c r="AN27" s="414">
        <f t="shared" si="19"/>
        <v>1</v>
      </c>
      <c r="AO27" s="413">
        <f t="shared" si="3"/>
        <v>1</v>
      </c>
      <c r="AP27" s="337"/>
      <c r="AQ27" s="338"/>
      <c r="AR27" s="664">
        <f t="shared" si="45"/>
        <v>0</v>
      </c>
      <c r="AS27" s="679">
        <f t="shared" si="45"/>
        <v>0</v>
      </c>
      <c r="AT27" s="383">
        <f t="shared" si="35"/>
        <v>0</v>
      </c>
      <c r="AU27" s="386">
        <f t="shared" si="4"/>
        <v>0</v>
      </c>
      <c r="AV27" s="534">
        <f t="shared" si="21"/>
        <v>2011</v>
      </c>
      <c r="AW27" s="1271">
        <f t="shared" si="36"/>
        <v>0</v>
      </c>
      <c r="AX27" s="1276">
        <f t="shared" si="37"/>
        <v>0</v>
      </c>
      <c r="AY27" s="337"/>
      <c r="AZ27" s="338"/>
      <c r="BA27" s="1271">
        <v>0</v>
      </c>
      <c r="BB27" s="1276">
        <v>0</v>
      </c>
      <c r="BC27" s="414">
        <f t="shared" si="22"/>
        <v>1</v>
      </c>
      <c r="BD27" s="413">
        <f t="shared" si="7"/>
        <v>1</v>
      </c>
      <c r="BE27" s="337"/>
      <c r="BF27" s="338"/>
      <c r="BG27" s="664">
        <f t="shared" si="46"/>
        <v>0</v>
      </c>
      <c r="BH27" s="679">
        <f t="shared" si="46"/>
        <v>0</v>
      </c>
      <c r="BI27" s="383">
        <f t="shared" si="38"/>
        <v>0</v>
      </c>
      <c r="BJ27" s="386">
        <f t="shared" si="38"/>
        <v>0</v>
      </c>
      <c r="BK27" s="534">
        <f t="shared" si="24"/>
        <v>2010</v>
      </c>
      <c r="BL27" s="1271">
        <f t="shared" si="39"/>
        <v>0</v>
      </c>
      <c r="BM27" s="1276">
        <f t="shared" si="40"/>
        <v>0</v>
      </c>
      <c r="BN27" s="337"/>
      <c r="BO27" s="338"/>
      <c r="BP27" s="1271">
        <v>0</v>
      </c>
      <c r="BQ27" s="1276">
        <v>0</v>
      </c>
      <c r="BR27" s="414">
        <f t="shared" si="25"/>
        <v>1</v>
      </c>
      <c r="BS27" s="413">
        <f t="shared" si="11"/>
        <v>1</v>
      </c>
      <c r="BT27" s="337"/>
      <c r="BU27" s="338"/>
      <c r="BV27" s="664">
        <f t="shared" si="47"/>
        <v>0</v>
      </c>
      <c r="BW27" s="679">
        <f t="shared" si="47"/>
        <v>0</v>
      </c>
      <c r="BX27" s="383">
        <f t="shared" si="41"/>
        <v>0</v>
      </c>
      <c r="BY27" s="386">
        <f t="shared" si="41"/>
        <v>0</v>
      </c>
      <c r="BZ27" s="534">
        <f t="shared" si="27"/>
        <v>2013</v>
      </c>
      <c r="CA27" s="664">
        <f t="shared" si="48"/>
        <v>0</v>
      </c>
      <c r="CB27" s="665">
        <f t="shared" si="48"/>
        <v>0</v>
      </c>
      <c r="CC27" s="664">
        <f t="shared" si="49"/>
        <v>0</v>
      </c>
      <c r="CD27" s="665">
        <f t="shared" si="49"/>
        <v>0</v>
      </c>
      <c r="CE27" s="337"/>
      <c r="CF27" s="338"/>
      <c r="CG27" s="383">
        <f t="shared" si="42"/>
        <v>0</v>
      </c>
      <c r="CH27" s="386">
        <f t="shared" si="42"/>
        <v>0</v>
      </c>
    </row>
    <row r="28" spans="2:86" x14ac:dyDescent="0.2">
      <c r="B28" s="276">
        <v>13</v>
      </c>
      <c r="C28" s="320">
        <f t="shared" si="28"/>
        <v>14</v>
      </c>
      <c r="D28" s="534">
        <f t="shared" si="13"/>
        <v>2012</v>
      </c>
      <c r="E28" s="337"/>
      <c r="F28" s="338"/>
      <c r="G28" s="1271">
        <v>0</v>
      </c>
      <c r="H28" s="1289">
        <v>0</v>
      </c>
      <c r="I28" s="400">
        <f t="shared" si="43"/>
        <v>0</v>
      </c>
      <c r="J28" s="401">
        <f t="shared" si="4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29"/>
        <v>0.99996782557940755</v>
      </c>
      <c r="P28" s="1143">
        <f t="shared" si="29"/>
        <v>0.9999739988758154</v>
      </c>
      <c r="Q28" s="356">
        <f t="shared" si="14"/>
        <v>2012</v>
      </c>
      <c r="R28" s="337"/>
      <c r="S28" s="338"/>
      <c r="T28" s="664">
        <f t="shared" si="15"/>
        <v>0</v>
      </c>
      <c r="U28" s="665">
        <f t="shared" si="16"/>
        <v>0</v>
      </c>
      <c r="V28" s="337"/>
      <c r="W28" s="338"/>
      <c r="X28" s="383">
        <f t="shared" si="30"/>
        <v>0</v>
      </c>
      <c r="Y28" s="386">
        <f t="shared" si="30"/>
        <v>0</v>
      </c>
      <c r="Z28" s="534">
        <f t="shared" si="17"/>
        <v>2012</v>
      </c>
      <c r="AA28" s="664">
        <f t="shared" si="31"/>
        <v>0</v>
      </c>
      <c r="AB28" s="665">
        <f t="shared" si="31"/>
        <v>0</v>
      </c>
      <c r="AC28" s="337"/>
      <c r="AD28" s="338"/>
      <c r="AE28" s="383">
        <f t="shared" si="32"/>
        <v>0</v>
      </c>
      <c r="AF28" s="386">
        <f t="shared" si="32"/>
        <v>0</v>
      </c>
      <c r="AG28" s="534">
        <f t="shared" si="18"/>
        <v>2011</v>
      </c>
      <c r="AH28" s="1271">
        <f t="shared" si="33"/>
        <v>0</v>
      </c>
      <c r="AI28" s="1276">
        <f t="shared" si="34"/>
        <v>0</v>
      </c>
      <c r="AJ28" s="337"/>
      <c r="AK28" s="338"/>
      <c r="AL28" s="1271">
        <v>0</v>
      </c>
      <c r="AM28" s="1276">
        <v>0</v>
      </c>
      <c r="AN28" s="414">
        <f t="shared" si="19"/>
        <v>1</v>
      </c>
      <c r="AO28" s="413">
        <f t="shared" si="3"/>
        <v>1</v>
      </c>
      <c r="AP28" s="337"/>
      <c r="AQ28" s="338"/>
      <c r="AR28" s="664">
        <f t="shared" si="45"/>
        <v>0</v>
      </c>
      <c r="AS28" s="679">
        <f t="shared" si="45"/>
        <v>0</v>
      </c>
      <c r="AT28" s="383">
        <f t="shared" si="35"/>
        <v>0</v>
      </c>
      <c r="AU28" s="386">
        <f t="shared" si="4"/>
        <v>0</v>
      </c>
      <c r="AV28" s="534">
        <f t="shared" si="21"/>
        <v>2010</v>
      </c>
      <c r="AW28" s="1271">
        <f t="shared" si="36"/>
        <v>0</v>
      </c>
      <c r="AX28" s="1276">
        <f t="shared" si="37"/>
        <v>0</v>
      </c>
      <c r="AY28" s="337"/>
      <c r="AZ28" s="338"/>
      <c r="BA28" s="1271">
        <v>0</v>
      </c>
      <c r="BB28" s="1276">
        <v>0</v>
      </c>
      <c r="BC28" s="414">
        <f t="shared" si="22"/>
        <v>1</v>
      </c>
      <c r="BD28" s="413">
        <f t="shared" si="7"/>
        <v>1</v>
      </c>
      <c r="BE28" s="337"/>
      <c r="BF28" s="338"/>
      <c r="BG28" s="664">
        <f t="shared" si="46"/>
        <v>0</v>
      </c>
      <c r="BH28" s="679">
        <f t="shared" si="46"/>
        <v>0</v>
      </c>
      <c r="BI28" s="383">
        <f t="shared" si="38"/>
        <v>0</v>
      </c>
      <c r="BJ28" s="386">
        <f t="shared" si="38"/>
        <v>0</v>
      </c>
      <c r="BK28" s="534">
        <f t="shared" si="24"/>
        <v>2009</v>
      </c>
      <c r="BL28" s="1271">
        <f t="shared" si="39"/>
        <v>0</v>
      </c>
      <c r="BM28" s="1276">
        <f t="shared" si="40"/>
        <v>0</v>
      </c>
      <c r="BN28" s="337"/>
      <c r="BO28" s="338"/>
      <c r="BP28" s="1271">
        <v>0</v>
      </c>
      <c r="BQ28" s="1276">
        <v>0</v>
      </c>
      <c r="BR28" s="414">
        <f t="shared" si="25"/>
        <v>1</v>
      </c>
      <c r="BS28" s="413">
        <f t="shared" si="11"/>
        <v>1</v>
      </c>
      <c r="BT28" s="337"/>
      <c r="BU28" s="338"/>
      <c r="BV28" s="664">
        <f t="shared" si="47"/>
        <v>0</v>
      </c>
      <c r="BW28" s="679">
        <f t="shared" si="47"/>
        <v>0</v>
      </c>
      <c r="BX28" s="383">
        <f t="shared" si="41"/>
        <v>0</v>
      </c>
      <c r="BY28" s="386">
        <f t="shared" si="41"/>
        <v>0</v>
      </c>
      <c r="BZ28" s="534">
        <f t="shared" si="27"/>
        <v>2012</v>
      </c>
      <c r="CA28" s="664">
        <f t="shared" si="48"/>
        <v>0</v>
      </c>
      <c r="CB28" s="665">
        <f t="shared" si="48"/>
        <v>0</v>
      </c>
      <c r="CC28" s="664">
        <f t="shared" si="49"/>
        <v>0</v>
      </c>
      <c r="CD28" s="665">
        <f t="shared" si="49"/>
        <v>0</v>
      </c>
      <c r="CE28" s="337"/>
      <c r="CF28" s="338"/>
      <c r="CG28" s="383">
        <f t="shared" si="42"/>
        <v>0</v>
      </c>
      <c r="CH28" s="386">
        <f t="shared" si="42"/>
        <v>0</v>
      </c>
    </row>
    <row r="29" spans="2:86" x14ac:dyDescent="0.2">
      <c r="B29" s="276">
        <v>14</v>
      </c>
      <c r="C29" s="320">
        <f t="shared" si="28"/>
        <v>15</v>
      </c>
      <c r="D29" s="534">
        <f t="shared" si="13"/>
        <v>2011</v>
      </c>
      <c r="E29" s="337"/>
      <c r="F29" s="338"/>
      <c r="G29" s="1271">
        <v>0</v>
      </c>
      <c r="H29" s="1289">
        <v>0</v>
      </c>
      <c r="I29" s="400">
        <f t="shared" si="43"/>
        <v>0</v>
      </c>
      <c r="J29" s="401">
        <f t="shared" si="4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29"/>
        <v>0.99995675311456866</v>
      </c>
      <c r="P29" s="1143">
        <f t="shared" si="29"/>
        <v>0.99996569956467285</v>
      </c>
      <c r="Q29" s="356">
        <f t="shared" si="14"/>
        <v>2011</v>
      </c>
      <c r="R29" s="337"/>
      <c r="S29" s="338"/>
      <c r="T29" s="664">
        <f t="shared" si="15"/>
        <v>0</v>
      </c>
      <c r="U29" s="665">
        <f t="shared" si="16"/>
        <v>0</v>
      </c>
      <c r="V29" s="337"/>
      <c r="W29" s="338"/>
      <c r="X29" s="383">
        <f t="shared" si="30"/>
        <v>0</v>
      </c>
      <c r="Y29" s="386">
        <f t="shared" si="30"/>
        <v>0</v>
      </c>
      <c r="Z29" s="534">
        <f t="shared" si="17"/>
        <v>2011</v>
      </c>
      <c r="AA29" s="664">
        <f t="shared" si="31"/>
        <v>0</v>
      </c>
      <c r="AB29" s="665">
        <f t="shared" si="31"/>
        <v>0</v>
      </c>
      <c r="AC29" s="337"/>
      <c r="AD29" s="338"/>
      <c r="AE29" s="383">
        <f t="shared" si="32"/>
        <v>0</v>
      </c>
      <c r="AF29" s="386">
        <f t="shared" si="32"/>
        <v>0</v>
      </c>
      <c r="AG29" s="534">
        <f t="shared" si="18"/>
        <v>2010</v>
      </c>
      <c r="AH29" s="1271">
        <f t="shared" si="33"/>
        <v>0</v>
      </c>
      <c r="AI29" s="1276">
        <f t="shared" si="34"/>
        <v>0</v>
      </c>
      <c r="AJ29" s="337"/>
      <c r="AK29" s="338"/>
      <c r="AL29" s="1271">
        <v>0</v>
      </c>
      <c r="AM29" s="1276">
        <v>0</v>
      </c>
      <c r="AN29" s="414">
        <f t="shared" si="19"/>
        <v>1</v>
      </c>
      <c r="AO29" s="413">
        <f t="shared" si="3"/>
        <v>1</v>
      </c>
      <c r="AP29" s="337"/>
      <c r="AQ29" s="338"/>
      <c r="AR29" s="664">
        <f t="shared" si="45"/>
        <v>0</v>
      </c>
      <c r="AS29" s="679">
        <f t="shared" si="45"/>
        <v>0</v>
      </c>
      <c r="AT29" s="383">
        <f t="shared" si="35"/>
        <v>0</v>
      </c>
      <c r="AU29" s="386">
        <f t="shared" si="4"/>
        <v>0</v>
      </c>
      <c r="AV29" s="534">
        <f t="shared" si="21"/>
        <v>2009</v>
      </c>
      <c r="AW29" s="1271">
        <f t="shared" si="36"/>
        <v>0</v>
      </c>
      <c r="AX29" s="1276">
        <f t="shared" si="37"/>
        <v>0</v>
      </c>
      <c r="AY29" s="337"/>
      <c r="AZ29" s="338"/>
      <c r="BA29" s="1271">
        <v>0</v>
      </c>
      <c r="BB29" s="1276">
        <v>0</v>
      </c>
      <c r="BC29" s="414">
        <f t="shared" si="22"/>
        <v>1</v>
      </c>
      <c r="BD29" s="413">
        <f t="shared" si="7"/>
        <v>1</v>
      </c>
      <c r="BE29" s="337"/>
      <c r="BF29" s="338"/>
      <c r="BG29" s="664">
        <f t="shared" si="46"/>
        <v>0</v>
      </c>
      <c r="BH29" s="679">
        <f t="shared" si="46"/>
        <v>0</v>
      </c>
      <c r="BI29" s="383">
        <f t="shared" si="38"/>
        <v>0</v>
      </c>
      <c r="BJ29" s="386">
        <f t="shared" si="38"/>
        <v>0</v>
      </c>
      <c r="BK29" s="534">
        <f t="shared" si="24"/>
        <v>2008</v>
      </c>
      <c r="BL29" s="1271">
        <f t="shared" si="39"/>
        <v>0</v>
      </c>
      <c r="BM29" s="1276">
        <f t="shared" si="40"/>
        <v>0</v>
      </c>
      <c r="BN29" s="337"/>
      <c r="BO29" s="338"/>
      <c r="BP29" s="1271">
        <v>0</v>
      </c>
      <c r="BQ29" s="1276">
        <v>0</v>
      </c>
      <c r="BR29" s="414">
        <f t="shared" si="25"/>
        <v>1</v>
      </c>
      <c r="BS29" s="413">
        <f t="shared" si="11"/>
        <v>1</v>
      </c>
      <c r="BT29" s="337"/>
      <c r="BU29" s="338"/>
      <c r="BV29" s="664">
        <f t="shared" si="47"/>
        <v>0</v>
      </c>
      <c r="BW29" s="679">
        <f t="shared" si="47"/>
        <v>0</v>
      </c>
      <c r="BX29" s="383">
        <f t="shared" si="41"/>
        <v>0</v>
      </c>
      <c r="BY29" s="386">
        <f t="shared" si="41"/>
        <v>0</v>
      </c>
      <c r="BZ29" s="534">
        <f t="shared" si="27"/>
        <v>2011</v>
      </c>
      <c r="CA29" s="664">
        <f t="shared" si="48"/>
        <v>0</v>
      </c>
      <c r="CB29" s="665">
        <f t="shared" si="48"/>
        <v>0</v>
      </c>
      <c r="CC29" s="664">
        <f t="shared" si="49"/>
        <v>0</v>
      </c>
      <c r="CD29" s="665">
        <f t="shared" si="49"/>
        <v>0</v>
      </c>
      <c r="CE29" s="337"/>
      <c r="CF29" s="338"/>
      <c r="CG29" s="383">
        <f t="shared" si="42"/>
        <v>0</v>
      </c>
      <c r="CH29" s="386">
        <f t="shared" si="42"/>
        <v>0</v>
      </c>
    </row>
    <row r="30" spans="2:86" x14ac:dyDescent="0.2">
      <c r="B30" s="276">
        <v>15</v>
      </c>
      <c r="C30" s="320">
        <f t="shared" si="28"/>
        <v>16</v>
      </c>
      <c r="D30" s="534">
        <f t="shared" si="13"/>
        <v>2010</v>
      </c>
      <c r="E30" s="337"/>
      <c r="F30" s="338"/>
      <c r="G30" s="1271">
        <v>0</v>
      </c>
      <c r="H30" s="1289">
        <v>0</v>
      </c>
      <c r="I30" s="400">
        <f t="shared" si="43"/>
        <v>0</v>
      </c>
      <c r="J30" s="401">
        <f t="shared" si="4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29"/>
        <v>0.99993907929998738</v>
      </c>
      <c r="P30" s="1143">
        <f t="shared" si="29"/>
        <v>0.99995424154387735</v>
      </c>
      <c r="Q30" s="356">
        <f t="shared" si="14"/>
        <v>2010</v>
      </c>
      <c r="R30" s="337"/>
      <c r="S30" s="338"/>
      <c r="T30" s="664">
        <f t="shared" si="15"/>
        <v>0</v>
      </c>
      <c r="U30" s="665">
        <f t="shared" si="16"/>
        <v>0</v>
      </c>
      <c r="V30" s="337"/>
      <c r="W30" s="338"/>
      <c r="X30" s="383">
        <f t="shared" si="30"/>
        <v>0</v>
      </c>
      <c r="Y30" s="386">
        <f t="shared" si="30"/>
        <v>0</v>
      </c>
      <c r="Z30" s="534">
        <f t="shared" si="17"/>
        <v>2010</v>
      </c>
      <c r="AA30" s="664">
        <f t="shared" si="31"/>
        <v>0</v>
      </c>
      <c r="AB30" s="665">
        <f t="shared" si="31"/>
        <v>0</v>
      </c>
      <c r="AC30" s="337"/>
      <c r="AD30" s="338"/>
      <c r="AE30" s="383">
        <f t="shared" si="32"/>
        <v>0</v>
      </c>
      <c r="AF30" s="386">
        <f t="shared" si="32"/>
        <v>0</v>
      </c>
      <c r="AG30" s="534">
        <f t="shared" si="18"/>
        <v>2009</v>
      </c>
      <c r="AH30" s="1271">
        <f t="shared" si="33"/>
        <v>0</v>
      </c>
      <c r="AI30" s="1276">
        <f t="shared" si="34"/>
        <v>0</v>
      </c>
      <c r="AJ30" s="337"/>
      <c r="AK30" s="338"/>
      <c r="AL30" s="1271">
        <v>0</v>
      </c>
      <c r="AM30" s="1276">
        <v>0</v>
      </c>
      <c r="AN30" s="414">
        <f t="shared" si="19"/>
        <v>1</v>
      </c>
      <c r="AO30" s="413">
        <f t="shared" si="3"/>
        <v>1</v>
      </c>
      <c r="AP30" s="337"/>
      <c r="AQ30" s="338"/>
      <c r="AR30" s="664">
        <f t="shared" si="45"/>
        <v>0</v>
      </c>
      <c r="AS30" s="679">
        <f t="shared" si="45"/>
        <v>0</v>
      </c>
      <c r="AT30" s="383">
        <f t="shared" si="35"/>
        <v>0</v>
      </c>
      <c r="AU30" s="386">
        <f t="shared" si="4"/>
        <v>0</v>
      </c>
      <c r="AV30" s="534">
        <f t="shared" si="21"/>
        <v>2008</v>
      </c>
      <c r="AW30" s="1271">
        <f t="shared" si="36"/>
        <v>0</v>
      </c>
      <c r="AX30" s="1276">
        <f t="shared" si="37"/>
        <v>0</v>
      </c>
      <c r="AY30" s="337"/>
      <c r="AZ30" s="338"/>
      <c r="BA30" s="1271">
        <v>0</v>
      </c>
      <c r="BB30" s="1276">
        <v>0</v>
      </c>
      <c r="BC30" s="414">
        <f t="shared" si="22"/>
        <v>1</v>
      </c>
      <c r="BD30" s="413">
        <f t="shared" si="7"/>
        <v>1</v>
      </c>
      <c r="BE30" s="337"/>
      <c r="BF30" s="338"/>
      <c r="BG30" s="664">
        <f t="shared" si="46"/>
        <v>0</v>
      </c>
      <c r="BH30" s="679">
        <f t="shared" si="46"/>
        <v>0</v>
      </c>
      <c r="BI30" s="383">
        <f t="shared" si="38"/>
        <v>0</v>
      </c>
      <c r="BJ30" s="386">
        <f t="shared" si="38"/>
        <v>0</v>
      </c>
      <c r="BK30" s="534">
        <f t="shared" si="24"/>
        <v>2007</v>
      </c>
      <c r="BL30" s="1271">
        <f t="shared" si="39"/>
        <v>0</v>
      </c>
      <c r="BM30" s="1276">
        <f t="shared" si="40"/>
        <v>0</v>
      </c>
      <c r="BN30" s="337"/>
      <c r="BO30" s="338"/>
      <c r="BP30" s="1271">
        <v>0</v>
      </c>
      <c r="BQ30" s="1276">
        <v>0</v>
      </c>
      <c r="BR30" s="414">
        <f t="shared" si="25"/>
        <v>1</v>
      </c>
      <c r="BS30" s="413">
        <f t="shared" si="11"/>
        <v>1</v>
      </c>
      <c r="BT30" s="337"/>
      <c r="BU30" s="338"/>
      <c r="BV30" s="664">
        <f t="shared" si="47"/>
        <v>0</v>
      </c>
      <c r="BW30" s="679">
        <f t="shared" si="47"/>
        <v>0</v>
      </c>
      <c r="BX30" s="383">
        <f t="shared" si="41"/>
        <v>0</v>
      </c>
      <c r="BY30" s="386">
        <f t="shared" si="41"/>
        <v>0</v>
      </c>
      <c r="BZ30" s="534">
        <f t="shared" si="27"/>
        <v>2010</v>
      </c>
      <c r="CA30" s="664">
        <f t="shared" si="48"/>
        <v>0</v>
      </c>
      <c r="CB30" s="665">
        <f t="shared" si="48"/>
        <v>0</v>
      </c>
      <c r="CC30" s="664">
        <f t="shared" si="49"/>
        <v>0</v>
      </c>
      <c r="CD30" s="665">
        <f t="shared" si="49"/>
        <v>0</v>
      </c>
      <c r="CE30" s="337"/>
      <c r="CF30" s="338"/>
      <c r="CG30" s="383">
        <f t="shared" si="42"/>
        <v>0</v>
      </c>
      <c r="CH30" s="386">
        <f t="shared" si="42"/>
        <v>0</v>
      </c>
    </row>
    <row r="31" spans="2:86" x14ac:dyDescent="0.2">
      <c r="B31" s="276">
        <v>16</v>
      </c>
      <c r="C31" s="320">
        <f t="shared" si="28"/>
        <v>17</v>
      </c>
      <c r="D31" s="534">
        <f t="shared" si="13"/>
        <v>2009</v>
      </c>
      <c r="E31" s="337"/>
      <c r="F31" s="338"/>
      <c r="G31" s="1271">
        <v>0</v>
      </c>
      <c r="H31" s="1289">
        <v>0</v>
      </c>
      <c r="I31" s="400">
        <f t="shared" si="43"/>
        <v>0</v>
      </c>
      <c r="J31" s="401">
        <f t="shared" si="4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29"/>
        <v>0.99991538044383177</v>
      </c>
      <c r="P31" s="1143">
        <f t="shared" si="29"/>
        <v>0.99994262751946672</v>
      </c>
      <c r="Q31" s="356">
        <f t="shared" si="14"/>
        <v>2009</v>
      </c>
      <c r="R31" s="337"/>
      <c r="S31" s="338"/>
      <c r="T31" s="664">
        <f t="shared" si="15"/>
        <v>0</v>
      </c>
      <c r="U31" s="665">
        <f t="shared" si="16"/>
        <v>0</v>
      </c>
      <c r="V31" s="337"/>
      <c r="W31" s="338"/>
      <c r="X31" s="383">
        <f t="shared" si="30"/>
        <v>0</v>
      </c>
      <c r="Y31" s="386">
        <f t="shared" si="30"/>
        <v>0</v>
      </c>
      <c r="Z31" s="534">
        <f t="shared" si="17"/>
        <v>2009</v>
      </c>
      <c r="AA31" s="664">
        <f t="shared" si="31"/>
        <v>0</v>
      </c>
      <c r="AB31" s="665">
        <f t="shared" si="31"/>
        <v>0</v>
      </c>
      <c r="AC31" s="337"/>
      <c r="AD31" s="338"/>
      <c r="AE31" s="383">
        <f t="shared" si="32"/>
        <v>0</v>
      </c>
      <c r="AF31" s="386">
        <f t="shared" si="32"/>
        <v>0</v>
      </c>
      <c r="AG31" s="534">
        <f t="shared" si="18"/>
        <v>2008</v>
      </c>
      <c r="AH31" s="1271">
        <f t="shared" si="33"/>
        <v>0</v>
      </c>
      <c r="AI31" s="1276">
        <f t="shared" si="34"/>
        <v>0</v>
      </c>
      <c r="AJ31" s="337"/>
      <c r="AK31" s="338"/>
      <c r="AL31" s="1271">
        <v>0</v>
      </c>
      <c r="AM31" s="1276">
        <v>0</v>
      </c>
      <c r="AN31" s="414">
        <f t="shared" si="19"/>
        <v>1</v>
      </c>
      <c r="AO31" s="413">
        <f t="shared" si="3"/>
        <v>1</v>
      </c>
      <c r="AP31" s="337"/>
      <c r="AQ31" s="338"/>
      <c r="AR31" s="664">
        <f t="shared" si="45"/>
        <v>0</v>
      </c>
      <c r="AS31" s="679">
        <f t="shared" si="45"/>
        <v>0</v>
      </c>
      <c r="AT31" s="383">
        <f t="shared" si="35"/>
        <v>0</v>
      </c>
      <c r="AU31" s="386">
        <f t="shared" si="4"/>
        <v>0</v>
      </c>
      <c r="AV31" s="534">
        <f t="shared" si="21"/>
        <v>2007</v>
      </c>
      <c r="AW31" s="1271">
        <f t="shared" si="36"/>
        <v>0</v>
      </c>
      <c r="AX31" s="1276">
        <f t="shared" si="37"/>
        <v>0</v>
      </c>
      <c r="AY31" s="337"/>
      <c r="AZ31" s="338"/>
      <c r="BA31" s="1271">
        <v>0</v>
      </c>
      <c r="BB31" s="1276">
        <v>0</v>
      </c>
      <c r="BC31" s="414">
        <f t="shared" si="22"/>
        <v>1</v>
      </c>
      <c r="BD31" s="413">
        <f t="shared" si="7"/>
        <v>1</v>
      </c>
      <c r="BE31" s="337"/>
      <c r="BF31" s="338"/>
      <c r="BG31" s="664">
        <f t="shared" si="46"/>
        <v>0</v>
      </c>
      <c r="BH31" s="679">
        <f t="shared" si="46"/>
        <v>0</v>
      </c>
      <c r="BI31" s="383">
        <f t="shared" si="38"/>
        <v>0</v>
      </c>
      <c r="BJ31" s="386">
        <f t="shared" si="38"/>
        <v>0</v>
      </c>
      <c r="BK31" s="534">
        <f t="shared" si="24"/>
        <v>2006</v>
      </c>
      <c r="BL31" s="1271">
        <f t="shared" si="39"/>
        <v>0</v>
      </c>
      <c r="BM31" s="1276">
        <f t="shared" si="40"/>
        <v>0</v>
      </c>
      <c r="BN31" s="337"/>
      <c r="BO31" s="338"/>
      <c r="BP31" s="1271">
        <v>0</v>
      </c>
      <c r="BQ31" s="1276">
        <v>0</v>
      </c>
      <c r="BR31" s="414">
        <f t="shared" si="25"/>
        <v>1</v>
      </c>
      <c r="BS31" s="413">
        <f t="shared" si="11"/>
        <v>1</v>
      </c>
      <c r="BT31" s="337"/>
      <c r="BU31" s="338"/>
      <c r="BV31" s="664">
        <f t="shared" si="47"/>
        <v>0</v>
      </c>
      <c r="BW31" s="679">
        <f t="shared" si="47"/>
        <v>0</v>
      </c>
      <c r="BX31" s="383">
        <f t="shared" si="41"/>
        <v>0</v>
      </c>
      <c r="BY31" s="386">
        <f t="shared" si="41"/>
        <v>0</v>
      </c>
      <c r="BZ31" s="534">
        <f t="shared" si="27"/>
        <v>2009</v>
      </c>
      <c r="CA31" s="664">
        <f t="shared" si="48"/>
        <v>0</v>
      </c>
      <c r="CB31" s="665">
        <f t="shared" si="48"/>
        <v>0</v>
      </c>
      <c r="CC31" s="664">
        <f t="shared" si="49"/>
        <v>0</v>
      </c>
      <c r="CD31" s="665">
        <f t="shared" si="49"/>
        <v>0</v>
      </c>
      <c r="CE31" s="337"/>
      <c r="CF31" s="338"/>
      <c r="CG31" s="383">
        <f t="shared" si="42"/>
        <v>0</v>
      </c>
      <c r="CH31" s="386">
        <f t="shared" si="42"/>
        <v>0</v>
      </c>
    </row>
    <row r="32" spans="2:86" x14ac:dyDescent="0.2">
      <c r="B32" s="276">
        <v>17</v>
      </c>
      <c r="C32" s="320">
        <f t="shared" si="28"/>
        <v>18</v>
      </c>
      <c r="D32" s="534">
        <f t="shared" si="13"/>
        <v>2008</v>
      </c>
      <c r="E32" s="337"/>
      <c r="F32" s="338"/>
      <c r="G32" s="1271">
        <v>0</v>
      </c>
      <c r="H32" s="1289">
        <v>0</v>
      </c>
      <c r="I32" s="400">
        <f t="shared" si="43"/>
        <v>0</v>
      </c>
      <c r="J32" s="401">
        <f t="shared" si="4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29"/>
        <v>0.99988828967307475</v>
      </c>
      <c r="P32" s="1143">
        <f t="shared" si="29"/>
        <v>0.9999342206698757</v>
      </c>
      <c r="Q32" s="356">
        <f t="shared" si="14"/>
        <v>2008</v>
      </c>
      <c r="R32" s="337"/>
      <c r="S32" s="338"/>
      <c r="T32" s="664">
        <f t="shared" si="15"/>
        <v>0</v>
      </c>
      <c r="U32" s="665">
        <f t="shared" si="16"/>
        <v>0</v>
      </c>
      <c r="V32" s="337"/>
      <c r="W32" s="338"/>
      <c r="X32" s="383">
        <f t="shared" si="30"/>
        <v>0</v>
      </c>
      <c r="Y32" s="386">
        <f t="shared" si="30"/>
        <v>0</v>
      </c>
      <c r="Z32" s="534">
        <f t="shared" si="17"/>
        <v>2008</v>
      </c>
      <c r="AA32" s="664">
        <f t="shared" si="31"/>
        <v>0</v>
      </c>
      <c r="AB32" s="665">
        <f t="shared" si="31"/>
        <v>0</v>
      </c>
      <c r="AC32" s="337"/>
      <c r="AD32" s="338"/>
      <c r="AE32" s="383">
        <f t="shared" si="32"/>
        <v>0</v>
      </c>
      <c r="AF32" s="386">
        <f t="shared" si="32"/>
        <v>0</v>
      </c>
      <c r="AG32" s="534">
        <f t="shared" si="18"/>
        <v>2007</v>
      </c>
      <c r="AH32" s="1271">
        <f t="shared" si="33"/>
        <v>0</v>
      </c>
      <c r="AI32" s="1276">
        <f t="shared" si="34"/>
        <v>0</v>
      </c>
      <c r="AJ32" s="337"/>
      <c r="AK32" s="338"/>
      <c r="AL32" s="1271">
        <v>0</v>
      </c>
      <c r="AM32" s="1276">
        <v>0</v>
      </c>
      <c r="AN32" s="414">
        <f t="shared" si="19"/>
        <v>1</v>
      </c>
      <c r="AO32" s="413">
        <f t="shared" si="3"/>
        <v>1</v>
      </c>
      <c r="AP32" s="337"/>
      <c r="AQ32" s="338"/>
      <c r="AR32" s="664">
        <f t="shared" si="45"/>
        <v>0</v>
      </c>
      <c r="AS32" s="679">
        <f t="shared" si="45"/>
        <v>0</v>
      </c>
      <c r="AT32" s="383">
        <f t="shared" si="35"/>
        <v>0</v>
      </c>
      <c r="AU32" s="386">
        <f t="shared" si="4"/>
        <v>0</v>
      </c>
      <c r="AV32" s="534">
        <f t="shared" si="21"/>
        <v>2006</v>
      </c>
      <c r="AW32" s="1271">
        <f t="shared" si="36"/>
        <v>0</v>
      </c>
      <c r="AX32" s="1276">
        <f t="shared" si="37"/>
        <v>0</v>
      </c>
      <c r="AY32" s="337"/>
      <c r="AZ32" s="338"/>
      <c r="BA32" s="1271">
        <v>0</v>
      </c>
      <c r="BB32" s="1276">
        <v>0</v>
      </c>
      <c r="BC32" s="414">
        <f t="shared" si="22"/>
        <v>1</v>
      </c>
      <c r="BD32" s="413">
        <f t="shared" si="7"/>
        <v>1</v>
      </c>
      <c r="BE32" s="337"/>
      <c r="BF32" s="338"/>
      <c r="BG32" s="664">
        <f t="shared" si="46"/>
        <v>0</v>
      </c>
      <c r="BH32" s="679">
        <f t="shared" si="46"/>
        <v>0</v>
      </c>
      <c r="BI32" s="383">
        <f t="shared" si="38"/>
        <v>0</v>
      </c>
      <c r="BJ32" s="386">
        <f t="shared" si="38"/>
        <v>0</v>
      </c>
      <c r="BK32" s="534">
        <f t="shared" si="24"/>
        <v>2005</v>
      </c>
      <c r="BL32" s="1271">
        <f t="shared" si="39"/>
        <v>0</v>
      </c>
      <c r="BM32" s="1276">
        <f t="shared" si="40"/>
        <v>0</v>
      </c>
      <c r="BN32" s="337"/>
      <c r="BO32" s="338"/>
      <c r="BP32" s="1271">
        <v>0</v>
      </c>
      <c r="BQ32" s="1276">
        <v>0</v>
      </c>
      <c r="BR32" s="414">
        <f t="shared" si="25"/>
        <v>1</v>
      </c>
      <c r="BS32" s="413">
        <f t="shared" si="11"/>
        <v>1</v>
      </c>
      <c r="BT32" s="337"/>
      <c r="BU32" s="338"/>
      <c r="BV32" s="664">
        <f t="shared" si="47"/>
        <v>0</v>
      </c>
      <c r="BW32" s="679">
        <f t="shared" si="47"/>
        <v>0</v>
      </c>
      <c r="BX32" s="383">
        <f t="shared" si="41"/>
        <v>0</v>
      </c>
      <c r="BY32" s="386">
        <f t="shared" si="41"/>
        <v>0</v>
      </c>
      <c r="BZ32" s="534">
        <f t="shared" si="27"/>
        <v>2008</v>
      </c>
      <c r="CA32" s="664">
        <f t="shared" si="48"/>
        <v>0</v>
      </c>
      <c r="CB32" s="665">
        <f t="shared" si="48"/>
        <v>0</v>
      </c>
      <c r="CC32" s="664">
        <f t="shared" si="49"/>
        <v>0</v>
      </c>
      <c r="CD32" s="665">
        <f t="shared" si="49"/>
        <v>0</v>
      </c>
      <c r="CE32" s="337"/>
      <c r="CF32" s="338"/>
      <c r="CG32" s="383">
        <f t="shared" si="42"/>
        <v>0</v>
      </c>
      <c r="CH32" s="386">
        <f t="shared" si="42"/>
        <v>0</v>
      </c>
    </row>
    <row r="33" spans="2:86" ht="13.5" thickBot="1" x14ac:dyDescent="0.25">
      <c r="B33" s="313">
        <v>18</v>
      </c>
      <c r="C33" s="321">
        <f t="shared" si="28"/>
        <v>19</v>
      </c>
      <c r="D33" s="535">
        <f t="shared" si="13"/>
        <v>2007</v>
      </c>
      <c r="E33" s="341"/>
      <c r="F33" s="340"/>
      <c r="G33" s="1277">
        <v>0</v>
      </c>
      <c r="H33" s="1290">
        <v>0</v>
      </c>
      <c r="I33" s="406">
        <f t="shared" si="43"/>
        <v>0</v>
      </c>
      <c r="J33" s="407">
        <f t="shared" si="4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29"/>
        <v>0.99986077611062485</v>
      </c>
      <c r="P33" s="1144">
        <f t="shared" si="29"/>
        <v>0.9999298889169097</v>
      </c>
      <c r="Q33" s="313">
        <f t="shared" si="14"/>
        <v>2007</v>
      </c>
      <c r="R33" s="341"/>
      <c r="S33" s="340"/>
      <c r="T33" s="666">
        <f t="shared" si="15"/>
        <v>0</v>
      </c>
      <c r="U33" s="667">
        <f t="shared" si="16"/>
        <v>0</v>
      </c>
      <c r="V33" s="341"/>
      <c r="W33" s="340"/>
      <c r="X33" s="384">
        <f t="shared" si="30"/>
        <v>0</v>
      </c>
      <c r="Y33" s="387">
        <f t="shared" si="30"/>
        <v>0</v>
      </c>
      <c r="Z33" s="535">
        <f t="shared" si="17"/>
        <v>2007</v>
      </c>
      <c r="AA33" s="666">
        <f t="shared" si="31"/>
        <v>0</v>
      </c>
      <c r="AB33" s="667">
        <f t="shared" si="31"/>
        <v>0</v>
      </c>
      <c r="AC33" s="341"/>
      <c r="AD33" s="340"/>
      <c r="AE33" s="384">
        <f t="shared" si="32"/>
        <v>0</v>
      </c>
      <c r="AF33" s="387">
        <f t="shared" si="32"/>
        <v>0</v>
      </c>
      <c r="AG33" s="535">
        <f t="shared" si="18"/>
        <v>2006</v>
      </c>
      <c r="AH33" s="1277">
        <f t="shared" si="33"/>
        <v>0</v>
      </c>
      <c r="AI33" s="1278">
        <f t="shared" si="34"/>
        <v>0</v>
      </c>
      <c r="AJ33" s="341"/>
      <c r="AK33" s="340"/>
      <c r="AL33" s="1277">
        <v>0</v>
      </c>
      <c r="AM33" s="1278">
        <v>0</v>
      </c>
      <c r="AN33" s="415">
        <f t="shared" si="19"/>
        <v>1</v>
      </c>
      <c r="AO33" s="416">
        <f t="shared" si="3"/>
        <v>1</v>
      </c>
      <c r="AP33" s="341"/>
      <c r="AQ33" s="340"/>
      <c r="AR33" s="666">
        <f t="shared" si="45"/>
        <v>0</v>
      </c>
      <c r="AS33" s="680">
        <f t="shared" si="45"/>
        <v>0</v>
      </c>
      <c r="AT33" s="384">
        <f t="shared" si="35"/>
        <v>0</v>
      </c>
      <c r="AU33" s="387">
        <f t="shared" si="4"/>
        <v>0</v>
      </c>
      <c r="AV33" s="535">
        <f t="shared" si="21"/>
        <v>2005</v>
      </c>
      <c r="AW33" s="1277">
        <f t="shared" si="36"/>
        <v>0</v>
      </c>
      <c r="AX33" s="1278">
        <f t="shared" si="37"/>
        <v>0</v>
      </c>
      <c r="AY33" s="341"/>
      <c r="AZ33" s="340"/>
      <c r="BA33" s="1277">
        <v>0</v>
      </c>
      <c r="BB33" s="1278">
        <v>0</v>
      </c>
      <c r="BC33" s="415">
        <f t="shared" si="22"/>
        <v>1</v>
      </c>
      <c r="BD33" s="416">
        <f t="shared" si="7"/>
        <v>1</v>
      </c>
      <c r="BE33" s="341"/>
      <c r="BF33" s="340"/>
      <c r="BG33" s="666">
        <f t="shared" si="46"/>
        <v>0</v>
      </c>
      <c r="BH33" s="680">
        <f t="shared" si="46"/>
        <v>0</v>
      </c>
      <c r="BI33" s="384">
        <f t="shared" si="38"/>
        <v>0</v>
      </c>
      <c r="BJ33" s="387">
        <f t="shared" si="38"/>
        <v>0</v>
      </c>
      <c r="BK33" s="535">
        <f t="shared" si="24"/>
        <v>2004</v>
      </c>
      <c r="BL33" s="1277">
        <f t="shared" si="39"/>
        <v>0</v>
      </c>
      <c r="BM33" s="1278">
        <f t="shared" si="40"/>
        <v>0</v>
      </c>
      <c r="BN33" s="341"/>
      <c r="BO33" s="340"/>
      <c r="BP33" s="1277">
        <v>0</v>
      </c>
      <c r="BQ33" s="1278">
        <v>0</v>
      </c>
      <c r="BR33" s="415">
        <f t="shared" si="25"/>
        <v>1</v>
      </c>
      <c r="BS33" s="416">
        <f t="shared" si="11"/>
        <v>1</v>
      </c>
      <c r="BT33" s="341"/>
      <c r="BU33" s="340"/>
      <c r="BV33" s="666">
        <f t="shared" si="47"/>
        <v>0</v>
      </c>
      <c r="BW33" s="680">
        <f t="shared" si="47"/>
        <v>0</v>
      </c>
      <c r="BX33" s="384">
        <f t="shared" si="41"/>
        <v>0</v>
      </c>
      <c r="BY33" s="387">
        <f t="shared" si="41"/>
        <v>0</v>
      </c>
      <c r="BZ33" s="535">
        <f t="shared" si="27"/>
        <v>2007</v>
      </c>
      <c r="CA33" s="666">
        <f t="shared" si="48"/>
        <v>0</v>
      </c>
      <c r="CB33" s="667">
        <f t="shared" si="48"/>
        <v>0</v>
      </c>
      <c r="CC33" s="666">
        <f t="shared" si="49"/>
        <v>0</v>
      </c>
      <c r="CD33" s="667">
        <f t="shared" si="49"/>
        <v>0</v>
      </c>
      <c r="CE33" s="341"/>
      <c r="CF33" s="340"/>
      <c r="CG33" s="384">
        <f t="shared" si="42"/>
        <v>0</v>
      </c>
      <c r="CH33" s="387">
        <f t="shared" si="42"/>
        <v>0</v>
      </c>
    </row>
    <row r="34" spans="2:86" ht="13.5" thickTop="1" x14ac:dyDescent="0.2">
      <c r="B34" s="312">
        <v>19</v>
      </c>
      <c r="C34" s="322">
        <f t="shared" si="28"/>
        <v>20</v>
      </c>
      <c r="D34" s="533">
        <f t="shared" si="13"/>
        <v>2006</v>
      </c>
      <c r="E34" s="337"/>
      <c r="F34" s="339"/>
      <c r="G34" s="1271">
        <v>0</v>
      </c>
      <c r="H34" s="1289">
        <v>0</v>
      </c>
      <c r="I34" s="394">
        <f t="shared" si="43"/>
        <v>0</v>
      </c>
      <c r="J34" s="395">
        <f t="shared" si="4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29"/>
        <v>0.99983598685218933</v>
      </c>
      <c r="P34" s="1142">
        <f t="shared" si="29"/>
        <v>0.99992861312454995</v>
      </c>
      <c r="Q34" s="1139">
        <f t="shared" si="14"/>
        <v>2006</v>
      </c>
      <c r="R34" s="337"/>
      <c r="S34" s="339"/>
      <c r="T34" s="668">
        <f t="shared" si="15"/>
        <v>0</v>
      </c>
      <c r="U34" s="669">
        <f t="shared" si="16"/>
        <v>0</v>
      </c>
      <c r="V34" s="337"/>
      <c r="W34" s="339"/>
      <c r="X34" s="382">
        <f t="shared" si="30"/>
        <v>0</v>
      </c>
      <c r="Y34" s="385">
        <f t="shared" si="30"/>
        <v>0</v>
      </c>
      <c r="Z34" s="533">
        <f t="shared" si="17"/>
        <v>2006</v>
      </c>
      <c r="AA34" s="668">
        <f t="shared" si="31"/>
        <v>0</v>
      </c>
      <c r="AB34" s="669">
        <f t="shared" si="31"/>
        <v>0</v>
      </c>
      <c r="AC34" s="337"/>
      <c r="AD34" s="339"/>
      <c r="AE34" s="382">
        <f t="shared" si="32"/>
        <v>0</v>
      </c>
      <c r="AF34" s="385">
        <f t="shared" si="32"/>
        <v>0</v>
      </c>
      <c r="AG34" s="533">
        <f t="shared" si="18"/>
        <v>2005</v>
      </c>
      <c r="AH34" s="1271">
        <f t="shared" si="33"/>
        <v>0</v>
      </c>
      <c r="AI34" s="1272">
        <f t="shared" si="34"/>
        <v>0</v>
      </c>
      <c r="AJ34" s="337"/>
      <c r="AK34" s="339"/>
      <c r="AL34" s="1271">
        <v>0</v>
      </c>
      <c r="AM34" s="1272">
        <v>0</v>
      </c>
      <c r="AN34" s="412">
        <f t="shared" si="19"/>
        <v>1</v>
      </c>
      <c r="AO34" s="417">
        <f t="shared" si="3"/>
        <v>1</v>
      </c>
      <c r="AP34" s="337"/>
      <c r="AQ34" s="339"/>
      <c r="AR34" s="668">
        <f t="shared" si="45"/>
        <v>0</v>
      </c>
      <c r="AS34" s="681">
        <f t="shared" si="45"/>
        <v>0</v>
      </c>
      <c r="AT34" s="382">
        <f t="shared" si="35"/>
        <v>0</v>
      </c>
      <c r="AU34" s="385">
        <f t="shared" si="4"/>
        <v>0</v>
      </c>
      <c r="AV34" s="533">
        <f t="shared" si="21"/>
        <v>2004</v>
      </c>
      <c r="AW34" s="1271">
        <f t="shared" si="36"/>
        <v>0</v>
      </c>
      <c r="AX34" s="1272">
        <f t="shared" si="37"/>
        <v>0</v>
      </c>
      <c r="AY34" s="337"/>
      <c r="AZ34" s="339"/>
      <c r="BA34" s="1271">
        <v>0</v>
      </c>
      <c r="BB34" s="1272">
        <v>0</v>
      </c>
      <c r="BC34" s="412">
        <f t="shared" si="22"/>
        <v>1</v>
      </c>
      <c r="BD34" s="417">
        <f t="shared" si="7"/>
        <v>1</v>
      </c>
      <c r="BE34" s="337"/>
      <c r="BF34" s="339"/>
      <c r="BG34" s="668">
        <f t="shared" si="46"/>
        <v>0</v>
      </c>
      <c r="BH34" s="681">
        <f t="shared" si="46"/>
        <v>0</v>
      </c>
      <c r="BI34" s="382">
        <f t="shared" si="38"/>
        <v>0</v>
      </c>
      <c r="BJ34" s="385">
        <f t="shared" si="38"/>
        <v>0</v>
      </c>
      <c r="BK34" s="533">
        <f t="shared" si="24"/>
        <v>2003</v>
      </c>
      <c r="BL34" s="1271">
        <f t="shared" si="39"/>
        <v>0</v>
      </c>
      <c r="BM34" s="1272">
        <f t="shared" si="40"/>
        <v>0</v>
      </c>
      <c r="BN34" s="337"/>
      <c r="BO34" s="339"/>
      <c r="BP34" s="1271">
        <v>0</v>
      </c>
      <c r="BQ34" s="1272">
        <v>0</v>
      </c>
      <c r="BR34" s="412">
        <f t="shared" si="25"/>
        <v>1</v>
      </c>
      <c r="BS34" s="417">
        <f t="shared" si="11"/>
        <v>1</v>
      </c>
      <c r="BT34" s="337"/>
      <c r="BU34" s="339"/>
      <c r="BV34" s="668">
        <f t="shared" si="47"/>
        <v>0</v>
      </c>
      <c r="BW34" s="681">
        <f t="shared" si="47"/>
        <v>0</v>
      </c>
      <c r="BX34" s="382">
        <f t="shared" si="41"/>
        <v>0</v>
      </c>
      <c r="BY34" s="385">
        <f t="shared" si="41"/>
        <v>0</v>
      </c>
      <c r="BZ34" s="533">
        <f t="shared" si="27"/>
        <v>2006</v>
      </c>
      <c r="CA34" s="668">
        <f t="shared" si="48"/>
        <v>0</v>
      </c>
      <c r="CB34" s="669">
        <f t="shared" si="48"/>
        <v>0</v>
      </c>
      <c r="CC34" s="668">
        <f t="shared" si="49"/>
        <v>0</v>
      </c>
      <c r="CD34" s="669">
        <f t="shared" si="49"/>
        <v>0</v>
      </c>
      <c r="CE34" s="337"/>
      <c r="CF34" s="339"/>
      <c r="CG34" s="382">
        <f t="shared" si="42"/>
        <v>0</v>
      </c>
      <c r="CH34" s="385">
        <f t="shared" si="42"/>
        <v>0</v>
      </c>
    </row>
    <row r="35" spans="2:86" x14ac:dyDescent="0.2">
      <c r="B35" s="276">
        <v>20</v>
      </c>
      <c r="C35" s="320">
        <f t="shared" si="28"/>
        <v>21</v>
      </c>
      <c r="D35" s="534">
        <f t="shared" si="13"/>
        <v>2005</v>
      </c>
      <c r="E35" s="337"/>
      <c r="F35" s="338"/>
      <c r="G35" s="1271">
        <v>0</v>
      </c>
      <c r="H35" s="1289">
        <v>0</v>
      </c>
      <c r="I35" s="400">
        <f t="shared" si="43"/>
        <v>0</v>
      </c>
      <c r="J35" s="401">
        <f t="shared" si="4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29"/>
        <v>0.99981740518784135</v>
      </c>
      <c r="P35" s="1143">
        <f t="shared" si="29"/>
        <v>0.99992877290043569</v>
      </c>
      <c r="Q35" s="356">
        <f t="shared" si="14"/>
        <v>2005</v>
      </c>
      <c r="R35" s="337"/>
      <c r="S35" s="338"/>
      <c r="T35" s="664">
        <f t="shared" si="15"/>
        <v>0</v>
      </c>
      <c r="U35" s="665">
        <f t="shared" si="16"/>
        <v>0</v>
      </c>
      <c r="V35" s="337"/>
      <c r="W35" s="338"/>
      <c r="X35" s="383">
        <f t="shared" si="30"/>
        <v>0</v>
      </c>
      <c r="Y35" s="386">
        <f t="shared" si="30"/>
        <v>0</v>
      </c>
      <c r="Z35" s="534">
        <f t="shared" si="17"/>
        <v>2005</v>
      </c>
      <c r="AA35" s="664">
        <f t="shared" si="31"/>
        <v>0</v>
      </c>
      <c r="AB35" s="665">
        <f t="shared" si="31"/>
        <v>0</v>
      </c>
      <c r="AC35" s="337"/>
      <c r="AD35" s="338"/>
      <c r="AE35" s="383">
        <f t="shared" si="32"/>
        <v>0</v>
      </c>
      <c r="AF35" s="386">
        <f t="shared" si="32"/>
        <v>0</v>
      </c>
      <c r="AG35" s="534">
        <f t="shared" si="18"/>
        <v>2004</v>
      </c>
      <c r="AH35" s="1271">
        <f t="shared" si="33"/>
        <v>0</v>
      </c>
      <c r="AI35" s="1276">
        <f t="shared" si="34"/>
        <v>0</v>
      </c>
      <c r="AJ35" s="337"/>
      <c r="AK35" s="338"/>
      <c r="AL35" s="1271">
        <v>0</v>
      </c>
      <c r="AM35" s="1276">
        <v>0</v>
      </c>
      <c r="AN35" s="414">
        <f t="shared" si="19"/>
        <v>1</v>
      </c>
      <c r="AO35" s="413">
        <f t="shared" si="3"/>
        <v>1</v>
      </c>
      <c r="AP35" s="337"/>
      <c r="AQ35" s="338"/>
      <c r="AR35" s="664">
        <f t="shared" si="45"/>
        <v>0</v>
      </c>
      <c r="AS35" s="679">
        <f t="shared" si="45"/>
        <v>0</v>
      </c>
      <c r="AT35" s="383">
        <f t="shared" si="35"/>
        <v>0</v>
      </c>
      <c r="AU35" s="386">
        <f t="shared" si="4"/>
        <v>0</v>
      </c>
      <c r="AV35" s="534">
        <f t="shared" si="21"/>
        <v>2003</v>
      </c>
      <c r="AW35" s="1271">
        <f t="shared" si="36"/>
        <v>0</v>
      </c>
      <c r="AX35" s="1276">
        <f t="shared" si="37"/>
        <v>0</v>
      </c>
      <c r="AY35" s="337"/>
      <c r="AZ35" s="338"/>
      <c r="BA35" s="1271">
        <v>0</v>
      </c>
      <c r="BB35" s="1276">
        <v>0</v>
      </c>
      <c r="BC35" s="414">
        <f t="shared" si="22"/>
        <v>1</v>
      </c>
      <c r="BD35" s="413">
        <f t="shared" si="7"/>
        <v>1</v>
      </c>
      <c r="BE35" s="337"/>
      <c r="BF35" s="338"/>
      <c r="BG35" s="664">
        <f t="shared" si="46"/>
        <v>0</v>
      </c>
      <c r="BH35" s="679">
        <f t="shared" si="46"/>
        <v>0</v>
      </c>
      <c r="BI35" s="383">
        <f t="shared" si="38"/>
        <v>0</v>
      </c>
      <c r="BJ35" s="386">
        <f t="shared" si="38"/>
        <v>0</v>
      </c>
      <c r="BK35" s="534">
        <f t="shared" si="24"/>
        <v>2002</v>
      </c>
      <c r="BL35" s="1271">
        <f t="shared" si="39"/>
        <v>0</v>
      </c>
      <c r="BM35" s="1276">
        <f t="shared" si="40"/>
        <v>0</v>
      </c>
      <c r="BN35" s="337"/>
      <c r="BO35" s="338"/>
      <c r="BP35" s="1271">
        <v>0</v>
      </c>
      <c r="BQ35" s="1276">
        <v>0</v>
      </c>
      <c r="BR35" s="414">
        <f t="shared" si="25"/>
        <v>1</v>
      </c>
      <c r="BS35" s="413">
        <f t="shared" si="11"/>
        <v>1</v>
      </c>
      <c r="BT35" s="337"/>
      <c r="BU35" s="338"/>
      <c r="BV35" s="664">
        <f t="shared" si="47"/>
        <v>0</v>
      </c>
      <c r="BW35" s="679">
        <f t="shared" si="47"/>
        <v>0</v>
      </c>
      <c r="BX35" s="383">
        <f t="shared" si="41"/>
        <v>0</v>
      </c>
      <c r="BY35" s="386">
        <f t="shared" si="41"/>
        <v>0</v>
      </c>
      <c r="BZ35" s="534">
        <f t="shared" si="27"/>
        <v>2005</v>
      </c>
      <c r="CA35" s="664">
        <f t="shared" si="48"/>
        <v>0</v>
      </c>
      <c r="CB35" s="665">
        <f t="shared" si="48"/>
        <v>0</v>
      </c>
      <c r="CC35" s="664">
        <f t="shared" si="49"/>
        <v>0</v>
      </c>
      <c r="CD35" s="665">
        <f t="shared" si="49"/>
        <v>0</v>
      </c>
      <c r="CE35" s="337"/>
      <c r="CF35" s="338"/>
      <c r="CG35" s="383">
        <f t="shared" si="42"/>
        <v>0</v>
      </c>
      <c r="CH35" s="386">
        <f t="shared" si="42"/>
        <v>0</v>
      </c>
    </row>
    <row r="36" spans="2:86" x14ac:dyDescent="0.2">
      <c r="B36" s="276">
        <v>21</v>
      </c>
      <c r="C36" s="320">
        <f t="shared" si="28"/>
        <v>22</v>
      </c>
      <c r="D36" s="534">
        <f t="shared" si="13"/>
        <v>2004</v>
      </c>
      <c r="E36" s="337"/>
      <c r="F36" s="338"/>
      <c r="G36" s="1271">
        <v>0</v>
      </c>
      <c r="H36" s="1289">
        <v>0</v>
      </c>
      <c r="I36" s="400">
        <f t="shared" si="43"/>
        <v>0</v>
      </c>
      <c r="J36" s="401">
        <f t="shared" si="4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29"/>
        <v>0.99980688230809855</v>
      </c>
      <c r="P36" s="1143">
        <f t="shared" si="29"/>
        <v>0.99992922282200603</v>
      </c>
      <c r="Q36" s="356">
        <f t="shared" si="14"/>
        <v>2004</v>
      </c>
      <c r="R36" s="337"/>
      <c r="S36" s="338"/>
      <c r="T36" s="664">
        <f t="shared" si="15"/>
        <v>0</v>
      </c>
      <c r="U36" s="665">
        <f t="shared" si="16"/>
        <v>0</v>
      </c>
      <c r="V36" s="337"/>
      <c r="W36" s="338"/>
      <c r="X36" s="383">
        <f t="shared" si="30"/>
        <v>0</v>
      </c>
      <c r="Y36" s="386">
        <f t="shared" si="30"/>
        <v>0</v>
      </c>
      <c r="Z36" s="534">
        <f t="shared" si="17"/>
        <v>2004</v>
      </c>
      <c r="AA36" s="664">
        <f t="shared" si="31"/>
        <v>0</v>
      </c>
      <c r="AB36" s="665">
        <f t="shared" si="31"/>
        <v>0</v>
      </c>
      <c r="AC36" s="337"/>
      <c r="AD36" s="338"/>
      <c r="AE36" s="383">
        <f t="shared" si="32"/>
        <v>0</v>
      </c>
      <c r="AF36" s="386">
        <f t="shared" si="32"/>
        <v>0</v>
      </c>
      <c r="AG36" s="534">
        <f t="shared" si="18"/>
        <v>2003</v>
      </c>
      <c r="AH36" s="1271">
        <f t="shared" si="33"/>
        <v>0</v>
      </c>
      <c r="AI36" s="1276">
        <f t="shared" si="34"/>
        <v>0</v>
      </c>
      <c r="AJ36" s="337"/>
      <c r="AK36" s="338"/>
      <c r="AL36" s="1271">
        <v>0</v>
      </c>
      <c r="AM36" s="1276">
        <v>0</v>
      </c>
      <c r="AN36" s="414">
        <f t="shared" si="19"/>
        <v>1</v>
      </c>
      <c r="AO36" s="413">
        <f t="shared" si="3"/>
        <v>1</v>
      </c>
      <c r="AP36" s="337"/>
      <c r="AQ36" s="338"/>
      <c r="AR36" s="664">
        <f t="shared" si="45"/>
        <v>0</v>
      </c>
      <c r="AS36" s="679">
        <f t="shared" si="45"/>
        <v>0</v>
      </c>
      <c r="AT36" s="383">
        <f t="shared" si="35"/>
        <v>0</v>
      </c>
      <c r="AU36" s="386">
        <f t="shared" si="4"/>
        <v>0</v>
      </c>
      <c r="AV36" s="534">
        <f t="shared" si="21"/>
        <v>2002</v>
      </c>
      <c r="AW36" s="1271">
        <f t="shared" si="36"/>
        <v>0</v>
      </c>
      <c r="AX36" s="1276">
        <f t="shared" si="37"/>
        <v>0</v>
      </c>
      <c r="AY36" s="337"/>
      <c r="AZ36" s="338"/>
      <c r="BA36" s="1271">
        <v>0</v>
      </c>
      <c r="BB36" s="1276">
        <v>0</v>
      </c>
      <c r="BC36" s="414">
        <f t="shared" si="22"/>
        <v>1</v>
      </c>
      <c r="BD36" s="413">
        <f t="shared" si="7"/>
        <v>1</v>
      </c>
      <c r="BE36" s="337"/>
      <c r="BF36" s="338"/>
      <c r="BG36" s="664">
        <f t="shared" si="46"/>
        <v>0</v>
      </c>
      <c r="BH36" s="679">
        <f t="shared" si="46"/>
        <v>0</v>
      </c>
      <c r="BI36" s="383">
        <f t="shared" si="38"/>
        <v>0</v>
      </c>
      <c r="BJ36" s="386">
        <f t="shared" si="38"/>
        <v>0</v>
      </c>
      <c r="BK36" s="534">
        <f t="shared" si="24"/>
        <v>2001</v>
      </c>
      <c r="BL36" s="1271">
        <f t="shared" si="39"/>
        <v>0</v>
      </c>
      <c r="BM36" s="1276">
        <f t="shared" si="40"/>
        <v>0</v>
      </c>
      <c r="BN36" s="337"/>
      <c r="BO36" s="338"/>
      <c r="BP36" s="1271">
        <v>0</v>
      </c>
      <c r="BQ36" s="1276">
        <v>0</v>
      </c>
      <c r="BR36" s="414">
        <f t="shared" si="25"/>
        <v>1</v>
      </c>
      <c r="BS36" s="413">
        <f t="shared" si="11"/>
        <v>1</v>
      </c>
      <c r="BT36" s="337"/>
      <c r="BU36" s="338"/>
      <c r="BV36" s="664">
        <f t="shared" si="47"/>
        <v>0</v>
      </c>
      <c r="BW36" s="679">
        <f t="shared" si="47"/>
        <v>0</v>
      </c>
      <c r="BX36" s="383">
        <f t="shared" si="41"/>
        <v>0</v>
      </c>
      <c r="BY36" s="386">
        <f t="shared" si="41"/>
        <v>0</v>
      </c>
      <c r="BZ36" s="534">
        <f t="shared" si="27"/>
        <v>2004</v>
      </c>
      <c r="CA36" s="664">
        <f t="shared" si="48"/>
        <v>0</v>
      </c>
      <c r="CB36" s="665">
        <f t="shared" si="48"/>
        <v>0</v>
      </c>
      <c r="CC36" s="664">
        <f t="shared" si="49"/>
        <v>0</v>
      </c>
      <c r="CD36" s="665">
        <f t="shared" si="49"/>
        <v>0</v>
      </c>
      <c r="CE36" s="337"/>
      <c r="CF36" s="338"/>
      <c r="CG36" s="383">
        <f t="shared" si="42"/>
        <v>0</v>
      </c>
      <c r="CH36" s="386">
        <f t="shared" si="42"/>
        <v>0</v>
      </c>
    </row>
    <row r="37" spans="2:86" x14ac:dyDescent="0.2">
      <c r="B37" s="276">
        <v>22</v>
      </c>
      <c r="C37" s="320">
        <f t="shared" si="28"/>
        <v>23</v>
      </c>
      <c r="D37" s="534">
        <f t="shared" si="13"/>
        <v>2003</v>
      </c>
      <c r="E37" s="337"/>
      <c r="F37" s="338"/>
      <c r="G37" s="1271">
        <v>0</v>
      </c>
      <c r="H37" s="1289">
        <v>0</v>
      </c>
      <c r="I37" s="400">
        <f t="shared" si="43"/>
        <v>0</v>
      </c>
      <c r="J37" s="401">
        <f t="shared" si="4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29"/>
        <v>0.99980328272465613</v>
      </c>
      <c r="P37" s="1143">
        <f t="shared" si="29"/>
        <v>0.99992946946265238</v>
      </c>
      <c r="Q37" s="356">
        <f t="shared" si="14"/>
        <v>2003</v>
      </c>
      <c r="R37" s="337"/>
      <c r="S37" s="338"/>
      <c r="T37" s="664">
        <f t="shared" si="15"/>
        <v>0</v>
      </c>
      <c r="U37" s="665">
        <f t="shared" si="16"/>
        <v>0</v>
      </c>
      <c r="V37" s="337"/>
      <c r="W37" s="338"/>
      <c r="X37" s="383">
        <f t="shared" si="30"/>
        <v>0</v>
      </c>
      <c r="Y37" s="386">
        <f t="shared" si="30"/>
        <v>0</v>
      </c>
      <c r="Z37" s="534">
        <f t="shared" si="17"/>
        <v>2003</v>
      </c>
      <c r="AA37" s="664">
        <f t="shared" si="31"/>
        <v>0</v>
      </c>
      <c r="AB37" s="665">
        <f t="shared" si="31"/>
        <v>0</v>
      </c>
      <c r="AC37" s="337"/>
      <c r="AD37" s="338"/>
      <c r="AE37" s="383">
        <f t="shared" si="32"/>
        <v>0</v>
      </c>
      <c r="AF37" s="386">
        <f t="shared" si="32"/>
        <v>0</v>
      </c>
      <c r="AG37" s="534">
        <f t="shared" si="18"/>
        <v>2002</v>
      </c>
      <c r="AH37" s="1271">
        <f t="shared" si="33"/>
        <v>0</v>
      </c>
      <c r="AI37" s="1276">
        <f t="shared" si="34"/>
        <v>0</v>
      </c>
      <c r="AJ37" s="337"/>
      <c r="AK37" s="338"/>
      <c r="AL37" s="1271">
        <v>0</v>
      </c>
      <c r="AM37" s="1276">
        <v>0</v>
      </c>
      <c r="AN37" s="414">
        <f t="shared" si="19"/>
        <v>1</v>
      </c>
      <c r="AO37" s="413">
        <f t="shared" si="3"/>
        <v>1</v>
      </c>
      <c r="AP37" s="337"/>
      <c r="AQ37" s="338"/>
      <c r="AR37" s="664">
        <f t="shared" si="45"/>
        <v>0</v>
      </c>
      <c r="AS37" s="679">
        <f t="shared" si="45"/>
        <v>0</v>
      </c>
      <c r="AT37" s="383">
        <f t="shared" si="35"/>
        <v>0</v>
      </c>
      <c r="AU37" s="386">
        <f t="shared" si="4"/>
        <v>0</v>
      </c>
      <c r="AV37" s="534">
        <f t="shared" si="21"/>
        <v>2001</v>
      </c>
      <c r="AW37" s="1271">
        <f t="shared" si="36"/>
        <v>0</v>
      </c>
      <c r="AX37" s="1276">
        <f t="shared" si="37"/>
        <v>0</v>
      </c>
      <c r="AY37" s="337"/>
      <c r="AZ37" s="338"/>
      <c r="BA37" s="1271">
        <v>0</v>
      </c>
      <c r="BB37" s="1276">
        <v>0</v>
      </c>
      <c r="BC37" s="414">
        <f t="shared" si="22"/>
        <v>1</v>
      </c>
      <c r="BD37" s="413">
        <f t="shared" si="7"/>
        <v>1</v>
      </c>
      <c r="BE37" s="337"/>
      <c r="BF37" s="338"/>
      <c r="BG37" s="664">
        <f t="shared" si="46"/>
        <v>0</v>
      </c>
      <c r="BH37" s="679">
        <f t="shared" si="46"/>
        <v>0</v>
      </c>
      <c r="BI37" s="383">
        <f t="shared" si="38"/>
        <v>0</v>
      </c>
      <c r="BJ37" s="386">
        <f t="shared" si="38"/>
        <v>0</v>
      </c>
      <c r="BK37" s="534">
        <f t="shared" si="24"/>
        <v>2000</v>
      </c>
      <c r="BL37" s="1271">
        <f t="shared" si="39"/>
        <v>0</v>
      </c>
      <c r="BM37" s="1276">
        <f t="shared" si="40"/>
        <v>0</v>
      </c>
      <c r="BN37" s="337"/>
      <c r="BO37" s="338"/>
      <c r="BP37" s="1271">
        <v>0</v>
      </c>
      <c r="BQ37" s="1276">
        <v>0</v>
      </c>
      <c r="BR37" s="414">
        <f t="shared" si="25"/>
        <v>1</v>
      </c>
      <c r="BS37" s="413">
        <f t="shared" si="11"/>
        <v>1</v>
      </c>
      <c r="BT37" s="337"/>
      <c r="BU37" s="338"/>
      <c r="BV37" s="664">
        <f t="shared" si="47"/>
        <v>0</v>
      </c>
      <c r="BW37" s="679">
        <f t="shared" si="47"/>
        <v>0</v>
      </c>
      <c r="BX37" s="383">
        <f t="shared" si="41"/>
        <v>0</v>
      </c>
      <c r="BY37" s="386">
        <f t="shared" si="41"/>
        <v>0</v>
      </c>
      <c r="BZ37" s="534">
        <f t="shared" si="27"/>
        <v>2003</v>
      </c>
      <c r="CA37" s="664">
        <f t="shared" si="48"/>
        <v>0</v>
      </c>
      <c r="CB37" s="665">
        <f t="shared" si="48"/>
        <v>0</v>
      </c>
      <c r="CC37" s="664">
        <f t="shared" si="49"/>
        <v>0</v>
      </c>
      <c r="CD37" s="665">
        <f t="shared" si="49"/>
        <v>0</v>
      </c>
      <c r="CE37" s="337"/>
      <c r="CF37" s="338"/>
      <c r="CG37" s="383">
        <f t="shared" si="42"/>
        <v>0</v>
      </c>
      <c r="CH37" s="386">
        <f t="shared" si="42"/>
        <v>0</v>
      </c>
    </row>
    <row r="38" spans="2:86" x14ac:dyDescent="0.2">
      <c r="B38" s="276">
        <v>23</v>
      </c>
      <c r="C38" s="320">
        <f t="shared" si="28"/>
        <v>24</v>
      </c>
      <c r="D38" s="534">
        <f t="shared" si="13"/>
        <v>2002</v>
      </c>
      <c r="E38" s="337"/>
      <c r="F38" s="338"/>
      <c r="G38" s="1271">
        <v>0</v>
      </c>
      <c r="H38" s="1289">
        <v>0</v>
      </c>
      <c r="I38" s="400">
        <f t="shared" si="43"/>
        <v>0</v>
      </c>
      <c r="J38" s="401">
        <f t="shared" si="4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29"/>
        <v>0.9998037904607382</v>
      </c>
      <c r="P38" s="1143">
        <f t="shared" si="29"/>
        <v>0.99992923342576912</v>
      </c>
      <c r="Q38" s="356">
        <f t="shared" si="14"/>
        <v>2002</v>
      </c>
      <c r="R38" s="337"/>
      <c r="S38" s="338"/>
      <c r="T38" s="664">
        <f t="shared" si="15"/>
        <v>0</v>
      </c>
      <c r="U38" s="665">
        <f t="shared" si="16"/>
        <v>0</v>
      </c>
      <c r="V38" s="337"/>
      <c r="W38" s="338"/>
      <c r="X38" s="383">
        <f t="shared" si="30"/>
        <v>0</v>
      </c>
      <c r="Y38" s="386">
        <f t="shared" si="30"/>
        <v>0</v>
      </c>
      <c r="Z38" s="534">
        <f t="shared" si="17"/>
        <v>2002</v>
      </c>
      <c r="AA38" s="664">
        <f t="shared" si="31"/>
        <v>0</v>
      </c>
      <c r="AB38" s="665">
        <f t="shared" si="31"/>
        <v>0</v>
      </c>
      <c r="AC38" s="337"/>
      <c r="AD38" s="338"/>
      <c r="AE38" s="383">
        <f t="shared" si="32"/>
        <v>0</v>
      </c>
      <c r="AF38" s="386">
        <f t="shared" si="32"/>
        <v>0</v>
      </c>
      <c r="AG38" s="534">
        <f t="shared" si="18"/>
        <v>2001</v>
      </c>
      <c r="AH38" s="1271">
        <f t="shared" si="33"/>
        <v>0</v>
      </c>
      <c r="AI38" s="1276">
        <f t="shared" si="34"/>
        <v>0</v>
      </c>
      <c r="AJ38" s="337"/>
      <c r="AK38" s="338"/>
      <c r="AL38" s="1271">
        <v>0</v>
      </c>
      <c r="AM38" s="1276">
        <v>0</v>
      </c>
      <c r="AN38" s="414">
        <f t="shared" si="19"/>
        <v>1</v>
      </c>
      <c r="AO38" s="413">
        <f t="shared" si="3"/>
        <v>1</v>
      </c>
      <c r="AP38" s="337"/>
      <c r="AQ38" s="338"/>
      <c r="AR38" s="664">
        <f t="shared" si="45"/>
        <v>0</v>
      </c>
      <c r="AS38" s="679">
        <f t="shared" si="45"/>
        <v>0</v>
      </c>
      <c r="AT38" s="383">
        <f t="shared" si="35"/>
        <v>0</v>
      </c>
      <c r="AU38" s="386">
        <f t="shared" si="4"/>
        <v>0</v>
      </c>
      <c r="AV38" s="534">
        <f t="shared" si="21"/>
        <v>2000</v>
      </c>
      <c r="AW38" s="1271">
        <f t="shared" si="36"/>
        <v>0</v>
      </c>
      <c r="AX38" s="1276">
        <f t="shared" si="37"/>
        <v>0</v>
      </c>
      <c r="AY38" s="337"/>
      <c r="AZ38" s="338"/>
      <c r="BA38" s="1271">
        <v>0</v>
      </c>
      <c r="BB38" s="1276">
        <v>0</v>
      </c>
      <c r="BC38" s="414">
        <f t="shared" si="22"/>
        <v>1</v>
      </c>
      <c r="BD38" s="413">
        <f t="shared" si="7"/>
        <v>1</v>
      </c>
      <c r="BE38" s="337"/>
      <c r="BF38" s="338"/>
      <c r="BG38" s="664">
        <f t="shared" si="46"/>
        <v>0</v>
      </c>
      <c r="BH38" s="679">
        <f t="shared" si="46"/>
        <v>0</v>
      </c>
      <c r="BI38" s="383">
        <f t="shared" si="38"/>
        <v>0</v>
      </c>
      <c r="BJ38" s="386">
        <f t="shared" si="38"/>
        <v>0</v>
      </c>
      <c r="BK38" s="534">
        <f t="shared" si="24"/>
        <v>1999</v>
      </c>
      <c r="BL38" s="1271">
        <f t="shared" si="39"/>
        <v>0</v>
      </c>
      <c r="BM38" s="1276">
        <f t="shared" si="40"/>
        <v>0</v>
      </c>
      <c r="BN38" s="337"/>
      <c r="BO38" s="338"/>
      <c r="BP38" s="1271">
        <v>0</v>
      </c>
      <c r="BQ38" s="1276">
        <v>0</v>
      </c>
      <c r="BR38" s="414">
        <f t="shared" si="25"/>
        <v>1</v>
      </c>
      <c r="BS38" s="413">
        <f t="shared" si="11"/>
        <v>1</v>
      </c>
      <c r="BT38" s="337"/>
      <c r="BU38" s="338"/>
      <c r="BV38" s="664">
        <f t="shared" si="47"/>
        <v>0</v>
      </c>
      <c r="BW38" s="679">
        <f t="shared" si="47"/>
        <v>0</v>
      </c>
      <c r="BX38" s="383">
        <f t="shared" si="41"/>
        <v>0</v>
      </c>
      <c r="BY38" s="386">
        <f t="shared" si="41"/>
        <v>0</v>
      </c>
      <c r="BZ38" s="534">
        <f t="shared" si="27"/>
        <v>2002</v>
      </c>
      <c r="CA38" s="664">
        <f t="shared" si="48"/>
        <v>0</v>
      </c>
      <c r="CB38" s="665">
        <f t="shared" si="48"/>
        <v>0</v>
      </c>
      <c r="CC38" s="664">
        <f t="shared" si="49"/>
        <v>0</v>
      </c>
      <c r="CD38" s="665">
        <f t="shared" si="49"/>
        <v>0</v>
      </c>
      <c r="CE38" s="337"/>
      <c r="CF38" s="338"/>
      <c r="CG38" s="383">
        <f t="shared" si="42"/>
        <v>0</v>
      </c>
      <c r="CH38" s="386">
        <f t="shared" si="42"/>
        <v>0</v>
      </c>
    </row>
    <row r="39" spans="2:86" x14ac:dyDescent="0.2">
      <c r="B39" s="276">
        <v>24</v>
      </c>
      <c r="C39" s="320">
        <f t="shared" si="28"/>
        <v>25</v>
      </c>
      <c r="D39" s="534">
        <f t="shared" si="13"/>
        <v>2001</v>
      </c>
      <c r="E39" s="337"/>
      <c r="F39" s="338"/>
      <c r="G39" s="1271">
        <v>0</v>
      </c>
      <c r="H39" s="1289">
        <v>0</v>
      </c>
      <c r="I39" s="400">
        <f t="shared" si="43"/>
        <v>0</v>
      </c>
      <c r="J39" s="401">
        <f t="shared" si="4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29"/>
        <v>0.99980545749316863</v>
      </c>
      <c r="P39" s="1143">
        <f t="shared" si="29"/>
        <v>0.99992838492606362</v>
      </c>
      <c r="Q39" s="356">
        <f t="shared" si="14"/>
        <v>2001</v>
      </c>
      <c r="R39" s="337"/>
      <c r="S39" s="338"/>
      <c r="T39" s="664">
        <f t="shared" si="15"/>
        <v>0</v>
      </c>
      <c r="U39" s="665">
        <f t="shared" si="16"/>
        <v>0</v>
      </c>
      <c r="V39" s="337"/>
      <c r="W39" s="338"/>
      <c r="X39" s="383">
        <f t="shared" si="30"/>
        <v>0</v>
      </c>
      <c r="Y39" s="386">
        <f t="shared" si="30"/>
        <v>0</v>
      </c>
      <c r="Z39" s="534">
        <f t="shared" si="17"/>
        <v>2001</v>
      </c>
      <c r="AA39" s="664">
        <f t="shared" si="31"/>
        <v>0</v>
      </c>
      <c r="AB39" s="665">
        <f t="shared" si="31"/>
        <v>0</v>
      </c>
      <c r="AC39" s="337"/>
      <c r="AD39" s="338"/>
      <c r="AE39" s="383">
        <f t="shared" si="32"/>
        <v>0</v>
      </c>
      <c r="AF39" s="386">
        <f t="shared" si="32"/>
        <v>0</v>
      </c>
      <c r="AG39" s="534">
        <f t="shared" si="18"/>
        <v>2000</v>
      </c>
      <c r="AH39" s="1271">
        <f t="shared" si="33"/>
        <v>0</v>
      </c>
      <c r="AI39" s="1276">
        <f t="shared" si="34"/>
        <v>0</v>
      </c>
      <c r="AJ39" s="337"/>
      <c r="AK39" s="338"/>
      <c r="AL39" s="1271">
        <v>0</v>
      </c>
      <c r="AM39" s="1276">
        <v>0</v>
      </c>
      <c r="AN39" s="414">
        <f t="shared" si="19"/>
        <v>1</v>
      </c>
      <c r="AO39" s="413">
        <f t="shared" si="3"/>
        <v>1</v>
      </c>
      <c r="AP39" s="337"/>
      <c r="AQ39" s="338"/>
      <c r="AR39" s="664">
        <f t="shared" si="45"/>
        <v>0</v>
      </c>
      <c r="AS39" s="679">
        <f t="shared" si="45"/>
        <v>0</v>
      </c>
      <c r="AT39" s="383">
        <f t="shared" si="35"/>
        <v>0</v>
      </c>
      <c r="AU39" s="386">
        <f t="shared" si="4"/>
        <v>0</v>
      </c>
      <c r="AV39" s="534">
        <f t="shared" si="21"/>
        <v>1999</v>
      </c>
      <c r="AW39" s="1271">
        <f t="shared" si="36"/>
        <v>0</v>
      </c>
      <c r="AX39" s="1276">
        <f t="shared" si="37"/>
        <v>0</v>
      </c>
      <c r="AY39" s="337"/>
      <c r="AZ39" s="338"/>
      <c r="BA39" s="1271">
        <v>0</v>
      </c>
      <c r="BB39" s="1276">
        <v>0</v>
      </c>
      <c r="BC39" s="414">
        <f t="shared" si="22"/>
        <v>1</v>
      </c>
      <c r="BD39" s="413">
        <f t="shared" si="7"/>
        <v>1</v>
      </c>
      <c r="BE39" s="337"/>
      <c r="BF39" s="338"/>
      <c r="BG39" s="664">
        <f t="shared" si="46"/>
        <v>0</v>
      </c>
      <c r="BH39" s="679">
        <f t="shared" si="46"/>
        <v>0</v>
      </c>
      <c r="BI39" s="383">
        <f t="shared" si="38"/>
        <v>0</v>
      </c>
      <c r="BJ39" s="386">
        <f t="shared" si="38"/>
        <v>0</v>
      </c>
      <c r="BK39" s="534">
        <f t="shared" si="24"/>
        <v>1998</v>
      </c>
      <c r="BL39" s="1271">
        <f t="shared" si="39"/>
        <v>0</v>
      </c>
      <c r="BM39" s="1276">
        <f t="shared" si="40"/>
        <v>0</v>
      </c>
      <c r="BN39" s="337"/>
      <c r="BO39" s="338"/>
      <c r="BP39" s="1271">
        <v>0</v>
      </c>
      <c r="BQ39" s="1276">
        <v>0</v>
      </c>
      <c r="BR39" s="414">
        <f t="shared" si="25"/>
        <v>1</v>
      </c>
      <c r="BS39" s="413">
        <f t="shared" si="11"/>
        <v>1</v>
      </c>
      <c r="BT39" s="337"/>
      <c r="BU39" s="338"/>
      <c r="BV39" s="664">
        <f t="shared" si="47"/>
        <v>0</v>
      </c>
      <c r="BW39" s="679">
        <f t="shared" si="47"/>
        <v>0</v>
      </c>
      <c r="BX39" s="383">
        <f t="shared" si="41"/>
        <v>0</v>
      </c>
      <c r="BY39" s="386">
        <f t="shared" si="41"/>
        <v>0</v>
      </c>
      <c r="BZ39" s="534">
        <f t="shared" si="27"/>
        <v>2001</v>
      </c>
      <c r="CA39" s="664">
        <f t="shared" si="48"/>
        <v>0</v>
      </c>
      <c r="CB39" s="665">
        <f t="shared" si="48"/>
        <v>0</v>
      </c>
      <c r="CC39" s="664">
        <f t="shared" si="49"/>
        <v>0</v>
      </c>
      <c r="CD39" s="665">
        <f t="shared" si="49"/>
        <v>0</v>
      </c>
      <c r="CE39" s="337"/>
      <c r="CF39" s="338"/>
      <c r="CG39" s="383">
        <f t="shared" si="42"/>
        <v>0</v>
      </c>
      <c r="CH39" s="386">
        <f t="shared" si="42"/>
        <v>0</v>
      </c>
    </row>
    <row r="40" spans="2:86" ht="13.5" thickBot="1" x14ac:dyDescent="0.25">
      <c r="B40" s="313">
        <v>25</v>
      </c>
      <c r="C40" s="321">
        <f t="shared" si="28"/>
        <v>26</v>
      </c>
      <c r="D40" s="535">
        <f t="shared" si="13"/>
        <v>2000</v>
      </c>
      <c r="E40" s="341"/>
      <c r="F40" s="340"/>
      <c r="G40" s="1277">
        <v>0</v>
      </c>
      <c r="H40" s="1290">
        <v>0</v>
      </c>
      <c r="I40" s="406">
        <f t="shared" si="43"/>
        <v>0</v>
      </c>
      <c r="J40" s="407">
        <f t="shared" si="4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29"/>
        <v>0.99980669695244995</v>
      </c>
      <c r="P40" s="1144">
        <f t="shared" si="29"/>
        <v>0.99992693818428235</v>
      </c>
      <c r="Q40" s="313">
        <f t="shared" si="14"/>
        <v>2000</v>
      </c>
      <c r="R40" s="341"/>
      <c r="S40" s="340"/>
      <c r="T40" s="666">
        <f t="shared" si="15"/>
        <v>0</v>
      </c>
      <c r="U40" s="667">
        <f t="shared" si="16"/>
        <v>0</v>
      </c>
      <c r="V40" s="341"/>
      <c r="W40" s="340"/>
      <c r="X40" s="384">
        <f t="shared" si="30"/>
        <v>0</v>
      </c>
      <c r="Y40" s="387">
        <f t="shared" si="30"/>
        <v>0</v>
      </c>
      <c r="Z40" s="535">
        <f t="shared" si="17"/>
        <v>2000</v>
      </c>
      <c r="AA40" s="666">
        <f t="shared" si="31"/>
        <v>0</v>
      </c>
      <c r="AB40" s="667">
        <f t="shared" si="31"/>
        <v>0</v>
      </c>
      <c r="AC40" s="341"/>
      <c r="AD40" s="340"/>
      <c r="AE40" s="384">
        <f t="shared" si="32"/>
        <v>0</v>
      </c>
      <c r="AF40" s="387">
        <f t="shared" si="32"/>
        <v>0</v>
      </c>
      <c r="AG40" s="535">
        <f t="shared" si="18"/>
        <v>1999</v>
      </c>
      <c r="AH40" s="1277">
        <f t="shared" si="33"/>
        <v>0</v>
      </c>
      <c r="AI40" s="1278">
        <f t="shared" si="34"/>
        <v>0</v>
      </c>
      <c r="AJ40" s="341"/>
      <c r="AK40" s="340"/>
      <c r="AL40" s="1277">
        <v>0</v>
      </c>
      <c r="AM40" s="1278">
        <v>0</v>
      </c>
      <c r="AN40" s="415">
        <f t="shared" si="19"/>
        <v>1</v>
      </c>
      <c r="AO40" s="416">
        <f t="shared" si="3"/>
        <v>1</v>
      </c>
      <c r="AP40" s="341"/>
      <c r="AQ40" s="340"/>
      <c r="AR40" s="666">
        <f t="shared" si="45"/>
        <v>0</v>
      </c>
      <c r="AS40" s="680">
        <f t="shared" si="45"/>
        <v>0</v>
      </c>
      <c r="AT40" s="384">
        <f t="shared" si="35"/>
        <v>0</v>
      </c>
      <c r="AU40" s="387">
        <f t="shared" si="4"/>
        <v>0</v>
      </c>
      <c r="AV40" s="535">
        <f t="shared" si="21"/>
        <v>1998</v>
      </c>
      <c r="AW40" s="1277">
        <f t="shared" si="36"/>
        <v>0</v>
      </c>
      <c r="AX40" s="1278">
        <f t="shared" si="37"/>
        <v>0</v>
      </c>
      <c r="AY40" s="341"/>
      <c r="AZ40" s="340"/>
      <c r="BA40" s="1277">
        <v>0</v>
      </c>
      <c r="BB40" s="1278">
        <v>0</v>
      </c>
      <c r="BC40" s="415">
        <f t="shared" si="22"/>
        <v>1</v>
      </c>
      <c r="BD40" s="416">
        <f t="shared" si="7"/>
        <v>1</v>
      </c>
      <c r="BE40" s="341"/>
      <c r="BF40" s="340"/>
      <c r="BG40" s="666">
        <f t="shared" si="46"/>
        <v>0</v>
      </c>
      <c r="BH40" s="680">
        <f t="shared" si="46"/>
        <v>0</v>
      </c>
      <c r="BI40" s="384">
        <f t="shared" si="38"/>
        <v>0</v>
      </c>
      <c r="BJ40" s="387">
        <f t="shared" si="38"/>
        <v>0</v>
      </c>
      <c r="BK40" s="535">
        <f t="shared" si="24"/>
        <v>1997</v>
      </c>
      <c r="BL40" s="1277">
        <f t="shared" si="39"/>
        <v>0</v>
      </c>
      <c r="BM40" s="1278">
        <f t="shared" si="40"/>
        <v>0</v>
      </c>
      <c r="BN40" s="341"/>
      <c r="BO40" s="340"/>
      <c r="BP40" s="1277">
        <v>0</v>
      </c>
      <c r="BQ40" s="1278">
        <v>0</v>
      </c>
      <c r="BR40" s="415">
        <f t="shared" si="25"/>
        <v>1</v>
      </c>
      <c r="BS40" s="416">
        <f t="shared" si="11"/>
        <v>1</v>
      </c>
      <c r="BT40" s="341"/>
      <c r="BU40" s="340"/>
      <c r="BV40" s="666">
        <f t="shared" si="47"/>
        <v>0</v>
      </c>
      <c r="BW40" s="680">
        <f t="shared" si="47"/>
        <v>0</v>
      </c>
      <c r="BX40" s="384">
        <f t="shared" si="41"/>
        <v>0</v>
      </c>
      <c r="BY40" s="387">
        <f t="shared" si="41"/>
        <v>0</v>
      </c>
      <c r="BZ40" s="535">
        <f t="shared" si="27"/>
        <v>2000</v>
      </c>
      <c r="CA40" s="666">
        <f t="shared" si="48"/>
        <v>0</v>
      </c>
      <c r="CB40" s="667">
        <f t="shared" si="48"/>
        <v>0</v>
      </c>
      <c r="CC40" s="666">
        <f t="shared" si="49"/>
        <v>0</v>
      </c>
      <c r="CD40" s="667">
        <f t="shared" si="49"/>
        <v>0</v>
      </c>
      <c r="CE40" s="341"/>
      <c r="CF40" s="340"/>
      <c r="CG40" s="384">
        <f t="shared" si="42"/>
        <v>0</v>
      </c>
      <c r="CH40" s="387">
        <f t="shared" si="42"/>
        <v>0</v>
      </c>
    </row>
    <row r="41" spans="2:86" ht="13.5" thickTop="1" x14ac:dyDescent="0.2">
      <c r="B41" s="312">
        <v>26</v>
      </c>
      <c r="C41" s="322">
        <f t="shared" si="28"/>
        <v>27</v>
      </c>
      <c r="D41" s="533">
        <f t="shared" si="13"/>
        <v>1999</v>
      </c>
      <c r="E41" s="337"/>
      <c r="F41" s="338"/>
      <c r="G41" s="1271">
        <v>0</v>
      </c>
      <c r="H41" s="1289">
        <v>0</v>
      </c>
      <c r="I41" s="394">
        <f t="shared" si="43"/>
        <v>0</v>
      </c>
      <c r="J41" s="395">
        <f t="shared" si="4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29"/>
        <v>0.99980724216247507</v>
      </c>
      <c r="P41" s="1142">
        <f t="shared" si="29"/>
        <v>0.9999249448059444</v>
      </c>
      <c r="Q41" s="1139">
        <f t="shared" si="14"/>
        <v>1999</v>
      </c>
      <c r="R41" s="337"/>
      <c r="S41" s="338"/>
      <c r="T41" s="668">
        <f t="shared" si="15"/>
        <v>0</v>
      </c>
      <c r="U41" s="669">
        <f t="shared" si="16"/>
        <v>0</v>
      </c>
      <c r="V41" s="337"/>
      <c r="W41" s="338"/>
      <c r="X41" s="382">
        <f t="shared" si="30"/>
        <v>0</v>
      </c>
      <c r="Y41" s="385">
        <f t="shared" si="30"/>
        <v>0</v>
      </c>
      <c r="Z41" s="533">
        <f t="shared" si="17"/>
        <v>1999</v>
      </c>
      <c r="AA41" s="668">
        <f t="shared" si="31"/>
        <v>0</v>
      </c>
      <c r="AB41" s="669">
        <f t="shared" si="31"/>
        <v>0</v>
      </c>
      <c r="AC41" s="337"/>
      <c r="AD41" s="338"/>
      <c r="AE41" s="382">
        <f t="shared" si="32"/>
        <v>0</v>
      </c>
      <c r="AF41" s="385">
        <f t="shared" si="32"/>
        <v>0</v>
      </c>
      <c r="AG41" s="533">
        <f t="shared" si="18"/>
        <v>1998</v>
      </c>
      <c r="AH41" s="1271">
        <f t="shared" si="33"/>
        <v>0</v>
      </c>
      <c r="AI41" s="1276">
        <f t="shared" si="34"/>
        <v>0</v>
      </c>
      <c r="AJ41" s="337"/>
      <c r="AK41" s="338"/>
      <c r="AL41" s="1271">
        <v>0</v>
      </c>
      <c r="AM41" s="1276">
        <v>0</v>
      </c>
      <c r="AN41" s="412">
        <f t="shared" si="19"/>
        <v>1</v>
      </c>
      <c r="AO41" s="417">
        <f t="shared" si="3"/>
        <v>1</v>
      </c>
      <c r="AP41" s="337"/>
      <c r="AQ41" s="338"/>
      <c r="AR41" s="668">
        <f t="shared" si="45"/>
        <v>0</v>
      </c>
      <c r="AS41" s="681">
        <f t="shared" si="45"/>
        <v>0</v>
      </c>
      <c r="AT41" s="382">
        <f t="shared" si="35"/>
        <v>0</v>
      </c>
      <c r="AU41" s="385">
        <f t="shared" si="4"/>
        <v>0</v>
      </c>
      <c r="AV41" s="533">
        <f t="shared" si="21"/>
        <v>1997</v>
      </c>
      <c r="AW41" s="1271">
        <f t="shared" si="36"/>
        <v>0</v>
      </c>
      <c r="AX41" s="1276">
        <f t="shared" si="37"/>
        <v>0</v>
      </c>
      <c r="AY41" s="337"/>
      <c r="AZ41" s="338"/>
      <c r="BA41" s="1271">
        <v>0</v>
      </c>
      <c r="BB41" s="1276">
        <v>0</v>
      </c>
      <c r="BC41" s="412">
        <f t="shared" si="22"/>
        <v>1</v>
      </c>
      <c r="BD41" s="417">
        <f t="shared" si="7"/>
        <v>1</v>
      </c>
      <c r="BE41" s="337"/>
      <c r="BF41" s="338"/>
      <c r="BG41" s="668">
        <f t="shared" si="46"/>
        <v>0</v>
      </c>
      <c r="BH41" s="681">
        <f t="shared" si="46"/>
        <v>0</v>
      </c>
      <c r="BI41" s="382">
        <f t="shared" si="38"/>
        <v>0</v>
      </c>
      <c r="BJ41" s="385">
        <f t="shared" si="38"/>
        <v>0</v>
      </c>
      <c r="BK41" s="533">
        <f t="shared" si="24"/>
        <v>1996</v>
      </c>
      <c r="BL41" s="1271">
        <f t="shared" si="39"/>
        <v>0</v>
      </c>
      <c r="BM41" s="1276">
        <f t="shared" si="40"/>
        <v>0</v>
      </c>
      <c r="BN41" s="337"/>
      <c r="BO41" s="338"/>
      <c r="BP41" s="1271">
        <v>0</v>
      </c>
      <c r="BQ41" s="1276">
        <v>0</v>
      </c>
      <c r="BR41" s="412">
        <f t="shared" si="25"/>
        <v>1</v>
      </c>
      <c r="BS41" s="417">
        <f t="shared" si="11"/>
        <v>1</v>
      </c>
      <c r="BT41" s="337"/>
      <c r="BU41" s="338"/>
      <c r="BV41" s="668">
        <f t="shared" si="47"/>
        <v>0</v>
      </c>
      <c r="BW41" s="681">
        <f t="shared" si="47"/>
        <v>0</v>
      </c>
      <c r="BX41" s="382">
        <f t="shared" si="41"/>
        <v>0</v>
      </c>
      <c r="BY41" s="385">
        <f t="shared" si="41"/>
        <v>0</v>
      </c>
      <c r="BZ41" s="533">
        <f t="shared" si="27"/>
        <v>1999</v>
      </c>
      <c r="CA41" s="668">
        <f t="shared" si="48"/>
        <v>0</v>
      </c>
      <c r="CB41" s="669">
        <f t="shared" si="48"/>
        <v>0</v>
      </c>
      <c r="CC41" s="668">
        <f t="shared" si="49"/>
        <v>0</v>
      </c>
      <c r="CD41" s="669">
        <f t="shared" si="49"/>
        <v>0</v>
      </c>
      <c r="CE41" s="337"/>
      <c r="CF41" s="338"/>
      <c r="CG41" s="382">
        <f t="shared" si="42"/>
        <v>0</v>
      </c>
      <c r="CH41" s="385">
        <f t="shared" si="42"/>
        <v>0</v>
      </c>
    </row>
    <row r="42" spans="2:86" x14ac:dyDescent="0.2">
      <c r="B42" s="276">
        <v>27</v>
      </c>
      <c r="C42" s="320">
        <f t="shared" si="28"/>
        <v>28</v>
      </c>
      <c r="D42" s="534">
        <f t="shared" si="13"/>
        <v>1998</v>
      </c>
      <c r="E42" s="337"/>
      <c r="F42" s="338"/>
      <c r="G42" s="1271">
        <v>0</v>
      </c>
      <c r="H42" s="1289">
        <v>0</v>
      </c>
      <c r="I42" s="400">
        <f t="shared" si="43"/>
        <v>0</v>
      </c>
      <c r="J42" s="401">
        <f t="shared" si="4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29"/>
        <v>0.99980703610954968</v>
      </c>
      <c r="P42" s="1143">
        <f t="shared" si="29"/>
        <v>0.99992240187534986</v>
      </c>
      <c r="Q42" s="356">
        <f t="shared" si="14"/>
        <v>1998</v>
      </c>
      <c r="R42" s="337"/>
      <c r="S42" s="338"/>
      <c r="T42" s="664">
        <f t="shared" si="15"/>
        <v>0</v>
      </c>
      <c r="U42" s="665">
        <f t="shared" si="16"/>
        <v>0</v>
      </c>
      <c r="V42" s="337"/>
      <c r="W42" s="338"/>
      <c r="X42" s="383">
        <f t="shared" si="30"/>
        <v>0</v>
      </c>
      <c r="Y42" s="386">
        <f t="shared" si="30"/>
        <v>0</v>
      </c>
      <c r="Z42" s="534">
        <f t="shared" si="17"/>
        <v>1998</v>
      </c>
      <c r="AA42" s="664">
        <f t="shared" si="31"/>
        <v>0</v>
      </c>
      <c r="AB42" s="665">
        <f t="shared" si="31"/>
        <v>0</v>
      </c>
      <c r="AC42" s="337"/>
      <c r="AD42" s="338"/>
      <c r="AE42" s="383">
        <f t="shared" si="32"/>
        <v>0</v>
      </c>
      <c r="AF42" s="386">
        <f t="shared" si="32"/>
        <v>0</v>
      </c>
      <c r="AG42" s="534">
        <f t="shared" si="18"/>
        <v>1997</v>
      </c>
      <c r="AH42" s="1271">
        <f t="shared" si="33"/>
        <v>0</v>
      </c>
      <c r="AI42" s="1276">
        <f t="shared" si="34"/>
        <v>0</v>
      </c>
      <c r="AJ42" s="337"/>
      <c r="AK42" s="338"/>
      <c r="AL42" s="1271">
        <v>0</v>
      </c>
      <c r="AM42" s="1276">
        <v>0</v>
      </c>
      <c r="AN42" s="414">
        <f t="shared" si="19"/>
        <v>1</v>
      </c>
      <c r="AO42" s="413">
        <f t="shared" si="3"/>
        <v>1</v>
      </c>
      <c r="AP42" s="337"/>
      <c r="AQ42" s="338"/>
      <c r="AR42" s="664">
        <f t="shared" si="45"/>
        <v>0</v>
      </c>
      <c r="AS42" s="679">
        <f t="shared" si="45"/>
        <v>0</v>
      </c>
      <c r="AT42" s="383">
        <f t="shared" si="35"/>
        <v>0</v>
      </c>
      <c r="AU42" s="386">
        <f t="shared" si="4"/>
        <v>0</v>
      </c>
      <c r="AV42" s="534">
        <f t="shared" si="21"/>
        <v>1996</v>
      </c>
      <c r="AW42" s="1271">
        <f t="shared" si="36"/>
        <v>0</v>
      </c>
      <c r="AX42" s="1276">
        <f t="shared" si="37"/>
        <v>0</v>
      </c>
      <c r="AY42" s="337"/>
      <c r="AZ42" s="338"/>
      <c r="BA42" s="1271">
        <v>0</v>
      </c>
      <c r="BB42" s="1276">
        <v>0</v>
      </c>
      <c r="BC42" s="414">
        <f t="shared" si="22"/>
        <v>1</v>
      </c>
      <c r="BD42" s="413">
        <f t="shared" si="7"/>
        <v>1</v>
      </c>
      <c r="BE42" s="337"/>
      <c r="BF42" s="338"/>
      <c r="BG42" s="664">
        <f t="shared" si="46"/>
        <v>0</v>
      </c>
      <c r="BH42" s="679">
        <f t="shared" si="46"/>
        <v>0</v>
      </c>
      <c r="BI42" s="383">
        <f t="shared" si="38"/>
        <v>0</v>
      </c>
      <c r="BJ42" s="386">
        <f t="shared" si="38"/>
        <v>0</v>
      </c>
      <c r="BK42" s="534">
        <f t="shared" si="24"/>
        <v>1995</v>
      </c>
      <c r="BL42" s="1271">
        <f t="shared" si="39"/>
        <v>0</v>
      </c>
      <c r="BM42" s="1276">
        <f t="shared" si="40"/>
        <v>0</v>
      </c>
      <c r="BN42" s="337"/>
      <c r="BO42" s="338"/>
      <c r="BP42" s="1271">
        <v>0</v>
      </c>
      <c r="BQ42" s="1276">
        <v>0</v>
      </c>
      <c r="BR42" s="414">
        <f t="shared" si="25"/>
        <v>1</v>
      </c>
      <c r="BS42" s="413">
        <f t="shared" si="11"/>
        <v>1</v>
      </c>
      <c r="BT42" s="337"/>
      <c r="BU42" s="338"/>
      <c r="BV42" s="664">
        <f t="shared" si="47"/>
        <v>0</v>
      </c>
      <c r="BW42" s="679">
        <f t="shared" si="47"/>
        <v>0</v>
      </c>
      <c r="BX42" s="383">
        <f t="shared" si="41"/>
        <v>0</v>
      </c>
      <c r="BY42" s="386">
        <f t="shared" si="41"/>
        <v>0</v>
      </c>
      <c r="BZ42" s="534">
        <f t="shared" si="27"/>
        <v>1998</v>
      </c>
      <c r="CA42" s="664">
        <f t="shared" si="48"/>
        <v>0</v>
      </c>
      <c r="CB42" s="665">
        <f t="shared" si="48"/>
        <v>0</v>
      </c>
      <c r="CC42" s="664">
        <f t="shared" si="49"/>
        <v>0</v>
      </c>
      <c r="CD42" s="665">
        <f t="shared" si="49"/>
        <v>0</v>
      </c>
      <c r="CE42" s="337"/>
      <c r="CF42" s="338"/>
      <c r="CG42" s="383">
        <f t="shared" si="42"/>
        <v>0</v>
      </c>
      <c r="CH42" s="386">
        <f t="shared" si="42"/>
        <v>0</v>
      </c>
    </row>
    <row r="43" spans="2:86" x14ac:dyDescent="0.2">
      <c r="B43" s="276">
        <v>28</v>
      </c>
      <c r="C43" s="320">
        <f t="shared" si="28"/>
        <v>29</v>
      </c>
      <c r="D43" s="534">
        <f t="shared" si="13"/>
        <v>1997</v>
      </c>
      <c r="E43" s="337"/>
      <c r="F43" s="338"/>
      <c r="G43" s="1271">
        <v>0</v>
      </c>
      <c r="H43" s="1289">
        <v>0</v>
      </c>
      <c r="I43" s="400">
        <f t="shared" si="43"/>
        <v>0</v>
      </c>
      <c r="J43" s="401">
        <f t="shared" si="4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29"/>
        <v>0.99980598448166969</v>
      </c>
      <c r="P43" s="1143">
        <f t="shared" si="29"/>
        <v>0.99991925964491035</v>
      </c>
      <c r="Q43" s="356">
        <f t="shared" si="14"/>
        <v>1997</v>
      </c>
      <c r="R43" s="337"/>
      <c r="S43" s="338"/>
      <c r="T43" s="664">
        <f t="shared" si="15"/>
        <v>0</v>
      </c>
      <c r="U43" s="665">
        <f t="shared" si="16"/>
        <v>0</v>
      </c>
      <c r="V43" s="337"/>
      <c r="W43" s="338"/>
      <c r="X43" s="383">
        <f t="shared" si="30"/>
        <v>0</v>
      </c>
      <c r="Y43" s="386">
        <f t="shared" si="30"/>
        <v>0</v>
      </c>
      <c r="Z43" s="534">
        <f t="shared" si="17"/>
        <v>1997</v>
      </c>
      <c r="AA43" s="664">
        <f t="shared" si="31"/>
        <v>0</v>
      </c>
      <c r="AB43" s="665">
        <f t="shared" si="31"/>
        <v>0</v>
      </c>
      <c r="AC43" s="337"/>
      <c r="AD43" s="338"/>
      <c r="AE43" s="383">
        <f t="shared" si="32"/>
        <v>0</v>
      </c>
      <c r="AF43" s="386">
        <f t="shared" si="32"/>
        <v>0</v>
      </c>
      <c r="AG43" s="534">
        <f t="shared" si="18"/>
        <v>1996</v>
      </c>
      <c r="AH43" s="1271">
        <f t="shared" si="33"/>
        <v>0</v>
      </c>
      <c r="AI43" s="1276">
        <f t="shared" si="34"/>
        <v>0</v>
      </c>
      <c r="AJ43" s="337"/>
      <c r="AK43" s="338"/>
      <c r="AL43" s="1271">
        <v>0</v>
      </c>
      <c r="AM43" s="1276">
        <v>0</v>
      </c>
      <c r="AN43" s="414">
        <f t="shared" si="19"/>
        <v>1</v>
      </c>
      <c r="AO43" s="413">
        <f t="shared" si="3"/>
        <v>1</v>
      </c>
      <c r="AP43" s="337"/>
      <c r="AQ43" s="338"/>
      <c r="AR43" s="664">
        <f t="shared" si="45"/>
        <v>0</v>
      </c>
      <c r="AS43" s="679">
        <f t="shared" si="45"/>
        <v>0</v>
      </c>
      <c r="AT43" s="383">
        <f t="shared" si="35"/>
        <v>0</v>
      </c>
      <c r="AU43" s="386">
        <f t="shared" si="4"/>
        <v>0</v>
      </c>
      <c r="AV43" s="534">
        <f t="shared" si="21"/>
        <v>1995</v>
      </c>
      <c r="AW43" s="1271">
        <f t="shared" si="36"/>
        <v>0</v>
      </c>
      <c r="AX43" s="1276">
        <f t="shared" si="37"/>
        <v>0</v>
      </c>
      <c r="AY43" s="337"/>
      <c r="AZ43" s="338"/>
      <c r="BA43" s="1271">
        <v>0</v>
      </c>
      <c r="BB43" s="1276">
        <v>0</v>
      </c>
      <c r="BC43" s="414">
        <f t="shared" si="22"/>
        <v>1</v>
      </c>
      <c r="BD43" s="413">
        <f t="shared" si="7"/>
        <v>1</v>
      </c>
      <c r="BE43" s="337"/>
      <c r="BF43" s="338"/>
      <c r="BG43" s="664">
        <f t="shared" si="46"/>
        <v>0</v>
      </c>
      <c r="BH43" s="679">
        <f t="shared" si="46"/>
        <v>0</v>
      </c>
      <c r="BI43" s="383">
        <f t="shared" si="38"/>
        <v>0</v>
      </c>
      <c r="BJ43" s="386">
        <f t="shared" si="38"/>
        <v>0</v>
      </c>
      <c r="BK43" s="534">
        <f t="shared" si="24"/>
        <v>1994</v>
      </c>
      <c r="BL43" s="1271">
        <f t="shared" si="39"/>
        <v>0</v>
      </c>
      <c r="BM43" s="1276">
        <f t="shared" si="40"/>
        <v>0</v>
      </c>
      <c r="BN43" s="337"/>
      <c r="BO43" s="338"/>
      <c r="BP43" s="1271">
        <v>0</v>
      </c>
      <c r="BQ43" s="1276">
        <v>0</v>
      </c>
      <c r="BR43" s="414">
        <f t="shared" si="25"/>
        <v>1</v>
      </c>
      <c r="BS43" s="413">
        <f t="shared" si="11"/>
        <v>1</v>
      </c>
      <c r="BT43" s="337"/>
      <c r="BU43" s="338"/>
      <c r="BV43" s="664">
        <f t="shared" si="47"/>
        <v>0</v>
      </c>
      <c r="BW43" s="679">
        <f t="shared" si="47"/>
        <v>0</v>
      </c>
      <c r="BX43" s="383">
        <f t="shared" si="41"/>
        <v>0</v>
      </c>
      <c r="BY43" s="386">
        <f t="shared" si="41"/>
        <v>0</v>
      </c>
      <c r="BZ43" s="534">
        <f t="shared" si="27"/>
        <v>1997</v>
      </c>
      <c r="CA43" s="664">
        <f t="shared" si="48"/>
        <v>0</v>
      </c>
      <c r="CB43" s="665">
        <f t="shared" si="48"/>
        <v>0</v>
      </c>
      <c r="CC43" s="664">
        <f t="shared" si="49"/>
        <v>0</v>
      </c>
      <c r="CD43" s="665">
        <f t="shared" si="49"/>
        <v>0</v>
      </c>
      <c r="CE43" s="337"/>
      <c r="CF43" s="338"/>
      <c r="CG43" s="383">
        <f t="shared" si="42"/>
        <v>0</v>
      </c>
      <c r="CH43" s="386">
        <f t="shared" si="42"/>
        <v>0</v>
      </c>
    </row>
    <row r="44" spans="2:86" x14ac:dyDescent="0.2">
      <c r="B44" s="276">
        <v>29</v>
      </c>
      <c r="C44" s="320">
        <f t="shared" si="28"/>
        <v>30</v>
      </c>
      <c r="D44" s="534">
        <f t="shared" si="13"/>
        <v>1996</v>
      </c>
      <c r="E44" s="337"/>
      <c r="F44" s="338"/>
      <c r="G44" s="1271">
        <v>0</v>
      </c>
      <c r="H44" s="1289">
        <v>0</v>
      </c>
      <c r="I44" s="400">
        <f t="shared" si="43"/>
        <v>0</v>
      </c>
      <c r="J44" s="401">
        <f t="shared" si="4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29"/>
        <v>0.99980397128872933</v>
      </c>
      <c r="P44" s="1143">
        <f t="shared" si="29"/>
        <v>0.99991544370999219</v>
      </c>
      <c r="Q44" s="356">
        <f t="shared" si="14"/>
        <v>1996</v>
      </c>
      <c r="R44" s="337"/>
      <c r="S44" s="338"/>
      <c r="T44" s="664">
        <f t="shared" si="15"/>
        <v>0</v>
      </c>
      <c r="U44" s="665">
        <f t="shared" si="16"/>
        <v>0</v>
      </c>
      <c r="V44" s="337"/>
      <c r="W44" s="338"/>
      <c r="X44" s="383">
        <f t="shared" si="30"/>
        <v>0</v>
      </c>
      <c r="Y44" s="386">
        <f t="shared" si="30"/>
        <v>0</v>
      </c>
      <c r="Z44" s="534">
        <f t="shared" si="17"/>
        <v>1996</v>
      </c>
      <c r="AA44" s="664">
        <f t="shared" si="31"/>
        <v>0</v>
      </c>
      <c r="AB44" s="665">
        <f t="shared" si="31"/>
        <v>0</v>
      </c>
      <c r="AC44" s="337"/>
      <c r="AD44" s="338"/>
      <c r="AE44" s="383">
        <f t="shared" si="32"/>
        <v>0</v>
      </c>
      <c r="AF44" s="386">
        <f t="shared" si="32"/>
        <v>0</v>
      </c>
      <c r="AG44" s="534">
        <f t="shared" si="18"/>
        <v>1995</v>
      </c>
      <c r="AH44" s="1271">
        <f t="shared" si="33"/>
        <v>0</v>
      </c>
      <c r="AI44" s="1276">
        <f t="shared" si="34"/>
        <v>0</v>
      </c>
      <c r="AJ44" s="337"/>
      <c r="AK44" s="338"/>
      <c r="AL44" s="1271">
        <v>0</v>
      </c>
      <c r="AM44" s="1276">
        <v>0</v>
      </c>
      <c r="AN44" s="414">
        <f t="shared" si="19"/>
        <v>1</v>
      </c>
      <c r="AO44" s="413">
        <f t="shared" si="3"/>
        <v>1</v>
      </c>
      <c r="AP44" s="337"/>
      <c r="AQ44" s="338"/>
      <c r="AR44" s="664">
        <f t="shared" si="45"/>
        <v>0</v>
      </c>
      <c r="AS44" s="679">
        <f t="shared" si="45"/>
        <v>0</v>
      </c>
      <c r="AT44" s="383">
        <f t="shared" si="35"/>
        <v>0</v>
      </c>
      <c r="AU44" s="386">
        <f t="shared" si="4"/>
        <v>0</v>
      </c>
      <c r="AV44" s="534">
        <f t="shared" si="21"/>
        <v>1994</v>
      </c>
      <c r="AW44" s="1271">
        <f t="shared" si="36"/>
        <v>0</v>
      </c>
      <c r="AX44" s="1276">
        <f t="shared" si="37"/>
        <v>0</v>
      </c>
      <c r="AY44" s="337"/>
      <c r="AZ44" s="338"/>
      <c r="BA44" s="1271">
        <v>0</v>
      </c>
      <c r="BB44" s="1276">
        <v>0</v>
      </c>
      <c r="BC44" s="414">
        <f t="shared" si="22"/>
        <v>1</v>
      </c>
      <c r="BD44" s="413">
        <f t="shared" si="7"/>
        <v>1</v>
      </c>
      <c r="BE44" s="337"/>
      <c r="BF44" s="338"/>
      <c r="BG44" s="664">
        <f t="shared" si="46"/>
        <v>0</v>
      </c>
      <c r="BH44" s="679">
        <f t="shared" si="46"/>
        <v>0</v>
      </c>
      <c r="BI44" s="383">
        <f t="shared" si="38"/>
        <v>0</v>
      </c>
      <c r="BJ44" s="386">
        <f t="shared" si="38"/>
        <v>0</v>
      </c>
      <c r="BK44" s="534">
        <f t="shared" si="24"/>
        <v>1993</v>
      </c>
      <c r="BL44" s="1271">
        <f t="shared" si="39"/>
        <v>0</v>
      </c>
      <c r="BM44" s="1276">
        <f t="shared" si="40"/>
        <v>0</v>
      </c>
      <c r="BN44" s="337"/>
      <c r="BO44" s="338"/>
      <c r="BP44" s="1271">
        <v>0</v>
      </c>
      <c r="BQ44" s="1276">
        <v>0</v>
      </c>
      <c r="BR44" s="414">
        <f t="shared" si="25"/>
        <v>1</v>
      </c>
      <c r="BS44" s="413">
        <f t="shared" si="11"/>
        <v>1</v>
      </c>
      <c r="BT44" s="337"/>
      <c r="BU44" s="338"/>
      <c r="BV44" s="664">
        <f t="shared" si="47"/>
        <v>0</v>
      </c>
      <c r="BW44" s="679">
        <f t="shared" si="47"/>
        <v>0</v>
      </c>
      <c r="BX44" s="383">
        <f t="shared" si="41"/>
        <v>0</v>
      </c>
      <c r="BY44" s="386">
        <f t="shared" si="41"/>
        <v>0</v>
      </c>
      <c r="BZ44" s="534">
        <f t="shared" si="27"/>
        <v>1996</v>
      </c>
      <c r="CA44" s="664">
        <f t="shared" si="48"/>
        <v>0</v>
      </c>
      <c r="CB44" s="665">
        <f t="shared" si="48"/>
        <v>0</v>
      </c>
      <c r="CC44" s="664">
        <f t="shared" si="49"/>
        <v>0</v>
      </c>
      <c r="CD44" s="665">
        <f t="shared" si="49"/>
        <v>0</v>
      </c>
      <c r="CE44" s="337"/>
      <c r="CF44" s="338"/>
      <c r="CG44" s="383">
        <f t="shared" si="42"/>
        <v>0</v>
      </c>
      <c r="CH44" s="386">
        <f t="shared" si="42"/>
        <v>0</v>
      </c>
    </row>
    <row r="45" spans="2:86" ht="13.5" thickBot="1" x14ac:dyDescent="0.25">
      <c r="B45" s="313">
        <v>30</v>
      </c>
      <c r="C45" s="321">
        <f t="shared" si="28"/>
        <v>31</v>
      </c>
      <c r="D45" s="535">
        <f t="shared" si="13"/>
        <v>1995</v>
      </c>
      <c r="E45" s="341"/>
      <c r="F45" s="340"/>
      <c r="G45" s="1277">
        <v>0</v>
      </c>
      <c r="H45" s="1290">
        <v>0</v>
      </c>
      <c r="I45" s="406">
        <f t="shared" si="43"/>
        <v>0</v>
      </c>
      <c r="J45" s="407">
        <f t="shared" si="4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29"/>
        <v>0.99980086872123386</v>
      </c>
      <c r="P45" s="1144">
        <f t="shared" si="29"/>
        <v>0.99991087282146651</v>
      </c>
      <c r="Q45" s="313">
        <f t="shared" si="14"/>
        <v>1995</v>
      </c>
      <c r="R45" s="341"/>
      <c r="S45" s="340"/>
      <c r="T45" s="666">
        <f t="shared" si="15"/>
        <v>0</v>
      </c>
      <c r="U45" s="667">
        <f t="shared" si="16"/>
        <v>0</v>
      </c>
      <c r="V45" s="341"/>
      <c r="W45" s="340"/>
      <c r="X45" s="384">
        <f t="shared" si="30"/>
        <v>0</v>
      </c>
      <c r="Y45" s="387">
        <f t="shared" si="30"/>
        <v>0</v>
      </c>
      <c r="Z45" s="535">
        <f t="shared" si="17"/>
        <v>1995</v>
      </c>
      <c r="AA45" s="666">
        <f t="shared" si="31"/>
        <v>0</v>
      </c>
      <c r="AB45" s="667">
        <f t="shared" si="31"/>
        <v>0</v>
      </c>
      <c r="AC45" s="341"/>
      <c r="AD45" s="340"/>
      <c r="AE45" s="384">
        <f t="shared" si="32"/>
        <v>0</v>
      </c>
      <c r="AF45" s="387">
        <f t="shared" si="32"/>
        <v>0</v>
      </c>
      <c r="AG45" s="535">
        <f t="shared" si="18"/>
        <v>1994</v>
      </c>
      <c r="AH45" s="1277">
        <f t="shared" si="33"/>
        <v>0</v>
      </c>
      <c r="AI45" s="1278">
        <f t="shared" si="34"/>
        <v>0</v>
      </c>
      <c r="AJ45" s="341"/>
      <c r="AK45" s="340"/>
      <c r="AL45" s="1277">
        <v>0</v>
      </c>
      <c r="AM45" s="1278">
        <v>0</v>
      </c>
      <c r="AN45" s="415">
        <f t="shared" si="19"/>
        <v>1</v>
      </c>
      <c r="AO45" s="416">
        <f t="shared" si="3"/>
        <v>1</v>
      </c>
      <c r="AP45" s="341"/>
      <c r="AQ45" s="340"/>
      <c r="AR45" s="666">
        <f t="shared" si="45"/>
        <v>0</v>
      </c>
      <c r="AS45" s="680">
        <f t="shared" si="45"/>
        <v>0</v>
      </c>
      <c r="AT45" s="384">
        <f t="shared" si="35"/>
        <v>0</v>
      </c>
      <c r="AU45" s="387">
        <f t="shared" si="4"/>
        <v>0</v>
      </c>
      <c r="AV45" s="535">
        <f t="shared" si="21"/>
        <v>1993</v>
      </c>
      <c r="AW45" s="1277">
        <f t="shared" si="36"/>
        <v>0</v>
      </c>
      <c r="AX45" s="1278">
        <f t="shared" si="37"/>
        <v>0</v>
      </c>
      <c r="AY45" s="341"/>
      <c r="AZ45" s="340"/>
      <c r="BA45" s="1277">
        <v>0</v>
      </c>
      <c r="BB45" s="1278">
        <v>0</v>
      </c>
      <c r="BC45" s="415">
        <f t="shared" si="22"/>
        <v>1</v>
      </c>
      <c r="BD45" s="416">
        <f t="shared" si="7"/>
        <v>1</v>
      </c>
      <c r="BE45" s="341"/>
      <c r="BF45" s="340"/>
      <c r="BG45" s="666">
        <f t="shared" si="46"/>
        <v>0</v>
      </c>
      <c r="BH45" s="680">
        <f t="shared" si="46"/>
        <v>0</v>
      </c>
      <c r="BI45" s="384">
        <f t="shared" si="38"/>
        <v>0</v>
      </c>
      <c r="BJ45" s="387">
        <f t="shared" si="38"/>
        <v>0</v>
      </c>
      <c r="BK45" s="535">
        <f t="shared" si="24"/>
        <v>1992</v>
      </c>
      <c r="BL45" s="1277">
        <f t="shared" si="39"/>
        <v>0</v>
      </c>
      <c r="BM45" s="1278">
        <f t="shared" si="40"/>
        <v>0</v>
      </c>
      <c r="BN45" s="341"/>
      <c r="BO45" s="340"/>
      <c r="BP45" s="1277">
        <v>0</v>
      </c>
      <c r="BQ45" s="1278">
        <v>0</v>
      </c>
      <c r="BR45" s="415">
        <f t="shared" si="25"/>
        <v>1</v>
      </c>
      <c r="BS45" s="416">
        <f t="shared" si="11"/>
        <v>1</v>
      </c>
      <c r="BT45" s="341"/>
      <c r="BU45" s="340"/>
      <c r="BV45" s="666">
        <f t="shared" si="47"/>
        <v>0</v>
      </c>
      <c r="BW45" s="680">
        <f t="shared" si="47"/>
        <v>0</v>
      </c>
      <c r="BX45" s="384">
        <f t="shared" si="41"/>
        <v>0</v>
      </c>
      <c r="BY45" s="387">
        <f t="shared" si="41"/>
        <v>0</v>
      </c>
      <c r="BZ45" s="535">
        <f t="shared" si="27"/>
        <v>1995</v>
      </c>
      <c r="CA45" s="666">
        <f t="shared" si="48"/>
        <v>0</v>
      </c>
      <c r="CB45" s="667">
        <f t="shared" si="48"/>
        <v>0</v>
      </c>
      <c r="CC45" s="666">
        <f t="shared" si="49"/>
        <v>0</v>
      </c>
      <c r="CD45" s="667">
        <f t="shared" si="49"/>
        <v>0</v>
      </c>
      <c r="CE45" s="341"/>
      <c r="CF45" s="340"/>
      <c r="CG45" s="384">
        <f t="shared" si="42"/>
        <v>0</v>
      </c>
      <c r="CH45" s="387">
        <f t="shared" si="42"/>
        <v>0</v>
      </c>
    </row>
    <row r="46" spans="2:86" ht="13.5" thickTop="1" x14ac:dyDescent="0.2">
      <c r="B46" s="314">
        <v>31</v>
      </c>
      <c r="C46" s="320">
        <f t="shared" si="28"/>
        <v>32</v>
      </c>
      <c r="D46" s="536">
        <f t="shared" si="13"/>
        <v>1994</v>
      </c>
      <c r="E46" s="337"/>
      <c r="F46" s="338"/>
      <c r="G46" s="1271">
        <v>0</v>
      </c>
      <c r="H46" s="1289">
        <v>0</v>
      </c>
      <c r="I46" s="400">
        <f t="shared" si="43"/>
        <v>0</v>
      </c>
      <c r="J46" s="401">
        <f t="shared" si="4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29"/>
        <v>0.99979654205579171</v>
      </c>
      <c r="P46" s="1143">
        <f t="shared" si="29"/>
        <v>0.99990547319829082</v>
      </c>
      <c r="Q46" s="314">
        <f t="shared" si="14"/>
        <v>1994</v>
      </c>
      <c r="R46" s="337"/>
      <c r="S46" s="338"/>
      <c r="T46" s="664">
        <f t="shared" si="15"/>
        <v>0</v>
      </c>
      <c r="U46" s="665">
        <f t="shared" si="16"/>
        <v>0</v>
      </c>
      <c r="V46" s="337"/>
      <c r="W46" s="338"/>
      <c r="X46" s="383">
        <f t="shared" si="30"/>
        <v>0</v>
      </c>
      <c r="Y46" s="386">
        <f t="shared" si="30"/>
        <v>0</v>
      </c>
      <c r="Z46" s="536">
        <f t="shared" si="17"/>
        <v>1994</v>
      </c>
      <c r="AA46" s="664">
        <f t="shared" si="31"/>
        <v>0</v>
      </c>
      <c r="AB46" s="665">
        <f t="shared" si="31"/>
        <v>0</v>
      </c>
      <c r="AC46" s="337"/>
      <c r="AD46" s="338"/>
      <c r="AE46" s="383">
        <f t="shared" si="32"/>
        <v>0</v>
      </c>
      <c r="AF46" s="386">
        <f t="shared" si="32"/>
        <v>0</v>
      </c>
      <c r="AG46" s="536">
        <f t="shared" si="18"/>
        <v>1993</v>
      </c>
      <c r="AH46" s="1271">
        <f t="shared" si="33"/>
        <v>0</v>
      </c>
      <c r="AI46" s="1276">
        <f t="shared" si="34"/>
        <v>0</v>
      </c>
      <c r="AJ46" s="337"/>
      <c r="AK46" s="338"/>
      <c r="AL46" s="1271">
        <v>0</v>
      </c>
      <c r="AM46" s="1276">
        <v>0</v>
      </c>
      <c r="AN46" s="414">
        <f t="shared" si="19"/>
        <v>1</v>
      </c>
      <c r="AO46" s="413">
        <f t="shared" si="3"/>
        <v>1</v>
      </c>
      <c r="AP46" s="337"/>
      <c r="AQ46" s="338"/>
      <c r="AR46" s="664">
        <f t="shared" si="45"/>
        <v>0</v>
      </c>
      <c r="AS46" s="679">
        <f t="shared" si="45"/>
        <v>0</v>
      </c>
      <c r="AT46" s="383">
        <f t="shared" si="35"/>
        <v>0</v>
      </c>
      <c r="AU46" s="386">
        <f t="shared" si="4"/>
        <v>0</v>
      </c>
      <c r="AV46" s="536">
        <f t="shared" si="21"/>
        <v>1992</v>
      </c>
      <c r="AW46" s="1271">
        <f t="shared" si="36"/>
        <v>0</v>
      </c>
      <c r="AX46" s="1276">
        <f t="shared" si="37"/>
        <v>0</v>
      </c>
      <c r="AY46" s="337"/>
      <c r="AZ46" s="338"/>
      <c r="BA46" s="1271">
        <v>0</v>
      </c>
      <c r="BB46" s="1276">
        <v>0</v>
      </c>
      <c r="BC46" s="414">
        <f t="shared" si="22"/>
        <v>1</v>
      </c>
      <c r="BD46" s="413">
        <f t="shared" si="7"/>
        <v>1</v>
      </c>
      <c r="BE46" s="337"/>
      <c r="BF46" s="338"/>
      <c r="BG46" s="664">
        <f t="shared" si="46"/>
        <v>0</v>
      </c>
      <c r="BH46" s="679">
        <f t="shared" si="46"/>
        <v>0</v>
      </c>
      <c r="BI46" s="383">
        <f t="shared" si="38"/>
        <v>0</v>
      </c>
      <c r="BJ46" s="386">
        <f t="shared" si="38"/>
        <v>0</v>
      </c>
      <c r="BK46" s="536">
        <f t="shared" si="24"/>
        <v>1991</v>
      </c>
      <c r="BL46" s="1271">
        <f t="shared" si="39"/>
        <v>0</v>
      </c>
      <c r="BM46" s="1276">
        <f t="shared" si="40"/>
        <v>0</v>
      </c>
      <c r="BN46" s="337"/>
      <c r="BO46" s="338"/>
      <c r="BP46" s="1271">
        <v>0</v>
      </c>
      <c r="BQ46" s="1276">
        <v>0</v>
      </c>
      <c r="BR46" s="414">
        <f t="shared" si="25"/>
        <v>1</v>
      </c>
      <c r="BS46" s="413">
        <f t="shared" si="11"/>
        <v>1</v>
      </c>
      <c r="BT46" s="337"/>
      <c r="BU46" s="338"/>
      <c r="BV46" s="664">
        <f t="shared" si="47"/>
        <v>0</v>
      </c>
      <c r="BW46" s="679">
        <f t="shared" si="47"/>
        <v>0</v>
      </c>
      <c r="BX46" s="383">
        <f t="shared" si="41"/>
        <v>0</v>
      </c>
      <c r="BY46" s="386">
        <f t="shared" si="41"/>
        <v>0</v>
      </c>
      <c r="BZ46" s="536">
        <f t="shared" si="27"/>
        <v>1994</v>
      </c>
      <c r="CA46" s="664">
        <f t="shared" si="48"/>
        <v>0</v>
      </c>
      <c r="CB46" s="665">
        <f t="shared" si="48"/>
        <v>0</v>
      </c>
      <c r="CC46" s="664">
        <f t="shared" si="49"/>
        <v>0</v>
      </c>
      <c r="CD46" s="665">
        <f t="shared" si="49"/>
        <v>0</v>
      </c>
      <c r="CE46" s="337"/>
      <c r="CF46" s="338"/>
      <c r="CG46" s="383">
        <f t="shared" si="42"/>
        <v>0</v>
      </c>
      <c r="CH46" s="386">
        <f t="shared" si="42"/>
        <v>0</v>
      </c>
    </row>
    <row r="47" spans="2:86" x14ac:dyDescent="0.2">
      <c r="B47" s="312">
        <v>32</v>
      </c>
      <c r="C47" s="322">
        <f t="shared" si="28"/>
        <v>33</v>
      </c>
      <c r="D47" s="533">
        <f t="shared" si="13"/>
        <v>1993</v>
      </c>
      <c r="E47" s="337"/>
      <c r="F47" s="338"/>
      <c r="G47" s="1271">
        <v>0</v>
      </c>
      <c r="H47" s="1289">
        <v>0</v>
      </c>
      <c r="I47" s="394">
        <f t="shared" si="43"/>
        <v>0</v>
      </c>
      <c r="J47" s="395">
        <f t="shared" si="4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29"/>
        <v>0.99979085000960966</v>
      </c>
      <c r="P47" s="1142">
        <f t="shared" si="29"/>
        <v>0.99989918921214804</v>
      </c>
      <c r="Q47" s="1139">
        <f t="shared" si="14"/>
        <v>1993</v>
      </c>
      <c r="R47" s="337"/>
      <c r="S47" s="338"/>
      <c r="T47" s="668">
        <f t="shared" si="15"/>
        <v>0</v>
      </c>
      <c r="U47" s="669">
        <f t="shared" si="16"/>
        <v>0</v>
      </c>
      <c r="V47" s="337"/>
      <c r="W47" s="338"/>
      <c r="X47" s="382">
        <f t="shared" si="30"/>
        <v>0</v>
      </c>
      <c r="Y47" s="385">
        <f t="shared" si="30"/>
        <v>0</v>
      </c>
      <c r="Z47" s="533">
        <f t="shared" si="17"/>
        <v>1993</v>
      </c>
      <c r="AA47" s="668">
        <f t="shared" si="31"/>
        <v>0</v>
      </c>
      <c r="AB47" s="669">
        <f t="shared" si="31"/>
        <v>0</v>
      </c>
      <c r="AC47" s="337"/>
      <c r="AD47" s="338"/>
      <c r="AE47" s="382">
        <f t="shared" si="32"/>
        <v>0</v>
      </c>
      <c r="AF47" s="385">
        <f t="shared" si="32"/>
        <v>0</v>
      </c>
      <c r="AG47" s="533">
        <f t="shared" si="18"/>
        <v>1992</v>
      </c>
      <c r="AH47" s="1271">
        <f t="shared" si="33"/>
        <v>0</v>
      </c>
      <c r="AI47" s="1276">
        <f t="shared" si="34"/>
        <v>0</v>
      </c>
      <c r="AJ47" s="337"/>
      <c r="AK47" s="338"/>
      <c r="AL47" s="1271">
        <v>0</v>
      </c>
      <c r="AM47" s="1276">
        <v>0</v>
      </c>
      <c r="AN47" s="412">
        <f t="shared" si="19"/>
        <v>1</v>
      </c>
      <c r="AO47" s="417">
        <f t="shared" si="3"/>
        <v>1</v>
      </c>
      <c r="AP47" s="337"/>
      <c r="AQ47" s="338"/>
      <c r="AR47" s="668">
        <f t="shared" si="45"/>
        <v>0</v>
      </c>
      <c r="AS47" s="681">
        <f t="shared" si="45"/>
        <v>0</v>
      </c>
      <c r="AT47" s="382">
        <f t="shared" si="35"/>
        <v>0</v>
      </c>
      <c r="AU47" s="385">
        <f t="shared" si="4"/>
        <v>0</v>
      </c>
      <c r="AV47" s="533">
        <f t="shared" si="21"/>
        <v>1991</v>
      </c>
      <c r="AW47" s="1271">
        <f t="shared" si="36"/>
        <v>0</v>
      </c>
      <c r="AX47" s="1276">
        <f t="shared" si="37"/>
        <v>0</v>
      </c>
      <c r="AY47" s="337"/>
      <c r="AZ47" s="338"/>
      <c r="BA47" s="1271">
        <v>0</v>
      </c>
      <c r="BB47" s="1276">
        <v>0</v>
      </c>
      <c r="BC47" s="412">
        <f t="shared" si="22"/>
        <v>1</v>
      </c>
      <c r="BD47" s="417">
        <f t="shared" si="7"/>
        <v>1</v>
      </c>
      <c r="BE47" s="337"/>
      <c r="BF47" s="338"/>
      <c r="BG47" s="668">
        <f t="shared" si="46"/>
        <v>0</v>
      </c>
      <c r="BH47" s="681">
        <f t="shared" si="46"/>
        <v>0</v>
      </c>
      <c r="BI47" s="382">
        <f t="shared" si="38"/>
        <v>0</v>
      </c>
      <c r="BJ47" s="385">
        <f t="shared" si="38"/>
        <v>0</v>
      </c>
      <c r="BK47" s="533">
        <f t="shared" si="24"/>
        <v>1990</v>
      </c>
      <c r="BL47" s="1271">
        <f t="shared" si="39"/>
        <v>0</v>
      </c>
      <c r="BM47" s="1276">
        <f t="shared" si="40"/>
        <v>0</v>
      </c>
      <c r="BN47" s="337"/>
      <c r="BO47" s="338"/>
      <c r="BP47" s="1271">
        <v>0</v>
      </c>
      <c r="BQ47" s="1276">
        <v>0</v>
      </c>
      <c r="BR47" s="412">
        <f t="shared" si="25"/>
        <v>1</v>
      </c>
      <c r="BS47" s="417">
        <f t="shared" si="11"/>
        <v>1</v>
      </c>
      <c r="BT47" s="337"/>
      <c r="BU47" s="338"/>
      <c r="BV47" s="668">
        <f t="shared" si="47"/>
        <v>0</v>
      </c>
      <c r="BW47" s="681">
        <f t="shared" si="47"/>
        <v>0</v>
      </c>
      <c r="BX47" s="382">
        <f t="shared" si="41"/>
        <v>0</v>
      </c>
      <c r="BY47" s="385">
        <f t="shared" si="41"/>
        <v>0</v>
      </c>
      <c r="BZ47" s="533">
        <f t="shared" si="27"/>
        <v>1993</v>
      </c>
      <c r="CA47" s="668">
        <f t="shared" si="48"/>
        <v>0</v>
      </c>
      <c r="CB47" s="669">
        <f t="shared" si="48"/>
        <v>0</v>
      </c>
      <c r="CC47" s="668">
        <f t="shared" si="49"/>
        <v>0</v>
      </c>
      <c r="CD47" s="669">
        <f t="shared" si="49"/>
        <v>0</v>
      </c>
      <c r="CE47" s="337"/>
      <c r="CF47" s="338"/>
      <c r="CG47" s="382">
        <f t="shared" si="42"/>
        <v>0</v>
      </c>
      <c r="CH47" s="385">
        <f t="shared" si="42"/>
        <v>0</v>
      </c>
    </row>
    <row r="48" spans="2:86" x14ac:dyDescent="0.2">
      <c r="B48" s="276">
        <v>33</v>
      </c>
      <c r="C48" s="320">
        <f t="shared" si="28"/>
        <v>34</v>
      </c>
      <c r="D48" s="534">
        <f t="shared" si="13"/>
        <v>1992</v>
      </c>
      <c r="E48" s="337"/>
      <c r="F48" s="338"/>
      <c r="G48" s="1271">
        <v>0</v>
      </c>
      <c r="H48" s="1289">
        <v>0</v>
      </c>
      <c r="I48" s="400">
        <f t="shared" si="43"/>
        <v>0</v>
      </c>
      <c r="J48" s="401">
        <f t="shared" si="4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29"/>
        <v>0.99978364042378187</v>
      </c>
      <c r="P48" s="1143">
        <f t="shared" si="29"/>
        <v>0.99989198902128718</v>
      </c>
      <c r="Q48" s="356">
        <f t="shared" si="14"/>
        <v>1992</v>
      </c>
      <c r="R48" s="337"/>
      <c r="S48" s="338"/>
      <c r="T48" s="664">
        <f t="shared" si="15"/>
        <v>0</v>
      </c>
      <c r="U48" s="665">
        <f t="shared" si="16"/>
        <v>0</v>
      </c>
      <c r="V48" s="337"/>
      <c r="W48" s="338"/>
      <c r="X48" s="383">
        <f t="shared" si="30"/>
        <v>0</v>
      </c>
      <c r="Y48" s="386">
        <f t="shared" si="30"/>
        <v>0</v>
      </c>
      <c r="Z48" s="534">
        <f t="shared" si="17"/>
        <v>1992</v>
      </c>
      <c r="AA48" s="664">
        <f t="shared" si="31"/>
        <v>0</v>
      </c>
      <c r="AB48" s="665">
        <f t="shared" si="31"/>
        <v>0</v>
      </c>
      <c r="AC48" s="337"/>
      <c r="AD48" s="338"/>
      <c r="AE48" s="383">
        <f t="shared" si="32"/>
        <v>0</v>
      </c>
      <c r="AF48" s="386">
        <f t="shared" si="32"/>
        <v>0</v>
      </c>
      <c r="AG48" s="534">
        <f t="shared" si="18"/>
        <v>1991</v>
      </c>
      <c r="AH48" s="1271">
        <f t="shared" si="33"/>
        <v>0</v>
      </c>
      <c r="AI48" s="1276">
        <f t="shared" si="34"/>
        <v>0</v>
      </c>
      <c r="AJ48" s="337"/>
      <c r="AK48" s="338"/>
      <c r="AL48" s="1271">
        <v>0</v>
      </c>
      <c r="AM48" s="1276">
        <v>0</v>
      </c>
      <c r="AN48" s="414">
        <f t="shared" si="19"/>
        <v>1</v>
      </c>
      <c r="AO48" s="413">
        <f t="shared" si="3"/>
        <v>1</v>
      </c>
      <c r="AP48" s="337"/>
      <c r="AQ48" s="338"/>
      <c r="AR48" s="664">
        <f t="shared" si="45"/>
        <v>0</v>
      </c>
      <c r="AS48" s="679">
        <f t="shared" si="45"/>
        <v>0</v>
      </c>
      <c r="AT48" s="383">
        <f t="shared" si="35"/>
        <v>0</v>
      </c>
      <c r="AU48" s="386">
        <f t="shared" si="4"/>
        <v>0</v>
      </c>
      <c r="AV48" s="534">
        <f t="shared" si="21"/>
        <v>1990</v>
      </c>
      <c r="AW48" s="1271">
        <f t="shared" si="36"/>
        <v>0</v>
      </c>
      <c r="AX48" s="1276">
        <f t="shared" si="37"/>
        <v>0</v>
      </c>
      <c r="AY48" s="337"/>
      <c r="AZ48" s="338"/>
      <c r="BA48" s="1271">
        <v>0</v>
      </c>
      <c r="BB48" s="1276">
        <v>0</v>
      </c>
      <c r="BC48" s="414">
        <f t="shared" si="22"/>
        <v>1</v>
      </c>
      <c r="BD48" s="413">
        <f t="shared" si="7"/>
        <v>1</v>
      </c>
      <c r="BE48" s="337"/>
      <c r="BF48" s="338"/>
      <c r="BG48" s="664">
        <f t="shared" si="46"/>
        <v>0</v>
      </c>
      <c r="BH48" s="679">
        <f t="shared" si="46"/>
        <v>0</v>
      </c>
      <c r="BI48" s="383">
        <f t="shared" si="38"/>
        <v>0</v>
      </c>
      <c r="BJ48" s="386">
        <f t="shared" si="38"/>
        <v>0</v>
      </c>
      <c r="BK48" s="534">
        <f t="shared" si="24"/>
        <v>1989</v>
      </c>
      <c r="BL48" s="1271">
        <f t="shared" si="39"/>
        <v>0</v>
      </c>
      <c r="BM48" s="1276">
        <f t="shared" si="40"/>
        <v>0</v>
      </c>
      <c r="BN48" s="337"/>
      <c r="BO48" s="338"/>
      <c r="BP48" s="1271">
        <v>0</v>
      </c>
      <c r="BQ48" s="1276">
        <v>0</v>
      </c>
      <c r="BR48" s="414">
        <f t="shared" si="25"/>
        <v>1</v>
      </c>
      <c r="BS48" s="413">
        <f t="shared" si="11"/>
        <v>1</v>
      </c>
      <c r="BT48" s="337"/>
      <c r="BU48" s="338"/>
      <c r="BV48" s="664">
        <f t="shared" si="47"/>
        <v>0</v>
      </c>
      <c r="BW48" s="679">
        <f t="shared" si="47"/>
        <v>0</v>
      </c>
      <c r="BX48" s="383">
        <f t="shared" si="41"/>
        <v>0</v>
      </c>
      <c r="BY48" s="386">
        <f t="shared" si="41"/>
        <v>0</v>
      </c>
      <c r="BZ48" s="534">
        <f t="shared" si="27"/>
        <v>1992</v>
      </c>
      <c r="CA48" s="664">
        <f t="shared" si="48"/>
        <v>0</v>
      </c>
      <c r="CB48" s="665">
        <f t="shared" si="48"/>
        <v>0</v>
      </c>
      <c r="CC48" s="664">
        <f t="shared" si="49"/>
        <v>0</v>
      </c>
      <c r="CD48" s="665">
        <f t="shared" si="49"/>
        <v>0</v>
      </c>
      <c r="CE48" s="337"/>
      <c r="CF48" s="338"/>
      <c r="CG48" s="383">
        <f t="shared" si="42"/>
        <v>0</v>
      </c>
      <c r="CH48" s="386">
        <f t="shared" si="42"/>
        <v>0</v>
      </c>
    </row>
    <row r="49" spans="2:86" x14ac:dyDescent="0.2">
      <c r="B49" s="276">
        <v>34</v>
      </c>
      <c r="C49" s="320">
        <f t="shared" si="28"/>
        <v>35</v>
      </c>
      <c r="D49" s="534">
        <f t="shared" si="13"/>
        <v>1991</v>
      </c>
      <c r="E49" s="337"/>
      <c r="F49" s="338"/>
      <c r="G49" s="1271">
        <v>0</v>
      </c>
      <c r="H49" s="1289">
        <v>0</v>
      </c>
      <c r="I49" s="400">
        <f t="shared" si="43"/>
        <v>0</v>
      </c>
      <c r="J49" s="401">
        <f t="shared" si="4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29"/>
        <v>0.99977474925738874</v>
      </c>
      <c r="P49" s="1143">
        <f t="shared" si="29"/>
        <v>0.99988385465351493</v>
      </c>
      <c r="Q49" s="356">
        <f t="shared" si="14"/>
        <v>1991</v>
      </c>
      <c r="R49" s="337"/>
      <c r="S49" s="338"/>
      <c r="T49" s="664">
        <f t="shared" si="15"/>
        <v>0</v>
      </c>
      <c r="U49" s="665">
        <f t="shared" si="16"/>
        <v>0</v>
      </c>
      <c r="V49" s="337"/>
      <c r="W49" s="338"/>
      <c r="X49" s="383">
        <f t="shared" si="30"/>
        <v>0</v>
      </c>
      <c r="Y49" s="386">
        <f t="shared" si="30"/>
        <v>0</v>
      </c>
      <c r="Z49" s="534">
        <f t="shared" si="17"/>
        <v>1991</v>
      </c>
      <c r="AA49" s="664">
        <f t="shared" si="31"/>
        <v>0</v>
      </c>
      <c r="AB49" s="665">
        <f t="shared" si="31"/>
        <v>0</v>
      </c>
      <c r="AC49" s="337"/>
      <c r="AD49" s="338"/>
      <c r="AE49" s="383">
        <f t="shared" si="32"/>
        <v>0</v>
      </c>
      <c r="AF49" s="386">
        <f t="shared" si="32"/>
        <v>0</v>
      </c>
      <c r="AG49" s="534">
        <f t="shared" si="18"/>
        <v>1990</v>
      </c>
      <c r="AH49" s="1271">
        <f t="shared" si="33"/>
        <v>0</v>
      </c>
      <c r="AI49" s="1276">
        <f t="shared" si="34"/>
        <v>0</v>
      </c>
      <c r="AJ49" s="337"/>
      <c r="AK49" s="338"/>
      <c r="AL49" s="1271">
        <v>0</v>
      </c>
      <c r="AM49" s="1276">
        <v>0</v>
      </c>
      <c r="AN49" s="414">
        <f t="shared" si="19"/>
        <v>1</v>
      </c>
      <c r="AO49" s="413">
        <f t="shared" si="3"/>
        <v>1</v>
      </c>
      <c r="AP49" s="337"/>
      <c r="AQ49" s="338"/>
      <c r="AR49" s="664">
        <f t="shared" si="45"/>
        <v>0</v>
      </c>
      <c r="AS49" s="679">
        <f t="shared" si="45"/>
        <v>0</v>
      </c>
      <c r="AT49" s="383">
        <f t="shared" si="35"/>
        <v>0</v>
      </c>
      <c r="AU49" s="386">
        <f t="shared" si="4"/>
        <v>0</v>
      </c>
      <c r="AV49" s="534">
        <f t="shared" si="21"/>
        <v>1989</v>
      </c>
      <c r="AW49" s="1271">
        <f t="shared" si="36"/>
        <v>0</v>
      </c>
      <c r="AX49" s="1276">
        <f t="shared" si="37"/>
        <v>0</v>
      </c>
      <c r="AY49" s="337"/>
      <c r="AZ49" s="338"/>
      <c r="BA49" s="1271">
        <v>0</v>
      </c>
      <c r="BB49" s="1276">
        <v>0</v>
      </c>
      <c r="BC49" s="414">
        <f t="shared" si="22"/>
        <v>1</v>
      </c>
      <c r="BD49" s="413">
        <f t="shared" si="7"/>
        <v>1</v>
      </c>
      <c r="BE49" s="337"/>
      <c r="BF49" s="338"/>
      <c r="BG49" s="664">
        <f t="shared" si="46"/>
        <v>0</v>
      </c>
      <c r="BH49" s="679">
        <f t="shared" si="46"/>
        <v>0</v>
      </c>
      <c r="BI49" s="383">
        <f t="shared" si="38"/>
        <v>0</v>
      </c>
      <c r="BJ49" s="386">
        <f t="shared" si="38"/>
        <v>0</v>
      </c>
      <c r="BK49" s="534">
        <f t="shared" si="24"/>
        <v>1988</v>
      </c>
      <c r="BL49" s="1271">
        <f t="shared" si="39"/>
        <v>0</v>
      </c>
      <c r="BM49" s="1276">
        <f t="shared" si="40"/>
        <v>0</v>
      </c>
      <c r="BN49" s="337"/>
      <c r="BO49" s="338"/>
      <c r="BP49" s="1271">
        <v>0</v>
      </c>
      <c r="BQ49" s="1276">
        <v>0</v>
      </c>
      <c r="BR49" s="414">
        <f t="shared" si="25"/>
        <v>1</v>
      </c>
      <c r="BS49" s="413">
        <f t="shared" si="11"/>
        <v>1</v>
      </c>
      <c r="BT49" s="337"/>
      <c r="BU49" s="338"/>
      <c r="BV49" s="664">
        <f t="shared" si="47"/>
        <v>0</v>
      </c>
      <c r="BW49" s="679">
        <f t="shared" si="47"/>
        <v>0</v>
      </c>
      <c r="BX49" s="383">
        <f t="shared" si="41"/>
        <v>0</v>
      </c>
      <c r="BY49" s="386">
        <f t="shared" si="41"/>
        <v>0</v>
      </c>
      <c r="BZ49" s="534">
        <f t="shared" si="27"/>
        <v>1991</v>
      </c>
      <c r="CA49" s="664">
        <f t="shared" si="48"/>
        <v>0</v>
      </c>
      <c r="CB49" s="665">
        <f t="shared" si="48"/>
        <v>0</v>
      </c>
      <c r="CC49" s="664">
        <f t="shared" si="49"/>
        <v>0</v>
      </c>
      <c r="CD49" s="665">
        <f t="shared" si="49"/>
        <v>0</v>
      </c>
      <c r="CE49" s="337"/>
      <c r="CF49" s="338"/>
      <c r="CG49" s="383">
        <f t="shared" si="42"/>
        <v>0</v>
      </c>
      <c r="CH49" s="386">
        <f t="shared" si="42"/>
        <v>0</v>
      </c>
    </row>
    <row r="50" spans="2:86" ht="13.5" thickBot="1" x14ac:dyDescent="0.25">
      <c r="B50" s="313">
        <v>35</v>
      </c>
      <c r="C50" s="321">
        <f t="shared" si="28"/>
        <v>36</v>
      </c>
      <c r="D50" s="535">
        <f t="shared" si="13"/>
        <v>1990</v>
      </c>
      <c r="E50" s="341"/>
      <c r="F50" s="340"/>
      <c r="G50" s="1277">
        <v>0</v>
      </c>
      <c r="H50" s="1290">
        <v>0</v>
      </c>
      <c r="I50" s="406">
        <f t="shared" si="43"/>
        <v>0</v>
      </c>
      <c r="J50" s="407">
        <f t="shared" si="4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29"/>
        <v>0.99976402132919739</v>
      </c>
      <c r="P50" s="1144">
        <f t="shared" si="29"/>
        <v>0.99987473410748651</v>
      </c>
      <c r="Q50" s="313">
        <f t="shared" si="14"/>
        <v>1990</v>
      </c>
      <c r="R50" s="341"/>
      <c r="S50" s="340"/>
      <c r="T50" s="666">
        <f t="shared" si="15"/>
        <v>0</v>
      </c>
      <c r="U50" s="667">
        <f t="shared" si="16"/>
        <v>0</v>
      </c>
      <c r="V50" s="341"/>
      <c r="W50" s="340"/>
      <c r="X50" s="384">
        <f t="shared" si="30"/>
        <v>0</v>
      </c>
      <c r="Y50" s="387">
        <f t="shared" si="30"/>
        <v>0</v>
      </c>
      <c r="Z50" s="535">
        <f t="shared" si="17"/>
        <v>1990</v>
      </c>
      <c r="AA50" s="666">
        <f t="shared" si="31"/>
        <v>0</v>
      </c>
      <c r="AB50" s="667">
        <f t="shared" si="31"/>
        <v>0</v>
      </c>
      <c r="AC50" s="341"/>
      <c r="AD50" s="340"/>
      <c r="AE50" s="384">
        <f t="shared" si="32"/>
        <v>0</v>
      </c>
      <c r="AF50" s="387">
        <f t="shared" si="32"/>
        <v>0</v>
      </c>
      <c r="AG50" s="535">
        <f t="shared" si="18"/>
        <v>1989</v>
      </c>
      <c r="AH50" s="1277">
        <f t="shared" si="33"/>
        <v>0</v>
      </c>
      <c r="AI50" s="1278">
        <f t="shared" si="34"/>
        <v>0</v>
      </c>
      <c r="AJ50" s="341"/>
      <c r="AK50" s="340"/>
      <c r="AL50" s="1277">
        <v>0</v>
      </c>
      <c r="AM50" s="1278">
        <v>0</v>
      </c>
      <c r="AN50" s="415">
        <f t="shared" si="19"/>
        <v>1</v>
      </c>
      <c r="AO50" s="416">
        <f t="shared" si="3"/>
        <v>1</v>
      </c>
      <c r="AP50" s="341"/>
      <c r="AQ50" s="340"/>
      <c r="AR50" s="666">
        <f t="shared" si="45"/>
        <v>0</v>
      </c>
      <c r="AS50" s="680">
        <f t="shared" si="45"/>
        <v>0</v>
      </c>
      <c r="AT50" s="384">
        <f t="shared" si="35"/>
        <v>0</v>
      </c>
      <c r="AU50" s="387">
        <f t="shared" si="4"/>
        <v>0</v>
      </c>
      <c r="AV50" s="535">
        <f t="shared" si="21"/>
        <v>1988</v>
      </c>
      <c r="AW50" s="1277">
        <f t="shared" si="36"/>
        <v>0</v>
      </c>
      <c r="AX50" s="1278">
        <f t="shared" si="37"/>
        <v>0</v>
      </c>
      <c r="AY50" s="341"/>
      <c r="AZ50" s="340"/>
      <c r="BA50" s="1277">
        <v>0</v>
      </c>
      <c r="BB50" s="1278">
        <v>0</v>
      </c>
      <c r="BC50" s="415">
        <f t="shared" si="22"/>
        <v>1</v>
      </c>
      <c r="BD50" s="416">
        <f t="shared" si="7"/>
        <v>1</v>
      </c>
      <c r="BE50" s="341"/>
      <c r="BF50" s="340"/>
      <c r="BG50" s="666">
        <f t="shared" si="46"/>
        <v>0</v>
      </c>
      <c r="BH50" s="680">
        <f t="shared" si="46"/>
        <v>0</v>
      </c>
      <c r="BI50" s="384">
        <f t="shared" si="38"/>
        <v>0</v>
      </c>
      <c r="BJ50" s="387">
        <f t="shared" si="38"/>
        <v>0</v>
      </c>
      <c r="BK50" s="535">
        <f t="shared" si="24"/>
        <v>1987</v>
      </c>
      <c r="BL50" s="1277">
        <f t="shared" si="39"/>
        <v>0</v>
      </c>
      <c r="BM50" s="1278">
        <f t="shared" si="40"/>
        <v>0</v>
      </c>
      <c r="BN50" s="341"/>
      <c r="BO50" s="340"/>
      <c r="BP50" s="1277">
        <v>0</v>
      </c>
      <c r="BQ50" s="1278">
        <v>0</v>
      </c>
      <c r="BR50" s="415">
        <f t="shared" si="25"/>
        <v>1</v>
      </c>
      <c r="BS50" s="416">
        <f t="shared" si="11"/>
        <v>1</v>
      </c>
      <c r="BT50" s="341"/>
      <c r="BU50" s="340"/>
      <c r="BV50" s="666">
        <f t="shared" si="47"/>
        <v>0</v>
      </c>
      <c r="BW50" s="680">
        <f t="shared" si="47"/>
        <v>0</v>
      </c>
      <c r="BX50" s="384">
        <f t="shared" si="41"/>
        <v>0</v>
      </c>
      <c r="BY50" s="387">
        <f t="shared" si="41"/>
        <v>0</v>
      </c>
      <c r="BZ50" s="535">
        <f t="shared" si="27"/>
        <v>1990</v>
      </c>
      <c r="CA50" s="666">
        <f t="shared" si="48"/>
        <v>0</v>
      </c>
      <c r="CB50" s="667">
        <f t="shared" si="48"/>
        <v>0</v>
      </c>
      <c r="CC50" s="666">
        <f t="shared" si="49"/>
        <v>0</v>
      </c>
      <c r="CD50" s="667">
        <f t="shared" si="49"/>
        <v>0</v>
      </c>
      <c r="CE50" s="341"/>
      <c r="CF50" s="340"/>
      <c r="CG50" s="384">
        <f t="shared" si="42"/>
        <v>0</v>
      </c>
      <c r="CH50" s="387">
        <f t="shared" si="42"/>
        <v>0</v>
      </c>
    </row>
    <row r="51" spans="2:86" ht="13.5" thickTop="1" x14ac:dyDescent="0.2">
      <c r="B51" s="276">
        <v>36</v>
      </c>
      <c r="C51" s="320">
        <f t="shared" si="28"/>
        <v>37</v>
      </c>
      <c r="D51" s="534">
        <f t="shared" si="13"/>
        <v>1989</v>
      </c>
      <c r="E51" s="337"/>
      <c r="F51" s="338"/>
      <c r="G51" s="1271">
        <v>0</v>
      </c>
      <c r="H51" s="1289">
        <v>0</v>
      </c>
      <c r="I51" s="400">
        <f t="shared" si="43"/>
        <v>0</v>
      </c>
      <c r="J51" s="401">
        <f t="shared" si="4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29"/>
        <v>0.99975129957285458</v>
      </c>
      <c r="P51" s="1143">
        <f t="shared" si="29"/>
        <v>0.99986451382907315</v>
      </c>
      <c r="Q51" s="356">
        <f t="shared" si="14"/>
        <v>1989</v>
      </c>
      <c r="R51" s="337"/>
      <c r="S51" s="338"/>
      <c r="T51" s="664">
        <f t="shared" si="15"/>
        <v>0</v>
      </c>
      <c r="U51" s="665">
        <f t="shared" si="16"/>
        <v>0</v>
      </c>
      <c r="V51" s="337"/>
      <c r="W51" s="338"/>
      <c r="X51" s="383">
        <f t="shared" si="30"/>
        <v>0</v>
      </c>
      <c r="Y51" s="386">
        <f t="shared" si="30"/>
        <v>0</v>
      </c>
      <c r="Z51" s="534">
        <f t="shared" si="17"/>
        <v>1989</v>
      </c>
      <c r="AA51" s="664">
        <f t="shared" si="31"/>
        <v>0</v>
      </c>
      <c r="AB51" s="665">
        <f t="shared" si="31"/>
        <v>0</v>
      </c>
      <c r="AC51" s="337"/>
      <c r="AD51" s="338"/>
      <c r="AE51" s="383">
        <f t="shared" si="32"/>
        <v>0</v>
      </c>
      <c r="AF51" s="386">
        <f t="shared" si="32"/>
        <v>0</v>
      </c>
      <c r="AG51" s="534">
        <f t="shared" si="18"/>
        <v>1988</v>
      </c>
      <c r="AH51" s="1271">
        <f t="shared" si="33"/>
        <v>0</v>
      </c>
      <c r="AI51" s="1276">
        <f t="shared" si="34"/>
        <v>0</v>
      </c>
      <c r="AJ51" s="337"/>
      <c r="AK51" s="338"/>
      <c r="AL51" s="1271">
        <v>0</v>
      </c>
      <c r="AM51" s="1276">
        <v>0</v>
      </c>
      <c r="AN51" s="414">
        <f t="shared" si="19"/>
        <v>1</v>
      </c>
      <c r="AO51" s="413">
        <f t="shared" si="3"/>
        <v>1</v>
      </c>
      <c r="AP51" s="337"/>
      <c r="AQ51" s="338"/>
      <c r="AR51" s="664">
        <f t="shared" si="45"/>
        <v>0</v>
      </c>
      <c r="AS51" s="679">
        <f t="shared" si="45"/>
        <v>0</v>
      </c>
      <c r="AT51" s="383">
        <f t="shared" si="35"/>
        <v>0</v>
      </c>
      <c r="AU51" s="386">
        <f t="shared" si="4"/>
        <v>0</v>
      </c>
      <c r="AV51" s="534">
        <f t="shared" si="21"/>
        <v>1987</v>
      </c>
      <c r="AW51" s="1271">
        <f t="shared" si="36"/>
        <v>0</v>
      </c>
      <c r="AX51" s="1276">
        <f t="shared" si="37"/>
        <v>0</v>
      </c>
      <c r="AY51" s="337"/>
      <c r="AZ51" s="338"/>
      <c r="BA51" s="1271">
        <v>0</v>
      </c>
      <c r="BB51" s="1276">
        <v>0</v>
      </c>
      <c r="BC51" s="414">
        <f t="shared" si="22"/>
        <v>1</v>
      </c>
      <c r="BD51" s="413">
        <f t="shared" si="7"/>
        <v>1</v>
      </c>
      <c r="BE51" s="337"/>
      <c r="BF51" s="338"/>
      <c r="BG51" s="664">
        <f t="shared" si="46"/>
        <v>0</v>
      </c>
      <c r="BH51" s="679">
        <f t="shared" si="46"/>
        <v>0</v>
      </c>
      <c r="BI51" s="383">
        <f t="shared" si="38"/>
        <v>0</v>
      </c>
      <c r="BJ51" s="386">
        <f t="shared" si="38"/>
        <v>0</v>
      </c>
      <c r="BK51" s="534">
        <f t="shared" si="24"/>
        <v>1986</v>
      </c>
      <c r="BL51" s="1271">
        <f t="shared" si="39"/>
        <v>0</v>
      </c>
      <c r="BM51" s="1276">
        <f t="shared" si="40"/>
        <v>0</v>
      </c>
      <c r="BN51" s="337"/>
      <c r="BO51" s="338"/>
      <c r="BP51" s="1271">
        <v>0</v>
      </c>
      <c r="BQ51" s="1276">
        <v>0</v>
      </c>
      <c r="BR51" s="414">
        <f t="shared" si="25"/>
        <v>1</v>
      </c>
      <c r="BS51" s="413">
        <f t="shared" si="11"/>
        <v>1</v>
      </c>
      <c r="BT51" s="337"/>
      <c r="BU51" s="338"/>
      <c r="BV51" s="664">
        <f t="shared" si="47"/>
        <v>0</v>
      </c>
      <c r="BW51" s="679">
        <f t="shared" si="47"/>
        <v>0</v>
      </c>
      <c r="BX51" s="383">
        <f t="shared" si="41"/>
        <v>0</v>
      </c>
      <c r="BY51" s="386">
        <f t="shared" si="41"/>
        <v>0</v>
      </c>
      <c r="BZ51" s="534">
        <f t="shared" si="27"/>
        <v>1989</v>
      </c>
      <c r="CA51" s="664">
        <f t="shared" si="48"/>
        <v>0</v>
      </c>
      <c r="CB51" s="665">
        <f t="shared" si="48"/>
        <v>0</v>
      </c>
      <c r="CC51" s="664">
        <f t="shared" si="49"/>
        <v>0</v>
      </c>
      <c r="CD51" s="665">
        <f t="shared" si="49"/>
        <v>0</v>
      </c>
      <c r="CE51" s="337"/>
      <c r="CF51" s="338"/>
      <c r="CG51" s="383">
        <f t="shared" si="42"/>
        <v>0</v>
      </c>
      <c r="CH51" s="386">
        <f t="shared" si="42"/>
        <v>0</v>
      </c>
    </row>
    <row r="52" spans="2:86" x14ac:dyDescent="0.2">
      <c r="B52" s="276">
        <v>37</v>
      </c>
      <c r="C52" s="320">
        <f t="shared" si="28"/>
        <v>38</v>
      </c>
      <c r="D52" s="534">
        <f t="shared" si="13"/>
        <v>1988</v>
      </c>
      <c r="E52" s="337"/>
      <c r="F52" s="338"/>
      <c r="G52" s="1271">
        <v>0</v>
      </c>
      <c r="H52" s="1289">
        <v>0</v>
      </c>
      <c r="I52" s="400">
        <f t="shared" si="43"/>
        <v>0</v>
      </c>
      <c r="J52" s="401">
        <f t="shared" si="4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29"/>
        <v>0.99973638734302195</v>
      </c>
      <c r="P52" s="1143">
        <f t="shared" si="29"/>
        <v>0.99985303731449049</v>
      </c>
      <c r="Q52" s="356">
        <f t="shared" si="14"/>
        <v>1988</v>
      </c>
      <c r="R52" s="337"/>
      <c r="S52" s="338"/>
      <c r="T52" s="664">
        <f t="shared" si="15"/>
        <v>0</v>
      </c>
      <c r="U52" s="665">
        <f t="shared" si="16"/>
        <v>0</v>
      </c>
      <c r="V52" s="337"/>
      <c r="W52" s="338"/>
      <c r="X52" s="383">
        <f t="shared" si="30"/>
        <v>0</v>
      </c>
      <c r="Y52" s="386">
        <f t="shared" si="30"/>
        <v>0</v>
      </c>
      <c r="Z52" s="534">
        <f t="shared" si="17"/>
        <v>1988</v>
      </c>
      <c r="AA52" s="664">
        <f t="shared" si="31"/>
        <v>0</v>
      </c>
      <c r="AB52" s="665">
        <f t="shared" si="31"/>
        <v>0</v>
      </c>
      <c r="AC52" s="337"/>
      <c r="AD52" s="338"/>
      <c r="AE52" s="383">
        <f t="shared" si="32"/>
        <v>0</v>
      </c>
      <c r="AF52" s="386">
        <f t="shared" si="32"/>
        <v>0</v>
      </c>
      <c r="AG52" s="534">
        <f t="shared" si="18"/>
        <v>1987</v>
      </c>
      <c r="AH52" s="1271">
        <f t="shared" si="33"/>
        <v>0</v>
      </c>
      <c r="AI52" s="1276">
        <f t="shared" si="34"/>
        <v>0</v>
      </c>
      <c r="AJ52" s="337"/>
      <c r="AK52" s="338"/>
      <c r="AL52" s="1271">
        <v>0</v>
      </c>
      <c r="AM52" s="1276">
        <v>0</v>
      </c>
      <c r="AN52" s="414">
        <f t="shared" si="19"/>
        <v>1</v>
      </c>
      <c r="AO52" s="413">
        <f t="shared" si="3"/>
        <v>1</v>
      </c>
      <c r="AP52" s="337"/>
      <c r="AQ52" s="338"/>
      <c r="AR52" s="664">
        <f t="shared" si="45"/>
        <v>0</v>
      </c>
      <c r="AS52" s="679">
        <f t="shared" si="45"/>
        <v>0</v>
      </c>
      <c r="AT52" s="383">
        <f t="shared" si="35"/>
        <v>0</v>
      </c>
      <c r="AU52" s="386">
        <f t="shared" si="4"/>
        <v>0</v>
      </c>
      <c r="AV52" s="534">
        <f t="shared" si="21"/>
        <v>1986</v>
      </c>
      <c r="AW52" s="1271">
        <f t="shared" si="36"/>
        <v>0</v>
      </c>
      <c r="AX52" s="1276">
        <f t="shared" si="37"/>
        <v>0</v>
      </c>
      <c r="AY52" s="337"/>
      <c r="AZ52" s="338"/>
      <c r="BA52" s="1271">
        <v>0</v>
      </c>
      <c r="BB52" s="1276">
        <v>0</v>
      </c>
      <c r="BC52" s="414">
        <f t="shared" si="22"/>
        <v>1</v>
      </c>
      <c r="BD52" s="413">
        <f t="shared" si="7"/>
        <v>1</v>
      </c>
      <c r="BE52" s="337"/>
      <c r="BF52" s="338"/>
      <c r="BG52" s="664">
        <f t="shared" si="46"/>
        <v>0</v>
      </c>
      <c r="BH52" s="679">
        <f t="shared" si="46"/>
        <v>0</v>
      </c>
      <c r="BI52" s="383">
        <f t="shared" si="38"/>
        <v>0</v>
      </c>
      <c r="BJ52" s="386">
        <f t="shared" si="38"/>
        <v>0</v>
      </c>
      <c r="BK52" s="534">
        <f t="shared" si="24"/>
        <v>1985</v>
      </c>
      <c r="BL52" s="1271">
        <f t="shared" si="39"/>
        <v>0</v>
      </c>
      <c r="BM52" s="1276">
        <f t="shared" si="40"/>
        <v>0</v>
      </c>
      <c r="BN52" s="337"/>
      <c r="BO52" s="338"/>
      <c r="BP52" s="1271">
        <v>0</v>
      </c>
      <c r="BQ52" s="1276">
        <v>0</v>
      </c>
      <c r="BR52" s="414">
        <f t="shared" si="25"/>
        <v>1</v>
      </c>
      <c r="BS52" s="413">
        <f t="shared" si="11"/>
        <v>1</v>
      </c>
      <c r="BT52" s="337"/>
      <c r="BU52" s="338"/>
      <c r="BV52" s="664">
        <f t="shared" si="47"/>
        <v>0</v>
      </c>
      <c r="BW52" s="679">
        <f t="shared" si="47"/>
        <v>0</v>
      </c>
      <c r="BX52" s="383">
        <f t="shared" si="41"/>
        <v>0</v>
      </c>
      <c r="BY52" s="386">
        <f t="shared" si="41"/>
        <v>0</v>
      </c>
      <c r="BZ52" s="534">
        <f t="shared" si="27"/>
        <v>1988</v>
      </c>
      <c r="CA52" s="664">
        <f t="shared" si="48"/>
        <v>0</v>
      </c>
      <c r="CB52" s="665">
        <f t="shared" si="48"/>
        <v>0</v>
      </c>
      <c r="CC52" s="664">
        <f t="shared" si="49"/>
        <v>0</v>
      </c>
      <c r="CD52" s="665">
        <f t="shared" si="49"/>
        <v>0</v>
      </c>
      <c r="CE52" s="337"/>
      <c r="CF52" s="338"/>
      <c r="CG52" s="383">
        <f t="shared" si="42"/>
        <v>0</v>
      </c>
      <c r="CH52" s="386">
        <f t="shared" si="42"/>
        <v>0</v>
      </c>
    </row>
    <row r="53" spans="2:86" x14ac:dyDescent="0.2">
      <c r="B53" s="276">
        <v>38</v>
      </c>
      <c r="C53" s="320">
        <f t="shared" si="28"/>
        <v>39</v>
      </c>
      <c r="D53" s="534">
        <f t="shared" si="13"/>
        <v>1987</v>
      </c>
      <c r="E53" s="337"/>
      <c r="F53" s="338"/>
      <c r="G53" s="1271">
        <v>0</v>
      </c>
      <c r="H53" s="1289">
        <v>0</v>
      </c>
      <c r="I53" s="400">
        <f t="shared" si="43"/>
        <v>0</v>
      </c>
      <c r="J53" s="401">
        <f t="shared" si="4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29"/>
        <v>0.99971903958715347</v>
      </c>
      <c r="P53" s="1143">
        <f t="shared" si="29"/>
        <v>0.99984011875148715</v>
      </c>
      <c r="Q53" s="356">
        <f t="shared" si="14"/>
        <v>1987</v>
      </c>
      <c r="R53" s="337"/>
      <c r="S53" s="338"/>
      <c r="T53" s="664">
        <f t="shared" si="15"/>
        <v>0</v>
      </c>
      <c r="U53" s="665">
        <f t="shared" si="16"/>
        <v>0</v>
      </c>
      <c r="V53" s="337"/>
      <c r="W53" s="338"/>
      <c r="X53" s="383">
        <f t="shared" si="30"/>
        <v>0</v>
      </c>
      <c r="Y53" s="386">
        <f t="shared" si="30"/>
        <v>0</v>
      </c>
      <c r="Z53" s="534">
        <f t="shared" si="17"/>
        <v>1987</v>
      </c>
      <c r="AA53" s="664">
        <f t="shared" si="31"/>
        <v>0</v>
      </c>
      <c r="AB53" s="665">
        <f t="shared" si="31"/>
        <v>0</v>
      </c>
      <c r="AC53" s="337"/>
      <c r="AD53" s="338"/>
      <c r="AE53" s="383">
        <f t="shared" si="32"/>
        <v>0</v>
      </c>
      <c r="AF53" s="386">
        <f t="shared" si="32"/>
        <v>0</v>
      </c>
      <c r="AG53" s="534">
        <f t="shared" si="18"/>
        <v>1986</v>
      </c>
      <c r="AH53" s="1271">
        <f t="shared" si="33"/>
        <v>0</v>
      </c>
      <c r="AI53" s="1276">
        <f t="shared" si="34"/>
        <v>0</v>
      </c>
      <c r="AJ53" s="337"/>
      <c r="AK53" s="338"/>
      <c r="AL53" s="1271">
        <v>0</v>
      </c>
      <c r="AM53" s="1276">
        <v>0</v>
      </c>
      <c r="AN53" s="414">
        <f t="shared" si="19"/>
        <v>1</v>
      </c>
      <c r="AO53" s="413">
        <f t="shared" si="3"/>
        <v>1</v>
      </c>
      <c r="AP53" s="337"/>
      <c r="AQ53" s="338"/>
      <c r="AR53" s="664">
        <f t="shared" si="45"/>
        <v>0</v>
      </c>
      <c r="AS53" s="679">
        <f t="shared" si="45"/>
        <v>0</v>
      </c>
      <c r="AT53" s="383">
        <f t="shared" si="35"/>
        <v>0</v>
      </c>
      <c r="AU53" s="386">
        <f t="shared" si="4"/>
        <v>0</v>
      </c>
      <c r="AV53" s="534">
        <f t="shared" si="21"/>
        <v>1985</v>
      </c>
      <c r="AW53" s="1271">
        <f t="shared" si="36"/>
        <v>0</v>
      </c>
      <c r="AX53" s="1276">
        <f t="shared" si="37"/>
        <v>0</v>
      </c>
      <c r="AY53" s="337"/>
      <c r="AZ53" s="338"/>
      <c r="BA53" s="1271">
        <v>0</v>
      </c>
      <c r="BB53" s="1276">
        <v>0</v>
      </c>
      <c r="BC53" s="414">
        <f t="shared" si="22"/>
        <v>1</v>
      </c>
      <c r="BD53" s="413">
        <f t="shared" si="7"/>
        <v>1</v>
      </c>
      <c r="BE53" s="337"/>
      <c r="BF53" s="338"/>
      <c r="BG53" s="664">
        <f t="shared" si="46"/>
        <v>0</v>
      </c>
      <c r="BH53" s="679">
        <f t="shared" si="46"/>
        <v>0</v>
      </c>
      <c r="BI53" s="383">
        <f t="shared" si="38"/>
        <v>0</v>
      </c>
      <c r="BJ53" s="386">
        <f t="shared" si="38"/>
        <v>0</v>
      </c>
      <c r="BK53" s="534">
        <f t="shared" si="24"/>
        <v>1984</v>
      </c>
      <c r="BL53" s="1271">
        <f t="shared" si="39"/>
        <v>0</v>
      </c>
      <c r="BM53" s="1276">
        <f t="shared" si="40"/>
        <v>0</v>
      </c>
      <c r="BN53" s="337"/>
      <c r="BO53" s="338"/>
      <c r="BP53" s="1271">
        <v>0</v>
      </c>
      <c r="BQ53" s="1276">
        <v>0</v>
      </c>
      <c r="BR53" s="414">
        <f t="shared" si="25"/>
        <v>1</v>
      </c>
      <c r="BS53" s="413">
        <f t="shared" si="11"/>
        <v>1</v>
      </c>
      <c r="BT53" s="337"/>
      <c r="BU53" s="338"/>
      <c r="BV53" s="664">
        <f t="shared" si="47"/>
        <v>0</v>
      </c>
      <c r="BW53" s="679">
        <f t="shared" si="47"/>
        <v>0</v>
      </c>
      <c r="BX53" s="383">
        <f t="shared" si="41"/>
        <v>0</v>
      </c>
      <c r="BY53" s="386">
        <f t="shared" si="41"/>
        <v>0</v>
      </c>
      <c r="BZ53" s="534">
        <f t="shared" si="27"/>
        <v>1987</v>
      </c>
      <c r="CA53" s="664">
        <f t="shared" si="48"/>
        <v>0</v>
      </c>
      <c r="CB53" s="665">
        <f t="shared" si="48"/>
        <v>0</v>
      </c>
      <c r="CC53" s="664">
        <f t="shared" si="49"/>
        <v>0</v>
      </c>
      <c r="CD53" s="665">
        <f t="shared" si="49"/>
        <v>0</v>
      </c>
      <c r="CE53" s="337"/>
      <c r="CF53" s="338"/>
      <c r="CG53" s="383">
        <f t="shared" si="42"/>
        <v>0</v>
      </c>
      <c r="CH53" s="386">
        <f t="shared" si="42"/>
        <v>0</v>
      </c>
    </row>
    <row r="54" spans="2:86" x14ac:dyDescent="0.2">
      <c r="B54" s="276">
        <v>39</v>
      </c>
      <c r="C54" s="320">
        <f t="shared" si="28"/>
        <v>40</v>
      </c>
      <c r="D54" s="534">
        <f t="shared" si="13"/>
        <v>1986</v>
      </c>
      <c r="E54" s="337"/>
      <c r="F54" s="338"/>
      <c r="G54" s="1271">
        <v>0</v>
      </c>
      <c r="H54" s="1289">
        <v>0</v>
      </c>
      <c r="I54" s="400">
        <f t="shared" si="43"/>
        <v>0</v>
      </c>
      <c r="J54" s="401">
        <f t="shared" si="4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29"/>
        <v>0.99969896181655393</v>
      </c>
      <c r="P54" s="1143">
        <f t="shared" si="29"/>
        <v>0.99982555171432597</v>
      </c>
      <c r="Q54" s="356">
        <f t="shared" si="14"/>
        <v>1986</v>
      </c>
      <c r="R54" s="337"/>
      <c r="S54" s="338"/>
      <c r="T54" s="664">
        <f t="shared" si="15"/>
        <v>0</v>
      </c>
      <c r="U54" s="665">
        <f t="shared" si="16"/>
        <v>0</v>
      </c>
      <c r="V54" s="337"/>
      <c r="W54" s="338"/>
      <c r="X54" s="383">
        <f t="shared" si="30"/>
        <v>0</v>
      </c>
      <c r="Y54" s="386">
        <f t="shared" si="30"/>
        <v>0</v>
      </c>
      <c r="Z54" s="534">
        <f t="shared" si="17"/>
        <v>1986</v>
      </c>
      <c r="AA54" s="664">
        <f t="shared" si="31"/>
        <v>0</v>
      </c>
      <c r="AB54" s="665">
        <f t="shared" si="31"/>
        <v>0</v>
      </c>
      <c r="AC54" s="337"/>
      <c r="AD54" s="338"/>
      <c r="AE54" s="383">
        <f t="shared" si="32"/>
        <v>0</v>
      </c>
      <c r="AF54" s="386">
        <f t="shared" si="32"/>
        <v>0</v>
      </c>
      <c r="AG54" s="534">
        <f t="shared" si="18"/>
        <v>1985</v>
      </c>
      <c r="AH54" s="1271">
        <f t="shared" si="33"/>
        <v>0</v>
      </c>
      <c r="AI54" s="1276">
        <f t="shared" si="34"/>
        <v>0</v>
      </c>
      <c r="AJ54" s="337"/>
      <c r="AK54" s="338"/>
      <c r="AL54" s="1271">
        <v>0</v>
      </c>
      <c r="AM54" s="1276">
        <v>0</v>
      </c>
      <c r="AN54" s="414">
        <f t="shared" si="19"/>
        <v>1</v>
      </c>
      <c r="AO54" s="413">
        <f t="shared" si="3"/>
        <v>1</v>
      </c>
      <c r="AP54" s="337"/>
      <c r="AQ54" s="338"/>
      <c r="AR54" s="664">
        <f t="shared" si="45"/>
        <v>0</v>
      </c>
      <c r="AS54" s="679">
        <f t="shared" si="45"/>
        <v>0</v>
      </c>
      <c r="AT54" s="383">
        <f t="shared" si="35"/>
        <v>0</v>
      </c>
      <c r="AU54" s="386">
        <f t="shared" si="4"/>
        <v>0</v>
      </c>
      <c r="AV54" s="534">
        <f t="shared" si="21"/>
        <v>1984</v>
      </c>
      <c r="AW54" s="1271">
        <f t="shared" si="36"/>
        <v>0</v>
      </c>
      <c r="AX54" s="1276">
        <f t="shared" si="37"/>
        <v>0</v>
      </c>
      <c r="AY54" s="337"/>
      <c r="AZ54" s="338"/>
      <c r="BA54" s="1271">
        <v>0</v>
      </c>
      <c r="BB54" s="1276">
        <v>0</v>
      </c>
      <c r="BC54" s="414">
        <f t="shared" si="22"/>
        <v>1</v>
      </c>
      <c r="BD54" s="413">
        <f t="shared" si="7"/>
        <v>1</v>
      </c>
      <c r="BE54" s="337"/>
      <c r="BF54" s="338"/>
      <c r="BG54" s="664">
        <f t="shared" si="46"/>
        <v>0</v>
      </c>
      <c r="BH54" s="679">
        <f t="shared" si="46"/>
        <v>0</v>
      </c>
      <c r="BI54" s="383">
        <f t="shared" si="38"/>
        <v>0</v>
      </c>
      <c r="BJ54" s="386">
        <f t="shared" si="38"/>
        <v>0</v>
      </c>
      <c r="BK54" s="534">
        <f t="shared" si="24"/>
        <v>1983</v>
      </c>
      <c r="BL54" s="1271">
        <f t="shared" si="39"/>
        <v>0</v>
      </c>
      <c r="BM54" s="1276">
        <f t="shared" si="40"/>
        <v>0</v>
      </c>
      <c r="BN54" s="337"/>
      <c r="BO54" s="338"/>
      <c r="BP54" s="1271">
        <v>0</v>
      </c>
      <c r="BQ54" s="1276">
        <v>0</v>
      </c>
      <c r="BR54" s="414">
        <f t="shared" si="25"/>
        <v>1</v>
      </c>
      <c r="BS54" s="413">
        <f t="shared" si="11"/>
        <v>1</v>
      </c>
      <c r="BT54" s="337"/>
      <c r="BU54" s="338"/>
      <c r="BV54" s="664">
        <f t="shared" si="47"/>
        <v>0</v>
      </c>
      <c r="BW54" s="679">
        <f t="shared" si="47"/>
        <v>0</v>
      </c>
      <c r="BX54" s="383">
        <f t="shared" si="41"/>
        <v>0</v>
      </c>
      <c r="BY54" s="386">
        <f t="shared" si="41"/>
        <v>0</v>
      </c>
      <c r="BZ54" s="534">
        <f t="shared" si="27"/>
        <v>1986</v>
      </c>
      <c r="CA54" s="664">
        <f t="shared" si="48"/>
        <v>0</v>
      </c>
      <c r="CB54" s="665">
        <f t="shared" si="48"/>
        <v>0</v>
      </c>
      <c r="CC54" s="664">
        <f t="shared" si="49"/>
        <v>0</v>
      </c>
      <c r="CD54" s="665">
        <f t="shared" si="49"/>
        <v>0</v>
      </c>
      <c r="CE54" s="337"/>
      <c r="CF54" s="338"/>
      <c r="CG54" s="383">
        <f t="shared" si="42"/>
        <v>0</v>
      </c>
      <c r="CH54" s="386">
        <f t="shared" si="42"/>
        <v>0</v>
      </c>
    </row>
    <row r="55" spans="2:86" ht="13.5" thickBot="1" x14ac:dyDescent="0.25">
      <c r="B55" s="313">
        <v>40</v>
      </c>
      <c r="C55" s="321">
        <f t="shared" si="28"/>
        <v>41</v>
      </c>
      <c r="D55" s="535">
        <f t="shared" si="13"/>
        <v>1985</v>
      </c>
      <c r="E55" s="341"/>
      <c r="F55" s="340"/>
      <c r="G55" s="1277">
        <v>0</v>
      </c>
      <c r="H55" s="1290">
        <v>0</v>
      </c>
      <c r="I55" s="406">
        <f t="shared" si="43"/>
        <v>0</v>
      </c>
      <c r="J55" s="407">
        <f t="shared" si="4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29"/>
        <v>0.99967580807980039</v>
      </c>
      <c r="P55" s="1144">
        <f t="shared" si="29"/>
        <v>0.99980911830973307</v>
      </c>
      <c r="Q55" s="313">
        <f t="shared" si="14"/>
        <v>1985</v>
      </c>
      <c r="R55" s="341"/>
      <c r="S55" s="340"/>
      <c r="T55" s="666">
        <f t="shared" si="15"/>
        <v>0</v>
      </c>
      <c r="U55" s="667">
        <f t="shared" si="16"/>
        <v>0</v>
      </c>
      <c r="V55" s="341"/>
      <c r="W55" s="340"/>
      <c r="X55" s="384">
        <f t="shared" si="30"/>
        <v>0</v>
      </c>
      <c r="Y55" s="387">
        <f t="shared" si="30"/>
        <v>0</v>
      </c>
      <c r="Z55" s="535">
        <f t="shared" si="17"/>
        <v>1985</v>
      </c>
      <c r="AA55" s="666">
        <f t="shared" si="31"/>
        <v>0</v>
      </c>
      <c r="AB55" s="667">
        <f t="shared" si="31"/>
        <v>0</v>
      </c>
      <c r="AC55" s="341"/>
      <c r="AD55" s="340"/>
      <c r="AE55" s="384">
        <f t="shared" si="32"/>
        <v>0</v>
      </c>
      <c r="AF55" s="387">
        <f t="shared" si="32"/>
        <v>0</v>
      </c>
      <c r="AG55" s="535">
        <f t="shared" si="18"/>
        <v>1984</v>
      </c>
      <c r="AH55" s="1277">
        <f t="shared" si="33"/>
        <v>0</v>
      </c>
      <c r="AI55" s="1278">
        <f t="shared" si="34"/>
        <v>0</v>
      </c>
      <c r="AJ55" s="341"/>
      <c r="AK55" s="340"/>
      <c r="AL55" s="1277">
        <v>0</v>
      </c>
      <c r="AM55" s="1278">
        <v>0</v>
      </c>
      <c r="AN55" s="415">
        <f t="shared" si="19"/>
        <v>1</v>
      </c>
      <c r="AO55" s="416">
        <f t="shared" si="3"/>
        <v>1</v>
      </c>
      <c r="AP55" s="341"/>
      <c r="AQ55" s="340"/>
      <c r="AR55" s="666">
        <f t="shared" si="45"/>
        <v>0</v>
      </c>
      <c r="AS55" s="680">
        <f t="shared" si="45"/>
        <v>0</v>
      </c>
      <c r="AT55" s="384">
        <f t="shared" si="35"/>
        <v>0</v>
      </c>
      <c r="AU55" s="387">
        <f t="shared" si="4"/>
        <v>0</v>
      </c>
      <c r="AV55" s="535">
        <f t="shared" si="21"/>
        <v>1983</v>
      </c>
      <c r="AW55" s="1277">
        <f t="shared" si="36"/>
        <v>0</v>
      </c>
      <c r="AX55" s="1278">
        <f t="shared" si="37"/>
        <v>0</v>
      </c>
      <c r="AY55" s="341"/>
      <c r="AZ55" s="340"/>
      <c r="BA55" s="1277">
        <v>0</v>
      </c>
      <c r="BB55" s="1278">
        <v>0</v>
      </c>
      <c r="BC55" s="415">
        <f t="shared" si="22"/>
        <v>1</v>
      </c>
      <c r="BD55" s="416">
        <f t="shared" si="7"/>
        <v>1</v>
      </c>
      <c r="BE55" s="341"/>
      <c r="BF55" s="340"/>
      <c r="BG55" s="666">
        <f t="shared" si="46"/>
        <v>0</v>
      </c>
      <c r="BH55" s="680">
        <f t="shared" si="46"/>
        <v>0</v>
      </c>
      <c r="BI55" s="384">
        <f t="shared" si="38"/>
        <v>0</v>
      </c>
      <c r="BJ55" s="387">
        <f t="shared" si="38"/>
        <v>0</v>
      </c>
      <c r="BK55" s="535">
        <f t="shared" si="24"/>
        <v>1982</v>
      </c>
      <c r="BL55" s="1277">
        <f t="shared" si="39"/>
        <v>0</v>
      </c>
      <c r="BM55" s="1278">
        <f t="shared" si="40"/>
        <v>0</v>
      </c>
      <c r="BN55" s="341"/>
      <c r="BO55" s="340"/>
      <c r="BP55" s="1277">
        <v>0</v>
      </c>
      <c r="BQ55" s="1278">
        <v>0</v>
      </c>
      <c r="BR55" s="415">
        <f t="shared" si="25"/>
        <v>1</v>
      </c>
      <c r="BS55" s="416">
        <f t="shared" si="11"/>
        <v>1</v>
      </c>
      <c r="BT55" s="341"/>
      <c r="BU55" s="340"/>
      <c r="BV55" s="666">
        <f t="shared" si="47"/>
        <v>0</v>
      </c>
      <c r="BW55" s="680">
        <f t="shared" si="47"/>
        <v>0</v>
      </c>
      <c r="BX55" s="384">
        <f t="shared" si="41"/>
        <v>0</v>
      </c>
      <c r="BY55" s="387">
        <f t="shared" si="41"/>
        <v>0</v>
      </c>
      <c r="BZ55" s="535">
        <f t="shared" si="27"/>
        <v>1985</v>
      </c>
      <c r="CA55" s="666">
        <f t="shared" si="48"/>
        <v>0</v>
      </c>
      <c r="CB55" s="667">
        <f t="shared" si="48"/>
        <v>0</v>
      </c>
      <c r="CC55" s="666">
        <f t="shared" si="49"/>
        <v>0</v>
      </c>
      <c r="CD55" s="667">
        <f t="shared" si="49"/>
        <v>0</v>
      </c>
      <c r="CE55" s="341"/>
      <c r="CF55" s="340"/>
      <c r="CG55" s="384">
        <f t="shared" si="42"/>
        <v>0</v>
      </c>
      <c r="CH55" s="387">
        <f t="shared" si="42"/>
        <v>0</v>
      </c>
    </row>
    <row r="56" spans="2:86" ht="13.5" thickTop="1" x14ac:dyDescent="0.2">
      <c r="B56" s="276">
        <v>41</v>
      </c>
      <c r="C56" s="320">
        <f t="shared" si="28"/>
        <v>42</v>
      </c>
      <c r="D56" s="534">
        <f t="shared" si="13"/>
        <v>1984</v>
      </c>
      <c r="E56" s="337"/>
      <c r="F56" s="338"/>
      <c r="G56" s="1271">
        <v>0</v>
      </c>
      <c r="H56" s="1289">
        <v>0</v>
      </c>
      <c r="I56" s="400">
        <f t="shared" si="43"/>
        <v>0</v>
      </c>
      <c r="J56" s="401">
        <f t="shared" si="4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29"/>
        <v>0.99964917800495434</v>
      </c>
      <c r="P56" s="1143">
        <f t="shared" si="29"/>
        <v>0.99979059834653605</v>
      </c>
      <c r="Q56" s="356">
        <f t="shared" si="14"/>
        <v>1984</v>
      </c>
      <c r="R56" s="337"/>
      <c r="S56" s="338"/>
      <c r="T56" s="664">
        <f t="shared" si="15"/>
        <v>0</v>
      </c>
      <c r="U56" s="665">
        <f t="shared" si="16"/>
        <v>0</v>
      </c>
      <c r="V56" s="337"/>
      <c r="W56" s="338"/>
      <c r="X56" s="383">
        <f t="shared" si="30"/>
        <v>0</v>
      </c>
      <c r="Y56" s="386">
        <f t="shared" si="30"/>
        <v>0</v>
      </c>
      <c r="Z56" s="534">
        <f t="shared" si="17"/>
        <v>1984</v>
      </c>
      <c r="AA56" s="664">
        <f t="shared" si="31"/>
        <v>0</v>
      </c>
      <c r="AB56" s="665">
        <f t="shared" si="31"/>
        <v>0</v>
      </c>
      <c r="AC56" s="337"/>
      <c r="AD56" s="338"/>
      <c r="AE56" s="383">
        <f t="shared" si="32"/>
        <v>0</v>
      </c>
      <c r="AF56" s="386">
        <f t="shared" si="32"/>
        <v>0</v>
      </c>
      <c r="AG56" s="534">
        <f t="shared" si="18"/>
        <v>1983</v>
      </c>
      <c r="AH56" s="1271">
        <f t="shared" si="33"/>
        <v>0</v>
      </c>
      <c r="AI56" s="1276">
        <f t="shared" si="34"/>
        <v>0</v>
      </c>
      <c r="AJ56" s="337"/>
      <c r="AK56" s="338"/>
      <c r="AL56" s="1271">
        <v>0</v>
      </c>
      <c r="AM56" s="1276">
        <v>0</v>
      </c>
      <c r="AN56" s="414">
        <f t="shared" si="19"/>
        <v>1</v>
      </c>
      <c r="AO56" s="413">
        <f t="shared" si="3"/>
        <v>1</v>
      </c>
      <c r="AP56" s="337"/>
      <c r="AQ56" s="338"/>
      <c r="AR56" s="664">
        <f t="shared" si="45"/>
        <v>0</v>
      </c>
      <c r="AS56" s="679">
        <f t="shared" si="45"/>
        <v>0</v>
      </c>
      <c r="AT56" s="383">
        <f t="shared" si="35"/>
        <v>0</v>
      </c>
      <c r="AU56" s="386">
        <f t="shared" si="4"/>
        <v>0</v>
      </c>
      <c r="AV56" s="534">
        <f t="shared" si="21"/>
        <v>1982</v>
      </c>
      <c r="AW56" s="1271">
        <f t="shared" si="36"/>
        <v>0</v>
      </c>
      <c r="AX56" s="1276">
        <f t="shared" si="37"/>
        <v>0</v>
      </c>
      <c r="AY56" s="337"/>
      <c r="AZ56" s="338"/>
      <c r="BA56" s="1271">
        <v>0</v>
      </c>
      <c r="BB56" s="1276">
        <v>0</v>
      </c>
      <c r="BC56" s="414">
        <f t="shared" si="22"/>
        <v>1</v>
      </c>
      <c r="BD56" s="413">
        <f t="shared" si="7"/>
        <v>1</v>
      </c>
      <c r="BE56" s="337"/>
      <c r="BF56" s="338"/>
      <c r="BG56" s="664">
        <f t="shared" si="46"/>
        <v>0</v>
      </c>
      <c r="BH56" s="679">
        <f t="shared" si="46"/>
        <v>0</v>
      </c>
      <c r="BI56" s="383">
        <f t="shared" si="38"/>
        <v>0</v>
      </c>
      <c r="BJ56" s="386">
        <f t="shared" si="38"/>
        <v>0</v>
      </c>
      <c r="BK56" s="534">
        <f t="shared" si="24"/>
        <v>1981</v>
      </c>
      <c r="BL56" s="1271">
        <f t="shared" si="39"/>
        <v>0</v>
      </c>
      <c r="BM56" s="1276">
        <f t="shared" si="40"/>
        <v>0</v>
      </c>
      <c r="BN56" s="337"/>
      <c r="BO56" s="338"/>
      <c r="BP56" s="1271">
        <v>0</v>
      </c>
      <c r="BQ56" s="1276">
        <v>0</v>
      </c>
      <c r="BR56" s="414">
        <f t="shared" si="25"/>
        <v>1</v>
      </c>
      <c r="BS56" s="413">
        <f t="shared" si="11"/>
        <v>1</v>
      </c>
      <c r="BT56" s="337"/>
      <c r="BU56" s="338"/>
      <c r="BV56" s="664">
        <f t="shared" si="47"/>
        <v>0</v>
      </c>
      <c r="BW56" s="679">
        <f t="shared" si="47"/>
        <v>0</v>
      </c>
      <c r="BX56" s="383">
        <f t="shared" si="41"/>
        <v>0</v>
      </c>
      <c r="BY56" s="386">
        <f t="shared" si="41"/>
        <v>0</v>
      </c>
      <c r="BZ56" s="534">
        <f t="shared" si="27"/>
        <v>1984</v>
      </c>
      <c r="CA56" s="664">
        <f t="shared" si="48"/>
        <v>0</v>
      </c>
      <c r="CB56" s="665">
        <f t="shared" si="48"/>
        <v>0</v>
      </c>
      <c r="CC56" s="664">
        <f t="shared" si="49"/>
        <v>0</v>
      </c>
      <c r="CD56" s="665">
        <f t="shared" si="49"/>
        <v>0</v>
      </c>
      <c r="CE56" s="337"/>
      <c r="CF56" s="338"/>
      <c r="CG56" s="383">
        <f t="shared" si="42"/>
        <v>0</v>
      </c>
      <c r="CH56" s="386">
        <f t="shared" si="42"/>
        <v>0</v>
      </c>
    </row>
    <row r="57" spans="2:86" x14ac:dyDescent="0.2">
      <c r="B57" s="276">
        <v>42</v>
      </c>
      <c r="C57" s="320">
        <f t="shared" si="28"/>
        <v>43</v>
      </c>
      <c r="D57" s="534">
        <f t="shared" si="13"/>
        <v>1983</v>
      </c>
      <c r="E57" s="337"/>
      <c r="F57" s="338"/>
      <c r="G57" s="1271">
        <v>0</v>
      </c>
      <c r="H57" s="1289">
        <v>0</v>
      </c>
      <c r="I57" s="400">
        <f t="shared" si="43"/>
        <v>0</v>
      </c>
      <c r="J57" s="401">
        <f t="shared" si="4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29"/>
        <v>0.99961861281431608</v>
      </c>
      <c r="P57" s="1143">
        <f t="shared" si="29"/>
        <v>0.999769777370073</v>
      </c>
      <c r="Q57" s="356">
        <f t="shared" si="14"/>
        <v>1983</v>
      </c>
      <c r="R57" s="337"/>
      <c r="S57" s="338"/>
      <c r="T57" s="664">
        <f t="shared" si="15"/>
        <v>0</v>
      </c>
      <c r="U57" s="665">
        <f t="shared" si="16"/>
        <v>0</v>
      </c>
      <c r="V57" s="337"/>
      <c r="W57" s="338"/>
      <c r="X57" s="383">
        <f t="shared" si="30"/>
        <v>0</v>
      </c>
      <c r="Y57" s="386">
        <f t="shared" si="30"/>
        <v>0</v>
      </c>
      <c r="Z57" s="534">
        <f t="shared" si="17"/>
        <v>1983</v>
      </c>
      <c r="AA57" s="664">
        <f t="shared" si="31"/>
        <v>0</v>
      </c>
      <c r="AB57" s="665">
        <f t="shared" si="31"/>
        <v>0</v>
      </c>
      <c r="AC57" s="337"/>
      <c r="AD57" s="338"/>
      <c r="AE57" s="383">
        <f t="shared" si="32"/>
        <v>0</v>
      </c>
      <c r="AF57" s="386">
        <f t="shared" si="32"/>
        <v>0</v>
      </c>
      <c r="AG57" s="534">
        <f t="shared" si="18"/>
        <v>1982</v>
      </c>
      <c r="AH57" s="1271">
        <f t="shared" si="33"/>
        <v>0</v>
      </c>
      <c r="AI57" s="1276">
        <f t="shared" si="34"/>
        <v>0</v>
      </c>
      <c r="AJ57" s="337"/>
      <c r="AK57" s="338"/>
      <c r="AL57" s="1271">
        <v>0</v>
      </c>
      <c r="AM57" s="1276">
        <v>0</v>
      </c>
      <c r="AN57" s="414">
        <f t="shared" si="19"/>
        <v>1</v>
      </c>
      <c r="AO57" s="413">
        <f t="shared" si="3"/>
        <v>1</v>
      </c>
      <c r="AP57" s="337"/>
      <c r="AQ57" s="338"/>
      <c r="AR57" s="664">
        <f t="shared" si="45"/>
        <v>0</v>
      </c>
      <c r="AS57" s="679">
        <f t="shared" si="45"/>
        <v>0</v>
      </c>
      <c r="AT57" s="383">
        <f t="shared" si="35"/>
        <v>0</v>
      </c>
      <c r="AU57" s="386">
        <f t="shared" si="4"/>
        <v>0</v>
      </c>
      <c r="AV57" s="534">
        <f t="shared" si="21"/>
        <v>1981</v>
      </c>
      <c r="AW57" s="1271">
        <f t="shared" si="36"/>
        <v>0</v>
      </c>
      <c r="AX57" s="1276">
        <f t="shared" si="37"/>
        <v>0</v>
      </c>
      <c r="AY57" s="337"/>
      <c r="AZ57" s="338"/>
      <c r="BA57" s="1271">
        <v>0</v>
      </c>
      <c r="BB57" s="1276">
        <v>0</v>
      </c>
      <c r="BC57" s="414">
        <f t="shared" si="22"/>
        <v>1</v>
      </c>
      <c r="BD57" s="413">
        <f t="shared" si="7"/>
        <v>1</v>
      </c>
      <c r="BE57" s="337"/>
      <c r="BF57" s="338"/>
      <c r="BG57" s="664">
        <f t="shared" si="46"/>
        <v>0</v>
      </c>
      <c r="BH57" s="679">
        <f t="shared" si="46"/>
        <v>0</v>
      </c>
      <c r="BI57" s="383">
        <f t="shared" si="38"/>
        <v>0</v>
      </c>
      <c r="BJ57" s="386">
        <f t="shared" si="38"/>
        <v>0</v>
      </c>
      <c r="BK57" s="534">
        <f t="shared" si="24"/>
        <v>1980</v>
      </c>
      <c r="BL57" s="1271">
        <f t="shared" si="39"/>
        <v>0</v>
      </c>
      <c r="BM57" s="1276">
        <f t="shared" si="40"/>
        <v>0</v>
      </c>
      <c r="BN57" s="337"/>
      <c r="BO57" s="338"/>
      <c r="BP57" s="1271">
        <v>0</v>
      </c>
      <c r="BQ57" s="1276">
        <v>0</v>
      </c>
      <c r="BR57" s="414">
        <f t="shared" si="25"/>
        <v>1</v>
      </c>
      <c r="BS57" s="413">
        <f t="shared" si="11"/>
        <v>1</v>
      </c>
      <c r="BT57" s="337"/>
      <c r="BU57" s="338"/>
      <c r="BV57" s="664">
        <f t="shared" si="47"/>
        <v>0</v>
      </c>
      <c r="BW57" s="679">
        <f t="shared" si="47"/>
        <v>0</v>
      </c>
      <c r="BX57" s="383">
        <f t="shared" si="41"/>
        <v>0</v>
      </c>
      <c r="BY57" s="386">
        <f t="shared" si="41"/>
        <v>0</v>
      </c>
      <c r="BZ57" s="534">
        <f t="shared" si="27"/>
        <v>1983</v>
      </c>
      <c r="CA57" s="664">
        <f t="shared" si="48"/>
        <v>0</v>
      </c>
      <c r="CB57" s="665">
        <f t="shared" si="48"/>
        <v>0</v>
      </c>
      <c r="CC57" s="664">
        <f t="shared" si="49"/>
        <v>0</v>
      </c>
      <c r="CD57" s="665">
        <f t="shared" si="49"/>
        <v>0</v>
      </c>
      <c r="CE57" s="337"/>
      <c r="CF57" s="338"/>
      <c r="CG57" s="383">
        <f t="shared" si="42"/>
        <v>0</v>
      </c>
      <c r="CH57" s="386">
        <f t="shared" si="42"/>
        <v>0</v>
      </c>
    </row>
    <row r="58" spans="2:86" x14ac:dyDescent="0.2">
      <c r="B58" s="276">
        <v>43</v>
      </c>
      <c r="C58" s="320">
        <f t="shared" si="28"/>
        <v>44</v>
      </c>
      <c r="D58" s="534">
        <f t="shared" si="13"/>
        <v>1982</v>
      </c>
      <c r="E58" s="337"/>
      <c r="F58" s="338"/>
      <c r="G58" s="1271">
        <v>0</v>
      </c>
      <c r="H58" s="1289">
        <v>0</v>
      </c>
      <c r="I58" s="400">
        <f t="shared" si="43"/>
        <v>0</v>
      </c>
      <c r="J58" s="401">
        <f t="shared" si="4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29"/>
        <v>0.99958358998920294</v>
      </c>
      <c r="P58" s="1143">
        <f t="shared" si="29"/>
        <v>0.99974645114879457</v>
      </c>
      <c r="Q58" s="356">
        <f t="shared" si="14"/>
        <v>1982</v>
      </c>
      <c r="R58" s="337"/>
      <c r="S58" s="338"/>
      <c r="T58" s="664">
        <f t="shared" si="15"/>
        <v>0</v>
      </c>
      <c r="U58" s="665">
        <f t="shared" si="16"/>
        <v>0</v>
      </c>
      <c r="V58" s="337"/>
      <c r="W58" s="338"/>
      <c r="X58" s="383">
        <f t="shared" si="30"/>
        <v>0</v>
      </c>
      <c r="Y58" s="386">
        <f t="shared" si="30"/>
        <v>0</v>
      </c>
      <c r="Z58" s="534">
        <f t="shared" si="17"/>
        <v>1982</v>
      </c>
      <c r="AA58" s="664">
        <f t="shared" si="31"/>
        <v>0</v>
      </c>
      <c r="AB58" s="665">
        <f t="shared" si="31"/>
        <v>0</v>
      </c>
      <c r="AC58" s="337"/>
      <c r="AD58" s="338"/>
      <c r="AE58" s="383">
        <f t="shared" si="32"/>
        <v>0</v>
      </c>
      <c r="AF58" s="386">
        <f t="shared" si="32"/>
        <v>0</v>
      </c>
      <c r="AG58" s="534">
        <f t="shared" si="18"/>
        <v>1981</v>
      </c>
      <c r="AH58" s="1271">
        <f t="shared" si="33"/>
        <v>0</v>
      </c>
      <c r="AI58" s="1276">
        <f t="shared" si="34"/>
        <v>0</v>
      </c>
      <c r="AJ58" s="337"/>
      <c r="AK58" s="338"/>
      <c r="AL58" s="1271">
        <v>0</v>
      </c>
      <c r="AM58" s="1276">
        <v>0</v>
      </c>
      <c r="AN58" s="414">
        <f t="shared" si="19"/>
        <v>1</v>
      </c>
      <c r="AO58" s="413">
        <f t="shared" si="3"/>
        <v>1</v>
      </c>
      <c r="AP58" s="337"/>
      <c r="AQ58" s="338"/>
      <c r="AR58" s="664">
        <f t="shared" si="45"/>
        <v>0</v>
      </c>
      <c r="AS58" s="679">
        <f t="shared" si="45"/>
        <v>0</v>
      </c>
      <c r="AT58" s="383">
        <f t="shared" si="35"/>
        <v>0</v>
      </c>
      <c r="AU58" s="386">
        <f t="shared" si="4"/>
        <v>0</v>
      </c>
      <c r="AV58" s="534">
        <f t="shared" si="21"/>
        <v>1980</v>
      </c>
      <c r="AW58" s="1271">
        <f t="shared" si="36"/>
        <v>0</v>
      </c>
      <c r="AX58" s="1276">
        <f t="shared" si="37"/>
        <v>0</v>
      </c>
      <c r="AY58" s="337"/>
      <c r="AZ58" s="338"/>
      <c r="BA58" s="1271">
        <v>0</v>
      </c>
      <c r="BB58" s="1276">
        <v>0</v>
      </c>
      <c r="BC58" s="414">
        <f t="shared" si="22"/>
        <v>1</v>
      </c>
      <c r="BD58" s="413">
        <f t="shared" si="7"/>
        <v>1</v>
      </c>
      <c r="BE58" s="337"/>
      <c r="BF58" s="338"/>
      <c r="BG58" s="664">
        <f t="shared" si="46"/>
        <v>0</v>
      </c>
      <c r="BH58" s="679">
        <f t="shared" si="46"/>
        <v>0</v>
      </c>
      <c r="BI58" s="383">
        <f t="shared" si="38"/>
        <v>0</v>
      </c>
      <c r="BJ58" s="386">
        <f t="shared" si="38"/>
        <v>0</v>
      </c>
      <c r="BK58" s="534">
        <f t="shared" si="24"/>
        <v>1979</v>
      </c>
      <c r="BL58" s="1271">
        <f t="shared" si="39"/>
        <v>0</v>
      </c>
      <c r="BM58" s="1276">
        <f t="shared" si="40"/>
        <v>0</v>
      </c>
      <c r="BN58" s="337"/>
      <c r="BO58" s="338"/>
      <c r="BP58" s="1271">
        <v>0</v>
      </c>
      <c r="BQ58" s="1276">
        <v>0</v>
      </c>
      <c r="BR58" s="414">
        <f t="shared" si="25"/>
        <v>1</v>
      </c>
      <c r="BS58" s="413">
        <f t="shared" si="11"/>
        <v>1</v>
      </c>
      <c r="BT58" s="337"/>
      <c r="BU58" s="338"/>
      <c r="BV58" s="664">
        <f t="shared" si="47"/>
        <v>0</v>
      </c>
      <c r="BW58" s="679">
        <f t="shared" si="47"/>
        <v>0</v>
      </c>
      <c r="BX58" s="383">
        <f t="shared" si="41"/>
        <v>0</v>
      </c>
      <c r="BY58" s="386">
        <f t="shared" si="41"/>
        <v>0</v>
      </c>
      <c r="BZ58" s="534">
        <f t="shared" si="27"/>
        <v>1982</v>
      </c>
      <c r="CA58" s="664">
        <f t="shared" si="48"/>
        <v>0</v>
      </c>
      <c r="CB58" s="665">
        <f t="shared" si="48"/>
        <v>0</v>
      </c>
      <c r="CC58" s="664">
        <f t="shared" si="49"/>
        <v>0</v>
      </c>
      <c r="CD58" s="665">
        <f t="shared" si="49"/>
        <v>0</v>
      </c>
      <c r="CE58" s="337"/>
      <c r="CF58" s="338"/>
      <c r="CG58" s="383">
        <f t="shared" si="42"/>
        <v>0</v>
      </c>
      <c r="CH58" s="386">
        <f t="shared" si="42"/>
        <v>0</v>
      </c>
    </row>
    <row r="59" spans="2:86" x14ac:dyDescent="0.2">
      <c r="B59" s="276">
        <v>44</v>
      </c>
      <c r="C59" s="320">
        <f t="shared" si="28"/>
        <v>45</v>
      </c>
      <c r="D59" s="534">
        <f t="shared" si="13"/>
        <v>1981</v>
      </c>
      <c r="E59" s="337"/>
      <c r="F59" s="338"/>
      <c r="G59" s="1271">
        <v>0</v>
      </c>
      <c r="H59" s="1289">
        <v>0</v>
      </c>
      <c r="I59" s="400">
        <f t="shared" si="43"/>
        <v>0</v>
      </c>
      <c r="J59" s="401">
        <f t="shared" si="4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29"/>
        <v>0.999543522597791</v>
      </c>
      <c r="P59" s="1143">
        <f t="shared" si="29"/>
        <v>0.99972041716907822</v>
      </c>
      <c r="Q59" s="356">
        <f t="shared" si="14"/>
        <v>1981</v>
      </c>
      <c r="R59" s="337"/>
      <c r="S59" s="338"/>
      <c r="T59" s="664">
        <f t="shared" si="15"/>
        <v>0</v>
      </c>
      <c r="U59" s="665">
        <f t="shared" si="16"/>
        <v>0</v>
      </c>
      <c r="V59" s="337"/>
      <c r="W59" s="338"/>
      <c r="X59" s="383">
        <f t="shared" si="30"/>
        <v>0</v>
      </c>
      <c r="Y59" s="386">
        <f t="shared" si="30"/>
        <v>0</v>
      </c>
      <c r="Z59" s="534">
        <f t="shared" si="17"/>
        <v>1981</v>
      </c>
      <c r="AA59" s="664">
        <f t="shared" si="31"/>
        <v>0</v>
      </c>
      <c r="AB59" s="665">
        <f t="shared" si="31"/>
        <v>0</v>
      </c>
      <c r="AC59" s="337"/>
      <c r="AD59" s="338"/>
      <c r="AE59" s="383">
        <f t="shared" si="32"/>
        <v>0</v>
      </c>
      <c r="AF59" s="386">
        <f t="shared" si="32"/>
        <v>0</v>
      </c>
      <c r="AG59" s="534">
        <f t="shared" si="18"/>
        <v>1980</v>
      </c>
      <c r="AH59" s="1271">
        <f t="shared" si="33"/>
        <v>0</v>
      </c>
      <c r="AI59" s="1276">
        <f t="shared" si="34"/>
        <v>0</v>
      </c>
      <c r="AJ59" s="337"/>
      <c r="AK59" s="338"/>
      <c r="AL59" s="1271">
        <v>0</v>
      </c>
      <c r="AM59" s="1276">
        <v>0</v>
      </c>
      <c r="AN59" s="414">
        <f t="shared" si="19"/>
        <v>1</v>
      </c>
      <c r="AO59" s="413">
        <f t="shared" si="3"/>
        <v>1</v>
      </c>
      <c r="AP59" s="337"/>
      <c r="AQ59" s="338"/>
      <c r="AR59" s="664">
        <f t="shared" si="45"/>
        <v>0</v>
      </c>
      <c r="AS59" s="679">
        <f t="shared" si="45"/>
        <v>0</v>
      </c>
      <c r="AT59" s="383">
        <f t="shared" si="35"/>
        <v>0</v>
      </c>
      <c r="AU59" s="386">
        <f t="shared" si="4"/>
        <v>0</v>
      </c>
      <c r="AV59" s="534">
        <f t="shared" si="21"/>
        <v>1979</v>
      </c>
      <c r="AW59" s="1271">
        <f t="shared" si="36"/>
        <v>0</v>
      </c>
      <c r="AX59" s="1276">
        <f t="shared" si="37"/>
        <v>0</v>
      </c>
      <c r="AY59" s="337"/>
      <c r="AZ59" s="338"/>
      <c r="BA59" s="1271">
        <v>0</v>
      </c>
      <c r="BB59" s="1276">
        <v>0</v>
      </c>
      <c r="BC59" s="414">
        <f t="shared" si="22"/>
        <v>1</v>
      </c>
      <c r="BD59" s="413">
        <f t="shared" si="7"/>
        <v>1</v>
      </c>
      <c r="BE59" s="337"/>
      <c r="BF59" s="338"/>
      <c r="BG59" s="664">
        <f t="shared" si="46"/>
        <v>0</v>
      </c>
      <c r="BH59" s="679">
        <f t="shared" si="46"/>
        <v>0</v>
      </c>
      <c r="BI59" s="383">
        <f t="shared" si="38"/>
        <v>0</v>
      </c>
      <c r="BJ59" s="386">
        <f t="shared" si="38"/>
        <v>0</v>
      </c>
      <c r="BK59" s="534">
        <f t="shared" si="24"/>
        <v>1978</v>
      </c>
      <c r="BL59" s="1271">
        <f t="shared" si="39"/>
        <v>0</v>
      </c>
      <c r="BM59" s="1276">
        <f t="shared" si="40"/>
        <v>0</v>
      </c>
      <c r="BN59" s="337"/>
      <c r="BO59" s="338"/>
      <c r="BP59" s="1271">
        <v>0</v>
      </c>
      <c r="BQ59" s="1276">
        <v>0</v>
      </c>
      <c r="BR59" s="414">
        <f t="shared" si="25"/>
        <v>1</v>
      </c>
      <c r="BS59" s="413">
        <f t="shared" si="11"/>
        <v>1</v>
      </c>
      <c r="BT59" s="337"/>
      <c r="BU59" s="338"/>
      <c r="BV59" s="664">
        <f t="shared" si="47"/>
        <v>0</v>
      </c>
      <c r="BW59" s="679">
        <f t="shared" si="47"/>
        <v>0</v>
      </c>
      <c r="BX59" s="383">
        <f t="shared" si="41"/>
        <v>0</v>
      </c>
      <c r="BY59" s="386">
        <f t="shared" si="41"/>
        <v>0</v>
      </c>
      <c r="BZ59" s="534">
        <f t="shared" si="27"/>
        <v>1981</v>
      </c>
      <c r="CA59" s="664">
        <f t="shared" si="48"/>
        <v>0</v>
      </c>
      <c r="CB59" s="665">
        <f t="shared" si="48"/>
        <v>0</v>
      </c>
      <c r="CC59" s="664">
        <f t="shared" si="49"/>
        <v>0</v>
      </c>
      <c r="CD59" s="665">
        <f t="shared" si="49"/>
        <v>0</v>
      </c>
      <c r="CE59" s="337"/>
      <c r="CF59" s="338"/>
      <c r="CG59" s="383">
        <f t="shared" si="42"/>
        <v>0</v>
      </c>
      <c r="CH59" s="386">
        <f t="shared" si="42"/>
        <v>0</v>
      </c>
    </row>
    <row r="60" spans="2:86" ht="13.5" thickBot="1" x14ac:dyDescent="0.25">
      <c r="B60" s="313">
        <v>45</v>
      </c>
      <c r="C60" s="321">
        <f t="shared" si="28"/>
        <v>46</v>
      </c>
      <c r="D60" s="535">
        <f t="shared" si="13"/>
        <v>1980</v>
      </c>
      <c r="E60" s="341"/>
      <c r="F60" s="340"/>
      <c r="G60" s="1277">
        <v>0</v>
      </c>
      <c r="H60" s="1290">
        <v>0</v>
      </c>
      <c r="I60" s="406">
        <f t="shared" si="43"/>
        <v>0</v>
      </c>
      <c r="J60" s="407">
        <f t="shared" si="4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29"/>
        <v>0.99949778007574364</v>
      </c>
      <c r="P60" s="1144">
        <f t="shared" si="29"/>
        <v>0.99969143429051088</v>
      </c>
      <c r="Q60" s="313">
        <f t="shared" si="14"/>
        <v>1980</v>
      </c>
      <c r="R60" s="341"/>
      <c r="S60" s="340"/>
      <c r="T60" s="666">
        <f t="shared" si="15"/>
        <v>0</v>
      </c>
      <c r="U60" s="667">
        <f t="shared" si="16"/>
        <v>0</v>
      </c>
      <c r="V60" s="341"/>
      <c r="W60" s="340"/>
      <c r="X60" s="384">
        <f t="shared" si="30"/>
        <v>0</v>
      </c>
      <c r="Y60" s="387">
        <f t="shared" si="30"/>
        <v>0</v>
      </c>
      <c r="Z60" s="535">
        <f t="shared" si="17"/>
        <v>1980</v>
      </c>
      <c r="AA60" s="666">
        <f t="shared" si="31"/>
        <v>0</v>
      </c>
      <c r="AB60" s="667">
        <f t="shared" si="31"/>
        <v>0</v>
      </c>
      <c r="AC60" s="341"/>
      <c r="AD60" s="340"/>
      <c r="AE60" s="384">
        <f t="shared" si="32"/>
        <v>0</v>
      </c>
      <c r="AF60" s="387">
        <f t="shared" si="32"/>
        <v>0</v>
      </c>
      <c r="AG60" s="535">
        <f t="shared" si="18"/>
        <v>1979</v>
      </c>
      <c r="AH60" s="1277">
        <f t="shared" si="33"/>
        <v>0</v>
      </c>
      <c r="AI60" s="1278">
        <f t="shared" si="34"/>
        <v>0</v>
      </c>
      <c r="AJ60" s="341"/>
      <c r="AK60" s="340"/>
      <c r="AL60" s="1277">
        <v>0</v>
      </c>
      <c r="AM60" s="1278">
        <v>0</v>
      </c>
      <c r="AN60" s="415">
        <f t="shared" si="19"/>
        <v>1</v>
      </c>
      <c r="AO60" s="416">
        <f t="shared" si="3"/>
        <v>1</v>
      </c>
      <c r="AP60" s="341"/>
      <c r="AQ60" s="340"/>
      <c r="AR60" s="666">
        <f t="shared" si="45"/>
        <v>0</v>
      </c>
      <c r="AS60" s="680">
        <f t="shared" si="45"/>
        <v>0</v>
      </c>
      <c r="AT60" s="384">
        <f t="shared" si="35"/>
        <v>0</v>
      </c>
      <c r="AU60" s="387">
        <f t="shared" si="4"/>
        <v>0</v>
      </c>
      <c r="AV60" s="535">
        <f t="shared" si="21"/>
        <v>1978</v>
      </c>
      <c r="AW60" s="1277">
        <f t="shared" si="36"/>
        <v>0</v>
      </c>
      <c r="AX60" s="1278">
        <f t="shared" si="37"/>
        <v>0</v>
      </c>
      <c r="AY60" s="341"/>
      <c r="AZ60" s="340"/>
      <c r="BA60" s="1277">
        <v>0</v>
      </c>
      <c r="BB60" s="1278">
        <v>0</v>
      </c>
      <c r="BC60" s="415">
        <f t="shared" si="22"/>
        <v>1</v>
      </c>
      <c r="BD60" s="416">
        <f t="shared" si="7"/>
        <v>1</v>
      </c>
      <c r="BE60" s="341"/>
      <c r="BF60" s="340"/>
      <c r="BG60" s="666">
        <f t="shared" si="46"/>
        <v>0</v>
      </c>
      <c r="BH60" s="680">
        <f t="shared" si="46"/>
        <v>0</v>
      </c>
      <c r="BI60" s="384">
        <f t="shared" si="38"/>
        <v>0</v>
      </c>
      <c r="BJ60" s="387">
        <f t="shared" si="38"/>
        <v>0</v>
      </c>
      <c r="BK60" s="535">
        <f t="shared" si="24"/>
        <v>1977</v>
      </c>
      <c r="BL60" s="1277">
        <f t="shared" si="39"/>
        <v>0</v>
      </c>
      <c r="BM60" s="1278">
        <f t="shared" si="40"/>
        <v>0</v>
      </c>
      <c r="BN60" s="341"/>
      <c r="BO60" s="340"/>
      <c r="BP60" s="1277">
        <v>0</v>
      </c>
      <c r="BQ60" s="1278">
        <v>0</v>
      </c>
      <c r="BR60" s="415">
        <f t="shared" si="25"/>
        <v>1</v>
      </c>
      <c r="BS60" s="416">
        <f t="shared" si="11"/>
        <v>1</v>
      </c>
      <c r="BT60" s="341"/>
      <c r="BU60" s="340"/>
      <c r="BV60" s="666">
        <f t="shared" si="47"/>
        <v>0</v>
      </c>
      <c r="BW60" s="680">
        <f t="shared" si="47"/>
        <v>0</v>
      </c>
      <c r="BX60" s="384">
        <f t="shared" si="41"/>
        <v>0</v>
      </c>
      <c r="BY60" s="387">
        <f t="shared" si="41"/>
        <v>0</v>
      </c>
      <c r="BZ60" s="535">
        <f t="shared" si="27"/>
        <v>1980</v>
      </c>
      <c r="CA60" s="666">
        <f t="shared" si="48"/>
        <v>0</v>
      </c>
      <c r="CB60" s="667">
        <f t="shared" si="48"/>
        <v>0</v>
      </c>
      <c r="CC60" s="666">
        <f t="shared" si="49"/>
        <v>0</v>
      </c>
      <c r="CD60" s="667">
        <f t="shared" si="49"/>
        <v>0</v>
      </c>
      <c r="CE60" s="341"/>
      <c r="CF60" s="340"/>
      <c r="CG60" s="384">
        <f t="shared" si="42"/>
        <v>0</v>
      </c>
      <c r="CH60" s="387">
        <f t="shared" si="42"/>
        <v>0</v>
      </c>
    </row>
    <row r="61" spans="2:86" ht="13.5" thickTop="1" x14ac:dyDescent="0.2">
      <c r="B61" s="276">
        <v>46</v>
      </c>
      <c r="C61" s="320">
        <f t="shared" si="28"/>
        <v>47</v>
      </c>
      <c r="D61" s="534">
        <f t="shared" si="13"/>
        <v>1979</v>
      </c>
      <c r="E61" s="337"/>
      <c r="F61" s="338"/>
      <c r="G61" s="1271">
        <v>0</v>
      </c>
      <c r="H61" s="1289">
        <v>0</v>
      </c>
      <c r="I61" s="400">
        <f t="shared" si="43"/>
        <v>0</v>
      </c>
      <c r="J61" s="401">
        <f t="shared" si="4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29"/>
        <v>0.99944569075193779</v>
      </c>
      <c r="P61" s="1143">
        <f t="shared" si="29"/>
        <v>0.99965919297146422</v>
      </c>
      <c r="Q61" s="356">
        <f t="shared" si="14"/>
        <v>1979</v>
      </c>
      <c r="R61" s="337"/>
      <c r="S61" s="338"/>
      <c r="T61" s="664">
        <f t="shared" si="15"/>
        <v>0</v>
      </c>
      <c r="U61" s="665">
        <f t="shared" si="16"/>
        <v>0</v>
      </c>
      <c r="V61" s="337"/>
      <c r="W61" s="338"/>
      <c r="X61" s="383">
        <f t="shared" si="30"/>
        <v>0</v>
      </c>
      <c r="Y61" s="386">
        <f t="shared" si="30"/>
        <v>0</v>
      </c>
      <c r="Z61" s="534">
        <f t="shared" si="17"/>
        <v>1979</v>
      </c>
      <c r="AA61" s="664">
        <f t="shared" si="31"/>
        <v>0</v>
      </c>
      <c r="AB61" s="665">
        <f t="shared" si="31"/>
        <v>0</v>
      </c>
      <c r="AC61" s="337"/>
      <c r="AD61" s="338"/>
      <c r="AE61" s="383">
        <f t="shared" si="32"/>
        <v>0</v>
      </c>
      <c r="AF61" s="386">
        <f t="shared" si="32"/>
        <v>0</v>
      </c>
      <c r="AG61" s="534">
        <f t="shared" si="18"/>
        <v>1978</v>
      </c>
      <c r="AH61" s="1271">
        <f t="shared" si="33"/>
        <v>0</v>
      </c>
      <c r="AI61" s="1276">
        <f t="shared" si="34"/>
        <v>0</v>
      </c>
      <c r="AJ61" s="337"/>
      <c r="AK61" s="338"/>
      <c r="AL61" s="1271">
        <v>0</v>
      </c>
      <c r="AM61" s="1276">
        <v>0</v>
      </c>
      <c r="AN61" s="414">
        <f t="shared" si="19"/>
        <v>1</v>
      </c>
      <c r="AO61" s="413">
        <f t="shared" si="3"/>
        <v>1</v>
      </c>
      <c r="AP61" s="337"/>
      <c r="AQ61" s="338"/>
      <c r="AR61" s="664">
        <f t="shared" si="45"/>
        <v>0</v>
      </c>
      <c r="AS61" s="679">
        <f t="shared" si="45"/>
        <v>0</v>
      </c>
      <c r="AT61" s="383">
        <f t="shared" si="35"/>
        <v>0</v>
      </c>
      <c r="AU61" s="386">
        <f t="shared" si="4"/>
        <v>0</v>
      </c>
      <c r="AV61" s="534">
        <f t="shared" si="21"/>
        <v>1977</v>
      </c>
      <c r="AW61" s="1271">
        <f t="shared" si="36"/>
        <v>0</v>
      </c>
      <c r="AX61" s="1276">
        <f t="shared" si="37"/>
        <v>0</v>
      </c>
      <c r="AY61" s="337"/>
      <c r="AZ61" s="338"/>
      <c r="BA61" s="1271">
        <v>0</v>
      </c>
      <c r="BB61" s="1276">
        <v>0</v>
      </c>
      <c r="BC61" s="414">
        <f t="shared" si="22"/>
        <v>1</v>
      </c>
      <c r="BD61" s="413">
        <f t="shared" si="7"/>
        <v>1</v>
      </c>
      <c r="BE61" s="337"/>
      <c r="BF61" s="338"/>
      <c r="BG61" s="664">
        <f t="shared" si="46"/>
        <v>0</v>
      </c>
      <c r="BH61" s="679">
        <f t="shared" si="46"/>
        <v>0</v>
      </c>
      <c r="BI61" s="383">
        <f t="shared" si="38"/>
        <v>0</v>
      </c>
      <c r="BJ61" s="386">
        <f t="shared" si="38"/>
        <v>0</v>
      </c>
      <c r="BK61" s="534">
        <f t="shared" si="24"/>
        <v>1976</v>
      </c>
      <c r="BL61" s="1271">
        <f t="shared" si="39"/>
        <v>0</v>
      </c>
      <c r="BM61" s="1276">
        <f t="shared" si="40"/>
        <v>0</v>
      </c>
      <c r="BN61" s="337"/>
      <c r="BO61" s="338"/>
      <c r="BP61" s="1271">
        <v>0</v>
      </c>
      <c r="BQ61" s="1276">
        <v>0</v>
      </c>
      <c r="BR61" s="414">
        <f t="shared" si="25"/>
        <v>1</v>
      </c>
      <c r="BS61" s="413">
        <f t="shared" si="11"/>
        <v>1</v>
      </c>
      <c r="BT61" s="337"/>
      <c r="BU61" s="338"/>
      <c r="BV61" s="664">
        <f t="shared" si="47"/>
        <v>0</v>
      </c>
      <c r="BW61" s="679">
        <f t="shared" si="47"/>
        <v>0</v>
      </c>
      <c r="BX61" s="383">
        <f t="shared" si="41"/>
        <v>0</v>
      </c>
      <c r="BY61" s="386">
        <f t="shared" si="41"/>
        <v>0</v>
      </c>
      <c r="BZ61" s="534">
        <f t="shared" si="27"/>
        <v>1979</v>
      </c>
      <c r="CA61" s="664">
        <f t="shared" si="48"/>
        <v>0</v>
      </c>
      <c r="CB61" s="665">
        <f t="shared" si="48"/>
        <v>0</v>
      </c>
      <c r="CC61" s="664">
        <f t="shared" si="49"/>
        <v>0</v>
      </c>
      <c r="CD61" s="665">
        <f t="shared" si="49"/>
        <v>0</v>
      </c>
      <c r="CE61" s="337"/>
      <c r="CF61" s="338"/>
      <c r="CG61" s="383">
        <f t="shared" si="42"/>
        <v>0</v>
      </c>
      <c r="CH61" s="386">
        <f t="shared" si="42"/>
        <v>0</v>
      </c>
    </row>
    <row r="62" spans="2:86" x14ac:dyDescent="0.2">
      <c r="B62" s="276">
        <v>47</v>
      </c>
      <c r="C62" s="320">
        <f t="shared" si="28"/>
        <v>48</v>
      </c>
      <c r="D62" s="534">
        <f t="shared" si="13"/>
        <v>1978</v>
      </c>
      <c r="E62" s="337"/>
      <c r="F62" s="338"/>
      <c r="G62" s="1271">
        <v>0</v>
      </c>
      <c r="H62" s="1289">
        <v>0</v>
      </c>
      <c r="I62" s="400">
        <f t="shared" si="43"/>
        <v>0</v>
      </c>
      <c r="J62" s="401">
        <f t="shared" si="4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29"/>
        <v>0.99938652136216666</v>
      </c>
      <c r="P62" s="1143">
        <f t="shared" si="29"/>
        <v>0.9996233222876969</v>
      </c>
      <c r="Q62" s="356">
        <f t="shared" si="14"/>
        <v>1978</v>
      </c>
      <c r="R62" s="337"/>
      <c r="S62" s="338"/>
      <c r="T62" s="664">
        <f t="shared" si="15"/>
        <v>0</v>
      </c>
      <c r="U62" s="665">
        <f t="shared" si="16"/>
        <v>0</v>
      </c>
      <c r="V62" s="337"/>
      <c r="W62" s="338"/>
      <c r="X62" s="383">
        <f t="shared" si="30"/>
        <v>0</v>
      </c>
      <c r="Y62" s="386">
        <f t="shared" si="30"/>
        <v>0</v>
      </c>
      <c r="Z62" s="534">
        <f t="shared" si="17"/>
        <v>1978</v>
      </c>
      <c r="AA62" s="664">
        <f t="shared" si="31"/>
        <v>0</v>
      </c>
      <c r="AB62" s="665">
        <f t="shared" si="31"/>
        <v>0</v>
      </c>
      <c r="AC62" s="337"/>
      <c r="AD62" s="338"/>
      <c r="AE62" s="383">
        <f t="shared" si="32"/>
        <v>0</v>
      </c>
      <c r="AF62" s="386">
        <f t="shared" si="32"/>
        <v>0</v>
      </c>
      <c r="AG62" s="534">
        <f t="shared" si="18"/>
        <v>1977</v>
      </c>
      <c r="AH62" s="1271">
        <f t="shared" si="33"/>
        <v>0</v>
      </c>
      <c r="AI62" s="1276">
        <f t="shared" si="34"/>
        <v>0</v>
      </c>
      <c r="AJ62" s="337"/>
      <c r="AK62" s="338"/>
      <c r="AL62" s="1271">
        <v>0</v>
      </c>
      <c r="AM62" s="1276">
        <v>0</v>
      </c>
      <c r="AN62" s="414">
        <f t="shared" si="19"/>
        <v>1</v>
      </c>
      <c r="AO62" s="413">
        <f t="shared" si="3"/>
        <v>1</v>
      </c>
      <c r="AP62" s="337"/>
      <c r="AQ62" s="338"/>
      <c r="AR62" s="664">
        <f t="shared" si="45"/>
        <v>0</v>
      </c>
      <c r="AS62" s="679">
        <f t="shared" si="45"/>
        <v>0</v>
      </c>
      <c r="AT62" s="383">
        <f t="shared" si="35"/>
        <v>0</v>
      </c>
      <c r="AU62" s="386">
        <f t="shared" si="4"/>
        <v>0</v>
      </c>
      <c r="AV62" s="534">
        <f t="shared" si="21"/>
        <v>1976</v>
      </c>
      <c r="AW62" s="1271">
        <f t="shared" si="36"/>
        <v>0</v>
      </c>
      <c r="AX62" s="1276">
        <f t="shared" si="37"/>
        <v>0</v>
      </c>
      <c r="AY62" s="337"/>
      <c r="AZ62" s="338"/>
      <c r="BA62" s="1271">
        <v>0</v>
      </c>
      <c r="BB62" s="1276">
        <v>0</v>
      </c>
      <c r="BC62" s="414">
        <f t="shared" si="22"/>
        <v>1</v>
      </c>
      <c r="BD62" s="413">
        <f t="shared" si="7"/>
        <v>1</v>
      </c>
      <c r="BE62" s="337"/>
      <c r="BF62" s="338"/>
      <c r="BG62" s="664">
        <f t="shared" si="46"/>
        <v>0</v>
      </c>
      <c r="BH62" s="679">
        <f t="shared" si="46"/>
        <v>0</v>
      </c>
      <c r="BI62" s="383">
        <f t="shared" si="38"/>
        <v>0</v>
      </c>
      <c r="BJ62" s="386">
        <f t="shared" si="38"/>
        <v>0</v>
      </c>
      <c r="BK62" s="534">
        <f t="shared" si="24"/>
        <v>1975</v>
      </c>
      <c r="BL62" s="1271">
        <f t="shared" si="39"/>
        <v>0</v>
      </c>
      <c r="BM62" s="1276">
        <f t="shared" si="40"/>
        <v>0</v>
      </c>
      <c r="BN62" s="337"/>
      <c r="BO62" s="338"/>
      <c r="BP62" s="1271">
        <v>0</v>
      </c>
      <c r="BQ62" s="1276">
        <v>0</v>
      </c>
      <c r="BR62" s="414">
        <f t="shared" si="25"/>
        <v>1</v>
      </c>
      <c r="BS62" s="413">
        <f t="shared" si="11"/>
        <v>1</v>
      </c>
      <c r="BT62" s="337"/>
      <c r="BU62" s="338"/>
      <c r="BV62" s="664">
        <f t="shared" si="47"/>
        <v>0</v>
      </c>
      <c r="BW62" s="679">
        <f t="shared" si="47"/>
        <v>0</v>
      </c>
      <c r="BX62" s="383">
        <f t="shared" si="41"/>
        <v>0</v>
      </c>
      <c r="BY62" s="386">
        <f t="shared" si="41"/>
        <v>0</v>
      </c>
      <c r="BZ62" s="534">
        <f t="shared" si="27"/>
        <v>1978</v>
      </c>
      <c r="CA62" s="664">
        <f t="shared" si="48"/>
        <v>0</v>
      </c>
      <c r="CB62" s="665">
        <f t="shared" si="48"/>
        <v>0</v>
      </c>
      <c r="CC62" s="664">
        <f t="shared" si="49"/>
        <v>0</v>
      </c>
      <c r="CD62" s="665">
        <f t="shared" si="49"/>
        <v>0</v>
      </c>
      <c r="CE62" s="337"/>
      <c r="CF62" s="338"/>
      <c r="CG62" s="383">
        <f t="shared" si="42"/>
        <v>0</v>
      </c>
      <c r="CH62" s="386">
        <f t="shared" si="42"/>
        <v>0</v>
      </c>
    </row>
    <row r="63" spans="2:86" x14ac:dyDescent="0.2">
      <c r="B63" s="276">
        <v>48</v>
      </c>
      <c r="C63" s="320">
        <f t="shared" si="28"/>
        <v>49</v>
      </c>
      <c r="D63" s="534">
        <f t="shared" si="13"/>
        <v>1977</v>
      </c>
      <c r="E63" s="337"/>
      <c r="F63" s="338"/>
      <c r="G63" s="1271">
        <v>0</v>
      </c>
      <c r="H63" s="1289">
        <v>0</v>
      </c>
      <c r="I63" s="400">
        <f t="shared" si="43"/>
        <v>0</v>
      </c>
      <c r="J63" s="401">
        <f t="shared" si="4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29"/>
        <v>0.99931947516657582</v>
      </c>
      <c r="P63" s="1143">
        <f t="shared" si="29"/>
        <v>0.99958340060156936</v>
      </c>
      <c r="Q63" s="356">
        <f t="shared" si="14"/>
        <v>1977</v>
      </c>
      <c r="R63" s="337"/>
      <c r="S63" s="338"/>
      <c r="T63" s="664">
        <f t="shared" si="15"/>
        <v>0</v>
      </c>
      <c r="U63" s="665">
        <f t="shared" si="16"/>
        <v>0</v>
      </c>
      <c r="V63" s="337"/>
      <c r="W63" s="338"/>
      <c r="X63" s="383">
        <f t="shared" si="30"/>
        <v>0</v>
      </c>
      <c r="Y63" s="386">
        <f t="shared" si="30"/>
        <v>0</v>
      </c>
      <c r="Z63" s="534">
        <f t="shared" si="17"/>
        <v>1977</v>
      </c>
      <c r="AA63" s="664">
        <f t="shared" si="31"/>
        <v>0</v>
      </c>
      <c r="AB63" s="665">
        <f t="shared" si="31"/>
        <v>0</v>
      </c>
      <c r="AC63" s="337"/>
      <c r="AD63" s="338"/>
      <c r="AE63" s="383">
        <f t="shared" si="32"/>
        <v>0</v>
      </c>
      <c r="AF63" s="386">
        <f t="shared" si="32"/>
        <v>0</v>
      </c>
      <c r="AG63" s="534">
        <f t="shared" si="18"/>
        <v>1976</v>
      </c>
      <c r="AH63" s="1271">
        <f t="shared" si="33"/>
        <v>0</v>
      </c>
      <c r="AI63" s="1276">
        <f t="shared" si="34"/>
        <v>0</v>
      </c>
      <c r="AJ63" s="337"/>
      <c r="AK63" s="338"/>
      <c r="AL63" s="1271">
        <v>0</v>
      </c>
      <c r="AM63" s="1276">
        <v>0</v>
      </c>
      <c r="AN63" s="414">
        <f t="shared" si="19"/>
        <v>1</v>
      </c>
      <c r="AO63" s="413">
        <f t="shared" si="3"/>
        <v>1</v>
      </c>
      <c r="AP63" s="337"/>
      <c r="AQ63" s="338"/>
      <c r="AR63" s="664">
        <f t="shared" si="45"/>
        <v>0</v>
      </c>
      <c r="AS63" s="679">
        <f t="shared" si="45"/>
        <v>0</v>
      </c>
      <c r="AT63" s="383">
        <f t="shared" si="35"/>
        <v>0</v>
      </c>
      <c r="AU63" s="386">
        <f t="shared" si="4"/>
        <v>0</v>
      </c>
      <c r="AV63" s="534">
        <f t="shared" si="21"/>
        <v>1975</v>
      </c>
      <c r="AW63" s="1271">
        <f t="shared" si="36"/>
        <v>0</v>
      </c>
      <c r="AX63" s="1276">
        <f t="shared" si="37"/>
        <v>0</v>
      </c>
      <c r="AY63" s="337"/>
      <c r="AZ63" s="338"/>
      <c r="BA63" s="1271">
        <v>0</v>
      </c>
      <c r="BB63" s="1276">
        <v>0</v>
      </c>
      <c r="BC63" s="414">
        <f t="shared" si="22"/>
        <v>1</v>
      </c>
      <c r="BD63" s="413">
        <f t="shared" si="7"/>
        <v>1</v>
      </c>
      <c r="BE63" s="337"/>
      <c r="BF63" s="338"/>
      <c r="BG63" s="664">
        <f t="shared" si="46"/>
        <v>0</v>
      </c>
      <c r="BH63" s="679">
        <f t="shared" si="46"/>
        <v>0</v>
      </c>
      <c r="BI63" s="383">
        <f t="shared" si="38"/>
        <v>0</v>
      </c>
      <c r="BJ63" s="386">
        <f t="shared" si="38"/>
        <v>0</v>
      </c>
      <c r="BK63" s="534">
        <f t="shared" si="24"/>
        <v>1974</v>
      </c>
      <c r="BL63" s="1271">
        <f t="shared" si="39"/>
        <v>0</v>
      </c>
      <c r="BM63" s="1276">
        <f t="shared" si="40"/>
        <v>0</v>
      </c>
      <c r="BN63" s="337"/>
      <c r="BO63" s="338"/>
      <c r="BP63" s="1271">
        <v>0</v>
      </c>
      <c r="BQ63" s="1276">
        <v>0</v>
      </c>
      <c r="BR63" s="414">
        <f t="shared" si="25"/>
        <v>1</v>
      </c>
      <c r="BS63" s="413">
        <f t="shared" si="11"/>
        <v>1</v>
      </c>
      <c r="BT63" s="337"/>
      <c r="BU63" s="338"/>
      <c r="BV63" s="664">
        <f t="shared" si="47"/>
        <v>0</v>
      </c>
      <c r="BW63" s="679">
        <f t="shared" si="47"/>
        <v>0</v>
      </c>
      <c r="BX63" s="383">
        <f t="shared" si="41"/>
        <v>0</v>
      </c>
      <c r="BY63" s="386">
        <f t="shared" si="41"/>
        <v>0</v>
      </c>
      <c r="BZ63" s="534">
        <f t="shared" si="27"/>
        <v>1977</v>
      </c>
      <c r="CA63" s="664">
        <f t="shared" si="48"/>
        <v>0</v>
      </c>
      <c r="CB63" s="665">
        <f t="shared" si="48"/>
        <v>0</v>
      </c>
      <c r="CC63" s="664">
        <f t="shared" si="49"/>
        <v>0</v>
      </c>
      <c r="CD63" s="665">
        <f t="shared" si="49"/>
        <v>0</v>
      </c>
      <c r="CE63" s="337"/>
      <c r="CF63" s="338"/>
      <c r="CG63" s="383">
        <f t="shared" si="42"/>
        <v>0</v>
      </c>
      <c r="CH63" s="386">
        <f t="shared" si="42"/>
        <v>0</v>
      </c>
    </row>
    <row r="64" spans="2:86" x14ac:dyDescent="0.2">
      <c r="B64" s="276">
        <v>49</v>
      </c>
      <c r="C64" s="320">
        <f t="shared" si="28"/>
        <v>50</v>
      </c>
      <c r="D64" s="534">
        <f t="shared" si="13"/>
        <v>1976</v>
      </c>
      <c r="E64" s="337"/>
      <c r="F64" s="338"/>
      <c r="G64" s="1271">
        <v>0</v>
      </c>
      <c r="H64" s="1289">
        <v>0</v>
      </c>
      <c r="I64" s="400">
        <f t="shared" si="43"/>
        <v>0</v>
      </c>
      <c r="J64" s="401">
        <f t="shared" si="4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29"/>
        <v>0.99924369923526979</v>
      </c>
      <c r="P64" s="1143">
        <f t="shared" si="29"/>
        <v>0.99953896785521157</v>
      </c>
      <c r="Q64" s="356">
        <f t="shared" si="14"/>
        <v>1976</v>
      </c>
      <c r="R64" s="337"/>
      <c r="S64" s="338"/>
      <c r="T64" s="664">
        <f t="shared" si="15"/>
        <v>0</v>
      </c>
      <c r="U64" s="665">
        <f t="shared" si="16"/>
        <v>0</v>
      </c>
      <c r="V64" s="337"/>
      <c r="W64" s="338"/>
      <c r="X64" s="383">
        <f t="shared" si="30"/>
        <v>0</v>
      </c>
      <c r="Y64" s="386">
        <f t="shared" si="30"/>
        <v>0</v>
      </c>
      <c r="Z64" s="534">
        <f t="shared" si="17"/>
        <v>1976</v>
      </c>
      <c r="AA64" s="664">
        <f t="shared" si="31"/>
        <v>0</v>
      </c>
      <c r="AB64" s="665">
        <f t="shared" si="31"/>
        <v>0</v>
      </c>
      <c r="AC64" s="337"/>
      <c r="AD64" s="338"/>
      <c r="AE64" s="383">
        <f t="shared" si="32"/>
        <v>0</v>
      </c>
      <c r="AF64" s="386">
        <f t="shared" si="32"/>
        <v>0</v>
      </c>
      <c r="AG64" s="534">
        <f t="shared" si="18"/>
        <v>1975</v>
      </c>
      <c r="AH64" s="1271">
        <f t="shared" si="33"/>
        <v>0</v>
      </c>
      <c r="AI64" s="1276">
        <f t="shared" si="34"/>
        <v>0</v>
      </c>
      <c r="AJ64" s="337"/>
      <c r="AK64" s="338"/>
      <c r="AL64" s="1271">
        <v>0</v>
      </c>
      <c r="AM64" s="1276">
        <v>0</v>
      </c>
      <c r="AN64" s="414">
        <f t="shared" si="19"/>
        <v>1</v>
      </c>
      <c r="AO64" s="413">
        <f t="shared" si="3"/>
        <v>1</v>
      </c>
      <c r="AP64" s="337"/>
      <c r="AQ64" s="338"/>
      <c r="AR64" s="664">
        <f t="shared" si="45"/>
        <v>0</v>
      </c>
      <c r="AS64" s="679">
        <f t="shared" si="45"/>
        <v>0</v>
      </c>
      <c r="AT64" s="383">
        <f t="shared" si="35"/>
        <v>0</v>
      </c>
      <c r="AU64" s="386">
        <f t="shared" si="4"/>
        <v>0</v>
      </c>
      <c r="AV64" s="534">
        <f t="shared" si="21"/>
        <v>1974</v>
      </c>
      <c r="AW64" s="1271">
        <f t="shared" si="36"/>
        <v>0</v>
      </c>
      <c r="AX64" s="1276">
        <f t="shared" si="37"/>
        <v>0</v>
      </c>
      <c r="AY64" s="337"/>
      <c r="AZ64" s="338"/>
      <c r="BA64" s="1271">
        <v>0</v>
      </c>
      <c r="BB64" s="1276">
        <v>0</v>
      </c>
      <c r="BC64" s="414">
        <f t="shared" si="22"/>
        <v>1</v>
      </c>
      <c r="BD64" s="413">
        <f t="shared" si="7"/>
        <v>1</v>
      </c>
      <c r="BE64" s="337"/>
      <c r="BF64" s="338"/>
      <c r="BG64" s="664">
        <f t="shared" si="46"/>
        <v>0</v>
      </c>
      <c r="BH64" s="679">
        <f t="shared" si="46"/>
        <v>0</v>
      </c>
      <c r="BI64" s="383">
        <f t="shared" si="38"/>
        <v>0</v>
      </c>
      <c r="BJ64" s="386">
        <f t="shared" si="38"/>
        <v>0</v>
      </c>
      <c r="BK64" s="534">
        <f t="shared" si="24"/>
        <v>1973</v>
      </c>
      <c r="BL64" s="1271">
        <f t="shared" si="39"/>
        <v>0</v>
      </c>
      <c r="BM64" s="1276">
        <f t="shared" si="40"/>
        <v>0</v>
      </c>
      <c r="BN64" s="337"/>
      <c r="BO64" s="338"/>
      <c r="BP64" s="1271">
        <v>0</v>
      </c>
      <c r="BQ64" s="1276">
        <v>0</v>
      </c>
      <c r="BR64" s="414">
        <f t="shared" si="25"/>
        <v>1</v>
      </c>
      <c r="BS64" s="413">
        <f t="shared" si="11"/>
        <v>1</v>
      </c>
      <c r="BT64" s="337"/>
      <c r="BU64" s="338"/>
      <c r="BV64" s="664">
        <f t="shared" si="47"/>
        <v>0</v>
      </c>
      <c r="BW64" s="679">
        <f t="shared" si="47"/>
        <v>0</v>
      </c>
      <c r="BX64" s="383">
        <f t="shared" si="41"/>
        <v>0</v>
      </c>
      <c r="BY64" s="386">
        <f t="shared" si="41"/>
        <v>0</v>
      </c>
      <c r="BZ64" s="534">
        <f t="shared" si="27"/>
        <v>1976</v>
      </c>
      <c r="CA64" s="664">
        <f t="shared" si="48"/>
        <v>0</v>
      </c>
      <c r="CB64" s="665">
        <f t="shared" si="48"/>
        <v>0</v>
      </c>
      <c r="CC64" s="664">
        <f t="shared" si="49"/>
        <v>0</v>
      </c>
      <c r="CD64" s="665">
        <f t="shared" si="49"/>
        <v>0</v>
      </c>
      <c r="CE64" s="337"/>
      <c r="CF64" s="338"/>
      <c r="CG64" s="383">
        <f t="shared" si="42"/>
        <v>0</v>
      </c>
      <c r="CH64" s="386">
        <f t="shared" si="42"/>
        <v>0</v>
      </c>
    </row>
    <row r="65" spans="2:86" ht="13.5" thickBot="1" x14ac:dyDescent="0.25">
      <c r="B65" s="313">
        <v>50</v>
      </c>
      <c r="C65" s="321">
        <f t="shared" si="28"/>
        <v>51</v>
      </c>
      <c r="D65" s="535">
        <f t="shared" si="13"/>
        <v>1975</v>
      </c>
      <c r="E65" s="341"/>
      <c r="F65" s="340"/>
      <c r="G65" s="1277">
        <v>0</v>
      </c>
      <c r="H65" s="1290">
        <v>0</v>
      </c>
      <c r="I65" s="406">
        <f t="shared" si="43"/>
        <v>0</v>
      </c>
      <c r="J65" s="407">
        <f t="shared" si="4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29"/>
        <v>0.99915829572660908</v>
      </c>
      <c r="P65" s="1144">
        <f t="shared" si="29"/>
        <v>0.9994895436442699</v>
      </c>
      <c r="Q65" s="313">
        <f t="shared" si="14"/>
        <v>1975</v>
      </c>
      <c r="R65" s="341"/>
      <c r="S65" s="340"/>
      <c r="T65" s="666">
        <f t="shared" si="15"/>
        <v>0</v>
      </c>
      <c r="U65" s="667">
        <f t="shared" si="16"/>
        <v>0</v>
      </c>
      <c r="V65" s="341"/>
      <c r="W65" s="340"/>
      <c r="X65" s="384">
        <f t="shared" si="30"/>
        <v>0</v>
      </c>
      <c r="Y65" s="387">
        <f t="shared" si="30"/>
        <v>0</v>
      </c>
      <c r="Z65" s="535">
        <f t="shared" si="17"/>
        <v>1975</v>
      </c>
      <c r="AA65" s="666">
        <f t="shared" si="31"/>
        <v>0</v>
      </c>
      <c r="AB65" s="667">
        <f t="shared" si="31"/>
        <v>0</v>
      </c>
      <c r="AC65" s="341"/>
      <c r="AD65" s="340"/>
      <c r="AE65" s="384">
        <f t="shared" si="32"/>
        <v>0</v>
      </c>
      <c r="AF65" s="387">
        <f t="shared" si="32"/>
        <v>0</v>
      </c>
      <c r="AG65" s="535">
        <f t="shared" si="18"/>
        <v>1974</v>
      </c>
      <c r="AH65" s="1277">
        <f t="shared" si="33"/>
        <v>0</v>
      </c>
      <c r="AI65" s="1278">
        <f t="shared" si="34"/>
        <v>0</v>
      </c>
      <c r="AJ65" s="341"/>
      <c r="AK65" s="340"/>
      <c r="AL65" s="1277">
        <v>0</v>
      </c>
      <c r="AM65" s="1278">
        <v>0</v>
      </c>
      <c r="AN65" s="415">
        <f t="shared" si="19"/>
        <v>1</v>
      </c>
      <c r="AO65" s="416">
        <f t="shared" si="3"/>
        <v>1</v>
      </c>
      <c r="AP65" s="341"/>
      <c r="AQ65" s="340"/>
      <c r="AR65" s="666">
        <f t="shared" si="45"/>
        <v>0</v>
      </c>
      <c r="AS65" s="680">
        <f t="shared" si="45"/>
        <v>0</v>
      </c>
      <c r="AT65" s="384">
        <f t="shared" si="35"/>
        <v>0</v>
      </c>
      <c r="AU65" s="387">
        <f t="shared" si="4"/>
        <v>0</v>
      </c>
      <c r="AV65" s="535">
        <f t="shared" si="21"/>
        <v>1973</v>
      </c>
      <c r="AW65" s="1277">
        <f t="shared" si="36"/>
        <v>0</v>
      </c>
      <c r="AX65" s="1278">
        <f t="shared" si="37"/>
        <v>0</v>
      </c>
      <c r="AY65" s="341"/>
      <c r="AZ65" s="340"/>
      <c r="BA65" s="1277">
        <v>0</v>
      </c>
      <c r="BB65" s="1278">
        <v>0</v>
      </c>
      <c r="BC65" s="415">
        <f t="shared" si="22"/>
        <v>1</v>
      </c>
      <c r="BD65" s="416">
        <f t="shared" si="7"/>
        <v>1</v>
      </c>
      <c r="BE65" s="341"/>
      <c r="BF65" s="340"/>
      <c r="BG65" s="666">
        <f t="shared" si="46"/>
        <v>0</v>
      </c>
      <c r="BH65" s="680">
        <f t="shared" si="46"/>
        <v>0</v>
      </c>
      <c r="BI65" s="384">
        <f t="shared" si="38"/>
        <v>0</v>
      </c>
      <c r="BJ65" s="387">
        <f t="shared" si="38"/>
        <v>0</v>
      </c>
      <c r="BK65" s="535">
        <f t="shared" si="24"/>
        <v>1972</v>
      </c>
      <c r="BL65" s="1277">
        <f t="shared" si="39"/>
        <v>0</v>
      </c>
      <c r="BM65" s="1278">
        <f t="shared" si="40"/>
        <v>0</v>
      </c>
      <c r="BN65" s="341"/>
      <c r="BO65" s="340"/>
      <c r="BP65" s="1277">
        <v>0</v>
      </c>
      <c r="BQ65" s="1278">
        <v>0</v>
      </c>
      <c r="BR65" s="415">
        <f t="shared" si="25"/>
        <v>1</v>
      </c>
      <c r="BS65" s="416">
        <f t="shared" si="11"/>
        <v>1</v>
      </c>
      <c r="BT65" s="341"/>
      <c r="BU65" s="340"/>
      <c r="BV65" s="666">
        <f t="shared" si="47"/>
        <v>0</v>
      </c>
      <c r="BW65" s="680">
        <f t="shared" si="47"/>
        <v>0</v>
      </c>
      <c r="BX65" s="384">
        <f t="shared" si="41"/>
        <v>0</v>
      </c>
      <c r="BY65" s="387">
        <f t="shared" si="41"/>
        <v>0</v>
      </c>
      <c r="BZ65" s="535">
        <f t="shared" si="27"/>
        <v>1975</v>
      </c>
      <c r="CA65" s="666">
        <f t="shared" si="48"/>
        <v>0</v>
      </c>
      <c r="CB65" s="667">
        <f t="shared" si="48"/>
        <v>0</v>
      </c>
      <c r="CC65" s="666">
        <f t="shared" si="49"/>
        <v>0</v>
      </c>
      <c r="CD65" s="667">
        <f t="shared" si="49"/>
        <v>0</v>
      </c>
      <c r="CE65" s="341"/>
      <c r="CF65" s="340"/>
      <c r="CG65" s="384">
        <f t="shared" si="42"/>
        <v>0</v>
      </c>
      <c r="CH65" s="387">
        <f t="shared" si="42"/>
        <v>0</v>
      </c>
    </row>
    <row r="66" spans="2:86" ht="13.5" thickTop="1" x14ac:dyDescent="0.2">
      <c r="B66" s="276">
        <v>51</v>
      </c>
      <c r="C66" s="320">
        <f t="shared" si="28"/>
        <v>52</v>
      </c>
      <c r="D66" s="534">
        <f t="shared" si="13"/>
        <v>1974</v>
      </c>
      <c r="E66" s="337"/>
      <c r="F66" s="338"/>
      <c r="G66" s="1271">
        <v>0</v>
      </c>
      <c r="H66" s="1289">
        <v>0</v>
      </c>
      <c r="I66" s="400">
        <f t="shared" si="43"/>
        <v>0</v>
      </c>
      <c r="J66" s="401">
        <f t="shared" si="4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29"/>
        <v>0.99906233785753362</v>
      </c>
      <c r="P66" s="1143">
        <f t="shared" si="29"/>
        <v>0.99943465086617189</v>
      </c>
      <c r="Q66" s="356">
        <f t="shared" si="14"/>
        <v>1974</v>
      </c>
      <c r="R66" s="337"/>
      <c r="S66" s="338"/>
      <c r="T66" s="664">
        <f t="shared" si="15"/>
        <v>0</v>
      </c>
      <c r="U66" s="665">
        <f t="shared" si="16"/>
        <v>0</v>
      </c>
      <c r="V66" s="337"/>
      <c r="W66" s="338"/>
      <c r="X66" s="383">
        <f t="shared" si="30"/>
        <v>0</v>
      </c>
      <c r="Y66" s="386">
        <f t="shared" si="30"/>
        <v>0</v>
      </c>
      <c r="Z66" s="534">
        <f t="shared" si="17"/>
        <v>1974</v>
      </c>
      <c r="AA66" s="664">
        <f t="shared" si="31"/>
        <v>0</v>
      </c>
      <c r="AB66" s="665">
        <f t="shared" si="31"/>
        <v>0</v>
      </c>
      <c r="AC66" s="337"/>
      <c r="AD66" s="338"/>
      <c r="AE66" s="383">
        <f t="shared" si="32"/>
        <v>0</v>
      </c>
      <c r="AF66" s="386">
        <f t="shared" si="32"/>
        <v>0</v>
      </c>
      <c r="AG66" s="534">
        <f t="shared" si="18"/>
        <v>1973</v>
      </c>
      <c r="AH66" s="1271">
        <f t="shared" si="33"/>
        <v>0</v>
      </c>
      <c r="AI66" s="1276">
        <f t="shared" si="34"/>
        <v>0</v>
      </c>
      <c r="AJ66" s="337"/>
      <c r="AK66" s="338"/>
      <c r="AL66" s="1271">
        <v>0</v>
      </c>
      <c r="AM66" s="1276">
        <v>0</v>
      </c>
      <c r="AN66" s="414">
        <f t="shared" si="19"/>
        <v>1</v>
      </c>
      <c r="AO66" s="413">
        <f t="shared" si="3"/>
        <v>1</v>
      </c>
      <c r="AP66" s="337"/>
      <c r="AQ66" s="338"/>
      <c r="AR66" s="664">
        <f t="shared" si="45"/>
        <v>0</v>
      </c>
      <c r="AS66" s="679">
        <f t="shared" si="45"/>
        <v>0</v>
      </c>
      <c r="AT66" s="383">
        <f t="shared" si="35"/>
        <v>0</v>
      </c>
      <c r="AU66" s="386">
        <f t="shared" si="4"/>
        <v>0</v>
      </c>
      <c r="AV66" s="534">
        <f t="shared" si="21"/>
        <v>1972</v>
      </c>
      <c r="AW66" s="1271">
        <f t="shared" si="36"/>
        <v>0</v>
      </c>
      <c r="AX66" s="1276">
        <f t="shared" si="37"/>
        <v>0</v>
      </c>
      <c r="AY66" s="337"/>
      <c r="AZ66" s="338"/>
      <c r="BA66" s="1271">
        <v>0</v>
      </c>
      <c r="BB66" s="1276">
        <v>0</v>
      </c>
      <c r="BC66" s="414">
        <f t="shared" si="22"/>
        <v>1</v>
      </c>
      <c r="BD66" s="413">
        <f t="shared" si="7"/>
        <v>1</v>
      </c>
      <c r="BE66" s="337"/>
      <c r="BF66" s="338"/>
      <c r="BG66" s="664">
        <f t="shared" si="46"/>
        <v>0</v>
      </c>
      <c r="BH66" s="679">
        <f t="shared" si="46"/>
        <v>0</v>
      </c>
      <c r="BI66" s="383">
        <f t="shared" si="38"/>
        <v>0</v>
      </c>
      <c r="BJ66" s="386">
        <f t="shared" si="38"/>
        <v>0</v>
      </c>
      <c r="BK66" s="534">
        <f t="shared" si="24"/>
        <v>1971</v>
      </c>
      <c r="BL66" s="1271">
        <f t="shared" si="39"/>
        <v>0</v>
      </c>
      <c r="BM66" s="1276">
        <f t="shared" si="40"/>
        <v>0</v>
      </c>
      <c r="BN66" s="337"/>
      <c r="BO66" s="338"/>
      <c r="BP66" s="1271">
        <v>0</v>
      </c>
      <c r="BQ66" s="1276">
        <v>0</v>
      </c>
      <c r="BR66" s="414">
        <f t="shared" si="25"/>
        <v>1</v>
      </c>
      <c r="BS66" s="413">
        <f t="shared" si="11"/>
        <v>1</v>
      </c>
      <c r="BT66" s="337"/>
      <c r="BU66" s="338"/>
      <c r="BV66" s="664">
        <f t="shared" si="47"/>
        <v>0</v>
      </c>
      <c r="BW66" s="679">
        <f t="shared" si="47"/>
        <v>0</v>
      </c>
      <c r="BX66" s="383">
        <f t="shared" si="41"/>
        <v>0</v>
      </c>
      <c r="BY66" s="386">
        <f t="shared" si="41"/>
        <v>0</v>
      </c>
      <c r="BZ66" s="534">
        <f t="shared" si="27"/>
        <v>1974</v>
      </c>
      <c r="CA66" s="664">
        <f t="shared" si="48"/>
        <v>0</v>
      </c>
      <c r="CB66" s="665">
        <f t="shared" si="48"/>
        <v>0</v>
      </c>
      <c r="CC66" s="664">
        <f t="shared" si="49"/>
        <v>0</v>
      </c>
      <c r="CD66" s="665">
        <f t="shared" si="49"/>
        <v>0</v>
      </c>
      <c r="CE66" s="337"/>
      <c r="CF66" s="338"/>
      <c r="CG66" s="383">
        <f t="shared" si="42"/>
        <v>0</v>
      </c>
      <c r="CH66" s="386">
        <f t="shared" si="42"/>
        <v>0</v>
      </c>
    </row>
    <row r="67" spans="2:86" x14ac:dyDescent="0.2">
      <c r="B67" s="276">
        <v>52</v>
      </c>
      <c r="C67" s="320">
        <f t="shared" si="28"/>
        <v>53</v>
      </c>
      <c r="D67" s="534">
        <f t="shared" si="13"/>
        <v>1973</v>
      </c>
      <c r="E67" s="337"/>
      <c r="F67" s="338"/>
      <c r="G67" s="1271">
        <v>0</v>
      </c>
      <c r="H67" s="1289">
        <v>0</v>
      </c>
      <c r="I67" s="400">
        <f t="shared" si="43"/>
        <v>0</v>
      </c>
      <c r="J67" s="401">
        <f t="shared" si="4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29"/>
        <v>0.99895489109896451</v>
      </c>
      <c r="P67" s="1143">
        <f t="shared" si="29"/>
        <v>0.99937384301725607</v>
      </c>
      <c r="Q67" s="356">
        <f t="shared" si="14"/>
        <v>1973</v>
      </c>
      <c r="R67" s="337"/>
      <c r="S67" s="338"/>
      <c r="T67" s="664">
        <f t="shared" si="15"/>
        <v>0</v>
      </c>
      <c r="U67" s="665">
        <f t="shared" si="16"/>
        <v>0</v>
      </c>
      <c r="V67" s="337"/>
      <c r="W67" s="338"/>
      <c r="X67" s="383">
        <f t="shared" si="30"/>
        <v>0</v>
      </c>
      <c r="Y67" s="386">
        <f t="shared" si="30"/>
        <v>0</v>
      </c>
      <c r="Z67" s="534">
        <f t="shared" si="17"/>
        <v>1973</v>
      </c>
      <c r="AA67" s="664">
        <f t="shared" si="31"/>
        <v>0</v>
      </c>
      <c r="AB67" s="665">
        <f t="shared" si="31"/>
        <v>0</v>
      </c>
      <c r="AC67" s="337"/>
      <c r="AD67" s="338"/>
      <c r="AE67" s="383">
        <f t="shared" si="32"/>
        <v>0</v>
      </c>
      <c r="AF67" s="386">
        <f t="shared" si="32"/>
        <v>0</v>
      </c>
      <c r="AG67" s="534">
        <f t="shared" si="18"/>
        <v>1972</v>
      </c>
      <c r="AH67" s="1271">
        <f t="shared" si="33"/>
        <v>0</v>
      </c>
      <c r="AI67" s="1276">
        <f t="shared" si="34"/>
        <v>0</v>
      </c>
      <c r="AJ67" s="337"/>
      <c r="AK67" s="338"/>
      <c r="AL67" s="1271">
        <v>0</v>
      </c>
      <c r="AM67" s="1276">
        <v>0</v>
      </c>
      <c r="AN67" s="414">
        <f t="shared" si="19"/>
        <v>1</v>
      </c>
      <c r="AO67" s="413">
        <f t="shared" si="3"/>
        <v>1</v>
      </c>
      <c r="AP67" s="337"/>
      <c r="AQ67" s="338"/>
      <c r="AR67" s="664">
        <f t="shared" si="45"/>
        <v>0</v>
      </c>
      <c r="AS67" s="679">
        <f t="shared" si="45"/>
        <v>0</v>
      </c>
      <c r="AT67" s="383">
        <f t="shared" si="35"/>
        <v>0</v>
      </c>
      <c r="AU67" s="386">
        <f t="shared" si="4"/>
        <v>0</v>
      </c>
      <c r="AV67" s="534">
        <f t="shared" si="21"/>
        <v>1971</v>
      </c>
      <c r="AW67" s="1271">
        <f t="shared" si="36"/>
        <v>0</v>
      </c>
      <c r="AX67" s="1276">
        <f t="shared" si="37"/>
        <v>0</v>
      </c>
      <c r="AY67" s="337"/>
      <c r="AZ67" s="338"/>
      <c r="BA67" s="1271">
        <v>0</v>
      </c>
      <c r="BB67" s="1276">
        <v>0</v>
      </c>
      <c r="BC67" s="414">
        <f t="shared" si="22"/>
        <v>1</v>
      </c>
      <c r="BD67" s="413">
        <f t="shared" si="7"/>
        <v>1</v>
      </c>
      <c r="BE67" s="337"/>
      <c r="BF67" s="338"/>
      <c r="BG67" s="664">
        <f t="shared" si="46"/>
        <v>0</v>
      </c>
      <c r="BH67" s="679">
        <f t="shared" si="46"/>
        <v>0</v>
      </c>
      <c r="BI67" s="383">
        <f t="shared" si="38"/>
        <v>0</v>
      </c>
      <c r="BJ67" s="386">
        <f t="shared" si="38"/>
        <v>0</v>
      </c>
      <c r="BK67" s="534">
        <f t="shared" si="24"/>
        <v>1970</v>
      </c>
      <c r="BL67" s="1271">
        <f t="shared" si="39"/>
        <v>0</v>
      </c>
      <c r="BM67" s="1276">
        <f t="shared" si="40"/>
        <v>0</v>
      </c>
      <c r="BN67" s="337"/>
      <c r="BO67" s="338"/>
      <c r="BP67" s="1271">
        <v>0</v>
      </c>
      <c r="BQ67" s="1276">
        <v>0</v>
      </c>
      <c r="BR67" s="414">
        <f t="shared" si="25"/>
        <v>1</v>
      </c>
      <c r="BS67" s="413">
        <f t="shared" si="11"/>
        <v>1</v>
      </c>
      <c r="BT67" s="337"/>
      <c r="BU67" s="338"/>
      <c r="BV67" s="664">
        <f t="shared" si="47"/>
        <v>0</v>
      </c>
      <c r="BW67" s="679">
        <f t="shared" si="47"/>
        <v>0</v>
      </c>
      <c r="BX67" s="383">
        <f t="shared" si="41"/>
        <v>0</v>
      </c>
      <c r="BY67" s="386">
        <f t="shared" si="41"/>
        <v>0</v>
      </c>
      <c r="BZ67" s="534">
        <f t="shared" si="27"/>
        <v>1973</v>
      </c>
      <c r="CA67" s="664">
        <f t="shared" si="48"/>
        <v>0</v>
      </c>
      <c r="CB67" s="665">
        <f t="shared" si="48"/>
        <v>0</v>
      </c>
      <c r="CC67" s="664">
        <f t="shared" si="49"/>
        <v>0</v>
      </c>
      <c r="CD67" s="665">
        <f t="shared" si="49"/>
        <v>0</v>
      </c>
      <c r="CE67" s="337"/>
      <c r="CF67" s="338"/>
      <c r="CG67" s="383">
        <f t="shared" si="42"/>
        <v>0</v>
      </c>
      <c r="CH67" s="386">
        <f t="shared" si="42"/>
        <v>0</v>
      </c>
    </row>
    <row r="68" spans="2:86" x14ac:dyDescent="0.2">
      <c r="B68" s="276">
        <v>53</v>
      </c>
      <c r="C68" s="320">
        <f t="shared" si="28"/>
        <v>54</v>
      </c>
      <c r="D68" s="534">
        <f t="shared" si="13"/>
        <v>1972</v>
      </c>
      <c r="E68" s="337"/>
      <c r="F68" s="338"/>
      <c r="G68" s="1271">
        <v>0</v>
      </c>
      <c r="H68" s="1289">
        <v>0</v>
      </c>
      <c r="I68" s="400">
        <f t="shared" si="43"/>
        <v>0</v>
      </c>
      <c r="J68" s="401">
        <f t="shared" si="4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29"/>
        <v>0.99883503982744104</v>
      </c>
      <c r="P68" s="1143">
        <f t="shared" si="29"/>
        <v>0.99930673066978259</v>
      </c>
      <c r="Q68" s="356">
        <f t="shared" si="14"/>
        <v>1972</v>
      </c>
      <c r="R68" s="337"/>
      <c r="S68" s="338"/>
      <c r="T68" s="664">
        <f t="shared" si="15"/>
        <v>0</v>
      </c>
      <c r="U68" s="665">
        <f t="shared" si="16"/>
        <v>0</v>
      </c>
      <c r="V68" s="337"/>
      <c r="W68" s="338"/>
      <c r="X68" s="383">
        <f t="shared" si="30"/>
        <v>0</v>
      </c>
      <c r="Y68" s="386">
        <f t="shared" si="30"/>
        <v>0</v>
      </c>
      <c r="Z68" s="534">
        <f t="shared" si="17"/>
        <v>1972</v>
      </c>
      <c r="AA68" s="664">
        <f t="shared" si="31"/>
        <v>0</v>
      </c>
      <c r="AB68" s="665">
        <f t="shared" si="31"/>
        <v>0</v>
      </c>
      <c r="AC68" s="337"/>
      <c r="AD68" s="338"/>
      <c r="AE68" s="383">
        <f t="shared" si="32"/>
        <v>0</v>
      </c>
      <c r="AF68" s="386">
        <f t="shared" si="32"/>
        <v>0</v>
      </c>
      <c r="AG68" s="534">
        <f t="shared" si="18"/>
        <v>1971</v>
      </c>
      <c r="AH68" s="1271">
        <f t="shared" si="33"/>
        <v>0</v>
      </c>
      <c r="AI68" s="1276">
        <f t="shared" si="34"/>
        <v>0</v>
      </c>
      <c r="AJ68" s="337"/>
      <c r="AK68" s="338"/>
      <c r="AL68" s="1271">
        <v>0</v>
      </c>
      <c r="AM68" s="1276">
        <v>0</v>
      </c>
      <c r="AN68" s="414">
        <f t="shared" si="19"/>
        <v>1</v>
      </c>
      <c r="AO68" s="413">
        <f t="shared" si="3"/>
        <v>1</v>
      </c>
      <c r="AP68" s="337"/>
      <c r="AQ68" s="338"/>
      <c r="AR68" s="664">
        <f t="shared" si="45"/>
        <v>0</v>
      </c>
      <c r="AS68" s="679">
        <f t="shared" si="45"/>
        <v>0</v>
      </c>
      <c r="AT68" s="383">
        <f t="shared" si="35"/>
        <v>0</v>
      </c>
      <c r="AU68" s="386">
        <f t="shared" si="4"/>
        <v>0</v>
      </c>
      <c r="AV68" s="534">
        <f t="shared" si="21"/>
        <v>1970</v>
      </c>
      <c r="AW68" s="1271">
        <f t="shared" si="36"/>
        <v>0</v>
      </c>
      <c r="AX68" s="1276">
        <f t="shared" si="37"/>
        <v>0</v>
      </c>
      <c r="AY68" s="337"/>
      <c r="AZ68" s="338"/>
      <c r="BA68" s="1271">
        <v>0</v>
      </c>
      <c r="BB68" s="1276">
        <v>0</v>
      </c>
      <c r="BC68" s="414">
        <f t="shared" si="22"/>
        <v>1</v>
      </c>
      <c r="BD68" s="413">
        <f t="shared" si="7"/>
        <v>1</v>
      </c>
      <c r="BE68" s="337"/>
      <c r="BF68" s="338"/>
      <c r="BG68" s="664">
        <f t="shared" si="46"/>
        <v>0</v>
      </c>
      <c r="BH68" s="679">
        <f t="shared" si="46"/>
        <v>0</v>
      </c>
      <c r="BI68" s="383">
        <f t="shared" si="38"/>
        <v>0</v>
      </c>
      <c r="BJ68" s="386">
        <f t="shared" si="38"/>
        <v>0</v>
      </c>
      <c r="BK68" s="534">
        <f t="shared" si="24"/>
        <v>1969</v>
      </c>
      <c r="BL68" s="1271">
        <f t="shared" si="39"/>
        <v>0</v>
      </c>
      <c r="BM68" s="1276">
        <f t="shared" si="40"/>
        <v>0</v>
      </c>
      <c r="BN68" s="337"/>
      <c r="BO68" s="338"/>
      <c r="BP68" s="1271">
        <v>0</v>
      </c>
      <c r="BQ68" s="1276">
        <v>0</v>
      </c>
      <c r="BR68" s="414">
        <f t="shared" si="25"/>
        <v>1</v>
      </c>
      <c r="BS68" s="413">
        <f t="shared" si="11"/>
        <v>1</v>
      </c>
      <c r="BT68" s="337"/>
      <c r="BU68" s="338"/>
      <c r="BV68" s="664">
        <f t="shared" si="47"/>
        <v>0</v>
      </c>
      <c r="BW68" s="679">
        <f t="shared" si="47"/>
        <v>0</v>
      </c>
      <c r="BX68" s="383">
        <f t="shared" si="41"/>
        <v>0</v>
      </c>
      <c r="BY68" s="386">
        <f t="shared" si="41"/>
        <v>0</v>
      </c>
      <c r="BZ68" s="534">
        <f t="shared" si="27"/>
        <v>1972</v>
      </c>
      <c r="CA68" s="664">
        <f t="shared" si="48"/>
        <v>0</v>
      </c>
      <c r="CB68" s="665">
        <f t="shared" si="48"/>
        <v>0</v>
      </c>
      <c r="CC68" s="664">
        <f t="shared" si="49"/>
        <v>0</v>
      </c>
      <c r="CD68" s="665">
        <f t="shared" si="49"/>
        <v>0</v>
      </c>
      <c r="CE68" s="337"/>
      <c r="CF68" s="338"/>
      <c r="CG68" s="383">
        <f t="shared" si="42"/>
        <v>0</v>
      </c>
      <c r="CH68" s="386">
        <f t="shared" si="42"/>
        <v>0</v>
      </c>
    </row>
    <row r="69" spans="2:86" x14ac:dyDescent="0.2">
      <c r="B69" s="276">
        <v>54</v>
      </c>
      <c r="C69" s="320">
        <f t="shared" si="28"/>
        <v>55</v>
      </c>
      <c r="D69" s="534">
        <f t="shared" si="13"/>
        <v>1971</v>
      </c>
      <c r="E69" s="337"/>
      <c r="F69" s="338"/>
      <c r="G69" s="1271">
        <v>0</v>
      </c>
      <c r="H69" s="1289">
        <v>0</v>
      </c>
      <c r="I69" s="400">
        <f t="shared" si="43"/>
        <v>0</v>
      </c>
      <c r="J69" s="401">
        <f t="shared" si="4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29"/>
        <v>0.99870187863960613</v>
      </c>
      <c r="P69" s="1143">
        <f t="shared" si="29"/>
        <v>0.99923296796548144</v>
      </c>
      <c r="Q69" s="356">
        <f t="shared" si="14"/>
        <v>1971</v>
      </c>
      <c r="R69" s="337"/>
      <c r="S69" s="338"/>
      <c r="T69" s="664">
        <f t="shared" si="15"/>
        <v>0</v>
      </c>
      <c r="U69" s="665">
        <f t="shared" si="16"/>
        <v>0</v>
      </c>
      <c r="V69" s="337"/>
      <c r="W69" s="338"/>
      <c r="X69" s="383">
        <f t="shared" si="30"/>
        <v>0</v>
      </c>
      <c r="Y69" s="386">
        <f t="shared" si="30"/>
        <v>0</v>
      </c>
      <c r="Z69" s="534">
        <f t="shared" si="17"/>
        <v>1971</v>
      </c>
      <c r="AA69" s="664">
        <f t="shared" si="31"/>
        <v>0</v>
      </c>
      <c r="AB69" s="665">
        <f t="shared" si="31"/>
        <v>0</v>
      </c>
      <c r="AC69" s="337"/>
      <c r="AD69" s="338"/>
      <c r="AE69" s="383">
        <f t="shared" si="32"/>
        <v>0</v>
      </c>
      <c r="AF69" s="386">
        <f t="shared" si="32"/>
        <v>0</v>
      </c>
      <c r="AG69" s="534">
        <f t="shared" si="18"/>
        <v>1970</v>
      </c>
      <c r="AH69" s="1271">
        <f t="shared" si="33"/>
        <v>0</v>
      </c>
      <c r="AI69" s="1276">
        <f t="shared" si="34"/>
        <v>0</v>
      </c>
      <c r="AJ69" s="337"/>
      <c r="AK69" s="338"/>
      <c r="AL69" s="1271">
        <v>0</v>
      </c>
      <c r="AM69" s="1276">
        <v>0</v>
      </c>
      <c r="AN69" s="414">
        <f t="shared" si="19"/>
        <v>1</v>
      </c>
      <c r="AO69" s="413">
        <f t="shared" si="3"/>
        <v>1</v>
      </c>
      <c r="AP69" s="337"/>
      <c r="AQ69" s="338"/>
      <c r="AR69" s="664">
        <f t="shared" si="45"/>
        <v>0</v>
      </c>
      <c r="AS69" s="679">
        <f t="shared" si="45"/>
        <v>0</v>
      </c>
      <c r="AT69" s="383">
        <f t="shared" si="35"/>
        <v>0</v>
      </c>
      <c r="AU69" s="386">
        <f t="shared" si="4"/>
        <v>0</v>
      </c>
      <c r="AV69" s="534">
        <f t="shared" si="21"/>
        <v>1969</v>
      </c>
      <c r="AW69" s="1271">
        <f t="shared" si="36"/>
        <v>0</v>
      </c>
      <c r="AX69" s="1276">
        <f t="shared" si="37"/>
        <v>0</v>
      </c>
      <c r="AY69" s="337"/>
      <c r="AZ69" s="338"/>
      <c r="BA69" s="1271">
        <v>0</v>
      </c>
      <c r="BB69" s="1276">
        <v>0</v>
      </c>
      <c r="BC69" s="414">
        <f t="shared" si="22"/>
        <v>1</v>
      </c>
      <c r="BD69" s="413">
        <f t="shared" si="7"/>
        <v>1</v>
      </c>
      <c r="BE69" s="337"/>
      <c r="BF69" s="338"/>
      <c r="BG69" s="664">
        <f t="shared" si="46"/>
        <v>0</v>
      </c>
      <c r="BH69" s="679">
        <f t="shared" si="46"/>
        <v>0</v>
      </c>
      <c r="BI69" s="383">
        <f t="shared" si="38"/>
        <v>0</v>
      </c>
      <c r="BJ69" s="386">
        <f t="shared" si="38"/>
        <v>0</v>
      </c>
      <c r="BK69" s="534">
        <f t="shared" si="24"/>
        <v>1968</v>
      </c>
      <c r="BL69" s="1271">
        <f t="shared" si="39"/>
        <v>0</v>
      </c>
      <c r="BM69" s="1276">
        <f t="shared" si="40"/>
        <v>0</v>
      </c>
      <c r="BN69" s="337"/>
      <c r="BO69" s="338"/>
      <c r="BP69" s="1271">
        <v>0</v>
      </c>
      <c r="BQ69" s="1276">
        <v>0</v>
      </c>
      <c r="BR69" s="414">
        <f t="shared" si="25"/>
        <v>1</v>
      </c>
      <c r="BS69" s="413">
        <f t="shared" si="11"/>
        <v>1</v>
      </c>
      <c r="BT69" s="337"/>
      <c r="BU69" s="338"/>
      <c r="BV69" s="664">
        <f t="shared" si="47"/>
        <v>0</v>
      </c>
      <c r="BW69" s="679">
        <f t="shared" si="47"/>
        <v>0</v>
      </c>
      <c r="BX69" s="383">
        <f t="shared" si="41"/>
        <v>0</v>
      </c>
      <c r="BY69" s="386">
        <f t="shared" si="41"/>
        <v>0</v>
      </c>
      <c r="BZ69" s="534">
        <f t="shared" si="27"/>
        <v>1971</v>
      </c>
      <c r="CA69" s="664">
        <f t="shared" si="48"/>
        <v>0</v>
      </c>
      <c r="CB69" s="665">
        <f t="shared" si="48"/>
        <v>0</v>
      </c>
      <c r="CC69" s="664">
        <f t="shared" si="49"/>
        <v>0</v>
      </c>
      <c r="CD69" s="665">
        <f t="shared" si="49"/>
        <v>0</v>
      </c>
      <c r="CE69" s="337"/>
      <c r="CF69" s="338"/>
      <c r="CG69" s="383">
        <f t="shared" si="42"/>
        <v>0</v>
      </c>
      <c r="CH69" s="386">
        <f t="shared" si="42"/>
        <v>0</v>
      </c>
    </row>
    <row r="70" spans="2:86" ht="13.5" thickBot="1" x14ac:dyDescent="0.25">
      <c r="B70" s="313">
        <v>55</v>
      </c>
      <c r="C70" s="321">
        <f t="shared" si="28"/>
        <v>56</v>
      </c>
      <c r="D70" s="535">
        <f t="shared" si="13"/>
        <v>1970</v>
      </c>
      <c r="E70" s="341"/>
      <c r="F70" s="340"/>
      <c r="G70" s="1277">
        <v>0</v>
      </c>
      <c r="H70" s="1290">
        <v>0</v>
      </c>
      <c r="I70" s="406">
        <f t="shared" si="43"/>
        <v>0</v>
      </c>
      <c r="J70" s="407">
        <f t="shared" si="4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29"/>
        <v>0.9985543514780264</v>
      </c>
      <c r="P70" s="1144">
        <f t="shared" si="29"/>
        <v>0.99915209680293171</v>
      </c>
      <c r="Q70" s="313">
        <f t="shared" si="14"/>
        <v>1970</v>
      </c>
      <c r="R70" s="341"/>
      <c r="S70" s="340"/>
      <c r="T70" s="666">
        <f t="shared" si="15"/>
        <v>0</v>
      </c>
      <c r="U70" s="667">
        <f t="shared" si="16"/>
        <v>0</v>
      </c>
      <c r="V70" s="341"/>
      <c r="W70" s="340"/>
      <c r="X70" s="384">
        <f t="shared" si="30"/>
        <v>0</v>
      </c>
      <c r="Y70" s="387">
        <f t="shared" si="30"/>
        <v>0</v>
      </c>
      <c r="Z70" s="535">
        <f t="shared" si="17"/>
        <v>1970</v>
      </c>
      <c r="AA70" s="666">
        <f t="shared" si="31"/>
        <v>0</v>
      </c>
      <c r="AB70" s="667">
        <f t="shared" si="31"/>
        <v>0</v>
      </c>
      <c r="AC70" s="341"/>
      <c r="AD70" s="340"/>
      <c r="AE70" s="384">
        <f t="shared" si="32"/>
        <v>0</v>
      </c>
      <c r="AF70" s="387">
        <f t="shared" si="32"/>
        <v>0</v>
      </c>
      <c r="AG70" s="535">
        <f t="shared" si="18"/>
        <v>1969</v>
      </c>
      <c r="AH70" s="1277">
        <f t="shared" si="33"/>
        <v>0</v>
      </c>
      <c r="AI70" s="1278">
        <f t="shared" si="34"/>
        <v>0</v>
      </c>
      <c r="AJ70" s="341"/>
      <c r="AK70" s="340"/>
      <c r="AL70" s="1277">
        <v>0</v>
      </c>
      <c r="AM70" s="1278">
        <v>0</v>
      </c>
      <c r="AN70" s="415">
        <f t="shared" si="19"/>
        <v>1</v>
      </c>
      <c r="AO70" s="416">
        <f t="shared" si="3"/>
        <v>1</v>
      </c>
      <c r="AP70" s="341"/>
      <c r="AQ70" s="340"/>
      <c r="AR70" s="666">
        <f t="shared" si="45"/>
        <v>0</v>
      </c>
      <c r="AS70" s="680">
        <f t="shared" si="45"/>
        <v>0</v>
      </c>
      <c r="AT70" s="384">
        <f t="shared" si="35"/>
        <v>0</v>
      </c>
      <c r="AU70" s="387">
        <f t="shared" si="4"/>
        <v>0</v>
      </c>
      <c r="AV70" s="535">
        <f t="shared" si="21"/>
        <v>1968</v>
      </c>
      <c r="AW70" s="1277">
        <f t="shared" si="36"/>
        <v>0</v>
      </c>
      <c r="AX70" s="1278">
        <f t="shared" si="37"/>
        <v>0</v>
      </c>
      <c r="AY70" s="341"/>
      <c r="AZ70" s="340"/>
      <c r="BA70" s="1277">
        <v>0</v>
      </c>
      <c r="BB70" s="1278">
        <v>0</v>
      </c>
      <c r="BC70" s="415">
        <f t="shared" si="22"/>
        <v>1</v>
      </c>
      <c r="BD70" s="416">
        <f t="shared" si="7"/>
        <v>1</v>
      </c>
      <c r="BE70" s="341"/>
      <c r="BF70" s="340"/>
      <c r="BG70" s="666">
        <f t="shared" si="46"/>
        <v>0</v>
      </c>
      <c r="BH70" s="680">
        <f t="shared" si="46"/>
        <v>0</v>
      </c>
      <c r="BI70" s="384">
        <f t="shared" si="38"/>
        <v>0</v>
      </c>
      <c r="BJ70" s="387">
        <f t="shared" si="38"/>
        <v>0</v>
      </c>
      <c r="BK70" s="535">
        <f t="shared" si="24"/>
        <v>1967</v>
      </c>
      <c r="BL70" s="1277">
        <f t="shared" si="39"/>
        <v>0</v>
      </c>
      <c r="BM70" s="1278">
        <f t="shared" si="40"/>
        <v>0</v>
      </c>
      <c r="BN70" s="341"/>
      <c r="BO70" s="340"/>
      <c r="BP70" s="1277">
        <v>0</v>
      </c>
      <c r="BQ70" s="1278">
        <v>0</v>
      </c>
      <c r="BR70" s="415">
        <f t="shared" si="25"/>
        <v>1</v>
      </c>
      <c r="BS70" s="416">
        <f t="shared" si="11"/>
        <v>1</v>
      </c>
      <c r="BT70" s="341"/>
      <c r="BU70" s="340"/>
      <c r="BV70" s="666">
        <f t="shared" si="47"/>
        <v>0</v>
      </c>
      <c r="BW70" s="680">
        <f t="shared" si="47"/>
        <v>0</v>
      </c>
      <c r="BX70" s="384">
        <f t="shared" si="41"/>
        <v>0</v>
      </c>
      <c r="BY70" s="387">
        <f t="shared" si="41"/>
        <v>0</v>
      </c>
      <c r="BZ70" s="535">
        <f t="shared" si="27"/>
        <v>1970</v>
      </c>
      <c r="CA70" s="666">
        <f t="shared" si="48"/>
        <v>0</v>
      </c>
      <c r="CB70" s="667">
        <f t="shared" si="48"/>
        <v>0</v>
      </c>
      <c r="CC70" s="666">
        <f t="shared" si="49"/>
        <v>0</v>
      </c>
      <c r="CD70" s="667">
        <f t="shared" si="49"/>
        <v>0</v>
      </c>
      <c r="CE70" s="341"/>
      <c r="CF70" s="340"/>
      <c r="CG70" s="384">
        <f t="shared" si="42"/>
        <v>0</v>
      </c>
      <c r="CH70" s="387">
        <f t="shared" si="42"/>
        <v>0</v>
      </c>
    </row>
    <row r="71" spans="2:86" ht="13.5" thickTop="1" x14ac:dyDescent="0.2">
      <c r="B71" s="276">
        <v>56</v>
      </c>
      <c r="C71" s="320">
        <f t="shared" si="28"/>
        <v>57</v>
      </c>
      <c r="D71" s="534">
        <f t="shared" si="13"/>
        <v>1969</v>
      </c>
      <c r="E71" s="337"/>
      <c r="F71" s="338"/>
      <c r="G71" s="1271">
        <v>0</v>
      </c>
      <c r="H71" s="1289">
        <v>0</v>
      </c>
      <c r="I71" s="400">
        <f t="shared" si="43"/>
        <v>0</v>
      </c>
      <c r="J71" s="401">
        <f t="shared" si="4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29"/>
        <v>0.99839118710119912</v>
      </c>
      <c r="P71" s="1143">
        <f t="shared" si="29"/>
        <v>0.99906344827180971</v>
      </c>
      <c r="Q71" s="356">
        <f t="shared" si="14"/>
        <v>1969</v>
      </c>
      <c r="R71" s="337"/>
      <c r="S71" s="338"/>
      <c r="T71" s="664">
        <f t="shared" si="15"/>
        <v>0</v>
      </c>
      <c r="U71" s="665">
        <f t="shared" si="16"/>
        <v>0</v>
      </c>
      <c r="V71" s="337"/>
      <c r="W71" s="338"/>
      <c r="X71" s="383">
        <f t="shared" si="30"/>
        <v>0</v>
      </c>
      <c r="Y71" s="386">
        <f t="shared" si="30"/>
        <v>0</v>
      </c>
      <c r="Z71" s="534">
        <f t="shared" si="17"/>
        <v>1969</v>
      </c>
      <c r="AA71" s="664">
        <f t="shared" si="31"/>
        <v>0</v>
      </c>
      <c r="AB71" s="665">
        <f t="shared" si="31"/>
        <v>0</v>
      </c>
      <c r="AC71" s="337"/>
      <c r="AD71" s="338"/>
      <c r="AE71" s="383">
        <f t="shared" si="32"/>
        <v>0</v>
      </c>
      <c r="AF71" s="386">
        <f t="shared" si="32"/>
        <v>0</v>
      </c>
      <c r="AG71" s="534">
        <f t="shared" si="18"/>
        <v>1968</v>
      </c>
      <c r="AH71" s="1271">
        <f t="shared" si="33"/>
        <v>0</v>
      </c>
      <c r="AI71" s="1276">
        <f t="shared" si="34"/>
        <v>0</v>
      </c>
      <c r="AJ71" s="337"/>
      <c r="AK71" s="338"/>
      <c r="AL71" s="1271">
        <v>0</v>
      </c>
      <c r="AM71" s="1276">
        <v>0</v>
      </c>
      <c r="AN71" s="414">
        <f t="shared" si="19"/>
        <v>1</v>
      </c>
      <c r="AO71" s="413">
        <f t="shared" si="3"/>
        <v>1</v>
      </c>
      <c r="AP71" s="337"/>
      <c r="AQ71" s="338"/>
      <c r="AR71" s="664">
        <f t="shared" si="45"/>
        <v>0</v>
      </c>
      <c r="AS71" s="679">
        <f t="shared" si="45"/>
        <v>0</v>
      </c>
      <c r="AT71" s="383">
        <f t="shared" si="35"/>
        <v>0</v>
      </c>
      <c r="AU71" s="386">
        <f t="shared" si="4"/>
        <v>0</v>
      </c>
      <c r="AV71" s="534">
        <f t="shared" si="21"/>
        <v>1967</v>
      </c>
      <c r="AW71" s="1271">
        <f t="shared" si="36"/>
        <v>0</v>
      </c>
      <c r="AX71" s="1276">
        <f t="shared" si="37"/>
        <v>0</v>
      </c>
      <c r="AY71" s="337"/>
      <c r="AZ71" s="338"/>
      <c r="BA71" s="1271">
        <v>0</v>
      </c>
      <c r="BB71" s="1276">
        <v>0</v>
      </c>
      <c r="BC71" s="414">
        <f t="shared" si="22"/>
        <v>1</v>
      </c>
      <c r="BD71" s="413">
        <f t="shared" si="7"/>
        <v>1</v>
      </c>
      <c r="BE71" s="337"/>
      <c r="BF71" s="338"/>
      <c r="BG71" s="664">
        <f t="shared" si="46"/>
        <v>0</v>
      </c>
      <c r="BH71" s="679">
        <f t="shared" si="46"/>
        <v>0</v>
      </c>
      <c r="BI71" s="383">
        <f t="shared" si="38"/>
        <v>0</v>
      </c>
      <c r="BJ71" s="386">
        <f t="shared" si="38"/>
        <v>0</v>
      </c>
      <c r="BK71" s="534">
        <f t="shared" si="24"/>
        <v>1966</v>
      </c>
      <c r="BL71" s="1271">
        <f t="shared" si="39"/>
        <v>0</v>
      </c>
      <c r="BM71" s="1276">
        <f t="shared" si="40"/>
        <v>0</v>
      </c>
      <c r="BN71" s="337"/>
      <c r="BO71" s="338"/>
      <c r="BP71" s="1271">
        <v>0</v>
      </c>
      <c r="BQ71" s="1276">
        <v>0</v>
      </c>
      <c r="BR71" s="414">
        <f t="shared" si="25"/>
        <v>1</v>
      </c>
      <c r="BS71" s="413">
        <f t="shared" si="11"/>
        <v>1</v>
      </c>
      <c r="BT71" s="337"/>
      <c r="BU71" s="338"/>
      <c r="BV71" s="664">
        <f t="shared" si="47"/>
        <v>0</v>
      </c>
      <c r="BW71" s="679">
        <f t="shared" si="47"/>
        <v>0</v>
      </c>
      <c r="BX71" s="383">
        <f t="shared" si="41"/>
        <v>0</v>
      </c>
      <c r="BY71" s="386">
        <f t="shared" si="41"/>
        <v>0</v>
      </c>
      <c r="BZ71" s="534">
        <f t="shared" si="27"/>
        <v>1969</v>
      </c>
      <c r="CA71" s="664">
        <f t="shared" si="48"/>
        <v>0</v>
      </c>
      <c r="CB71" s="665">
        <f t="shared" si="48"/>
        <v>0</v>
      </c>
      <c r="CC71" s="664">
        <f t="shared" si="49"/>
        <v>0</v>
      </c>
      <c r="CD71" s="665">
        <f t="shared" si="49"/>
        <v>0</v>
      </c>
      <c r="CE71" s="337"/>
      <c r="CF71" s="338"/>
      <c r="CG71" s="383">
        <f t="shared" si="42"/>
        <v>0</v>
      </c>
      <c r="CH71" s="386">
        <f t="shared" si="42"/>
        <v>0</v>
      </c>
    </row>
    <row r="72" spans="2:86" x14ac:dyDescent="0.2">
      <c r="B72" s="276">
        <v>57</v>
      </c>
      <c r="C72" s="320">
        <f t="shared" si="28"/>
        <v>58</v>
      </c>
      <c r="D72" s="534">
        <f t="shared" si="13"/>
        <v>1968</v>
      </c>
      <c r="E72" s="337"/>
      <c r="F72" s="338"/>
      <c r="G72" s="1271">
        <v>0</v>
      </c>
      <c r="H72" s="1289">
        <v>0</v>
      </c>
      <c r="I72" s="400">
        <f t="shared" si="43"/>
        <v>0</v>
      </c>
      <c r="J72" s="401">
        <f t="shared" si="4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29"/>
        <v>0.99821100872800383</v>
      </c>
      <c r="P72" s="1143">
        <f t="shared" si="29"/>
        <v>0.99896619097430783</v>
      </c>
      <c r="Q72" s="356">
        <f t="shared" si="14"/>
        <v>1968</v>
      </c>
      <c r="R72" s="337"/>
      <c r="S72" s="338"/>
      <c r="T72" s="664">
        <f t="shared" si="15"/>
        <v>0</v>
      </c>
      <c r="U72" s="665">
        <f t="shared" si="16"/>
        <v>0</v>
      </c>
      <c r="V72" s="337"/>
      <c r="W72" s="338"/>
      <c r="X72" s="383">
        <f t="shared" si="30"/>
        <v>0</v>
      </c>
      <c r="Y72" s="386">
        <f t="shared" si="30"/>
        <v>0</v>
      </c>
      <c r="Z72" s="534">
        <f t="shared" si="17"/>
        <v>1968</v>
      </c>
      <c r="AA72" s="664">
        <f t="shared" si="31"/>
        <v>0</v>
      </c>
      <c r="AB72" s="665">
        <f t="shared" si="31"/>
        <v>0</v>
      </c>
      <c r="AC72" s="337"/>
      <c r="AD72" s="338"/>
      <c r="AE72" s="383">
        <f t="shared" si="32"/>
        <v>0</v>
      </c>
      <c r="AF72" s="386">
        <f t="shared" si="32"/>
        <v>0</v>
      </c>
      <c r="AG72" s="534">
        <f t="shared" si="18"/>
        <v>1967</v>
      </c>
      <c r="AH72" s="1271">
        <f t="shared" si="33"/>
        <v>0</v>
      </c>
      <c r="AI72" s="1276">
        <f t="shared" si="34"/>
        <v>0</v>
      </c>
      <c r="AJ72" s="337"/>
      <c r="AK72" s="338"/>
      <c r="AL72" s="1271">
        <v>0</v>
      </c>
      <c r="AM72" s="1276">
        <v>0</v>
      </c>
      <c r="AN72" s="414">
        <f t="shared" si="19"/>
        <v>1</v>
      </c>
      <c r="AO72" s="413">
        <f t="shared" si="3"/>
        <v>1</v>
      </c>
      <c r="AP72" s="337"/>
      <c r="AQ72" s="338"/>
      <c r="AR72" s="664">
        <f t="shared" si="45"/>
        <v>0</v>
      </c>
      <c r="AS72" s="679">
        <f t="shared" si="45"/>
        <v>0</v>
      </c>
      <c r="AT72" s="383">
        <f t="shared" si="35"/>
        <v>0</v>
      </c>
      <c r="AU72" s="386">
        <f t="shared" si="4"/>
        <v>0</v>
      </c>
      <c r="AV72" s="534">
        <f t="shared" si="21"/>
        <v>1966</v>
      </c>
      <c r="AW72" s="1271">
        <f t="shared" si="36"/>
        <v>0</v>
      </c>
      <c r="AX72" s="1276">
        <f t="shared" si="37"/>
        <v>0</v>
      </c>
      <c r="AY72" s="337"/>
      <c r="AZ72" s="338"/>
      <c r="BA72" s="1271">
        <v>0</v>
      </c>
      <c r="BB72" s="1276">
        <v>0</v>
      </c>
      <c r="BC72" s="414">
        <f t="shared" si="22"/>
        <v>1</v>
      </c>
      <c r="BD72" s="413">
        <f t="shared" si="7"/>
        <v>1</v>
      </c>
      <c r="BE72" s="337"/>
      <c r="BF72" s="338"/>
      <c r="BG72" s="664">
        <f t="shared" si="46"/>
        <v>0</v>
      </c>
      <c r="BH72" s="679">
        <f t="shared" si="46"/>
        <v>0</v>
      </c>
      <c r="BI72" s="383">
        <f t="shared" si="38"/>
        <v>0</v>
      </c>
      <c r="BJ72" s="386">
        <f t="shared" si="38"/>
        <v>0</v>
      </c>
      <c r="BK72" s="534">
        <f t="shared" si="24"/>
        <v>1965</v>
      </c>
      <c r="BL72" s="1271">
        <f t="shared" si="39"/>
        <v>0</v>
      </c>
      <c r="BM72" s="1276">
        <f t="shared" si="40"/>
        <v>0</v>
      </c>
      <c r="BN72" s="337"/>
      <c r="BO72" s="338"/>
      <c r="BP72" s="1271">
        <v>0</v>
      </c>
      <c r="BQ72" s="1276">
        <v>0</v>
      </c>
      <c r="BR72" s="414">
        <f t="shared" si="25"/>
        <v>1</v>
      </c>
      <c r="BS72" s="413">
        <f t="shared" si="11"/>
        <v>1</v>
      </c>
      <c r="BT72" s="337"/>
      <c r="BU72" s="338"/>
      <c r="BV72" s="664">
        <f t="shared" si="47"/>
        <v>0</v>
      </c>
      <c r="BW72" s="679">
        <f t="shared" si="47"/>
        <v>0</v>
      </c>
      <c r="BX72" s="383">
        <f t="shared" si="41"/>
        <v>0</v>
      </c>
      <c r="BY72" s="386">
        <f t="shared" si="41"/>
        <v>0</v>
      </c>
      <c r="BZ72" s="534">
        <f t="shared" si="27"/>
        <v>1968</v>
      </c>
      <c r="CA72" s="664">
        <f t="shared" si="48"/>
        <v>0</v>
      </c>
      <c r="CB72" s="665">
        <f t="shared" si="48"/>
        <v>0</v>
      </c>
      <c r="CC72" s="664">
        <f t="shared" si="49"/>
        <v>0</v>
      </c>
      <c r="CD72" s="665">
        <f t="shared" si="49"/>
        <v>0</v>
      </c>
      <c r="CE72" s="337"/>
      <c r="CF72" s="338"/>
      <c r="CG72" s="383">
        <f t="shared" si="42"/>
        <v>0</v>
      </c>
      <c r="CH72" s="386">
        <f t="shared" si="42"/>
        <v>0</v>
      </c>
    </row>
    <row r="73" spans="2:86" x14ac:dyDescent="0.2">
      <c r="B73" s="276">
        <v>58</v>
      </c>
      <c r="C73" s="320">
        <f t="shared" si="28"/>
        <v>59</v>
      </c>
      <c r="D73" s="534">
        <f t="shared" si="13"/>
        <v>1967</v>
      </c>
      <c r="E73" s="337"/>
      <c r="F73" s="338"/>
      <c r="G73" s="1271">
        <v>0</v>
      </c>
      <c r="H73" s="1289">
        <v>0</v>
      </c>
      <c r="I73" s="400">
        <f t="shared" si="43"/>
        <v>0</v>
      </c>
      <c r="J73" s="401">
        <f t="shared" si="4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29"/>
        <v>0.99801237629159023</v>
      </c>
      <c r="P73" s="1143">
        <f t="shared" si="29"/>
        <v>0.99885934224374329</v>
      </c>
      <c r="Q73" s="356">
        <f t="shared" si="14"/>
        <v>1967</v>
      </c>
      <c r="R73" s="337"/>
      <c r="S73" s="338"/>
      <c r="T73" s="664">
        <f t="shared" si="15"/>
        <v>0</v>
      </c>
      <c r="U73" s="665">
        <f t="shared" si="16"/>
        <v>0</v>
      </c>
      <c r="V73" s="337"/>
      <c r="W73" s="338"/>
      <c r="X73" s="383">
        <f t="shared" si="30"/>
        <v>0</v>
      </c>
      <c r="Y73" s="386">
        <f t="shared" si="30"/>
        <v>0</v>
      </c>
      <c r="Z73" s="534">
        <f t="shared" si="17"/>
        <v>1967</v>
      </c>
      <c r="AA73" s="664">
        <f t="shared" si="31"/>
        <v>0</v>
      </c>
      <c r="AB73" s="665">
        <f t="shared" si="31"/>
        <v>0</v>
      </c>
      <c r="AC73" s="337"/>
      <c r="AD73" s="338"/>
      <c r="AE73" s="383">
        <f t="shared" si="32"/>
        <v>0</v>
      </c>
      <c r="AF73" s="386">
        <f t="shared" si="32"/>
        <v>0</v>
      </c>
      <c r="AG73" s="534">
        <f t="shared" si="18"/>
        <v>1966</v>
      </c>
      <c r="AH73" s="1271">
        <f t="shared" si="33"/>
        <v>0</v>
      </c>
      <c r="AI73" s="1276">
        <f t="shared" si="34"/>
        <v>0</v>
      </c>
      <c r="AJ73" s="337"/>
      <c r="AK73" s="338"/>
      <c r="AL73" s="1271">
        <v>0</v>
      </c>
      <c r="AM73" s="1276">
        <v>0</v>
      </c>
      <c r="AN73" s="414">
        <f t="shared" si="19"/>
        <v>1</v>
      </c>
      <c r="AO73" s="413">
        <f t="shared" si="3"/>
        <v>1</v>
      </c>
      <c r="AP73" s="337"/>
      <c r="AQ73" s="338"/>
      <c r="AR73" s="664">
        <f t="shared" si="45"/>
        <v>0</v>
      </c>
      <c r="AS73" s="679">
        <f t="shared" si="45"/>
        <v>0</v>
      </c>
      <c r="AT73" s="383">
        <f t="shared" si="35"/>
        <v>0</v>
      </c>
      <c r="AU73" s="386">
        <f t="shared" si="4"/>
        <v>0</v>
      </c>
      <c r="AV73" s="534">
        <f t="shared" si="21"/>
        <v>1965</v>
      </c>
      <c r="AW73" s="1271">
        <f t="shared" si="36"/>
        <v>0</v>
      </c>
      <c r="AX73" s="1276">
        <f t="shared" si="37"/>
        <v>0</v>
      </c>
      <c r="AY73" s="337"/>
      <c r="AZ73" s="338"/>
      <c r="BA73" s="1271">
        <v>0</v>
      </c>
      <c r="BB73" s="1276">
        <v>0</v>
      </c>
      <c r="BC73" s="414">
        <f t="shared" si="22"/>
        <v>1</v>
      </c>
      <c r="BD73" s="413">
        <f t="shared" si="7"/>
        <v>1</v>
      </c>
      <c r="BE73" s="337"/>
      <c r="BF73" s="338"/>
      <c r="BG73" s="664">
        <f t="shared" si="46"/>
        <v>0</v>
      </c>
      <c r="BH73" s="679">
        <f t="shared" si="46"/>
        <v>0</v>
      </c>
      <c r="BI73" s="383">
        <f t="shared" si="38"/>
        <v>0</v>
      </c>
      <c r="BJ73" s="386">
        <f t="shared" si="38"/>
        <v>0</v>
      </c>
      <c r="BK73" s="534">
        <f t="shared" si="24"/>
        <v>1964</v>
      </c>
      <c r="BL73" s="1271">
        <f t="shared" si="39"/>
        <v>0</v>
      </c>
      <c r="BM73" s="1276">
        <f t="shared" si="40"/>
        <v>0</v>
      </c>
      <c r="BN73" s="337"/>
      <c r="BO73" s="338"/>
      <c r="BP73" s="1271">
        <v>0</v>
      </c>
      <c r="BQ73" s="1276">
        <v>0</v>
      </c>
      <c r="BR73" s="414">
        <f t="shared" si="25"/>
        <v>1</v>
      </c>
      <c r="BS73" s="413">
        <f t="shared" si="11"/>
        <v>1</v>
      </c>
      <c r="BT73" s="337"/>
      <c r="BU73" s="338"/>
      <c r="BV73" s="664">
        <f t="shared" si="47"/>
        <v>0</v>
      </c>
      <c r="BW73" s="679">
        <f t="shared" si="47"/>
        <v>0</v>
      </c>
      <c r="BX73" s="383">
        <f t="shared" si="41"/>
        <v>0</v>
      </c>
      <c r="BY73" s="386">
        <f t="shared" si="41"/>
        <v>0</v>
      </c>
      <c r="BZ73" s="534">
        <f t="shared" si="27"/>
        <v>1967</v>
      </c>
      <c r="CA73" s="664">
        <f t="shared" si="48"/>
        <v>0</v>
      </c>
      <c r="CB73" s="665">
        <f t="shared" si="48"/>
        <v>0</v>
      </c>
      <c r="CC73" s="664">
        <f t="shared" si="49"/>
        <v>0</v>
      </c>
      <c r="CD73" s="665">
        <f t="shared" si="49"/>
        <v>0</v>
      </c>
      <c r="CE73" s="337"/>
      <c r="CF73" s="338"/>
      <c r="CG73" s="383">
        <f t="shared" si="42"/>
        <v>0</v>
      </c>
      <c r="CH73" s="386">
        <f t="shared" si="42"/>
        <v>0</v>
      </c>
    </row>
    <row r="74" spans="2:86" x14ac:dyDescent="0.2">
      <c r="B74" s="276">
        <v>59</v>
      </c>
      <c r="C74" s="320">
        <f t="shared" si="28"/>
        <v>60</v>
      </c>
      <c r="D74" s="534">
        <f t="shared" si="13"/>
        <v>1966</v>
      </c>
      <c r="E74" s="337"/>
      <c r="F74" s="338"/>
      <c r="G74" s="1271">
        <v>0</v>
      </c>
      <c r="H74" s="1289">
        <v>0</v>
      </c>
      <c r="I74" s="400">
        <f t="shared" si="43"/>
        <v>0</v>
      </c>
      <c r="J74" s="401">
        <f t="shared" si="4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29"/>
        <v>0.99779379923373646</v>
      </c>
      <c r="P74" s="1143">
        <f t="shared" si="29"/>
        <v>0.99874175735416393</v>
      </c>
      <c r="Q74" s="356">
        <f t="shared" si="14"/>
        <v>1966</v>
      </c>
      <c r="R74" s="337"/>
      <c r="S74" s="338"/>
      <c r="T74" s="664">
        <f t="shared" si="15"/>
        <v>0</v>
      </c>
      <c r="U74" s="665">
        <f t="shared" si="16"/>
        <v>0</v>
      </c>
      <c r="V74" s="337"/>
      <c r="W74" s="338"/>
      <c r="X74" s="383">
        <f t="shared" si="30"/>
        <v>0</v>
      </c>
      <c r="Y74" s="386">
        <f t="shared" si="30"/>
        <v>0</v>
      </c>
      <c r="Z74" s="534">
        <f t="shared" si="17"/>
        <v>1966</v>
      </c>
      <c r="AA74" s="664">
        <f t="shared" si="31"/>
        <v>0</v>
      </c>
      <c r="AB74" s="665">
        <f t="shared" si="31"/>
        <v>0</v>
      </c>
      <c r="AC74" s="337"/>
      <c r="AD74" s="338"/>
      <c r="AE74" s="383">
        <f t="shared" si="32"/>
        <v>0</v>
      </c>
      <c r="AF74" s="386">
        <f t="shared" si="32"/>
        <v>0</v>
      </c>
      <c r="AG74" s="534">
        <f t="shared" si="18"/>
        <v>1965</v>
      </c>
      <c r="AH74" s="1271">
        <f t="shared" si="33"/>
        <v>0</v>
      </c>
      <c r="AI74" s="1276">
        <f t="shared" si="34"/>
        <v>0</v>
      </c>
      <c r="AJ74" s="337"/>
      <c r="AK74" s="338"/>
      <c r="AL74" s="1271">
        <v>0</v>
      </c>
      <c r="AM74" s="1276">
        <v>0</v>
      </c>
      <c r="AN74" s="414">
        <f t="shared" si="19"/>
        <v>1</v>
      </c>
      <c r="AO74" s="413">
        <f t="shared" si="3"/>
        <v>1</v>
      </c>
      <c r="AP74" s="337"/>
      <c r="AQ74" s="338"/>
      <c r="AR74" s="664">
        <f t="shared" si="45"/>
        <v>0</v>
      </c>
      <c r="AS74" s="679">
        <f t="shared" si="45"/>
        <v>0</v>
      </c>
      <c r="AT74" s="383">
        <f t="shared" si="35"/>
        <v>0</v>
      </c>
      <c r="AU74" s="386">
        <f t="shared" si="4"/>
        <v>0</v>
      </c>
      <c r="AV74" s="534">
        <f t="shared" si="21"/>
        <v>1964</v>
      </c>
      <c r="AW74" s="1271">
        <f t="shared" si="36"/>
        <v>0</v>
      </c>
      <c r="AX74" s="1276">
        <f t="shared" si="37"/>
        <v>0</v>
      </c>
      <c r="AY74" s="337"/>
      <c r="AZ74" s="338"/>
      <c r="BA74" s="1271">
        <v>0</v>
      </c>
      <c r="BB74" s="1276">
        <v>0</v>
      </c>
      <c r="BC74" s="414">
        <f t="shared" si="22"/>
        <v>1</v>
      </c>
      <c r="BD74" s="413">
        <f t="shared" si="7"/>
        <v>1</v>
      </c>
      <c r="BE74" s="337"/>
      <c r="BF74" s="338"/>
      <c r="BG74" s="664">
        <f t="shared" si="46"/>
        <v>0</v>
      </c>
      <c r="BH74" s="679">
        <f t="shared" si="46"/>
        <v>0</v>
      </c>
      <c r="BI74" s="383">
        <f t="shared" si="38"/>
        <v>0</v>
      </c>
      <c r="BJ74" s="386">
        <f t="shared" si="38"/>
        <v>0</v>
      </c>
      <c r="BK74" s="534">
        <f t="shared" si="24"/>
        <v>1963</v>
      </c>
      <c r="BL74" s="1271">
        <f t="shared" si="39"/>
        <v>0</v>
      </c>
      <c r="BM74" s="1276">
        <f t="shared" si="40"/>
        <v>0</v>
      </c>
      <c r="BN74" s="337"/>
      <c r="BO74" s="338"/>
      <c r="BP74" s="1271">
        <v>0</v>
      </c>
      <c r="BQ74" s="1276">
        <v>0</v>
      </c>
      <c r="BR74" s="414">
        <f t="shared" si="25"/>
        <v>1</v>
      </c>
      <c r="BS74" s="413">
        <f t="shared" si="11"/>
        <v>1</v>
      </c>
      <c r="BT74" s="337"/>
      <c r="BU74" s="338"/>
      <c r="BV74" s="664">
        <f t="shared" si="47"/>
        <v>0</v>
      </c>
      <c r="BW74" s="679">
        <f t="shared" si="47"/>
        <v>0</v>
      </c>
      <c r="BX74" s="383">
        <f t="shared" si="41"/>
        <v>0</v>
      </c>
      <c r="BY74" s="386">
        <f t="shared" si="41"/>
        <v>0</v>
      </c>
      <c r="BZ74" s="534">
        <f t="shared" si="27"/>
        <v>1966</v>
      </c>
      <c r="CA74" s="664">
        <f t="shared" si="48"/>
        <v>0</v>
      </c>
      <c r="CB74" s="665">
        <f t="shared" si="48"/>
        <v>0</v>
      </c>
      <c r="CC74" s="664">
        <f t="shared" si="49"/>
        <v>0</v>
      </c>
      <c r="CD74" s="665">
        <f t="shared" si="49"/>
        <v>0</v>
      </c>
      <c r="CE74" s="337"/>
      <c r="CF74" s="338"/>
      <c r="CG74" s="383">
        <f t="shared" si="42"/>
        <v>0</v>
      </c>
      <c r="CH74" s="386">
        <f t="shared" si="42"/>
        <v>0</v>
      </c>
    </row>
    <row r="75" spans="2:86" ht="13.5" thickBot="1" x14ac:dyDescent="0.25">
      <c r="B75" s="313">
        <v>60</v>
      </c>
      <c r="C75" s="321">
        <f t="shared" si="28"/>
        <v>61</v>
      </c>
      <c r="D75" s="535">
        <f t="shared" si="13"/>
        <v>1965</v>
      </c>
      <c r="E75" s="341"/>
      <c r="F75" s="340"/>
      <c r="G75" s="1277">
        <v>0</v>
      </c>
      <c r="H75" s="1290">
        <v>0</v>
      </c>
      <c r="I75" s="406">
        <f t="shared" si="43"/>
        <v>0</v>
      </c>
      <c r="J75" s="407">
        <f t="shared" si="4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29"/>
        <v>0.99755375247862599</v>
      </c>
      <c r="P75" s="1144">
        <f t="shared" si="29"/>
        <v>0.99861211894322599</v>
      </c>
      <c r="Q75" s="313">
        <f t="shared" si="14"/>
        <v>1965</v>
      </c>
      <c r="R75" s="341"/>
      <c r="S75" s="340"/>
      <c r="T75" s="666">
        <f t="shared" si="15"/>
        <v>0</v>
      </c>
      <c r="U75" s="667">
        <f t="shared" si="16"/>
        <v>0</v>
      </c>
      <c r="V75" s="341"/>
      <c r="W75" s="340"/>
      <c r="X75" s="384">
        <f t="shared" si="30"/>
        <v>0</v>
      </c>
      <c r="Y75" s="387">
        <f t="shared" si="30"/>
        <v>0</v>
      </c>
      <c r="Z75" s="535">
        <f t="shared" si="17"/>
        <v>1965</v>
      </c>
      <c r="AA75" s="666">
        <f t="shared" si="31"/>
        <v>0</v>
      </c>
      <c r="AB75" s="667">
        <f t="shared" si="31"/>
        <v>0</v>
      </c>
      <c r="AC75" s="341"/>
      <c r="AD75" s="340"/>
      <c r="AE75" s="384">
        <f t="shared" si="32"/>
        <v>0</v>
      </c>
      <c r="AF75" s="387">
        <f t="shared" si="32"/>
        <v>0</v>
      </c>
      <c r="AG75" s="535">
        <f t="shared" si="18"/>
        <v>1964</v>
      </c>
      <c r="AH75" s="1277">
        <f t="shared" si="33"/>
        <v>0</v>
      </c>
      <c r="AI75" s="1278">
        <f t="shared" si="34"/>
        <v>0</v>
      </c>
      <c r="AJ75" s="341"/>
      <c r="AK75" s="340"/>
      <c r="AL75" s="1277">
        <v>0</v>
      </c>
      <c r="AM75" s="1278">
        <v>0</v>
      </c>
      <c r="AN75" s="415">
        <f t="shared" si="19"/>
        <v>1</v>
      </c>
      <c r="AO75" s="416">
        <f t="shared" si="3"/>
        <v>1</v>
      </c>
      <c r="AP75" s="341"/>
      <c r="AQ75" s="340"/>
      <c r="AR75" s="666">
        <f t="shared" si="45"/>
        <v>0</v>
      </c>
      <c r="AS75" s="680">
        <f t="shared" si="45"/>
        <v>0</v>
      </c>
      <c r="AT75" s="384">
        <f t="shared" si="35"/>
        <v>0</v>
      </c>
      <c r="AU75" s="387">
        <f t="shared" si="4"/>
        <v>0</v>
      </c>
      <c r="AV75" s="535">
        <f t="shared" si="21"/>
        <v>1963</v>
      </c>
      <c r="AW75" s="1277">
        <f t="shared" si="36"/>
        <v>0</v>
      </c>
      <c r="AX75" s="1278">
        <f t="shared" si="37"/>
        <v>0</v>
      </c>
      <c r="AY75" s="341"/>
      <c r="AZ75" s="340"/>
      <c r="BA75" s="1277">
        <v>0</v>
      </c>
      <c r="BB75" s="1278">
        <v>0</v>
      </c>
      <c r="BC75" s="415">
        <f t="shared" si="22"/>
        <v>1</v>
      </c>
      <c r="BD75" s="416">
        <f t="shared" si="7"/>
        <v>1</v>
      </c>
      <c r="BE75" s="341"/>
      <c r="BF75" s="340"/>
      <c r="BG75" s="666">
        <f t="shared" si="46"/>
        <v>0</v>
      </c>
      <c r="BH75" s="680">
        <f t="shared" si="46"/>
        <v>0</v>
      </c>
      <c r="BI75" s="384">
        <f t="shared" si="38"/>
        <v>0</v>
      </c>
      <c r="BJ75" s="387">
        <f t="shared" si="38"/>
        <v>0</v>
      </c>
      <c r="BK75" s="535">
        <f t="shared" si="24"/>
        <v>1962</v>
      </c>
      <c r="BL75" s="1277">
        <f t="shared" si="39"/>
        <v>0</v>
      </c>
      <c r="BM75" s="1278">
        <f t="shared" si="40"/>
        <v>0</v>
      </c>
      <c r="BN75" s="341"/>
      <c r="BO75" s="340"/>
      <c r="BP75" s="1277">
        <v>0</v>
      </c>
      <c r="BQ75" s="1278">
        <v>0</v>
      </c>
      <c r="BR75" s="415">
        <f t="shared" si="25"/>
        <v>1</v>
      </c>
      <c r="BS75" s="416">
        <f t="shared" si="11"/>
        <v>1</v>
      </c>
      <c r="BT75" s="341"/>
      <c r="BU75" s="340"/>
      <c r="BV75" s="666">
        <f t="shared" si="47"/>
        <v>0</v>
      </c>
      <c r="BW75" s="680">
        <f t="shared" si="47"/>
        <v>0</v>
      </c>
      <c r="BX75" s="384">
        <f t="shared" si="41"/>
        <v>0</v>
      </c>
      <c r="BY75" s="387">
        <f t="shared" si="41"/>
        <v>0</v>
      </c>
      <c r="BZ75" s="535">
        <f t="shared" si="27"/>
        <v>1965</v>
      </c>
      <c r="CA75" s="666">
        <f t="shared" si="48"/>
        <v>0</v>
      </c>
      <c r="CB75" s="667">
        <f t="shared" si="48"/>
        <v>0</v>
      </c>
      <c r="CC75" s="666">
        <f t="shared" si="49"/>
        <v>0</v>
      </c>
      <c r="CD75" s="667">
        <f t="shared" si="49"/>
        <v>0</v>
      </c>
      <c r="CE75" s="341"/>
      <c r="CF75" s="340"/>
      <c r="CG75" s="384">
        <f t="shared" si="42"/>
        <v>0</v>
      </c>
      <c r="CH75" s="387">
        <f t="shared" si="42"/>
        <v>0</v>
      </c>
    </row>
    <row r="76" spans="2:86" ht="13.5" thickTop="1" x14ac:dyDescent="0.2">
      <c r="B76" s="276">
        <v>61</v>
      </c>
      <c r="C76" s="320">
        <f t="shared" si="28"/>
        <v>62</v>
      </c>
      <c r="D76" s="534">
        <f t="shared" si="13"/>
        <v>1964</v>
      </c>
      <c r="E76" s="337"/>
      <c r="F76" s="338"/>
      <c r="G76" s="1271">
        <v>0</v>
      </c>
      <c r="H76" s="1289">
        <v>0</v>
      </c>
      <c r="I76" s="400">
        <f t="shared" si="43"/>
        <v>0</v>
      </c>
      <c r="J76" s="401">
        <f t="shared" si="4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29"/>
        <v>0.99729069514876678</v>
      </c>
      <c r="P76" s="1143">
        <f t="shared" si="29"/>
        <v>0.99846892473627546</v>
      </c>
      <c r="Q76" s="356">
        <f t="shared" si="14"/>
        <v>1964</v>
      </c>
      <c r="R76" s="337"/>
      <c r="S76" s="338"/>
      <c r="T76" s="664">
        <f t="shared" si="15"/>
        <v>0</v>
      </c>
      <c r="U76" s="665">
        <f t="shared" si="16"/>
        <v>0</v>
      </c>
      <c r="V76" s="337"/>
      <c r="W76" s="338"/>
      <c r="X76" s="383">
        <f t="shared" si="30"/>
        <v>0</v>
      </c>
      <c r="Y76" s="386">
        <f t="shared" si="30"/>
        <v>0</v>
      </c>
      <c r="Z76" s="534">
        <f t="shared" si="17"/>
        <v>1964</v>
      </c>
      <c r="AA76" s="664">
        <f t="shared" si="31"/>
        <v>0</v>
      </c>
      <c r="AB76" s="665">
        <f t="shared" si="31"/>
        <v>0</v>
      </c>
      <c r="AC76" s="337"/>
      <c r="AD76" s="338"/>
      <c r="AE76" s="383">
        <f t="shared" si="32"/>
        <v>0</v>
      </c>
      <c r="AF76" s="386">
        <f t="shared" si="32"/>
        <v>0</v>
      </c>
      <c r="AG76" s="534">
        <f t="shared" si="18"/>
        <v>1963</v>
      </c>
      <c r="AH76" s="1271">
        <f t="shared" si="33"/>
        <v>0</v>
      </c>
      <c r="AI76" s="1276">
        <f t="shared" si="34"/>
        <v>0</v>
      </c>
      <c r="AJ76" s="337"/>
      <c r="AK76" s="338"/>
      <c r="AL76" s="1271">
        <v>0</v>
      </c>
      <c r="AM76" s="1276">
        <v>0</v>
      </c>
      <c r="AN76" s="414">
        <f t="shared" si="19"/>
        <v>1</v>
      </c>
      <c r="AO76" s="413">
        <f t="shared" si="3"/>
        <v>1</v>
      </c>
      <c r="AP76" s="337"/>
      <c r="AQ76" s="338"/>
      <c r="AR76" s="664">
        <f t="shared" si="45"/>
        <v>0</v>
      </c>
      <c r="AS76" s="679">
        <f t="shared" si="45"/>
        <v>0</v>
      </c>
      <c r="AT76" s="383">
        <f t="shared" si="35"/>
        <v>0</v>
      </c>
      <c r="AU76" s="386">
        <f t="shared" si="4"/>
        <v>0</v>
      </c>
      <c r="AV76" s="534">
        <f t="shared" si="21"/>
        <v>1962</v>
      </c>
      <c r="AW76" s="1271">
        <f t="shared" si="36"/>
        <v>0</v>
      </c>
      <c r="AX76" s="1276">
        <f t="shared" si="37"/>
        <v>0</v>
      </c>
      <c r="AY76" s="337"/>
      <c r="AZ76" s="338"/>
      <c r="BA76" s="1271">
        <v>0</v>
      </c>
      <c r="BB76" s="1276">
        <v>0</v>
      </c>
      <c r="BC76" s="414">
        <f t="shared" si="22"/>
        <v>1</v>
      </c>
      <c r="BD76" s="413">
        <f t="shared" si="7"/>
        <v>1</v>
      </c>
      <c r="BE76" s="337"/>
      <c r="BF76" s="338"/>
      <c r="BG76" s="664">
        <f t="shared" si="46"/>
        <v>0</v>
      </c>
      <c r="BH76" s="679">
        <f t="shared" si="46"/>
        <v>0</v>
      </c>
      <c r="BI76" s="383">
        <f t="shared" si="38"/>
        <v>0</v>
      </c>
      <c r="BJ76" s="386">
        <f t="shared" si="38"/>
        <v>0</v>
      </c>
      <c r="BK76" s="534">
        <f t="shared" si="24"/>
        <v>1961</v>
      </c>
      <c r="BL76" s="1271">
        <f t="shared" si="39"/>
        <v>0</v>
      </c>
      <c r="BM76" s="1276">
        <f t="shared" si="40"/>
        <v>0</v>
      </c>
      <c r="BN76" s="337"/>
      <c r="BO76" s="338"/>
      <c r="BP76" s="1271">
        <v>0</v>
      </c>
      <c r="BQ76" s="1276">
        <v>0</v>
      </c>
      <c r="BR76" s="414">
        <f t="shared" si="25"/>
        <v>1</v>
      </c>
      <c r="BS76" s="413">
        <f t="shared" si="11"/>
        <v>1</v>
      </c>
      <c r="BT76" s="337"/>
      <c r="BU76" s="338"/>
      <c r="BV76" s="664">
        <f t="shared" si="47"/>
        <v>0</v>
      </c>
      <c r="BW76" s="679">
        <f t="shared" si="47"/>
        <v>0</v>
      </c>
      <c r="BX76" s="383">
        <f t="shared" si="41"/>
        <v>0</v>
      </c>
      <c r="BY76" s="386">
        <f t="shared" si="41"/>
        <v>0</v>
      </c>
      <c r="BZ76" s="534">
        <f t="shared" si="27"/>
        <v>1964</v>
      </c>
      <c r="CA76" s="664">
        <f t="shared" si="48"/>
        <v>0</v>
      </c>
      <c r="CB76" s="665">
        <f t="shared" si="48"/>
        <v>0</v>
      </c>
      <c r="CC76" s="664">
        <f t="shared" si="49"/>
        <v>0</v>
      </c>
      <c r="CD76" s="665">
        <f t="shared" si="49"/>
        <v>0</v>
      </c>
      <c r="CE76" s="337"/>
      <c r="CF76" s="338"/>
      <c r="CG76" s="383">
        <f t="shared" si="42"/>
        <v>0</v>
      </c>
      <c r="CH76" s="386">
        <f t="shared" si="42"/>
        <v>0</v>
      </c>
    </row>
    <row r="77" spans="2:86" x14ac:dyDescent="0.2">
      <c r="B77" s="276">
        <v>62</v>
      </c>
      <c r="C77" s="320">
        <f t="shared" si="28"/>
        <v>63</v>
      </c>
      <c r="D77" s="534">
        <f t="shared" si="13"/>
        <v>1963</v>
      </c>
      <c r="E77" s="337"/>
      <c r="F77" s="338"/>
      <c r="G77" s="1271">
        <v>0</v>
      </c>
      <c r="H77" s="1289">
        <v>0</v>
      </c>
      <c r="I77" s="400">
        <f t="shared" si="43"/>
        <v>0</v>
      </c>
      <c r="J77" s="401">
        <f t="shared" si="4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29"/>
        <v>0.99700309111183039</v>
      </c>
      <c r="P77" s="1143">
        <f t="shared" si="29"/>
        <v>0.99831047099891468</v>
      </c>
      <c r="Q77" s="356">
        <f t="shared" si="14"/>
        <v>1963</v>
      </c>
      <c r="R77" s="337"/>
      <c r="S77" s="338"/>
      <c r="T77" s="664">
        <f t="shared" si="15"/>
        <v>0</v>
      </c>
      <c r="U77" s="665">
        <f t="shared" si="16"/>
        <v>0</v>
      </c>
      <c r="V77" s="337"/>
      <c r="W77" s="338"/>
      <c r="X77" s="383">
        <f t="shared" si="30"/>
        <v>0</v>
      </c>
      <c r="Y77" s="386">
        <f t="shared" si="30"/>
        <v>0</v>
      </c>
      <c r="Z77" s="534">
        <f t="shared" si="17"/>
        <v>1963</v>
      </c>
      <c r="AA77" s="664">
        <f t="shared" si="31"/>
        <v>0</v>
      </c>
      <c r="AB77" s="665">
        <f t="shared" si="31"/>
        <v>0</v>
      </c>
      <c r="AC77" s="337"/>
      <c r="AD77" s="338"/>
      <c r="AE77" s="383">
        <f t="shared" si="32"/>
        <v>0</v>
      </c>
      <c r="AF77" s="386">
        <f t="shared" si="32"/>
        <v>0</v>
      </c>
      <c r="AG77" s="534">
        <f t="shared" si="18"/>
        <v>1962</v>
      </c>
      <c r="AH77" s="1271">
        <f t="shared" si="33"/>
        <v>0</v>
      </c>
      <c r="AI77" s="1276">
        <f t="shared" si="34"/>
        <v>0</v>
      </c>
      <c r="AJ77" s="337"/>
      <c r="AK77" s="338"/>
      <c r="AL77" s="1271">
        <v>0</v>
      </c>
      <c r="AM77" s="1276">
        <v>0</v>
      </c>
      <c r="AN77" s="414">
        <f t="shared" si="19"/>
        <v>1</v>
      </c>
      <c r="AO77" s="413">
        <f t="shared" si="3"/>
        <v>1</v>
      </c>
      <c r="AP77" s="337"/>
      <c r="AQ77" s="338"/>
      <c r="AR77" s="664">
        <f t="shared" si="45"/>
        <v>0</v>
      </c>
      <c r="AS77" s="679">
        <f t="shared" si="45"/>
        <v>0</v>
      </c>
      <c r="AT77" s="383">
        <f t="shared" si="35"/>
        <v>0</v>
      </c>
      <c r="AU77" s="386">
        <f t="shared" si="4"/>
        <v>0</v>
      </c>
      <c r="AV77" s="534">
        <f t="shared" si="21"/>
        <v>1961</v>
      </c>
      <c r="AW77" s="1271">
        <f t="shared" si="36"/>
        <v>0</v>
      </c>
      <c r="AX77" s="1276">
        <f t="shared" si="37"/>
        <v>0</v>
      </c>
      <c r="AY77" s="337"/>
      <c r="AZ77" s="338"/>
      <c r="BA77" s="1271">
        <v>0</v>
      </c>
      <c r="BB77" s="1276">
        <v>0</v>
      </c>
      <c r="BC77" s="414">
        <f t="shared" si="22"/>
        <v>1</v>
      </c>
      <c r="BD77" s="413">
        <f t="shared" si="7"/>
        <v>1</v>
      </c>
      <c r="BE77" s="337"/>
      <c r="BF77" s="338"/>
      <c r="BG77" s="664">
        <f t="shared" si="46"/>
        <v>0</v>
      </c>
      <c r="BH77" s="679">
        <f t="shared" si="46"/>
        <v>0</v>
      </c>
      <c r="BI77" s="383">
        <f t="shared" si="38"/>
        <v>0</v>
      </c>
      <c r="BJ77" s="386">
        <f t="shared" si="38"/>
        <v>0</v>
      </c>
      <c r="BK77" s="534">
        <f t="shared" si="24"/>
        <v>1960</v>
      </c>
      <c r="BL77" s="1271">
        <f t="shared" si="39"/>
        <v>0</v>
      </c>
      <c r="BM77" s="1276">
        <f t="shared" si="40"/>
        <v>0</v>
      </c>
      <c r="BN77" s="337"/>
      <c r="BO77" s="338"/>
      <c r="BP77" s="1271">
        <v>0</v>
      </c>
      <c r="BQ77" s="1276">
        <v>0</v>
      </c>
      <c r="BR77" s="414">
        <f t="shared" si="25"/>
        <v>1</v>
      </c>
      <c r="BS77" s="413">
        <f t="shared" si="11"/>
        <v>1</v>
      </c>
      <c r="BT77" s="337"/>
      <c r="BU77" s="338"/>
      <c r="BV77" s="664">
        <f t="shared" si="47"/>
        <v>0</v>
      </c>
      <c r="BW77" s="679">
        <f t="shared" si="47"/>
        <v>0</v>
      </c>
      <c r="BX77" s="383">
        <f t="shared" si="41"/>
        <v>0</v>
      </c>
      <c r="BY77" s="386">
        <f t="shared" si="41"/>
        <v>0</v>
      </c>
      <c r="BZ77" s="534">
        <f t="shared" si="27"/>
        <v>1963</v>
      </c>
      <c r="CA77" s="664">
        <f t="shared" si="48"/>
        <v>0</v>
      </c>
      <c r="CB77" s="665">
        <f t="shared" si="48"/>
        <v>0</v>
      </c>
      <c r="CC77" s="664">
        <f t="shared" si="49"/>
        <v>0</v>
      </c>
      <c r="CD77" s="665">
        <f t="shared" si="49"/>
        <v>0</v>
      </c>
      <c r="CE77" s="337"/>
      <c r="CF77" s="338"/>
      <c r="CG77" s="383">
        <f t="shared" si="42"/>
        <v>0</v>
      </c>
      <c r="CH77" s="386">
        <f t="shared" si="42"/>
        <v>0</v>
      </c>
    </row>
    <row r="78" spans="2:86" x14ac:dyDescent="0.2">
      <c r="B78" s="276">
        <v>63</v>
      </c>
      <c r="C78" s="320">
        <f t="shared" si="28"/>
        <v>64</v>
      </c>
      <c r="D78" s="534">
        <f t="shared" si="13"/>
        <v>1962</v>
      </c>
      <c r="E78" s="337"/>
      <c r="F78" s="338"/>
      <c r="G78" s="1271">
        <v>0</v>
      </c>
      <c r="H78" s="1289">
        <v>0</v>
      </c>
      <c r="I78" s="400">
        <f t="shared" si="43"/>
        <v>0</v>
      </c>
      <c r="J78" s="401">
        <f t="shared" si="4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29"/>
        <v>0.99668942982752551</v>
      </c>
      <c r="P78" s="1143">
        <f t="shared" si="29"/>
        <v>0.9981348282392507</v>
      </c>
      <c r="Q78" s="356">
        <f t="shared" si="14"/>
        <v>1962</v>
      </c>
      <c r="R78" s="337"/>
      <c r="S78" s="338"/>
      <c r="T78" s="664">
        <f t="shared" si="15"/>
        <v>0</v>
      </c>
      <c r="U78" s="665">
        <f t="shared" si="16"/>
        <v>0</v>
      </c>
      <c r="V78" s="337"/>
      <c r="W78" s="338"/>
      <c r="X78" s="383">
        <f t="shared" si="30"/>
        <v>0</v>
      </c>
      <c r="Y78" s="386">
        <f t="shared" si="30"/>
        <v>0</v>
      </c>
      <c r="Z78" s="534">
        <f t="shared" si="17"/>
        <v>1962</v>
      </c>
      <c r="AA78" s="664">
        <f t="shared" si="31"/>
        <v>0</v>
      </c>
      <c r="AB78" s="665">
        <f t="shared" si="31"/>
        <v>0</v>
      </c>
      <c r="AC78" s="337"/>
      <c r="AD78" s="338"/>
      <c r="AE78" s="383">
        <f t="shared" si="32"/>
        <v>0</v>
      </c>
      <c r="AF78" s="386">
        <f t="shared" si="32"/>
        <v>0</v>
      </c>
      <c r="AG78" s="534">
        <f t="shared" si="18"/>
        <v>1961</v>
      </c>
      <c r="AH78" s="1271">
        <f t="shared" si="33"/>
        <v>0</v>
      </c>
      <c r="AI78" s="1276">
        <f t="shared" si="34"/>
        <v>0</v>
      </c>
      <c r="AJ78" s="337"/>
      <c r="AK78" s="338"/>
      <c r="AL78" s="1271">
        <v>0</v>
      </c>
      <c r="AM78" s="1276">
        <v>0</v>
      </c>
      <c r="AN78" s="414">
        <f t="shared" si="19"/>
        <v>1</v>
      </c>
      <c r="AO78" s="413">
        <f t="shared" si="19"/>
        <v>1</v>
      </c>
      <c r="AP78" s="337"/>
      <c r="AQ78" s="338"/>
      <c r="AR78" s="664">
        <f t="shared" si="45"/>
        <v>0</v>
      </c>
      <c r="AS78" s="679">
        <f t="shared" si="45"/>
        <v>0</v>
      </c>
      <c r="AT78" s="383">
        <f t="shared" si="35"/>
        <v>0</v>
      </c>
      <c r="AU78" s="386">
        <f t="shared" si="35"/>
        <v>0</v>
      </c>
      <c r="AV78" s="534">
        <f t="shared" si="21"/>
        <v>1960</v>
      </c>
      <c r="AW78" s="1271">
        <f t="shared" si="36"/>
        <v>0</v>
      </c>
      <c r="AX78" s="1276">
        <f t="shared" si="37"/>
        <v>0</v>
      </c>
      <c r="AY78" s="337"/>
      <c r="AZ78" s="338"/>
      <c r="BA78" s="1271">
        <v>0</v>
      </c>
      <c r="BB78" s="1276">
        <v>0</v>
      </c>
      <c r="BC78" s="414">
        <f t="shared" si="22"/>
        <v>1</v>
      </c>
      <c r="BD78" s="413">
        <f t="shared" si="22"/>
        <v>1</v>
      </c>
      <c r="BE78" s="337"/>
      <c r="BF78" s="338"/>
      <c r="BG78" s="664">
        <f t="shared" si="46"/>
        <v>0</v>
      </c>
      <c r="BH78" s="679">
        <f t="shared" si="46"/>
        <v>0</v>
      </c>
      <c r="BI78" s="383">
        <f t="shared" si="38"/>
        <v>0</v>
      </c>
      <c r="BJ78" s="386">
        <f t="shared" si="38"/>
        <v>0</v>
      </c>
      <c r="BK78" s="534">
        <f t="shared" si="24"/>
        <v>1959</v>
      </c>
      <c r="BL78" s="1271">
        <f t="shared" si="39"/>
        <v>0</v>
      </c>
      <c r="BM78" s="1276">
        <f t="shared" si="40"/>
        <v>0</v>
      </c>
      <c r="BN78" s="337"/>
      <c r="BO78" s="338"/>
      <c r="BP78" s="1271">
        <v>0</v>
      </c>
      <c r="BQ78" s="1276">
        <v>0</v>
      </c>
      <c r="BR78" s="414">
        <f t="shared" si="25"/>
        <v>1</v>
      </c>
      <c r="BS78" s="413">
        <f t="shared" si="25"/>
        <v>1</v>
      </c>
      <c r="BT78" s="337"/>
      <c r="BU78" s="338"/>
      <c r="BV78" s="664">
        <f t="shared" si="47"/>
        <v>0</v>
      </c>
      <c r="BW78" s="679">
        <f t="shared" si="47"/>
        <v>0</v>
      </c>
      <c r="BX78" s="383">
        <f t="shared" si="41"/>
        <v>0</v>
      </c>
      <c r="BY78" s="386">
        <f t="shared" si="41"/>
        <v>0</v>
      </c>
      <c r="BZ78" s="534">
        <f t="shared" si="27"/>
        <v>1962</v>
      </c>
      <c r="CA78" s="664">
        <f t="shared" si="48"/>
        <v>0</v>
      </c>
      <c r="CB78" s="665">
        <f t="shared" si="48"/>
        <v>0</v>
      </c>
      <c r="CC78" s="664">
        <f t="shared" si="49"/>
        <v>0</v>
      </c>
      <c r="CD78" s="665">
        <f t="shared" si="49"/>
        <v>0</v>
      </c>
      <c r="CE78" s="337"/>
      <c r="CF78" s="338"/>
      <c r="CG78" s="383">
        <f t="shared" si="42"/>
        <v>0</v>
      </c>
      <c r="CH78" s="386">
        <f t="shared" si="42"/>
        <v>0</v>
      </c>
    </row>
    <row r="79" spans="2:86" x14ac:dyDescent="0.2">
      <c r="B79" s="276">
        <v>64</v>
      </c>
      <c r="C79" s="320">
        <f t="shared" si="28"/>
        <v>65</v>
      </c>
      <c r="D79" s="534">
        <f t="shared" ref="D79:D125" si="50">HE_CY-$B79</f>
        <v>1961</v>
      </c>
      <c r="E79" s="337"/>
      <c r="F79" s="338"/>
      <c r="G79" s="1271">
        <v>0</v>
      </c>
      <c r="H79" s="1289">
        <v>0</v>
      </c>
      <c r="I79" s="400">
        <f t="shared" si="43"/>
        <v>0</v>
      </c>
      <c r="J79" s="401">
        <f t="shared" si="43"/>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29"/>
        <v>0.99634809170160388</v>
      </c>
      <c r="P79" s="1143">
        <f t="shared" si="29"/>
        <v>0.99793980617599676</v>
      </c>
      <c r="Q79" s="356">
        <f t="shared" ref="Q79:Q125" si="51">HE_CY-$B79</f>
        <v>1961</v>
      </c>
      <c r="R79" s="337"/>
      <c r="S79" s="338"/>
      <c r="T79" s="664">
        <f t="shared" ref="T79:T125" si="52">IF(E79&gt;0,R79/E79,0)</f>
        <v>0</v>
      </c>
      <c r="U79" s="665">
        <f t="shared" ref="U79:U125" si="53">IF(F79&gt;0,S79/F79,0)</f>
        <v>0</v>
      </c>
      <c r="V79" s="337"/>
      <c r="W79" s="338"/>
      <c r="X79" s="383">
        <f t="shared" si="30"/>
        <v>0</v>
      </c>
      <c r="Y79" s="386">
        <f t="shared" si="30"/>
        <v>0</v>
      </c>
      <c r="Z79" s="534">
        <f t="shared" ref="Z79:Z125" si="54">HE_CY-$B79</f>
        <v>1961</v>
      </c>
      <c r="AA79" s="664">
        <f t="shared" si="31"/>
        <v>0</v>
      </c>
      <c r="AB79" s="665">
        <f t="shared" si="31"/>
        <v>0</v>
      </c>
      <c r="AC79" s="337"/>
      <c r="AD79" s="338"/>
      <c r="AE79" s="383">
        <f t="shared" si="32"/>
        <v>0</v>
      </c>
      <c r="AF79" s="386">
        <f t="shared" si="32"/>
        <v>0</v>
      </c>
      <c r="AG79" s="534">
        <f t="shared" ref="AG79:AG125" si="55">HE_PY1-$B79</f>
        <v>1960</v>
      </c>
      <c r="AH79" s="1271">
        <f t="shared" si="33"/>
        <v>0</v>
      </c>
      <c r="AI79" s="1276">
        <f t="shared" si="34"/>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5"/>
        <v>0</v>
      </c>
      <c r="AU79" s="386">
        <f t="shared" si="35"/>
        <v>0</v>
      </c>
      <c r="AV79" s="534">
        <f t="shared" ref="AV79:AV125" si="57">HE_PY2-$B79</f>
        <v>1959</v>
      </c>
      <c r="AW79" s="1271">
        <f t="shared" si="36"/>
        <v>0</v>
      </c>
      <c r="AX79" s="1276">
        <f t="shared" si="37"/>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8"/>
        <v>0</v>
      </c>
      <c r="BJ79" s="386">
        <f t="shared" si="38"/>
        <v>0</v>
      </c>
      <c r="BK79" s="534">
        <f t="shared" ref="BK79:BK125" si="59">HE_PY3-$B79</f>
        <v>1958</v>
      </c>
      <c r="BL79" s="1271">
        <f t="shared" si="39"/>
        <v>0</v>
      </c>
      <c r="BM79" s="1276">
        <f t="shared" si="40"/>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1"/>
        <v>0</v>
      </c>
      <c r="BY79" s="386">
        <f t="shared" si="41"/>
        <v>0</v>
      </c>
      <c r="BZ79" s="534">
        <f t="shared" ref="BZ79:BZ125" si="61">HE_CY-$B79</f>
        <v>1961</v>
      </c>
      <c r="CA79" s="664">
        <f t="shared" si="48"/>
        <v>0</v>
      </c>
      <c r="CB79" s="665">
        <f t="shared" si="48"/>
        <v>0</v>
      </c>
      <c r="CC79" s="664">
        <f t="shared" si="49"/>
        <v>0</v>
      </c>
      <c r="CD79" s="665">
        <f t="shared" si="49"/>
        <v>0</v>
      </c>
      <c r="CE79" s="337"/>
      <c r="CF79" s="338"/>
      <c r="CG79" s="383">
        <f t="shared" si="42"/>
        <v>0</v>
      </c>
      <c r="CH79" s="386">
        <f t="shared" si="42"/>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77" priority="42">
      <formula>IF($G15="Ground-up loss",TRUE,FALSE)</formula>
    </cfRule>
  </conditionalFormatting>
  <conditionalFormatting sqref="E115:H115">
    <cfRule type="expression" dxfId="376" priority="41">
      <formula>IF($G115="Ground-up loss",TRUE,FALSE)</formula>
    </cfRule>
  </conditionalFormatting>
  <conditionalFormatting sqref="R15:S114">
    <cfRule type="expression" dxfId="375" priority="40">
      <formula>IF($G15="Ground-up loss",TRUE,FALSE)</formula>
    </cfRule>
  </conditionalFormatting>
  <conditionalFormatting sqref="R115:S115">
    <cfRule type="expression" dxfId="374" priority="39">
      <formula>IF($G115="Ground-up loss",TRUE,FALSE)</formula>
    </cfRule>
  </conditionalFormatting>
  <conditionalFormatting sqref="AH15:AI114">
    <cfRule type="expression" dxfId="373" priority="38">
      <formula>IF($G15="Ground-up loss",TRUE,FALSE)</formula>
    </cfRule>
  </conditionalFormatting>
  <conditionalFormatting sqref="AH115:AI115">
    <cfRule type="expression" dxfId="372" priority="37">
      <formula>IF($G115="Ground-up loss",TRUE,FALSE)</formula>
    </cfRule>
  </conditionalFormatting>
  <conditionalFormatting sqref="AJ15:AK15">
    <cfRule type="expression" dxfId="371" priority="36">
      <formula>IF($G15="Ground-up loss",TRUE,FALSE)</formula>
    </cfRule>
  </conditionalFormatting>
  <conditionalFormatting sqref="AJ115:AK115">
    <cfRule type="expression" dxfId="370" priority="35">
      <formula>IF($G115="Ground-up loss",TRUE,FALSE)</formula>
    </cfRule>
  </conditionalFormatting>
  <conditionalFormatting sqref="AL15:AM114">
    <cfRule type="expression" dxfId="369" priority="34">
      <formula>IF($G15="Ground-up loss",TRUE,FALSE)</formula>
    </cfRule>
  </conditionalFormatting>
  <conditionalFormatting sqref="AL115:AM115">
    <cfRule type="expression" dxfId="368" priority="33">
      <formula>IF($G115="Ground-up loss",TRUE,FALSE)</formula>
    </cfRule>
  </conditionalFormatting>
  <conditionalFormatting sqref="AP15:AQ114">
    <cfRule type="expression" dxfId="367" priority="32">
      <formula>IF($G15="Ground-up loss",TRUE,FALSE)</formula>
    </cfRule>
  </conditionalFormatting>
  <conditionalFormatting sqref="AP115:AQ115">
    <cfRule type="expression" dxfId="366" priority="31">
      <formula>IF($G115="Ground-up loss",TRUE,FALSE)</formula>
    </cfRule>
  </conditionalFormatting>
  <conditionalFormatting sqref="AJ16">
    <cfRule type="expression" dxfId="365" priority="30">
      <formula>IF($G16="Ground-up loss",TRUE,FALSE)</formula>
    </cfRule>
  </conditionalFormatting>
  <conditionalFormatting sqref="V116:W125">
    <cfRule type="expression" dxfId="364" priority="29">
      <formula>IF($G116="Ground-up loss",TRUE,FALSE)</formula>
    </cfRule>
  </conditionalFormatting>
  <conditionalFormatting sqref="V15:W114">
    <cfRule type="expression" dxfId="363" priority="28">
      <formula>IF($G15="Ground-up loss",TRUE,FALSE)</formula>
    </cfRule>
  </conditionalFormatting>
  <conditionalFormatting sqref="V115:W115">
    <cfRule type="expression" dxfId="362" priority="27">
      <formula>IF($G115="Ground-up loss",TRUE,FALSE)</formula>
    </cfRule>
  </conditionalFormatting>
  <conditionalFormatting sqref="AC116:AD125">
    <cfRule type="expression" dxfId="361" priority="26">
      <formula>IF($G116="Ground-up loss",TRUE,FALSE)</formula>
    </cfRule>
  </conditionalFormatting>
  <conditionalFormatting sqref="AC15:AD114">
    <cfRule type="expression" dxfId="360" priority="25">
      <formula>IF($G15="Ground-up loss",TRUE,FALSE)</formula>
    </cfRule>
  </conditionalFormatting>
  <conditionalFormatting sqref="AC115:AD115">
    <cfRule type="expression" dxfId="359" priority="24">
      <formula>IF($G115="Ground-up loss",TRUE,FALSE)</formula>
    </cfRule>
  </conditionalFormatting>
  <conditionalFormatting sqref="AY17:AZ114 AZ16 AW116:BB125 BE116:BF125">
    <cfRule type="expression" dxfId="358" priority="23">
      <formula>IF($G16="Ground-up loss",TRUE,FALSE)</formula>
    </cfRule>
  </conditionalFormatting>
  <conditionalFormatting sqref="AW15:AX114">
    <cfRule type="expression" dxfId="357" priority="22">
      <formula>IF($G15="Ground-up loss",TRUE,FALSE)</formula>
    </cfRule>
  </conditionalFormatting>
  <conditionalFormatting sqref="AW115:AX115">
    <cfRule type="expression" dxfId="356" priority="21">
      <formula>IF($G115="Ground-up loss",TRUE,FALSE)</formula>
    </cfRule>
  </conditionalFormatting>
  <conditionalFormatting sqref="AY15:AZ15">
    <cfRule type="expression" dxfId="355" priority="20">
      <formula>IF($G15="Ground-up loss",TRUE,FALSE)</formula>
    </cfRule>
  </conditionalFormatting>
  <conditionalFormatting sqref="AY115:AZ115">
    <cfRule type="expression" dxfId="354" priority="19">
      <formula>IF($G115="Ground-up loss",TRUE,FALSE)</formula>
    </cfRule>
  </conditionalFormatting>
  <conditionalFormatting sqref="BA15:BB114">
    <cfRule type="expression" dxfId="353" priority="18">
      <formula>IF($G15="Ground-up loss",TRUE,FALSE)</formula>
    </cfRule>
  </conditionalFormatting>
  <conditionalFormatting sqref="BA115:BB115">
    <cfRule type="expression" dxfId="352" priority="17">
      <formula>IF($G115="Ground-up loss",TRUE,FALSE)</formula>
    </cfRule>
  </conditionalFormatting>
  <conditionalFormatting sqref="BE15:BF114">
    <cfRule type="expression" dxfId="351" priority="16">
      <formula>IF($G15="Ground-up loss",TRUE,FALSE)</formula>
    </cfRule>
  </conditionalFormatting>
  <conditionalFormatting sqref="BE115:BF115">
    <cfRule type="expression" dxfId="350" priority="15">
      <formula>IF($G115="Ground-up loss",TRUE,FALSE)</formula>
    </cfRule>
  </conditionalFormatting>
  <conditionalFormatting sqref="AY16">
    <cfRule type="expression" dxfId="349" priority="14">
      <formula>IF($G16="Ground-up loss",TRUE,FALSE)</formula>
    </cfRule>
  </conditionalFormatting>
  <conditionalFormatting sqref="BN17:BO114 BO16 BL116:BQ125 BT116:BU125">
    <cfRule type="expression" dxfId="348" priority="13">
      <formula>IF($G16="Ground-up loss",TRUE,FALSE)</formula>
    </cfRule>
  </conditionalFormatting>
  <conditionalFormatting sqref="BL15:BM114">
    <cfRule type="expression" dxfId="347" priority="12">
      <formula>IF($G15="Ground-up loss",TRUE,FALSE)</formula>
    </cfRule>
  </conditionalFormatting>
  <conditionalFormatting sqref="BL115:BM115">
    <cfRule type="expression" dxfId="346" priority="11">
      <formula>IF($G115="Ground-up loss",TRUE,FALSE)</formula>
    </cfRule>
  </conditionalFormatting>
  <conditionalFormatting sqref="BN15:BO15">
    <cfRule type="expression" dxfId="345" priority="10">
      <formula>IF($G15="Ground-up loss",TRUE,FALSE)</formula>
    </cfRule>
  </conditionalFormatting>
  <conditionalFormatting sqref="BN115:BO115">
    <cfRule type="expression" dxfId="344" priority="9">
      <formula>IF($G115="Ground-up loss",TRUE,FALSE)</formula>
    </cfRule>
  </conditionalFormatting>
  <conditionalFormatting sqref="BP15:BQ114">
    <cfRule type="expression" dxfId="343" priority="8">
      <formula>IF($G15="Ground-up loss",TRUE,FALSE)</formula>
    </cfRule>
  </conditionalFormatting>
  <conditionalFormatting sqref="BP115:BQ115">
    <cfRule type="expression" dxfId="342" priority="7">
      <formula>IF($G115="Ground-up loss",TRUE,FALSE)</formula>
    </cfRule>
  </conditionalFormatting>
  <conditionalFormatting sqref="BT15:BU114">
    <cfRule type="expression" dxfId="341" priority="6">
      <formula>IF($G15="Ground-up loss",TRUE,FALSE)</formula>
    </cfRule>
  </conditionalFormatting>
  <conditionalFormatting sqref="BT115:BU115">
    <cfRule type="expression" dxfId="340" priority="5">
      <formula>IF($G115="Ground-up loss",TRUE,FALSE)</formula>
    </cfRule>
  </conditionalFormatting>
  <conditionalFormatting sqref="BN16">
    <cfRule type="expression" dxfId="339" priority="4">
      <formula>IF($G16="Ground-up loss",TRUE,FALSE)</formula>
    </cfRule>
  </conditionalFormatting>
  <conditionalFormatting sqref="CE116:CF125">
    <cfRule type="expression" dxfId="338" priority="3">
      <formula>IF($G116="Ground-up loss",TRUE,FALSE)</formula>
    </cfRule>
  </conditionalFormatting>
  <conditionalFormatting sqref="CE15:CF114">
    <cfRule type="expression" dxfId="337" priority="2">
      <formula>IF($G15="Ground-up loss",TRUE,FALSE)</formula>
    </cfRule>
  </conditionalFormatting>
  <conditionalFormatting sqref="CE115:CF115">
    <cfRule type="expression" dxfId="336" priority="1">
      <formula>IF($G115="Ground-up loss",TRUE,FALSE)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C6EA-1E84-4637-B63B-FB303BA27A5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HE_CGSheetsNr&amp;".8"</f>
        <v>15.8</v>
      </c>
      <c r="B1" s="54" t="str">
        <f>VLOOKUP("T.15.01",HE_label,2,FALSE)&amp;$N$3&amp;IF($N$5="",""," ("&amp;$N$5&amp;")")</f>
        <v>Kranken VVG: Daten nach Alter und Vertragsgruppe 8</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8</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HE_CG8</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35" priority="42">
      <formula>IF($G15="Ground-up loss",TRUE,FALSE)</formula>
    </cfRule>
  </conditionalFormatting>
  <conditionalFormatting sqref="E115:H115">
    <cfRule type="expression" dxfId="334" priority="41">
      <formula>IF($G115="Ground-up loss",TRUE,FALSE)</formula>
    </cfRule>
  </conditionalFormatting>
  <conditionalFormatting sqref="R15:S114">
    <cfRule type="expression" dxfId="333" priority="40">
      <formula>IF($G15="Ground-up loss",TRUE,FALSE)</formula>
    </cfRule>
  </conditionalFormatting>
  <conditionalFormatting sqref="R115:S115">
    <cfRule type="expression" dxfId="332" priority="39">
      <formula>IF($G115="Ground-up loss",TRUE,FALSE)</formula>
    </cfRule>
  </conditionalFormatting>
  <conditionalFormatting sqref="AH15:AI114">
    <cfRule type="expression" dxfId="331" priority="38">
      <formula>IF($G15="Ground-up loss",TRUE,FALSE)</formula>
    </cfRule>
  </conditionalFormatting>
  <conditionalFormatting sqref="AH115:AI115">
    <cfRule type="expression" dxfId="330" priority="37">
      <formula>IF($G115="Ground-up loss",TRUE,FALSE)</formula>
    </cfRule>
  </conditionalFormatting>
  <conditionalFormatting sqref="AJ15:AK15">
    <cfRule type="expression" dxfId="329" priority="36">
      <formula>IF($G15="Ground-up loss",TRUE,FALSE)</formula>
    </cfRule>
  </conditionalFormatting>
  <conditionalFormatting sqref="AJ115:AK115">
    <cfRule type="expression" dxfId="328" priority="35">
      <formula>IF($G115="Ground-up loss",TRUE,FALSE)</formula>
    </cfRule>
  </conditionalFormatting>
  <conditionalFormatting sqref="AL15:AM114">
    <cfRule type="expression" dxfId="327" priority="34">
      <formula>IF($G15="Ground-up loss",TRUE,FALSE)</formula>
    </cfRule>
  </conditionalFormatting>
  <conditionalFormatting sqref="AL115:AM115">
    <cfRule type="expression" dxfId="326" priority="33">
      <formula>IF($G115="Ground-up loss",TRUE,FALSE)</formula>
    </cfRule>
  </conditionalFormatting>
  <conditionalFormatting sqref="AP15:AQ114">
    <cfRule type="expression" dxfId="325" priority="32">
      <formula>IF($G15="Ground-up loss",TRUE,FALSE)</formula>
    </cfRule>
  </conditionalFormatting>
  <conditionalFormatting sqref="AP115:AQ115">
    <cfRule type="expression" dxfId="324" priority="31">
      <formula>IF($G115="Ground-up loss",TRUE,FALSE)</formula>
    </cfRule>
  </conditionalFormatting>
  <conditionalFormatting sqref="AJ16">
    <cfRule type="expression" dxfId="323" priority="30">
      <formula>IF($G16="Ground-up loss",TRUE,FALSE)</formula>
    </cfRule>
  </conditionalFormatting>
  <conditionalFormatting sqref="V116:W125">
    <cfRule type="expression" dxfId="322" priority="29">
      <formula>IF($G116="Ground-up loss",TRUE,FALSE)</formula>
    </cfRule>
  </conditionalFormatting>
  <conditionalFormatting sqref="V15:W114">
    <cfRule type="expression" dxfId="321" priority="28">
      <formula>IF($G15="Ground-up loss",TRUE,FALSE)</formula>
    </cfRule>
  </conditionalFormatting>
  <conditionalFormatting sqref="V115:W115">
    <cfRule type="expression" dxfId="320" priority="27">
      <formula>IF($G115="Ground-up loss",TRUE,FALSE)</formula>
    </cfRule>
  </conditionalFormatting>
  <conditionalFormatting sqref="AC116:AD125">
    <cfRule type="expression" dxfId="319" priority="26">
      <formula>IF($G116="Ground-up loss",TRUE,FALSE)</formula>
    </cfRule>
  </conditionalFormatting>
  <conditionalFormatting sqref="AC15:AD114">
    <cfRule type="expression" dxfId="318" priority="25">
      <formula>IF($G15="Ground-up loss",TRUE,FALSE)</formula>
    </cfRule>
  </conditionalFormatting>
  <conditionalFormatting sqref="AC115:AD115">
    <cfRule type="expression" dxfId="317" priority="24">
      <formula>IF($G115="Ground-up loss",TRUE,FALSE)</formula>
    </cfRule>
  </conditionalFormatting>
  <conditionalFormatting sqref="AY17:AZ114 AZ16 AW116:BB125 BE116:BF125">
    <cfRule type="expression" dxfId="316" priority="23">
      <formula>IF($G16="Ground-up loss",TRUE,FALSE)</formula>
    </cfRule>
  </conditionalFormatting>
  <conditionalFormatting sqref="AW15:AX114">
    <cfRule type="expression" dxfId="315" priority="22">
      <formula>IF($G15="Ground-up loss",TRUE,FALSE)</formula>
    </cfRule>
  </conditionalFormatting>
  <conditionalFormatting sqref="AW115:AX115">
    <cfRule type="expression" dxfId="314" priority="21">
      <formula>IF($G115="Ground-up loss",TRUE,FALSE)</formula>
    </cfRule>
  </conditionalFormatting>
  <conditionalFormatting sqref="AY15:AZ15">
    <cfRule type="expression" dxfId="313" priority="20">
      <formula>IF($G15="Ground-up loss",TRUE,FALSE)</formula>
    </cfRule>
  </conditionalFormatting>
  <conditionalFormatting sqref="AY115:AZ115">
    <cfRule type="expression" dxfId="312" priority="19">
      <formula>IF($G115="Ground-up loss",TRUE,FALSE)</formula>
    </cfRule>
  </conditionalFormatting>
  <conditionalFormatting sqref="BA15:BB114">
    <cfRule type="expression" dxfId="311" priority="18">
      <formula>IF($G15="Ground-up loss",TRUE,FALSE)</formula>
    </cfRule>
  </conditionalFormatting>
  <conditionalFormatting sqref="BA115:BB115">
    <cfRule type="expression" dxfId="310" priority="17">
      <formula>IF($G115="Ground-up loss",TRUE,FALSE)</formula>
    </cfRule>
  </conditionalFormatting>
  <conditionalFormatting sqref="BE15:BF114">
    <cfRule type="expression" dxfId="309" priority="16">
      <formula>IF($G15="Ground-up loss",TRUE,FALSE)</formula>
    </cfRule>
  </conditionalFormatting>
  <conditionalFormatting sqref="BE115:BF115">
    <cfRule type="expression" dxfId="308" priority="15">
      <formula>IF($G115="Ground-up loss",TRUE,FALSE)</formula>
    </cfRule>
  </conditionalFormatting>
  <conditionalFormatting sqref="AY16">
    <cfRule type="expression" dxfId="307" priority="14">
      <formula>IF($G16="Ground-up loss",TRUE,FALSE)</formula>
    </cfRule>
  </conditionalFormatting>
  <conditionalFormatting sqref="BN17:BO114 BO16 BL116:BQ125 BT116:BU125">
    <cfRule type="expression" dxfId="306" priority="13">
      <formula>IF($G16="Ground-up loss",TRUE,FALSE)</formula>
    </cfRule>
  </conditionalFormatting>
  <conditionalFormatting sqref="BL15:BM114">
    <cfRule type="expression" dxfId="305" priority="12">
      <formula>IF($G15="Ground-up loss",TRUE,FALSE)</formula>
    </cfRule>
  </conditionalFormatting>
  <conditionalFormatting sqref="BL115:BM115">
    <cfRule type="expression" dxfId="304" priority="11">
      <formula>IF($G115="Ground-up loss",TRUE,FALSE)</formula>
    </cfRule>
  </conditionalFormatting>
  <conditionalFormatting sqref="BN15:BO15">
    <cfRule type="expression" dxfId="303" priority="10">
      <formula>IF($G15="Ground-up loss",TRUE,FALSE)</formula>
    </cfRule>
  </conditionalFormatting>
  <conditionalFormatting sqref="BN115:BO115">
    <cfRule type="expression" dxfId="302" priority="9">
      <formula>IF($G115="Ground-up loss",TRUE,FALSE)</formula>
    </cfRule>
  </conditionalFormatting>
  <conditionalFormatting sqref="BP15:BQ114">
    <cfRule type="expression" dxfId="301" priority="8">
      <formula>IF($G15="Ground-up loss",TRUE,FALSE)</formula>
    </cfRule>
  </conditionalFormatting>
  <conditionalFormatting sqref="BP115:BQ115">
    <cfRule type="expression" dxfId="300" priority="7">
      <formula>IF($G115="Ground-up loss",TRUE,FALSE)</formula>
    </cfRule>
  </conditionalFormatting>
  <conditionalFormatting sqref="BT15:BU114">
    <cfRule type="expression" dxfId="299" priority="6">
      <formula>IF($G15="Ground-up loss",TRUE,FALSE)</formula>
    </cfRule>
  </conditionalFormatting>
  <conditionalFormatting sqref="BT115:BU115">
    <cfRule type="expression" dxfId="298" priority="5">
      <formula>IF($G115="Ground-up loss",TRUE,FALSE)</formula>
    </cfRule>
  </conditionalFormatting>
  <conditionalFormatting sqref="BN16">
    <cfRule type="expression" dxfId="297" priority="4">
      <formula>IF($G16="Ground-up loss",TRUE,FALSE)</formula>
    </cfRule>
  </conditionalFormatting>
  <conditionalFormatting sqref="CE116:CF125">
    <cfRule type="expression" dxfId="296" priority="3">
      <formula>IF($G116="Ground-up loss",TRUE,FALSE)</formula>
    </cfRule>
  </conditionalFormatting>
  <conditionalFormatting sqref="CE15:CF114">
    <cfRule type="expression" dxfId="295" priority="2">
      <formula>IF($G15="Ground-up loss",TRUE,FALSE)</formula>
    </cfRule>
  </conditionalFormatting>
  <conditionalFormatting sqref="CE115:CF115">
    <cfRule type="expression" dxfId="294" priority="1">
      <formula>IF($G115="Ground-up loss",TRUE,FALSE)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6A41-732E-4ECB-8BE0-7E10D766E152}">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HE_CGSheetsNr&amp;".9"</f>
        <v>15.9</v>
      </c>
      <c r="B1" s="54" t="str">
        <f>VLOOKUP("T.15.01",HE_label,2,FALSE)&amp;$N$3&amp;IF($N$5="",""," ("&amp;$N$5&amp;")")</f>
        <v>Kranken VVG: Daten nach Alter und Vertragsgruppe 9</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9</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HE_CG9</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93" priority="42">
      <formula>IF($G15="Ground-up loss",TRUE,FALSE)</formula>
    </cfRule>
  </conditionalFormatting>
  <conditionalFormatting sqref="E115:H115">
    <cfRule type="expression" dxfId="292" priority="41">
      <formula>IF($G115="Ground-up loss",TRUE,FALSE)</formula>
    </cfRule>
  </conditionalFormatting>
  <conditionalFormatting sqref="R15:S114">
    <cfRule type="expression" dxfId="291" priority="40">
      <formula>IF($G15="Ground-up loss",TRUE,FALSE)</formula>
    </cfRule>
  </conditionalFormatting>
  <conditionalFormatting sqref="R115:S115">
    <cfRule type="expression" dxfId="290" priority="39">
      <formula>IF($G115="Ground-up loss",TRUE,FALSE)</formula>
    </cfRule>
  </conditionalFormatting>
  <conditionalFormatting sqref="AH15:AI114">
    <cfRule type="expression" dxfId="289" priority="38">
      <formula>IF($G15="Ground-up loss",TRUE,FALSE)</formula>
    </cfRule>
  </conditionalFormatting>
  <conditionalFormatting sqref="AH115:AI115">
    <cfRule type="expression" dxfId="288" priority="37">
      <formula>IF($G115="Ground-up loss",TRUE,FALSE)</formula>
    </cfRule>
  </conditionalFormatting>
  <conditionalFormatting sqref="AJ15:AK15">
    <cfRule type="expression" dxfId="287" priority="36">
      <formula>IF($G15="Ground-up loss",TRUE,FALSE)</formula>
    </cfRule>
  </conditionalFormatting>
  <conditionalFormatting sqref="AJ115:AK115">
    <cfRule type="expression" dxfId="286" priority="35">
      <formula>IF($G115="Ground-up loss",TRUE,FALSE)</formula>
    </cfRule>
  </conditionalFormatting>
  <conditionalFormatting sqref="AL15:AM114">
    <cfRule type="expression" dxfId="285" priority="34">
      <formula>IF($G15="Ground-up loss",TRUE,FALSE)</formula>
    </cfRule>
  </conditionalFormatting>
  <conditionalFormatting sqref="AL115:AM115">
    <cfRule type="expression" dxfId="284" priority="33">
      <formula>IF($G115="Ground-up loss",TRUE,FALSE)</formula>
    </cfRule>
  </conditionalFormatting>
  <conditionalFormatting sqref="AP15:AQ114">
    <cfRule type="expression" dxfId="283" priority="32">
      <formula>IF($G15="Ground-up loss",TRUE,FALSE)</formula>
    </cfRule>
  </conditionalFormatting>
  <conditionalFormatting sqref="AP115:AQ115">
    <cfRule type="expression" dxfId="282" priority="31">
      <formula>IF($G115="Ground-up loss",TRUE,FALSE)</formula>
    </cfRule>
  </conditionalFormatting>
  <conditionalFormatting sqref="AJ16">
    <cfRule type="expression" dxfId="281" priority="30">
      <formula>IF($G16="Ground-up loss",TRUE,FALSE)</formula>
    </cfRule>
  </conditionalFormatting>
  <conditionalFormatting sqref="V116:W125">
    <cfRule type="expression" dxfId="280" priority="29">
      <formula>IF($G116="Ground-up loss",TRUE,FALSE)</formula>
    </cfRule>
  </conditionalFormatting>
  <conditionalFormatting sqref="V15:W114">
    <cfRule type="expression" dxfId="279" priority="28">
      <formula>IF($G15="Ground-up loss",TRUE,FALSE)</formula>
    </cfRule>
  </conditionalFormatting>
  <conditionalFormatting sqref="V115:W115">
    <cfRule type="expression" dxfId="278" priority="27">
      <formula>IF($G115="Ground-up loss",TRUE,FALSE)</formula>
    </cfRule>
  </conditionalFormatting>
  <conditionalFormatting sqref="AC116:AD125">
    <cfRule type="expression" dxfId="277" priority="26">
      <formula>IF($G116="Ground-up loss",TRUE,FALSE)</formula>
    </cfRule>
  </conditionalFormatting>
  <conditionalFormatting sqref="AC15:AD114">
    <cfRule type="expression" dxfId="276" priority="25">
      <formula>IF($G15="Ground-up loss",TRUE,FALSE)</formula>
    </cfRule>
  </conditionalFormatting>
  <conditionalFormatting sqref="AC115:AD115">
    <cfRule type="expression" dxfId="275" priority="24">
      <formula>IF($G115="Ground-up loss",TRUE,FALSE)</formula>
    </cfRule>
  </conditionalFormatting>
  <conditionalFormatting sqref="AY17:AZ114 AZ16 AW116:BB125 BE116:BF125">
    <cfRule type="expression" dxfId="274" priority="23">
      <formula>IF($G16="Ground-up loss",TRUE,FALSE)</formula>
    </cfRule>
  </conditionalFormatting>
  <conditionalFormatting sqref="AW15:AX114">
    <cfRule type="expression" dxfId="273" priority="22">
      <formula>IF($G15="Ground-up loss",TRUE,FALSE)</formula>
    </cfRule>
  </conditionalFormatting>
  <conditionalFormatting sqref="AW115:AX115">
    <cfRule type="expression" dxfId="272" priority="21">
      <formula>IF($G115="Ground-up loss",TRUE,FALSE)</formula>
    </cfRule>
  </conditionalFormatting>
  <conditionalFormatting sqref="AY15:AZ15">
    <cfRule type="expression" dxfId="271" priority="20">
      <formula>IF($G15="Ground-up loss",TRUE,FALSE)</formula>
    </cfRule>
  </conditionalFormatting>
  <conditionalFormatting sqref="AY115:AZ115">
    <cfRule type="expression" dxfId="270" priority="19">
      <formula>IF($G115="Ground-up loss",TRUE,FALSE)</formula>
    </cfRule>
  </conditionalFormatting>
  <conditionalFormatting sqref="BA15:BB114">
    <cfRule type="expression" dxfId="269" priority="18">
      <formula>IF($G15="Ground-up loss",TRUE,FALSE)</formula>
    </cfRule>
  </conditionalFormatting>
  <conditionalFormatting sqref="BA115:BB115">
    <cfRule type="expression" dxfId="268" priority="17">
      <formula>IF($G115="Ground-up loss",TRUE,FALSE)</formula>
    </cfRule>
  </conditionalFormatting>
  <conditionalFormatting sqref="BE15:BF114">
    <cfRule type="expression" dxfId="267" priority="16">
      <formula>IF($G15="Ground-up loss",TRUE,FALSE)</formula>
    </cfRule>
  </conditionalFormatting>
  <conditionalFormatting sqref="BE115:BF115">
    <cfRule type="expression" dxfId="266" priority="15">
      <formula>IF($G115="Ground-up loss",TRUE,FALSE)</formula>
    </cfRule>
  </conditionalFormatting>
  <conditionalFormatting sqref="AY16">
    <cfRule type="expression" dxfId="265" priority="14">
      <formula>IF($G16="Ground-up loss",TRUE,FALSE)</formula>
    </cfRule>
  </conditionalFormatting>
  <conditionalFormatting sqref="BN17:BO114 BO16 BL116:BQ125 BT116:BU125">
    <cfRule type="expression" dxfId="264" priority="13">
      <formula>IF($G16="Ground-up loss",TRUE,FALSE)</formula>
    </cfRule>
  </conditionalFormatting>
  <conditionalFormatting sqref="BL15:BM114">
    <cfRule type="expression" dxfId="263" priority="12">
      <formula>IF($G15="Ground-up loss",TRUE,FALSE)</formula>
    </cfRule>
  </conditionalFormatting>
  <conditionalFormatting sqref="BL115:BM115">
    <cfRule type="expression" dxfId="262" priority="11">
      <formula>IF($G115="Ground-up loss",TRUE,FALSE)</formula>
    </cfRule>
  </conditionalFormatting>
  <conditionalFormatting sqref="BN15:BO15">
    <cfRule type="expression" dxfId="261" priority="10">
      <formula>IF($G15="Ground-up loss",TRUE,FALSE)</formula>
    </cfRule>
  </conditionalFormatting>
  <conditionalFormatting sqref="BN115:BO115">
    <cfRule type="expression" dxfId="260" priority="9">
      <formula>IF($G115="Ground-up loss",TRUE,FALSE)</formula>
    </cfRule>
  </conditionalFormatting>
  <conditionalFormatting sqref="BP15:BQ114">
    <cfRule type="expression" dxfId="259" priority="8">
      <formula>IF($G15="Ground-up loss",TRUE,FALSE)</formula>
    </cfRule>
  </conditionalFormatting>
  <conditionalFormatting sqref="BP115:BQ115">
    <cfRule type="expression" dxfId="258" priority="7">
      <formula>IF($G115="Ground-up loss",TRUE,FALSE)</formula>
    </cfRule>
  </conditionalFormatting>
  <conditionalFormatting sqref="BT15:BU114">
    <cfRule type="expression" dxfId="257" priority="6">
      <formula>IF($G15="Ground-up loss",TRUE,FALSE)</formula>
    </cfRule>
  </conditionalFormatting>
  <conditionalFormatting sqref="BT115:BU115">
    <cfRule type="expression" dxfId="256" priority="5">
      <formula>IF($G115="Ground-up loss",TRUE,FALSE)</formula>
    </cfRule>
  </conditionalFormatting>
  <conditionalFormatting sqref="BN16">
    <cfRule type="expression" dxfId="255" priority="4">
      <formula>IF($G16="Ground-up loss",TRUE,FALSE)</formula>
    </cfRule>
  </conditionalFormatting>
  <conditionalFormatting sqref="CE116:CF125">
    <cfRule type="expression" dxfId="254" priority="3">
      <formula>IF($G116="Ground-up loss",TRUE,FALSE)</formula>
    </cfRule>
  </conditionalFormatting>
  <conditionalFormatting sqref="CE15:CF114">
    <cfRule type="expression" dxfId="253" priority="2">
      <formula>IF($G15="Ground-up loss",TRUE,FALSE)</formula>
    </cfRule>
  </conditionalFormatting>
  <conditionalFormatting sqref="CE115:CF115">
    <cfRule type="expression" dxfId="252" priority="1">
      <formula>IF($G115="Ground-up loss",TRUE,FALSE)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3229-B06C-4824-9D95-0F16CCF9FFF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HE_CGSheetsNr&amp;".10"</f>
        <v>15.10</v>
      </c>
      <c r="B1" s="54" t="str">
        <f>VLOOKUP("T.15.01",HE_label,2,FALSE)&amp;$N$3&amp;IF($N$5="",""," ("&amp;$N$5&amp;")")</f>
        <v>Kranken VVG: Daten nach Alter und Vertragsgruppe 10</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10</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HE_CG10</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51" priority="42">
      <formula>IF($G15="Ground-up loss",TRUE,FALSE)</formula>
    </cfRule>
  </conditionalFormatting>
  <conditionalFormatting sqref="E115:H115">
    <cfRule type="expression" dxfId="250" priority="41">
      <formula>IF($G115="Ground-up loss",TRUE,FALSE)</formula>
    </cfRule>
  </conditionalFormatting>
  <conditionalFormatting sqref="R15:S114">
    <cfRule type="expression" dxfId="249" priority="40">
      <formula>IF($G15="Ground-up loss",TRUE,FALSE)</formula>
    </cfRule>
  </conditionalFormatting>
  <conditionalFormatting sqref="R115:S115">
    <cfRule type="expression" dxfId="248" priority="39">
      <formula>IF($G115="Ground-up loss",TRUE,FALSE)</formula>
    </cfRule>
  </conditionalFormatting>
  <conditionalFormatting sqref="AH15:AI114">
    <cfRule type="expression" dxfId="247" priority="38">
      <formula>IF($G15="Ground-up loss",TRUE,FALSE)</formula>
    </cfRule>
  </conditionalFormatting>
  <conditionalFormatting sqref="AH115:AI115">
    <cfRule type="expression" dxfId="246" priority="37">
      <formula>IF($G115="Ground-up loss",TRUE,FALSE)</formula>
    </cfRule>
  </conditionalFormatting>
  <conditionalFormatting sqref="AJ15:AK15">
    <cfRule type="expression" dxfId="245" priority="36">
      <formula>IF($G15="Ground-up loss",TRUE,FALSE)</formula>
    </cfRule>
  </conditionalFormatting>
  <conditionalFormatting sqref="AJ115:AK115">
    <cfRule type="expression" dxfId="244" priority="35">
      <formula>IF($G115="Ground-up loss",TRUE,FALSE)</formula>
    </cfRule>
  </conditionalFormatting>
  <conditionalFormatting sqref="AL15:AM114">
    <cfRule type="expression" dxfId="243" priority="34">
      <formula>IF($G15="Ground-up loss",TRUE,FALSE)</formula>
    </cfRule>
  </conditionalFormatting>
  <conditionalFormatting sqref="AL115:AM115">
    <cfRule type="expression" dxfId="242" priority="33">
      <formula>IF($G115="Ground-up loss",TRUE,FALSE)</formula>
    </cfRule>
  </conditionalFormatting>
  <conditionalFormatting sqref="AP15:AQ114">
    <cfRule type="expression" dxfId="241" priority="32">
      <formula>IF($G15="Ground-up loss",TRUE,FALSE)</formula>
    </cfRule>
  </conditionalFormatting>
  <conditionalFormatting sqref="AP115:AQ115">
    <cfRule type="expression" dxfId="240" priority="31">
      <formula>IF($G115="Ground-up loss",TRUE,FALSE)</formula>
    </cfRule>
  </conditionalFormatting>
  <conditionalFormatting sqref="AJ16">
    <cfRule type="expression" dxfId="239" priority="30">
      <formula>IF($G16="Ground-up loss",TRUE,FALSE)</formula>
    </cfRule>
  </conditionalFormatting>
  <conditionalFormatting sqref="V116:W125">
    <cfRule type="expression" dxfId="238" priority="29">
      <formula>IF($G116="Ground-up loss",TRUE,FALSE)</formula>
    </cfRule>
  </conditionalFormatting>
  <conditionalFormatting sqref="V15:W114">
    <cfRule type="expression" dxfId="237" priority="28">
      <formula>IF($G15="Ground-up loss",TRUE,FALSE)</formula>
    </cfRule>
  </conditionalFormatting>
  <conditionalFormatting sqref="V115:W115">
    <cfRule type="expression" dxfId="236" priority="27">
      <formula>IF($G115="Ground-up loss",TRUE,FALSE)</formula>
    </cfRule>
  </conditionalFormatting>
  <conditionalFormatting sqref="AC116:AD125">
    <cfRule type="expression" dxfId="235" priority="26">
      <formula>IF($G116="Ground-up loss",TRUE,FALSE)</formula>
    </cfRule>
  </conditionalFormatting>
  <conditionalFormatting sqref="AC15:AD114">
    <cfRule type="expression" dxfId="234" priority="25">
      <formula>IF($G15="Ground-up loss",TRUE,FALSE)</formula>
    </cfRule>
  </conditionalFormatting>
  <conditionalFormatting sqref="AC115:AD115">
    <cfRule type="expression" dxfId="233" priority="24">
      <formula>IF($G115="Ground-up loss",TRUE,FALSE)</formula>
    </cfRule>
  </conditionalFormatting>
  <conditionalFormatting sqref="AY17:AZ114 AZ16 AW116:BB125 BE116:BF125">
    <cfRule type="expression" dxfId="232" priority="23">
      <formula>IF($G16="Ground-up loss",TRUE,FALSE)</formula>
    </cfRule>
  </conditionalFormatting>
  <conditionalFormatting sqref="AW15:AX114">
    <cfRule type="expression" dxfId="231" priority="22">
      <formula>IF($G15="Ground-up loss",TRUE,FALSE)</formula>
    </cfRule>
  </conditionalFormatting>
  <conditionalFormatting sqref="AW115:AX115">
    <cfRule type="expression" dxfId="230" priority="21">
      <formula>IF($G115="Ground-up loss",TRUE,FALSE)</formula>
    </cfRule>
  </conditionalFormatting>
  <conditionalFormatting sqref="AY15:AZ15">
    <cfRule type="expression" dxfId="229" priority="20">
      <formula>IF($G15="Ground-up loss",TRUE,FALSE)</formula>
    </cfRule>
  </conditionalFormatting>
  <conditionalFormatting sqref="AY115:AZ115">
    <cfRule type="expression" dxfId="228" priority="19">
      <formula>IF($G115="Ground-up loss",TRUE,FALSE)</formula>
    </cfRule>
  </conditionalFormatting>
  <conditionalFormatting sqref="BA15:BB114">
    <cfRule type="expression" dxfId="227" priority="18">
      <formula>IF($G15="Ground-up loss",TRUE,FALSE)</formula>
    </cfRule>
  </conditionalFormatting>
  <conditionalFormatting sqref="BA115:BB115">
    <cfRule type="expression" dxfId="226" priority="17">
      <formula>IF($G115="Ground-up loss",TRUE,FALSE)</formula>
    </cfRule>
  </conditionalFormatting>
  <conditionalFormatting sqref="BE15:BF114">
    <cfRule type="expression" dxfId="225" priority="16">
      <formula>IF($G15="Ground-up loss",TRUE,FALSE)</formula>
    </cfRule>
  </conditionalFormatting>
  <conditionalFormatting sqref="BE115:BF115">
    <cfRule type="expression" dxfId="224" priority="15">
      <formula>IF($G115="Ground-up loss",TRUE,FALSE)</formula>
    </cfRule>
  </conditionalFormatting>
  <conditionalFormatting sqref="AY16">
    <cfRule type="expression" dxfId="223" priority="14">
      <formula>IF($G16="Ground-up loss",TRUE,FALSE)</formula>
    </cfRule>
  </conditionalFormatting>
  <conditionalFormatting sqref="BN17:BO114 BO16 BL116:BQ125 BT116:BU125">
    <cfRule type="expression" dxfId="222" priority="13">
      <formula>IF($G16="Ground-up loss",TRUE,FALSE)</formula>
    </cfRule>
  </conditionalFormatting>
  <conditionalFormatting sqref="BL15:BM114">
    <cfRule type="expression" dxfId="221" priority="12">
      <formula>IF($G15="Ground-up loss",TRUE,FALSE)</formula>
    </cfRule>
  </conditionalFormatting>
  <conditionalFormatting sqref="BL115:BM115">
    <cfRule type="expression" dxfId="220" priority="11">
      <formula>IF($G115="Ground-up loss",TRUE,FALSE)</formula>
    </cfRule>
  </conditionalFormatting>
  <conditionalFormatting sqref="BN15:BO15">
    <cfRule type="expression" dxfId="219" priority="10">
      <formula>IF($G15="Ground-up loss",TRUE,FALSE)</formula>
    </cfRule>
  </conditionalFormatting>
  <conditionalFormatting sqref="BN115:BO115">
    <cfRule type="expression" dxfId="218" priority="9">
      <formula>IF($G115="Ground-up loss",TRUE,FALSE)</formula>
    </cfRule>
  </conditionalFormatting>
  <conditionalFormatting sqref="BP15:BQ114">
    <cfRule type="expression" dxfId="217" priority="8">
      <formula>IF($G15="Ground-up loss",TRUE,FALSE)</formula>
    </cfRule>
  </conditionalFormatting>
  <conditionalFormatting sqref="BP115:BQ115">
    <cfRule type="expression" dxfId="216" priority="7">
      <formula>IF($G115="Ground-up loss",TRUE,FALSE)</formula>
    </cfRule>
  </conditionalFormatting>
  <conditionalFormatting sqref="BT15:BU114">
    <cfRule type="expression" dxfId="215" priority="6">
      <formula>IF($G15="Ground-up loss",TRUE,FALSE)</formula>
    </cfRule>
  </conditionalFormatting>
  <conditionalFormatting sqref="BT115:BU115">
    <cfRule type="expression" dxfId="214" priority="5">
      <formula>IF($G115="Ground-up loss",TRUE,FALSE)</formula>
    </cfRule>
  </conditionalFormatting>
  <conditionalFormatting sqref="BN16">
    <cfRule type="expression" dxfId="213" priority="4">
      <formula>IF($G16="Ground-up loss",TRUE,FALSE)</formula>
    </cfRule>
  </conditionalFormatting>
  <conditionalFormatting sqref="CE116:CF125">
    <cfRule type="expression" dxfId="212" priority="3">
      <formula>IF($G116="Ground-up loss",TRUE,FALSE)</formula>
    </cfRule>
  </conditionalFormatting>
  <conditionalFormatting sqref="CE15:CF114">
    <cfRule type="expression" dxfId="211" priority="2">
      <formula>IF($G15="Ground-up loss",TRUE,FALSE)</formula>
    </cfRule>
  </conditionalFormatting>
  <conditionalFormatting sqref="CE115:CF115">
    <cfRule type="expression" dxfId="210" priority="1">
      <formula>IF($G115="Ground-up loss",TRUE,FALSE)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3E8B-81BE-4DB5-A5DA-E5110C0006ED}">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HE_CGSheetsNr&amp;".11"</f>
        <v>15.11</v>
      </c>
      <c r="B1" s="54" t="str">
        <f>VLOOKUP("T.15.01",HE_label,2,FALSE)&amp;$N$3&amp;IF($N$5="",""," ("&amp;$N$5&amp;")")</f>
        <v>Kranken VVG: Daten nach Alter und Vertragsgruppe 11</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11</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HE_CG11</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09" priority="42">
      <formula>IF($G15="Ground-up loss",TRUE,FALSE)</formula>
    </cfRule>
  </conditionalFormatting>
  <conditionalFormatting sqref="E115:H115">
    <cfRule type="expression" dxfId="208" priority="41">
      <formula>IF($G115="Ground-up loss",TRUE,FALSE)</formula>
    </cfRule>
  </conditionalFormatting>
  <conditionalFormatting sqref="R15:S114">
    <cfRule type="expression" dxfId="207" priority="40">
      <formula>IF($G15="Ground-up loss",TRUE,FALSE)</formula>
    </cfRule>
  </conditionalFormatting>
  <conditionalFormatting sqref="R115:S115">
    <cfRule type="expression" dxfId="206" priority="39">
      <formula>IF($G115="Ground-up loss",TRUE,FALSE)</formula>
    </cfRule>
  </conditionalFormatting>
  <conditionalFormatting sqref="AH15:AI114">
    <cfRule type="expression" dxfId="205" priority="38">
      <formula>IF($G15="Ground-up loss",TRUE,FALSE)</formula>
    </cfRule>
  </conditionalFormatting>
  <conditionalFormatting sqref="AH115:AI115">
    <cfRule type="expression" dxfId="204" priority="37">
      <formula>IF($G115="Ground-up loss",TRUE,FALSE)</formula>
    </cfRule>
  </conditionalFormatting>
  <conditionalFormatting sqref="AJ15:AK15">
    <cfRule type="expression" dxfId="203" priority="36">
      <formula>IF($G15="Ground-up loss",TRUE,FALSE)</formula>
    </cfRule>
  </conditionalFormatting>
  <conditionalFormatting sqref="AJ115:AK115">
    <cfRule type="expression" dxfId="202" priority="35">
      <formula>IF($G115="Ground-up loss",TRUE,FALSE)</formula>
    </cfRule>
  </conditionalFormatting>
  <conditionalFormatting sqref="AL15:AM114">
    <cfRule type="expression" dxfId="201" priority="34">
      <formula>IF($G15="Ground-up loss",TRUE,FALSE)</formula>
    </cfRule>
  </conditionalFormatting>
  <conditionalFormatting sqref="AL115:AM115">
    <cfRule type="expression" dxfId="200" priority="33">
      <formula>IF($G115="Ground-up loss",TRUE,FALSE)</formula>
    </cfRule>
  </conditionalFormatting>
  <conditionalFormatting sqref="AP15:AQ114">
    <cfRule type="expression" dxfId="199" priority="32">
      <formula>IF($G15="Ground-up loss",TRUE,FALSE)</formula>
    </cfRule>
  </conditionalFormatting>
  <conditionalFormatting sqref="AP115:AQ115">
    <cfRule type="expression" dxfId="198" priority="31">
      <formula>IF($G115="Ground-up loss",TRUE,FALSE)</formula>
    </cfRule>
  </conditionalFormatting>
  <conditionalFormatting sqref="AJ16">
    <cfRule type="expression" dxfId="197" priority="30">
      <formula>IF($G16="Ground-up loss",TRUE,FALSE)</formula>
    </cfRule>
  </conditionalFormatting>
  <conditionalFormatting sqref="V116:W125">
    <cfRule type="expression" dxfId="196" priority="29">
      <formula>IF($G116="Ground-up loss",TRUE,FALSE)</formula>
    </cfRule>
  </conditionalFormatting>
  <conditionalFormatting sqref="V15:W114">
    <cfRule type="expression" dxfId="195" priority="28">
      <formula>IF($G15="Ground-up loss",TRUE,FALSE)</formula>
    </cfRule>
  </conditionalFormatting>
  <conditionalFormatting sqref="V115:W115">
    <cfRule type="expression" dxfId="194" priority="27">
      <formula>IF($G115="Ground-up loss",TRUE,FALSE)</formula>
    </cfRule>
  </conditionalFormatting>
  <conditionalFormatting sqref="AC116:AD125">
    <cfRule type="expression" dxfId="193" priority="26">
      <formula>IF($G116="Ground-up loss",TRUE,FALSE)</formula>
    </cfRule>
  </conditionalFormatting>
  <conditionalFormatting sqref="AC15:AD114">
    <cfRule type="expression" dxfId="192" priority="25">
      <formula>IF($G15="Ground-up loss",TRUE,FALSE)</formula>
    </cfRule>
  </conditionalFormatting>
  <conditionalFormatting sqref="AC115:AD115">
    <cfRule type="expression" dxfId="191" priority="24">
      <formula>IF($G115="Ground-up loss",TRUE,FALSE)</formula>
    </cfRule>
  </conditionalFormatting>
  <conditionalFormatting sqref="AY17:AZ114 AZ16 AW116:BB125 BE116:BF125">
    <cfRule type="expression" dxfId="190" priority="23">
      <formula>IF($G16="Ground-up loss",TRUE,FALSE)</formula>
    </cfRule>
  </conditionalFormatting>
  <conditionalFormatting sqref="AW15:AX114">
    <cfRule type="expression" dxfId="189" priority="22">
      <formula>IF($G15="Ground-up loss",TRUE,FALSE)</formula>
    </cfRule>
  </conditionalFormatting>
  <conditionalFormatting sqref="AW115:AX115">
    <cfRule type="expression" dxfId="188" priority="21">
      <formula>IF($G115="Ground-up loss",TRUE,FALSE)</formula>
    </cfRule>
  </conditionalFormatting>
  <conditionalFormatting sqref="AY15:AZ15">
    <cfRule type="expression" dxfId="187" priority="20">
      <formula>IF($G15="Ground-up loss",TRUE,FALSE)</formula>
    </cfRule>
  </conditionalFormatting>
  <conditionalFormatting sqref="AY115:AZ115">
    <cfRule type="expression" dxfId="186" priority="19">
      <formula>IF($G115="Ground-up loss",TRUE,FALSE)</formula>
    </cfRule>
  </conditionalFormatting>
  <conditionalFormatting sqref="BA15:BB114">
    <cfRule type="expression" dxfId="185" priority="18">
      <formula>IF($G15="Ground-up loss",TRUE,FALSE)</formula>
    </cfRule>
  </conditionalFormatting>
  <conditionalFormatting sqref="BA115:BB115">
    <cfRule type="expression" dxfId="184" priority="17">
      <formula>IF($G115="Ground-up loss",TRUE,FALSE)</formula>
    </cfRule>
  </conditionalFormatting>
  <conditionalFormatting sqref="BE15:BF114">
    <cfRule type="expression" dxfId="183" priority="16">
      <formula>IF($G15="Ground-up loss",TRUE,FALSE)</formula>
    </cfRule>
  </conditionalFormatting>
  <conditionalFormatting sqref="BE115:BF115">
    <cfRule type="expression" dxfId="182" priority="15">
      <formula>IF($G115="Ground-up loss",TRUE,FALSE)</formula>
    </cfRule>
  </conditionalFormatting>
  <conditionalFormatting sqref="AY16">
    <cfRule type="expression" dxfId="181" priority="14">
      <formula>IF($G16="Ground-up loss",TRUE,FALSE)</formula>
    </cfRule>
  </conditionalFormatting>
  <conditionalFormatting sqref="BN17:BO114 BO16 BL116:BQ125 BT116:BU125">
    <cfRule type="expression" dxfId="180" priority="13">
      <formula>IF($G16="Ground-up loss",TRUE,FALSE)</formula>
    </cfRule>
  </conditionalFormatting>
  <conditionalFormatting sqref="BL15:BM114">
    <cfRule type="expression" dxfId="179" priority="12">
      <formula>IF($G15="Ground-up loss",TRUE,FALSE)</formula>
    </cfRule>
  </conditionalFormatting>
  <conditionalFormatting sqref="BL115:BM115">
    <cfRule type="expression" dxfId="178" priority="11">
      <formula>IF($G115="Ground-up loss",TRUE,FALSE)</formula>
    </cfRule>
  </conditionalFormatting>
  <conditionalFormatting sqref="BN15:BO15">
    <cfRule type="expression" dxfId="177" priority="10">
      <formula>IF($G15="Ground-up loss",TRUE,FALSE)</formula>
    </cfRule>
  </conditionalFormatting>
  <conditionalFormatting sqref="BN115:BO115">
    <cfRule type="expression" dxfId="176" priority="9">
      <formula>IF($G115="Ground-up loss",TRUE,FALSE)</formula>
    </cfRule>
  </conditionalFormatting>
  <conditionalFormatting sqref="BP15:BQ114">
    <cfRule type="expression" dxfId="175" priority="8">
      <formula>IF($G15="Ground-up loss",TRUE,FALSE)</formula>
    </cfRule>
  </conditionalFormatting>
  <conditionalFormatting sqref="BP115:BQ115">
    <cfRule type="expression" dxfId="174" priority="7">
      <formula>IF($G115="Ground-up loss",TRUE,FALSE)</formula>
    </cfRule>
  </conditionalFormatting>
  <conditionalFormatting sqref="BT15:BU114">
    <cfRule type="expression" dxfId="173" priority="6">
      <formula>IF($G15="Ground-up loss",TRUE,FALSE)</formula>
    </cfRule>
  </conditionalFormatting>
  <conditionalFormatting sqref="BT115:BU115">
    <cfRule type="expression" dxfId="172" priority="5">
      <formula>IF($G115="Ground-up loss",TRUE,FALSE)</formula>
    </cfRule>
  </conditionalFormatting>
  <conditionalFormatting sqref="BN16">
    <cfRule type="expression" dxfId="171" priority="4">
      <formula>IF($G16="Ground-up loss",TRUE,FALSE)</formula>
    </cfRule>
  </conditionalFormatting>
  <conditionalFormatting sqref="CE116:CF125">
    <cfRule type="expression" dxfId="170" priority="3">
      <formula>IF($G116="Ground-up loss",TRUE,FALSE)</formula>
    </cfRule>
  </conditionalFormatting>
  <conditionalFormatting sqref="CE15:CF114">
    <cfRule type="expression" dxfId="169" priority="2">
      <formula>IF($G15="Ground-up loss",TRUE,FALSE)</formula>
    </cfRule>
  </conditionalFormatting>
  <conditionalFormatting sqref="CE115:CF115">
    <cfRule type="expression" dxfId="168" priority="1">
      <formula>IF($G115="Ground-up loss",TRUE,FALSE)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02AC-0D5B-423A-B055-4366F298582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HE_CGSheetsNr&amp;".12"</f>
        <v>15.12</v>
      </c>
      <c r="B1" s="54" t="str">
        <f>VLOOKUP("T.15.01",HE_label,2,FALSE)&amp;$N$3&amp;IF($N$5="",""," ("&amp;$N$5&amp;")")</f>
        <v>Kranken VVG: Daten nach Alter und Vertragsgruppe 12</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12</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HE_CG12</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67" priority="42">
      <formula>IF($G15="Ground-up loss",TRUE,FALSE)</formula>
    </cfRule>
  </conditionalFormatting>
  <conditionalFormatting sqref="E115:H115">
    <cfRule type="expression" dxfId="166" priority="41">
      <formula>IF($G115="Ground-up loss",TRUE,FALSE)</formula>
    </cfRule>
  </conditionalFormatting>
  <conditionalFormatting sqref="R15:S114">
    <cfRule type="expression" dxfId="165" priority="40">
      <formula>IF($G15="Ground-up loss",TRUE,FALSE)</formula>
    </cfRule>
  </conditionalFormatting>
  <conditionalFormatting sqref="R115:S115">
    <cfRule type="expression" dxfId="164" priority="39">
      <formula>IF($G115="Ground-up loss",TRUE,FALSE)</formula>
    </cfRule>
  </conditionalFormatting>
  <conditionalFormatting sqref="AH15:AI114">
    <cfRule type="expression" dxfId="163" priority="38">
      <formula>IF($G15="Ground-up loss",TRUE,FALSE)</formula>
    </cfRule>
  </conditionalFormatting>
  <conditionalFormatting sqref="AH115:AI115">
    <cfRule type="expression" dxfId="162" priority="37">
      <formula>IF($G115="Ground-up loss",TRUE,FALSE)</formula>
    </cfRule>
  </conditionalFormatting>
  <conditionalFormatting sqref="AJ15:AK15">
    <cfRule type="expression" dxfId="161" priority="36">
      <formula>IF($G15="Ground-up loss",TRUE,FALSE)</formula>
    </cfRule>
  </conditionalFormatting>
  <conditionalFormatting sqref="AJ115:AK115">
    <cfRule type="expression" dxfId="160" priority="35">
      <formula>IF($G115="Ground-up loss",TRUE,FALSE)</formula>
    </cfRule>
  </conditionalFormatting>
  <conditionalFormatting sqref="AL15:AM114">
    <cfRule type="expression" dxfId="159" priority="34">
      <formula>IF($G15="Ground-up loss",TRUE,FALSE)</formula>
    </cfRule>
  </conditionalFormatting>
  <conditionalFormatting sqref="AL115:AM115">
    <cfRule type="expression" dxfId="158" priority="33">
      <formula>IF($G115="Ground-up loss",TRUE,FALSE)</formula>
    </cfRule>
  </conditionalFormatting>
  <conditionalFormatting sqref="AP15:AQ114">
    <cfRule type="expression" dxfId="157" priority="32">
      <formula>IF($G15="Ground-up loss",TRUE,FALSE)</formula>
    </cfRule>
  </conditionalFormatting>
  <conditionalFormatting sqref="AP115:AQ115">
    <cfRule type="expression" dxfId="156" priority="31">
      <formula>IF($G115="Ground-up loss",TRUE,FALSE)</formula>
    </cfRule>
  </conditionalFormatting>
  <conditionalFormatting sqref="AJ16">
    <cfRule type="expression" dxfId="155" priority="30">
      <formula>IF($G16="Ground-up loss",TRUE,FALSE)</formula>
    </cfRule>
  </conditionalFormatting>
  <conditionalFormatting sqref="V116:W125">
    <cfRule type="expression" dxfId="154" priority="29">
      <formula>IF($G116="Ground-up loss",TRUE,FALSE)</formula>
    </cfRule>
  </conditionalFormatting>
  <conditionalFormatting sqref="V15:W114">
    <cfRule type="expression" dxfId="153" priority="28">
      <formula>IF($G15="Ground-up loss",TRUE,FALSE)</formula>
    </cfRule>
  </conditionalFormatting>
  <conditionalFormatting sqref="V115:W115">
    <cfRule type="expression" dxfId="152" priority="27">
      <formula>IF($G115="Ground-up loss",TRUE,FALSE)</formula>
    </cfRule>
  </conditionalFormatting>
  <conditionalFormatting sqref="AC116:AD125">
    <cfRule type="expression" dxfId="151" priority="26">
      <formula>IF($G116="Ground-up loss",TRUE,FALSE)</formula>
    </cfRule>
  </conditionalFormatting>
  <conditionalFormatting sqref="AC15:AD114">
    <cfRule type="expression" dxfId="150" priority="25">
      <formula>IF($G15="Ground-up loss",TRUE,FALSE)</formula>
    </cfRule>
  </conditionalFormatting>
  <conditionalFormatting sqref="AC115:AD115">
    <cfRule type="expression" dxfId="149" priority="24">
      <formula>IF($G115="Ground-up loss",TRUE,FALSE)</formula>
    </cfRule>
  </conditionalFormatting>
  <conditionalFormatting sqref="AY17:AZ114 AZ16 AW116:BB125 BE116:BF125">
    <cfRule type="expression" dxfId="148" priority="23">
      <formula>IF($G16="Ground-up loss",TRUE,FALSE)</formula>
    </cfRule>
  </conditionalFormatting>
  <conditionalFormatting sqref="AW15:AX114">
    <cfRule type="expression" dxfId="147" priority="22">
      <formula>IF($G15="Ground-up loss",TRUE,FALSE)</formula>
    </cfRule>
  </conditionalFormatting>
  <conditionalFormatting sqref="AW115:AX115">
    <cfRule type="expression" dxfId="146" priority="21">
      <formula>IF($G115="Ground-up loss",TRUE,FALSE)</formula>
    </cfRule>
  </conditionalFormatting>
  <conditionalFormatting sqref="AY15:AZ15">
    <cfRule type="expression" dxfId="145" priority="20">
      <formula>IF($G15="Ground-up loss",TRUE,FALSE)</formula>
    </cfRule>
  </conditionalFormatting>
  <conditionalFormatting sqref="AY115:AZ115">
    <cfRule type="expression" dxfId="144" priority="19">
      <formula>IF($G115="Ground-up loss",TRUE,FALSE)</formula>
    </cfRule>
  </conditionalFormatting>
  <conditionalFormatting sqref="BA15:BB114">
    <cfRule type="expression" dxfId="143" priority="18">
      <formula>IF($G15="Ground-up loss",TRUE,FALSE)</formula>
    </cfRule>
  </conditionalFormatting>
  <conditionalFormatting sqref="BA115:BB115">
    <cfRule type="expression" dxfId="142" priority="17">
      <formula>IF($G115="Ground-up loss",TRUE,FALSE)</formula>
    </cfRule>
  </conditionalFormatting>
  <conditionalFormatting sqref="BE15:BF114">
    <cfRule type="expression" dxfId="141" priority="16">
      <formula>IF($G15="Ground-up loss",TRUE,FALSE)</formula>
    </cfRule>
  </conditionalFormatting>
  <conditionalFormatting sqref="BE115:BF115">
    <cfRule type="expression" dxfId="140" priority="15">
      <formula>IF($G115="Ground-up loss",TRUE,FALSE)</formula>
    </cfRule>
  </conditionalFormatting>
  <conditionalFormatting sqref="AY16">
    <cfRule type="expression" dxfId="139" priority="14">
      <formula>IF($G16="Ground-up loss",TRUE,FALSE)</formula>
    </cfRule>
  </conditionalFormatting>
  <conditionalFormatting sqref="BN17:BO114 BO16 BL116:BQ125 BT116:BU125">
    <cfRule type="expression" dxfId="138" priority="13">
      <formula>IF($G16="Ground-up loss",TRUE,FALSE)</formula>
    </cfRule>
  </conditionalFormatting>
  <conditionalFormatting sqref="BL15:BM114">
    <cfRule type="expression" dxfId="137" priority="12">
      <formula>IF($G15="Ground-up loss",TRUE,FALSE)</formula>
    </cfRule>
  </conditionalFormatting>
  <conditionalFormatting sqref="BL115:BM115">
    <cfRule type="expression" dxfId="136" priority="11">
      <formula>IF($G115="Ground-up loss",TRUE,FALSE)</formula>
    </cfRule>
  </conditionalFormatting>
  <conditionalFormatting sqref="BN15:BO15">
    <cfRule type="expression" dxfId="135" priority="10">
      <formula>IF($G15="Ground-up loss",TRUE,FALSE)</formula>
    </cfRule>
  </conditionalFormatting>
  <conditionalFormatting sqref="BN115:BO115">
    <cfRule type="expression" dxfId="134" priority="9">
      <formula>IF($G115="Ground-up loss",TRUE,FALSE)</formula>
    </cfRule>
  </conditionalFormatting>
  <conditionalFormatting sqref="BP15:BQ114">
    <cfRule type="expression" dxfId="133" priority="8">
      <formula>IF($G15="Ground-up loss",TRUE,FALSE)</formula>
    </cfRule>
  </conditionalFormatting>
  <conditionalFormatting sqref="BP115:BQ115">
    <cfRule type="expression" dxfId="132" priority="7">
      <formula>IF($G115="Ground-up loss",TRUE,FALSE)</formula>
    </cfRule>
  </conditionalFormatting>
  <conditionalFormatting sqref="BT15:BU114">
    <cfRule type="expression" dxfId="131" priority="6">
      <formula>IF($G15="Ground-up loss",TRUE,FALSE)</formula>
    </cfRule>
  </conditionalFormatting>
  <conditionalFormatting sqref="BT115:BU115">
    <cfRule type="expression" dxfId="130" priority="5">
      <formula>IF($G115="Ground-up loss",TRUE,FALSE)</formula>
    </cfRule>
  </conditionalFormatting>
  <conditionalFormatting sqref="BN16">
    <cfRule type="expression" dxfId="129" priority="4">
      <formula>IF($G16="Ground-up loss",TRUE,FALSE)</formula>
    </cfRule>
  </conditionalFormatting>
  <conditionalFormatting sqref="CE116:CF125">
    <cfRule type="expression" dxfId="128" priority="3">
      <formula>IF($G116="Ground-up loss",TRUE,FALSE)</formula>
    </cfRule>
  </conditionalFormatting>
  <conditionalFormatting sqref="CE15:CF114">
    <cfRule type="expression" dxfId="127" priority="2">
      <formula>IF($G15="Ground-up loss",TRUE,FALSE)</formula>
    </cfRule>
  </conditionalFormatting>
  <conditionalFormatting sqref="CE115:CF115">
    <cfRule type="expression" dxfId="126" priority="1">
      <formula>IF($G115="Ground-up loss",TRUE,FALSE)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9653-4586-44B1-AB0F-13C9112A1AC5}">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HE_CGSheetsNr&amp;".13"</f>
        <v>15.13</v>
      </c>
      <c r="B1" s="54" t="str">
        <f>VLOOKUP("T.15.01",HE_label,2,FALSE)&amp;$N$3&amp;IF($N$5="",""," ("&amp;$N$5&amp;")")</f>
        <v>Kranken VVG: Daten nach Alter und Vertragsgruppe 13</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13</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HE_CG13</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25" priority="42">
      <formula>IF($G15="Ground-up loss",TRUE,FALSE)</formula>
    </cfRule>
  </conditionalFormatting>
  <conditionalFormatting sqref="E115:H115">
    <cfRule type="expression" dxfId="124" priority="41">
      <formula>IF($G115="Ground-up loss",TRUE,FALSE)</formula>
    </cfRule>
  </conditionalFormatting>
  <conditionalFormatting sqref="R15:S114">
    <cfRule type="expression" dxfId="123" priority="40">
      <formula>IF($G15="Ground-up loss",TRUE,FALSE)</formula>
    </cfRule>
  </conditionalFormatting>
  <conditionalFormatting sqref="R115:S115">
    <cfRule type="expression" dxfId="122" priority="39">
      <formula>IF($G115="Ground-up loss",TRUE,FALSE)</formula>
    </cfRule>
  </conditionalFormatting>
  <conditionalFormatting sqref="AH15:AI114">
    <cfRule type="expression" dxfId="121" priority="38">
      <formula>IF($G15="Ground-up loss",TRUE,FALSE)</formula>
    </cfRule>
  </conditionalFormatting>
  <conditionalFormatting sqref="AH115:AI115">
    <cfRule type="expression" dxfId="120" priority="37">
      <formula>IF($G115="Ground-up loss",TRUE,FALSE)</formula>
    </cfRule>
  </conditionalFormatting>
  <conditionalFormatting sqref="AJ15:AK15">
    <cfRule type="expression" dxfId="119" priority="36">
      <formula>IF($G15="Ground-up loss",TRUE,FALSE)</formula>
    </cfRule>
  </conditionalFormatting>
  <conditionalFormatting sqref="AJ115:AK115">
    <cfRule type="expression" dxfId="118" priority="35">
      <formula>IF($G115="Ground-up loss",TRUE,FALSE)</formula>
    </cfRule>
  </conditionalFormatting>
  <conditionalFormatting sqref="AL15:AM114">
    <cfRule type="expression" dxfId="117" priority="34">
      <formula>IF($G15="Ground-up loss",TRUE,FALSE)</formula>
    </cfRule>
  </conditionalFormatting>
  <conditionalFormatting sqref="AL115:AM115">
    <cfRule type="expression" dxfId="116" priority="33">
      <formula>IF($G115="Ground-up loss",TRUE,FALSE)</formula>
    </cfRule>
  </conditionalFormatting>
  <conditionalFormatting sqref="AP15:AQ114">
    <cfRule type="expression" dxfId="115" priority="32">
      <formula>IF($G15="Ground-up loss",TRUE,FALSE)</formula>
    </cfRule>
  </conditionalFormatting>
  <conditionalFormatting sqref="AP115:AQ115">
    <cfRule type="expression" dxfId="114" priority="31">
      <formula>IF($G115="Ground-up loss",TRUE,FALSE)</formula>
    </cfRule>
  </conditionalFormatting>
  <conditionalFormatting sqref="AJ16">
    <cfRule type="expression" dxfId="113" priority="30">
      <formula>IF($G16="Ground-up loss",TRUE,FALSE)</formula>
    </cfRule>
  </conditionalFormatting>
  <conditionalFormatting sqref="V116:W125">
    <cfRule type="expression" dxfId="112" priority="29">
      <formula>IF($G116="Ground-up loss",TRUE,FALSE)</formula>
    </cfRule>
  </conditionalFormatting>
  <conditionalFormatting sqref="V15:W114">
    <cfRule type="expression" dxfId="111" priority="28">
      <formula>IF($G15="Ground-up loss",TRUE,FALSE)</formula>
    </cfRule>
  </conditionalFormatting>
  <conditionalFormatting sqref="V115:W115">
    <cfRule type="expression" dxfId="110" priority="27">
      <formula>IF($G115="Ground-up loss",TRUE,FALSE)</formula>
    </cfRule>
  </conditionalFormatting>
  <conditionalFormatting sqref="AC116:AD125">
    <cfRule type="expression" dxfId="109" priority="26">
      <formula>IF($G116="Ground-up loss",TRUE,FALSE)</formula>
    </cfRule>
  </conditionalFormatting>
  <conditionalFormatting sqref="AC15:AD114">
    <cfRule type="expression" dxfId="108" priority="25">
      <formula>IF($G15="Ground-up loss",TRUE,FALSE)</formula>
    </cfRule>
  </conditionalFormatting>
  <conditionalFormatting sqref="AC115:AD115">
    <cfRule type="expression" dxfId="107" priority="24">
      <formula>IF($G115="Ground-up loss",TRUE,FALSE)</formula>
    </cfRule>
  </conditionalFormatting>
  <conditionalFormatting sqref="AY17:AZ114 AZ16 AW116:BB125 BE116:BF125">
    <cfRule type="expression" dxfId="106" priority="23">
      <formula>IF($G16="Ground-up loss",TRUE,FALSE)</formula>
    </cfRule>
  </conditionalFormatting>
  <conditionalFormatting sqref="AW15:AX114">
    <cfRule type="expression" dxfId="105" priority="22">
      <formula>IF($G15="Ground-up loss",TRUE,FALSE)</formula>
    </cfRule>
  </conditionalFormatting>
  <conditionalFormatting sqref="AW115:AX115">
    <cfRule type="expression" dxfId="104" priority="21">
      <formula>IF($G115="Ground-up loss",TRUE,FALSE)</formula>
    </cfRule>
  </conditionalFormatting>
  <conditionalFormatting sqref="AY15:AZ15">
    <cfRule type="expression" dxfId="103" priority="20">
      <formula>IF($G15="Ground-up loss",TRUE,FALSE)</formula>
    </cfRule>
  </conditionalFormatting>
  <conditionalFormatting sqref="AY115:AZ115">
    <cfRule type="expression" dxfId="102" priority="19">
      <formula>IF($G115="Ground-up loss",TRUE,FALSE)</formula>
    </cfRule>
  </conditionalFormatting>
  <conditionalFormatting sqref="BA15:BB114">
    <cfRule type="expression" dxfId="101" priority="18">
      <formula>IF($G15="Ground-up loss",TRUE,FALSE)</formula>
    </cfRule>
  </conditionalFormatting>
  <conditionalFormatting sqref="BA115:BB115">
    <cfRule type="expression" dxfId="100" priority="17">
      <formula>IF($G115="Ground-up loss",TRUE,FALSE)</formula>
    </cfRule>
  </conditionalFormatting>
  <conditionalFormatting sqref="BE15:BF114">
    <cfRule type="expression" dxfId="99" priority="16">
      <formula>IF($G15="Ground-up loss",TRUE,FALSE)</formula>
    </cfRule>
  </conditionalFormatting>
  <conditionalFormatting sqref="BE115:BF115">
    <cfRule type="expression" dxfId="98" priority="15">
      <formula>IF($G115="Ground-up loss",TRUE,FALSE)</formula>
    </cfRule>
  </conditionalFormatting>
  <conditionalFormatting sqref="AY16">
    <cfRule type="expression" dxfId="97" priority="14">
      <formula>IF($G16="Ground-up loss",TRUE,FALSE)</formula>
    </cfRule>
  </conditionalFormatting>
  <conditionalFormatting sqref="BN17:BO114 BO16 BL116:BQ125 BT116:BU125">
    <cfRule type="expression" dxfId="96" priority="13">
      <formula>IF($G16="Ground-up loss",TRUE,FALSE)</formula>
    </cfRule>
  </conditionalFormatting>
  <conditionalFormatting sqref="BL15:BM114">
    <cfRule type="expression" dxfId="95" priority="12">
      <formula>IF($G15="Ground-up loss",TRUE,FALSE)</formula>
    </cfRule>
  </conditionalFormatting>
  <conditionalFormatting sqref="BL115:BM115">
    <cfRule type="expression" dxfId="94" priority="11">
      <formula>IF($G115="Ground-up loss",TRUE,FALSE)</formula>
    </cfRule>
  </conditionalFormatting>
  <conditionalFormatting sqref="BN15:BO15">
    <cfRule type="expression" dxfId="93" priority="10">
      <formula>IF($G15="Ground-up loss",TRUE,FALSE)</formula>
    </cfRule>
  </conditionalFormatting>
  <conditionalFormatting sqref="BN115:BO115">
    <cfRule type="expression" dxfId="92" priority="9">
      <formula>IF($G115="Ground-up loss",TRUE,FALSE)</formula>
    </cfRule>
  </conditionalFormatting>
  <conditionalFormatting sqref="BP15:BQ114">
    <cfRule type="expression" dxfId="91" priority="8">
      <formula>IF($G15="Ground-up loss",TRUE,FALSE)</formula>
    </cfRule>
  </conditionalFormatting>
  <conditionalFormatting sqref="BP115:BQ115">
    <cfRule type="expression" dxfId="90" priority="7">
      <formula>IF($G115="Ground-up loss",TRUE,FALSE)</formula>
    </cfRule>
  </conditionalFormatting>
  <conditionalFormatting sqref="BT15:BU114">
    <cfRule type="expression" dxfId="89" priority="6">
      <formula>IF($G15="Ground-up loss",TRUE,FALSE)</formula>
    </cfRule>
  </conditionalFormatting>
  <conditionalFormatting sqref="BT115:BU115">
    <cfRule type="expression" dxfId="88" priority="5">
      <formula>IF($G115="Ground-up loss",TRUE,FALSE)</formula>
    </cfRule>
  </conditionalFormatting>
  <conditionalFormatting sqref="BN16">
    <cfRule type="expression" dxfId="87" priority="4">
      <formula>IF($G16="Ground-up loss",TRUE,FALSE)</formula>
    </cfRule>
  </conditionalFormatting>
  <conditionalFormatting sqref="CE116:CF125">
    <cfRule type="expression" dxfId="86" priority="3">
      <formula>IF($G116="Ground-up loss",TRUE,FALSE)</formula>
    </cfRule>
  </conditionalFormatting>
  <conditionalFormatting sqref="CE15:CF114">
    <cfRule type="expression" dxfId="85" priority="2">
      <formula>IF($G15="Ground-up loss",TRUE,FALSE)</formula>
    </cfRule>
  </conditionalFormatting>
  <conditionalFormatting sqref="CE115:CF115">
    <cfRule type="expression" dxfId="84" priority="1">
      <formula>IF($G115="Ground-up loss",TRUE,FALSE)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18A9-D2CA-49B2-A10A-331A5B34756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HE_CGSheetsNr&amp;".14"</f>
        <v>15.14</v>
      </c>
      <c r="B1" s="54" t="str">
        <f>VLOOKUP("T.15.01",HE_label,2,FALSE)&amp;$N$3&amp;IF($N$5="",""," ("&amp;$N$5&amp;")")</f>
        <v>Kranken VVG: Daten nach Alter und Vertragsgruppe 14</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14</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HE_CG14</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83" priority="42">
      <formula>IF($G15="Ground-up loss",TRUE,FALSE)</formula>
    </cfRule>
  </conditionalFormatting>
  <conditionalFormatting sqref="E115:H115">
    <cfRule type="expression" dxfId="82" priority="41">
      <formula>IF($G115="Ground-up loss",TRUE,FALSE)</formula>
    </cfRule>
  </conditionalFormatting>
  <conditionalFormatting sqref="R15:S114">
    <cfRule type="expression" dxfId="81" priority="40">
      <formula>IF($G15="Ground-up loss",TRUE,FALSE)</formula>
    </cfRule>
  </conditionalFormatting>
  <conditionalFormatting sqref="R115:S115">
    <cfRule type="expression" dxfId="80" priority="39">
      <formula>IF($G115="Ground-up loss",TRUE,FALSE)</formula>
    </cfRule>
  </conditionalFormatting>
  <conditionalFormatting sqref="AH15:AI114">
    <cfRule type="expression" dxfId="79" priority="38">
      <formula>IF($G15="Ground-up loss",TRUE,FALSE)</formula>
    </cfRule>
  </conditionalFormatting>
  <conditionalFormatting sqref="AH115:AI115">
    <cfRule type="expression" dxfId="78" priority="37">
      <formula>IF($G115="Ground-up loss",TRUE,FALSE)</formula>
    </cfRule>
  </conditionalFormatting>
  <conditionalFormatting sqref="AJ15:AK15">
    <cfRule type="expression" dxfId="77" priority="36">
      <formula>IF($G15="Ground-up loss",TRUE,FALSE)</formula>
    </cfRule>
  </conditionalFormatting>
  <conditionalFormatting sqref="AJ115:AK115">
    <cfRule type="expression" dxfId="76" priority="35">
      <formula>IF($G115="Ground-up loss",TRUE,FALSE)</formula>
    </cfRule>
  </conditionalFormatting>
  <conditionalFormatting sqref="AL15:AM114">
    <cfRule type="expression" dxfId="75" priority="34">
      <formula>IF($G15="Ground-up loss",TRUE,FALSE)</formula>
    </cfRule>
  </conditionalFormatting>
  <conditionalFormatting sqref="AL115:AM115">
    <cfRule type="expression" dxfId="74" priority="33">
      <formula>IF($G115="Ground-up loss",TRUE,FALSE)</formula>
    </cfRule>
  </conditionalFormatting>
  <conditionalFormatting sqref="AP15:AQ114">
    <cfRule type="expression" dxfId="73" priority="32">
      <formula>IF($G15="Ground-up loss",TRUE,FALSE)</formula>
    </cfRule>
  </conditionalFormatting>
  <conditionalFormatting sqref="AP115:AQ115">
    <cfRule type="expression" dxfId="72" priority="31">
      <formula>IF($G115="Ground-up loss",TRUE,FALSE)</formula>
    </cfRule>
  </conditionalFormatting>
  <conditionalFormatting sqref="AJ16">
    <cfRule type="expression" dxfId="71" priority="30">
      <formula>IF($G16="Ground-up loss",TRUE,FALSE)</formula>
    </cfRule>
  </conditionalFormatting>
  <conditionalFormatting sqref="V116:W125">
    <cfRule type="expression" dxfId="70" priority="29">
      <formula>IF($G116="Ground-up loss",TRUE,FALSE)</formula>
    </cfRule>
  </conditionalFormatting>
  <conditionalFormatting sqref="V15:W114">
    <cfRule type="expression" dxfId="69" priority="28">
      <formula>IF($G15="Ground-up loss",TRUE,FALSE)</formula>
    </cfRule>
  </conditionalFormatting>
  <conditionalFormatting sqref="V115:W115">
    <cfRule type="expression" dxfId="68" priority="27">
      <formula>IF($G115="Ground-up loss",TRUE,FALSE)</formula>
    </cfRule>
  </conditionalFormatting>
  <conditionalFormatting sqref="AC116:AD125">
    <cfRule type="expression" dxfId="67" priority="26">
      <formula>IF($G116="Ground-up loss",TRUE,FALSE)</formula>
    </cfRule>
  </conditionalFormatting>
  <conditionalFormatting sqref="AC15:AD114">
    <cfRule type="expression" dxfId="66" priority="25">
      <formula>IF($G15="Ground-up loss",TRUE,FALSE)</formula>
    </cfRule>
  </conditionalFormatting>
  <conditionalFormatting sqref="AC115:AD115">
    <cfRule type="expression" dxfId="65" priority="24">
      <formula>IF($G115="Ground-up loss",TRUE,FALSE)</formula>
    </cfRule>
  </conditionalFormatting>
  <conditionalFormatting sqref="AY17:AZ114 AZ16 AW116:BB125 BE116:BF125">
    <cfRule type="expression" dxfId="64" priority="23">
      <formula>IF($G16="Ground-up loss",TRUE,FALSE)</formula>
    </cfRule>
  </conditionalFormatting>
  <conditionalFormatting sqref="AW15:AX114">
    <cfRule type="expression" dxfId="63" priority="22">
      <formula>IF($G15="Ground-up loss",TRUE,FALSE)</formula>
    </cfRule>
  </conditionalFormatting>
  <conditionalFormatting sqref="AW115:AX115">
    <cfRule type="expression" dxfId="62" priority="21">
      <formula>IF($G115="Ground-up loss",TRUE,FALSE)</formula>
    </cfRule>
  </conditionalFormatting>
  <conditionalFormatting sqref="AY15:AZ15">
    <cfRule type="expression" dxfId="61" priority="20">
      <formula>IF($G15="Ground-up loss",TRUE,FALSE)</formula>
    </cfRule>
  </conditionalFormatting>
  <conditionalFormatting sqref="AY115:AZ115">
    <cfRule type="expression" dxfId="60" priority="19">
      <formula>IF($G115="Ground-up loss",TRUE,FALSE)</formula>
    </cfRule>
  </conditionalFormatting>
  <conditionalFormatting sqref="BA15:BB114">
    <cfRule type="expression" dxfId="59" priority="18">
      <formula>IF($G15="Ground-up loss",TRUE,FALSE)</formula>
    </cfRule>
  </conditionalFormatting>
  <conditionalFormatting sqref="BA115:BB115">
    <cfRule type="expression" dxfId="58" priority="17">
      <formula>IF($G115="Ground-up loss",TRUE,FALSE)</formula>
    </cfRule>
  </conditionalFormatting>
  <conditionalFormatting sqref="BE15:BF114">
    <cfRule type="expression" dxfId="57" priority="16">
      <formula>IF($G15="Ground-up loss",TRUE,FALSE)</formula>
    </cfRule>
  </conditionalFormatting>
  <conditionalFormatting sqref="BE115:BF115">
    <cfRule type="expression" dxfId="56" priority="15">
      <formula>IF($G115="Ground-up loss",TRUE,FALSE)</formula>
    </cfRule>
  </conditionalFormatting>
  <conditionalFormatting sqref="AY16">
    <cfRule type="expression" dxfId="55" priority="14">
      <formula>IF($G16="Ground-up loss",TRUE,FALSE)</formula>
    </cfRule>
  </conditionalFormatting>
  <conditionalFormatting sqref="BN17:BO114 BO16 BL116:BQ125 BT116:BU125">
    <cfRule type="expression" dxfId="54" priority="13">
      <formula>IF($G16="Ground-up loss",TRUE,FALSE)</formula>
    </cfRule>
  </conditionalFormatting>
  <conditionalFormatting sqref="BL15:BM114">
    <cfRule type="expression" dxfId="53" priority="12">
      <formula>IF($G15="Ground-up loss",TRUE,FALSE)</formula>
    </cfRule>
  </conditionalFormatting>
  <conditionalFormatting sqref="BL115:BM115">
    <cfRule type="expression" dxfId="52" priority="11">
      <formula>IF($G115="Ground-up loss",TRUE,FALSE)</formula>
    </cfRule>
  </conditionalFormatting>
  <conditionalFormatting sqref="BN15:BO15">
    <cfRule type="expression" dxfId="51" priority="10">
      <formula>IF($G15="Ground-up loss",TRUE,FALSE)</formula>
    </cfRule>
  </conditionalFormatting>
  <conditionalFormatting sqref="BN115:BO115">
    <cfRule type="expression" dxfId="50" priority="9">
      <formula>IF($G115="Ground-up loss",TRUE,FALSE)</formula>
    </cfRule>
  </conditionalFormatting>
  <conditionalFormatting sqref="BP15:BQ114">
    <cfRule type="expression" dxfId="49" priority="8">
      <formula>IF($G15="Ground-up loss",TRUE,FALSE)</formula>
    </cfRule>
  </conditionalFormatting>
  <conditionalFormatting sqref="BP115:BQ115">
    <cfRule type="expression" dxfId="48" priority="7">
      <formula>IF($G115="Ground-up loss",TRUE,FALSE)</formula>
    </cfRule>
  </conditionalFormatting>
  <conditionalFormatting sqref="BT15:BU114">
    <cfRule type="expression" dxfId="47" priority="6">
      <formula>IF($G15="Ground-up loss",TRUE,FALSE)</formula>
    </cfRule>
  </conditionalFormatting>
  <conditionalFormatting sqref="BT115:BU115">
    <cfRule type="expression" dxfId="46" priority="5">
      <formula>IF($G115="Ground-up loss",TRUE,FALSE)</formula>
    </cfRule>
  </conditionalFormatting>
  <conditionalFormatting sqref="BN16">
    <cfRule type="expression" dxfId="45" priority="4">
      <formula>IF($G16="Ground-up loss",TRUE,FALSE)</formula>
    </cfRule>
  </conditionalFormatting>
  <conditionalFormatting sqref="CE116:CF125">
    <cfRule type="expression" dxfId="44" priority="3">
      <formula>IF($G116="Ground-up loss",TRUE,FALSE)</formula>
    </cfRule>
  </conditionalFormatting>
  <conditionalFormatting sqref="CE15:CF114">
    <cfRule type="expression" dxfId="43" priority="2">
      <formula>IF($G15="Ground-up loss",TRUE,FALSE)</formula>
    </cfRule>
  </conditionalFormatting>
  <conditionalFormatting sqref="CE115:CF115">
    <cfRule type="expression" dxfId="42" priority="1">
      <formula>IF($G115="Ground-up loss",TRUE,FALSE)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D84E-840E-4892-92D6-C2F260B7401C}">
  <sheetPr codeName="Sheet2">
    <tabColor rgb="FF002D64"/>
    <pageSetUpPr fitToPage="1"/>
  </sheetPr>
  <dimension ref="A1:K612"/>
  <sheetViews>
    <sheetView showGridLines="0" zoomScale="90" zoomScaleNormal="90" workbookViewId="0"/>
  </sheetViews>
  <sheetFormatPr defaultColWidth="8.5703125" defaultRowHeight="12.75" customHeight="1" x14ac:dyDescent="0.2"/>
  <cols>
    <col min="1" max="1" width="5.5703125" style="541" customWidth="1"/>
    <col min="2" max="2" width="12.140625" style="541" customWidth="1"/>
    <col min="3" max="3" width="28.28515625" style="1152" customWidth="1"/>
    <col min="4" max="4" width="112.5703125" style="541" customWidth="1"/>
    <col min="5" max="5" width="111.7109375" style="541" customWidth="1"/>
    <col min="6" max="6" width="9.85546875" style="542" customWidth="1"/>
    <col min="7" max="7" width="8.5703125" style="541" customWidth="1"/>
    <col min="8" max="16384" width="8.5703125" style="541"/>
  </cols>
  <sheetData>
    <row r="1" spans="1:5" ht="20.100000000000001" customHeight="1" x14ac:dyDescent="0.2">
      <c r="A1" s="539">
        <v>3</v>
      </c>
      <c r="B1" s="540" t="str">
        <f>C141</f>
        <v>Kranken VVG: Glossar Französisch - Deutsch</v>
      </c>
      <c r="C1" s="1150"/>
    </row>
    <row r="2" spans="1:5" s="543" customFormat="1" ht="14.25" customHeight="1" x14ac:dyDescent="0.2">
      <c r="B2" s="228" t="str" cm="1">
        <f t="array" ref="B2">HE_company_name&amp;" - SST "&amp;HE_CY&amp;HE_suffix</f>
        <v xml:space="preserve"> - SST 2025</v>
      </c>
      <c r="C2" s="574"/>
    </row>
    <row r="3" spans="1:5" s="543" customFormat="1" ht="14.25" customHeight="1" x14ac:dyDescent="0.2">
      <c r="C3" s="574"/>
    </row>
    <row r="4" spans="1:5" s="543" customFormat="1" ht="14.25" customHeight="1" x14ac:dyDescent="0.2">
      <c r="C4" s="574"/>
    </row>
    <row r="5" spans="1:5" s="543" customFormat="1" ht="14.25" customHeight="1" x14ac:dyDescent="0.25">
      <c r="B5" s="1129" t="str">
        <f>C143</f>
        <v>Liste der Tabellenblätter</v>
      </c>
      <c r="C5" s="1151"/>
      <c r="D5" s="544"/>
      <c r="E5" s="544"/>
    </row>
    <row r="6" spans="1:5" s="543" customFormat="1" ht="14.25" customHeight="1" x14ac:dyDescent="0.2">
      <c r="B6" s="544"/>
      <c r="C6" s="1151"/>
      <c r="D6" s="544"/>
      <c r="E6" s="544"/>
    </row>
    <row r="7" spans="1:5" s="543" customFormat="1" ht="14.25" customHeight="1" x14ac:dyDescent="0.2">
      <c r="B7" s="1158" t="s">
        <v>668</v>
      </c>
      <c r="C7" s="545" t="s">
        <v>499</v>
      </c>
      <c r="D7" s="545" t="s">
        <v>500</v>
      </c>
      <c r="E7" s="545" t="s">
        <v>501</v>
      </c>
    </row>
    <row r="8" spans="1:5" s="543" customFormat="1" ht="14.25" customHeight="1" x14ac:dyDescent="0.2">
      <c r="A8" s="574"/>
      <c r="B8" s="1159">
        <v>1</v>
      </c>
      <c r="C8" s="578" t="s">
        <v>48</v>
      </c>
      <c r="D8" s="546" t="s">
        <v>201</v>
      </c>
      <c r="E8" s="1195" t="s">
        <v>239</v>
      </c>
    </row>
    <row r="9" spans="1:5" s="543" customFormat="1" ht="14.25" customHeight="1" x14ac:dyDescent="0.2">
      <c r="A9" s="574"/>
      <c r="B9" s="1159">
        <v>2</v>
      </c>
      <c r="C9" s="578" t="s">
        <v>193</v>
      </c>
      <c r="D9" s="546" t="s">
        <v>241</v>
      </c>
      <c r="E9" s="1195" t="s">
        <v>240</v>
      </c>
    </row>
    <row r="10" spans="1:5" s="543" customFormat="1" ht="14.25" customHeight="1" x14ac:dyDescent="0.2">
      <c r="A10" s="574"/>
      <c r="B10" s="1159">
        <v>3</v>
      </c>
      <c r="C10" s="579" t="s">
        <v>194</v>
      </c>
      <c r="D10" s="546" t="s">
        <v>509</v>
      </c>
      <c r="E10" s="1195" t="s">
        <v>510</v>
      </c>
    </row>
    <row r="11" spans="1:5" s="543" customFormat="1" ht="14.25" customHeight="1" x14ac:dyDescent="0.2">
      <c r="A11" s="574"/>
      <c r="B11" s="1159">
        <v>4</v>
      </c>
      <c r="C11" s="578" t="s">
        <v>192</v>
      </c>
      <c r="D11" s="546" t="s">
        <v>234</v>
      </c>
      <c r="E11" s="1195" t="s">
        <v>242</v>
      </c>
    </row>
    <row r="12" spans="1:5" s="543" customFormat="1" ht="14.25" customHeight="1" x14ac:dyDescent="0.2">
      <c r="A12" s="574"/>
      <c r="B12" s="1159">
        <v>5</v>
      </c>
      <c r="C12" s="577" t="s">
        <v>195</v>
      </c>
      <c r="D12" s="546" t="s">
        <v>243</v>
      </c>
      <c r="E12" s="1195" t="s">
        <v>1107</v>
      </c>
    </row>
    <row r="13" spans="1:5" s="543" customFormat="1" ht="14.25" customHeight="1" x14ac:dyDescent="0.2">
      <c r="A13" s="574"/>
      <c r="B13" s="1159">
        <v>6</v>
      </c>
      <c r="C13" s="577" t="s">
        <v>197</v>
      </c>
      <c r="D13" s="546" t="s">
        <v>248</v>
      </c>
      <c r="E13" s="1195" t="s">
        <v>1118</v>
      </c>
    </row>
    <row r="14" spans="1:5" s="543" customFormat="1" ht="14.25" customHeight="1" x14ac:dyDescent="0.2">
      <c r="A14" s="574"/>
      <c r="B14" s="1159">
        <v>7</v>
      </c>
      <c r="C14" s="577" t="s">
        <v>196</v>
      </c>
      <c r="D14" s="546" t="s">
        <v>247</v>
      </c>
      <c r="E14" s="1195" t="s">
        <v>1116</v>
      </c>
    </row>
    <row r="15" spans="1:5" s="543" customFormat="1" ht="14.25" customHeight="1" x14ac:dyDescent="0.2">
      <c r="A15" s="574"/>
      <c r="B15" s="1292">
        <v>8.1</v>
      </c>
      <c r="C15" s="1293" t="s">
        <v>251</v>
      </c>
      <c r="D15" s="1294" t="s">
        <v>249</v>
      </c>
      <c r="E15" s="1294" t="s">
        <v>249</v>
      </c>
    </row>
    <row r="16" spans="1:5" s="543" customFormat="1" ht="14.25" customHeight="1" x14ac:dyDescent="0.2">
      <c r="A16" s="574"/>
      <c r="B16" s="1159">
        <v>8.1999999999999993</v>
      </c>
      <c r="C16" s="577" t="s">
        <v>45</v>
      </c>
      <c r="D16" s="546" t="s">
        <v>250</v>
      </c>
      <c r="E16" s="1195" t="s">
        <v>1117</v>
      </c>
    </row>
    <row r="17" spans="1:5" s="543" customFormat="1" ht="14.25" customHeight="1" x14ac:dyDescent="0.2">
      <c r="A17" s="574"/>
      <c r="B17" s="1159">
        <v>9</v>
      </c>
      <c r="C17" s="577" t="s">
        <v>47</v>
      </c>
      <c r="D17" s="546" t="s">
        <v>252</v>
      </c>
      <c r="E17" s="1195" t="s">
        <v>1108</v>
      </c>
    </row>
    <row r="18" spans="1:5" s="543" customFormat="1" ht="14.25" customHeight="1" x14ac:dyDescent="0.2">
      <c r="A18" s="574"/>
      <c r="B18" s="1159">
        <v>10</v>
      </c>
      <c r="C18" s="577" t="s">
        <v>198</v>
      </c>
      <c r="D18" s="546" t="s">
        <v>253</v>
      </c>
      <c r="E18" s="1195" t="s">
        <v>1109</v>
      </c>
    </row>
    <row r="19" spans="1:5" s="543" customFormat="1" ht="14.25" customHeight="1" x14ac:dyDescent="0.2">
      <c r="A19" s="574"/>
      <c r="B19" s="1159">
        <v>11</v>
      </c>
      <c r="C19" s="577" t="s">
        <v>199</v>
      </c>
      <c r="D19" s="546" t="s">
        <v>254</v>
      </c>
      <c r="E19" s="1195" t="s">
        <v>1110</v>
      </c>
    </row>
    <row r="20" spans="1:5" s="543" customFormat="1" ht="14.25" customHeight="1" x14ac:dyDescent="0.2">
      <c r="A20" s="574"/>
      <c r="B20" s="1159">
        <v>12</v>
      </c>
      <c r="C20" s="577" t="s">
        <v>200</v>
      </c>
      <c r="D20" s="546" t="s">
        <v>256</v>
      </c>
      <c r="E20" s="1195" t="s">
        <v>1111</v>
      </c>
    </row>
    <row r="21" spans="1:5" s="543" customFormat="1" ht="14.25" customHeight="1" x14ac:dyDescent="0.2">
      <c r="A21" s="575"/>
      <c r="B21" s="1159">
        <v>13</v>
      </c>
      <c r="C21" s="578" t="s">
        <v>258</v>
      </c>
      <c r="D21" s="546" t="s">
        <v>259</v>
      </c>
      <c r="E21" s="1195" t="s">
        <v>1112</v>
      </c>
    </row>
    <row r="22" spans="1:5" s="543" customFormat="1" ht="14.25" customHeight="1" x14ac:dyDescent="0.2">
      <c r="A22" s="575"/>
      <c r="B22" s="1159">
        <v>14</v>
      </c>
      <c r="C22" s="578" t="s">
        <v>257</v>
      </c>
      <c r="D22" s="546" t="s">
        <v>459</v>
      </c>
      <c r="E22" s="1195" t="s">
        <v>1113</v>
      </c>
    </row>
    <row r="23" spans="1:5" s="543" customFormat="1" ht="14.25" customHeight="1" x14ac:dyDescent="0.2">
      <c r="A23" s="576"/>
      <c r="B23" s="1159" t="s">
        <v>261</v>
      </c>
      <c r="C23" s="1146" t="s">
        <v>260</v>
      </c>
      <c r="D23" s="546" t="s">
        <v>1139</v>
      </c>
      <c r="E23" s="1195" t="s">
        <v>1140</v>
      </c>
    </row>
    <row r="24" spans="1:5" s="543" customFormat="1" ht="14.25" customHeight="1" x14ac:dyDescent="0.2">
      <c r="C24" s="574"/>
    </row>
    <row r="25" spans="1:5" s="543" customFormat="1" ht="14.25" customHeight="1" x14ac:dyDescent="0.2">
      <c r="C25" s="574"/>
    </row>
    <row r="26" spans="1:5" s="543" customFormat="1" ht="14.25" customHeight="1" x14ac:dyDescent="0.25">
      <c r="B26" s="1129" t="str">
        <f>C144</f>
        <v>Glossar</v>
      </c>
      <c r="C26" s="574"/>
    </row>
    <row r="27" spans="1:5" s="543" customFormat="1" ht="14.25" customHeight="1" x14ac:dyDescent="0.2">
      <c r="C27" s="574"/>
    </row>
    <row r="28" spans="1:5" s="543" customFormat="1" ht="14.25" customHeight="1" x14ac:dyDescent="0.2">
      <c r="B28" s="544" t="s">
        <v>497</v>
      </c>
      <c r="C28" s="1151" t="s">
        <v>498</v>
      </c>
      <c r="D28" s="544" t="s">
        <v>155</v>
      </c>
      <c r="E28" s="544" t="s">
        <v>154</v>
      </c>
    </row>
    <row r="29" spans="1:5" s="543" customFormat="1" ht="14.25" customHeight="1" x14ac:dyDescent="0.2">
      <c r="C29" s="574"/>
    </row>
    <row r="30" spans="1:5" s="543" customFormat="1" ht="14.25" customHeight="1" x14ac:dyDescent="0.2">
      <c r="A30" s="1147"/>
      <c r="B30" s="545" t="s">
        <v>502</v>
      </c>
      <c r="C30" s="1149"/>
      <c r="D30" s="545" t="s">
        <v>179</v>
      </c>
      <c r="E30" s="545" t="s">
        <v>178</v>
      </c>
    </row>
    <row r="31" spans="1:5" s="1127" customFormat="1" ht="14.25" customHeight="1" x14ac:dyDescent="0.2">
      <c r="B31" s="1118"/>
      <c r="C31" s="1148"/>
      <c r="D31" s="1118"/>
      <c r="E31" s="1118"/>
    </row>
    <row r="32" spans="1:5" s="1127" customFormat="1" ht="14.25" customHeight="1" x14ac:dyDescent="0.2">
      <c r="B32" s="1118" t="s">
        <v>503</v>
      </c>
      <c r="C32" s="1148" t="str">
        <f t="shared" ref="C32:C39" si="0">IF(HE_language="FR",D32,E32)</f>
        <v>, in CHF</v>
      </c>
      <c r="D32" s="1118" t="s">
        <v>725</v>
      </c>
      <c r="E32" s="1118" t="s">
        <v>726</v>
      </c>
    </row>
    <row r="33" spans="1:5" s="1127" customFormat="1" ht="14.25" customHeight="1" x14ac:dyDescent="0.2">
      <c r="B33" s="1118" t="s">
        <v>775</v>
      </c>
      <c r="C33" s="1148" t="str">
        <f t="shared" ref="C33" si="1">IF(HE_language="FR",D33,E33)</f>
        <v>in CHF</v>
      </c>
      <c r="D33" s="1118" t="s">
        <v>294</v>
      </c>
      <c r="E33" s="1118" t="s">
        <v>776</v>
      </c>
    </row>
    <row r="34" spans="1:5" s="1127" customFormat="1" ht="14.25" customHeight="1" x14ac:dyDescent="0.2">
      <c r="B34" s="1118" t="s">
        <v>868</v>
      </c>
      <c r="C34" s="1148" t="str">
        <f t="shared" ref="C34:C35" si="2">IF(HE_language="FR",D34,E34)</f>
        <v>, in Mio. CHF</v>
      </c>
      <c r="D34" s="1118" t="s">
        <v>870</v>
      </c>
      <c r="E34" s="1118" t="s">
        <v>871</v>
      </c>
    </row>
    <row r="35" spans="1:5" s="1127" customFormat="1" ht="14.25" customHeight="1" x14ac:dyDescent="0.2">
      <c r="B35" s="1118" t="s">
        <v>869</v>
      </c>
      <c r="C35" s="1148" t="str">
        <f t="shared" si="2"/>
        <v>in Mio. CHF</v>
      </c>
      <c r="D35" s="1118" t="s">
        <v>434</v>
      </c>
      <c r="E35" s="1118" t="s">
        <v>872</v>
      </c>
    </row>
    <row r="36" spans="1:5" s="1127" customFormat="1" ht="14.25" customHeight="1" x14ac:dyDescent="0.2">
      <c r="B36" s="1118" t="s">
        <v>504</v>
      </c>
      <c r="C36" s="1148" t="str">
        <f t="shared" si="0"/>
        <v>Korrelationsmatrix</v>
      </c>
      <c r="D36" s="1118" t="s">
        <v>844</v>
      </c>
      <c r="E36" s="1228" t="s">
        <v>1141</v>
      </c>
    </row>
    <row r="37" spans="1:5" s="1127" customFormat="1" ht="14.25" customHeight="1" x14ac:dyDescent="0.2">
      <c r="B37" s="1118" t="s">
        <v>505</v>
      </c>
      <c r="C37" s="1148" t="str">
        <f t="shared" si="0"/>
        <v>Standardabweichung</v>
      </c>
      <c r="D37" s="1118" t="s">
        <v>884</v>
      </c>
      <c r="E37" s="1228" t="s">
        <v>1142</v>
      </c>
    </row>
    <row r="38" spans="1:5" s="1127" customFormat="1" ht="14.25" customHeight="1" x14ac:dyDescent="0.2">
      <c r="B38" s="1118" t="s">
        <v>994</v>
      </c>
      <c r="C38" s="1148" t="str">
        <f t="shared" ref="C38" si="3">IF(HE_language="FR",D38,E38)</f>
        <v>Standardabweichung</v>
      </c>
      <c r="D38" s="1118" t="s">
        <v>993</v>
      </c>
      <c r="E38" s="1228" t="s">
        <v>1142</v>
      </c>
    </row>
    <row r="39" spans="1:5" s="1127" customFormat="1" ht="14.25" customHeight="1" x14ac:dyDescent="0.2">
      <c r="B39" s="1118" t="s">
        <v>506</v>
      </c>
      <c r="C39" s="1148" t="str">
        <f t="shared" si="0"/>
        <v>Variationskoeffizient</v>
      </c>
      <c r="D39" s="1118" t="s">
        <v>183</v>
      </c>
      <c r="E39" s="1228" t="s">
        <v>1143</v>
      </c>
    </row>
    <row r="40" spans="1:5" s="1127" customFormat="1" ht="14.25" customHeight="1" x14ac:dyDescent="0.2">
      <c r="B40" s="1118" t="s">
        <v>507</v>
      </c>
      <c r="C40" s="1148" t="str">
        <f t="shared" ref="C40:C41" si="4">IF(HE_language="FR",D40,E40)</f>
        <v>Value at Risk</v>
      </c>
      <c r="D40" s="1118" t="s">
        <v>873</v>
      </c>
      <c r="E40" s="1228" t="s">
        <v>1144</v>
      </c>
    </row>
    <row r="41" spans="1:5" s="1127" customFormat="1" ht="14.25" customHeight="1" x14ac:dyDescent="0.2">
      <c r="B41" s="1118" t="s">
        <v>508</v>
      </c>
      <c r="C41" s="1148" t="str">
        <f t="shared" si="4"/>
        <v>Expected Shortfall</v>
      </c>
      <c r="D41" s="1118" t="s">
        <v>874</v>
      </c>
      <c r="E41" s="1228" t="s">
        <v>1145</v>
      </c>
    </row>
    <row r="42" spans="1:5" s="1127" customFormat="1" ht="14.25" customHeight="1" x14ac:dyDescent="0.2">
      <c r="B42" s="1191"/>
      <c r="C42" s="1192"/>
      <c r="D42" s="1191"/>
      <c r="E42" s="1191"/>
    </row>
    <row r="43" spans="1:5" s="543" customFormat="1" ht="14.25" customHeight="1" x14ac:dyDescent="0.2">
      <c r="A43" s="1127"/>
      <c r="C43" s="574"/>
    </row>
    <row r="44" spans="1:5" s="543" customFormat="1" ht="14.25" customHeight="1" x14ac:dyDescent="0.2">
      <c r="A44" s="1127"/>
      <c r="C44" s="574"/>
    </row>
    <row r="45" spans="1:5" s="543" customFormat="1" ht="14.25" customHeight="1" x14ac:dyDescent="0.2">
      <c r="A45" s="1127"/>
      <c r="B45" s="545" t="s">
        <v>156</v>
      </c>
      <c r="C45" s="1149" t="str">
        <f>IF(HE_language="FR",D45,E45)</f>
        <v>Kranken VVG: Einführung</v>
      </c>
      <c r="D45" s="545" t="str">
        <f>D8</f>
        <v>Maladie LCA: Introduction</v>
      </c>
      <c r="E45" s="545" t="str">
        <f>E8</f>
        <v>Kranken VVG: Einführung</v>
      </c>
    </row>
    <row r="46" spans="1:5" s="543" customFormat="1" ht="14.25" customHeight="1" x14ac:dyDescent="0.2">
      <c r="A46" s="1127"/>
      <c r="C46" s="574"/>
    </row>
    <row r="47" spans="1:5" s="1127" customFormat="1" ht="14.25" customHeight="1" x14ac:dyDescent="0.2">
      <c r="B47" s="1118" t="s">
        <v>157</v>
      </c>
      <c r="C47" s="1148" t="str">
        <f t="shared" ref="C47:C55" si="5">IF(HE_language="FR",D47,E47)</f>
        <v>Einführung</v>
      </c>
      <c r="D47" s="1118" t="s">
        <v>51</v>
      </c>
      <c r="E47" s="1228" t="s">
        <v>1146</v>
      </c>
    </row>
    <row r="48" spans="1:5" s="1127" customFormat="1" ht="14.25" customHeight="1" x14ac:dyDescent="0.2">
      <c r="B48" s="1118" t="s">
        <v>158</v>
      </c>
      <c r="C48" s="1148" t="str">
        <f t="shared" si="5"/>
        <v>DIESE VERSION IST EIN PROTOTYP FÜR TESTS</v>
      </c>
      <c r="D48" s="1118" t="s">
        <v>492</v>
      </c>
      <c r="E48" s="1228" t="s">
        <v>1147</v>
      </c>
    </row>
    <row r="49" spans="2:5" s="1127" customFormat="1" ht="14.25" customHeight="1" x14ac:dyDescent="0.2">
      <c r="B49" s="1118" t="s">
        <v>159</v>
      </c>
      <c r="C49" s="1148" t="str">
        <f t="shared" si="5"/>
        <v>Dieses «SST-Health-Template» dient dem SST-Standardmodell für Krankenversicherungen (ausschliesslich Krankenversicherungen nach Versicherungsvertragsgesetz [VVG]).</v>
      </c>
      <c r="D49" s="1118" t="s">
        <v>489</v>
      </c>
      <c r="E49" s="1228" t="s">
        <v>1148</v>
      </c>
    </row>
    <row r="50" spans="2:5" s="1127" customFormat="1" ht="14.25" customHeight="1" x14ac:dyDescent="0.2">
      <c r="B50" s="1118" t="s">
        <v>160</v>
      </c>
      <c r="C50" s="1148" t="str">
        <f t="shared" si="5"/>
        <v>Dieses Template deckt Folgendes ab:</v>
      </c>
      <c r="D50" s="1118" t="s">
        <v>209</v>
      </c>
      <c r="E50" s="1228" t="s">
        <v>1149</v>
      </c>
    </row>
    <row r="51" spans="2:5" s="1127" customFormat="1" ht="14.25" customHeight="1" x14ac:dyDescent="0.2">
      <c r="B51" s="1118" t="s">
        <v>161</v>
      </c>
      <c r="C51" s="1148" t="str">
        <f t="shared" si="5"/>
        <v xml:space="preserve">  - Die Parameter und die Eingaben für die Ermittlung der Langzeitverpflichtungen (LZV) </v>
      </c>
      <c r="D51" s="1118" t="s">
        <v>1197</v>
      </c>
      <c r="E51" s="1228" t="s">
        <v>1196</v>
      </c>
    </row>
    <row r="52" spans="2:5" s="1127" customFormat="1" ht="14.25" customHeight="1" x14ac:dyDescent="0.2">
      <c r="B52" s="1118" t="s">
        <v>162</v>
      </c>
      <c r="C52" s="1148" t="str">
        <f t="shared" si="5"/>
        <v xml:space="preserve">  - Das Risikomodell der Krankenversicherung (Eingaben und Berechnungen zum Teil automatisiert)</v>
      </c>
      <c r="D52" s="1118" t="s">
        <v>202</v>
      </c>
      <c r="E52" s="1228" t="s">
        <v>1150</v>
      </c>
    </row>
    <row r="53" spans="2:5" s="1127" customFormat="1" ht="14.25" customHeight="1" x14ac:dyDescent="0.2">
      <c r="B53" s="1118" t="s">
        <v>163</v>
      </c>
      <c r="C53" s="1148" t="str">
        <f t="shared" si="5"/>
        <v xml:space="preserve">  - Die Eingaben der Krankenversicherung für das SST-Template</v>
      </c>
      <c r="D53" s="1118" t="s">
        <v>203</v>
      </c>
      <c r="E53" s="1228" t="s">
        <v>1151</v>
      </c>
    </row>
    <row r="54" spans="2:5" s="1127" customFormat="1" ht="14.25" customHeight="1" x14ac:dyDescent="0.2">
      <c r="B54" s="1118" t="s">
        <v>164</v>
      </c>
      <c r="C54" s="1148" t="str">
        <f t="shared" si="5"/>
        <v>Weitere Details sind in der Rubrik «Benutzerhandbuch» unten zu finden, insbesondere zum Verfahren zur Ermittlung der LZV.</v>
      </c>
      <c r="D54" s="1118" t="s">
        <v>1120</v>
      </c>
      <c r="E54" s="1228" t="s">
        <v>1152</v>
      </c>
    </row>
    <row r="55" spans="2:5" s="1127" customFormat="1" ht="14.25" customHeight="1" x14ac:dyDescent="0.2">
      <c r="B55" s="1118" t="s">
        <v>166</v>
      </c>
      <c r="C55" s="1148" t="str">
        <f t="shared" si="5"/>
        <v xml:space="preserve">Änderungen in Bezug auf frühere Versionen sind im Tabellenblatt « HE_update» aufgeführt. </v>
      </c>
      <c r="D55" s="1118" t="s">
        <v>204</v>
      </c>
      <c r="E55" s="1228" t="s">
        <v>1153</v>
      </c>
    </row>
    <row r="56" spans="2:5" s="1127" customFormat="1" ht="14.25" customHeight="1" x14ac:dyDescent="0.2">
      <c r="B56" s="1118"/>
      <c r="C56" s="1148"/>
      <c r="D56" s="1118"/>
      <c r="E56" s="546"/>
    </row>
    <row r="57" spans="2:5" s="1127" customFormat="1" ht="14.25" customHeight="1" x14ac:dyDescent="0.2">
      <c r="B57" s="1118" t="s">
        <v>167</v>
      </c>
      <c r="C57" s="1148" t="str">
        <f t="shared" ref="C57:C64" si="6">IF(HE_language="FR",D57,E57)</f>
        <v>Informationen zur aktuellen SST-Ermittlung</v>
      </c>
      <c r="D57" s="1118" t="s">
        <v>207</v>
      </c>
      <c r="E57" s="1228" t="s">
        <v>1617</v>
      </c>
    </row>
    <row r="58" spans="2:5" s="1127" customFormat="1" ht="14.25" customHeight="1" x14ac:dyDescent="0.2">
      <c r="B58" s="1118" t="s">
        <v>168</v>
      </c>
      <c r="C58" s="1148" t="str">
        <f t="shared" si="6"/>
        <v>Aktuelles Jahr (CY) der SST-Ermittlung</v>
      </c>
      <c r="D58" s="1118" t="s">
        <v>206</v>
      </c>
      <c r="E58" s="1228" t="s">
        <v>1618</v>
      </c>
    </row>
    <row r="59" spans="2:5" s="1127" customFormat="1" ht="14.25" customHeight="1" x14ac:dyDescent="0.2">
      <c r="B59" s="1118" t="s">
        <v>169</v>
      </c>
      <c r="C59" s="1148" t="str">
        <f t="shared" si="6"/>
        <v>Name der Gesellschaft</v>
      </c>
      <c r="D59" s="1118" t="s">
        <v>205</v>
      </c>
      <c r="E59" s="1228" t="s">
        <v>1154</v>
      </c>
    </row>
    <row r="60" spans="2:5" s="1127" customFormat="1" ht="14.25" customHeight="1" x14ac:dyDescent="0.2">
      <c r="B60" s="1118" t="s">
        <v>170</v>
      </c>
      <c r="C60" s="1148" t="str">
        <f t="shared" si="6"/>
        <v>Suffix für den Titel (optional, in der Regel leer)</v>
      </c>
      <c r="D60" s="1118" t="s">
        <v>52</v>
      </c>
      <c r="E60" s="1228" t="s">
        <v>1155</v>
      </c>
    </row>
    <row r="61" spans="2:5" s="1127" customFormat="1" ht="14.25" customHeight="1" x14ac:dyDescent="0.2">
      <c r="B61" s="1118" t="s">
        <v>171</v>
      </c>
      <c r="C61" s="1148" t="str">
        <f t="shared" si="6"/>
        <v>Kontaktperson</v>
      </c>
      <c r="D61" s="1118" t="s">
        <v>165</v>
      </c>
      <c r="E61" s="1228" t="s">
        <v>1156</v>
      </c>
    </row>
    <row r="62" spans="2:5" s="1127" customFormat="1" ht="14.25" customHeight="1" x14ac:dyDescent="0.2">
      <c r="B62" s="1118" t="s">
        <v>172</v>
      </c>
      <c r="C62" s="1148" t="str">
        <f t="shared" si="6"/>
        <v>E-Mail</v>
      </c>
      <c r="D62" s="1118" t="s">
        <v>208</v>
      </c>
      <c r="E62" s="1228" t="s">
        <v>1157</v>
      </c>
    </row>
    <row r="63" spans="2:5" s="1127" customFormat="1" ht="14.25" customHeight="1" x14ac:dyDescent="0.2">
      <c r="B63" s="1118" t="s">
        <v>173</v>
      </c>
      <c r="C63" s="1148" t="str">
        <f t="shared" si="6"/>
        <v>SST-Währung</v>
      </c>
      <c r="D63" s="1118" t="s">
        <v>53</v>
      </c>
      <c r="E63" s="1228" t="s">
        <v>1158</v>
      </c>
    </row>
    <row r="64" spans="2:5" s="1127" customFormat="1" ht="14.25" customHeight="1" x14ac:dyDescent="0.2">
      <c r="B64" s="1118" t="s">
        <v>174</v>
      </c>
      <c r="C64" s="1148" t="str">
        <f t="shared" si="6"/>
        <v>Suffix für die Output-Datei der Ermittlung der LZV («LZV_Result_suffix.xlsx»)</v>
      </c>
      <c r="D64" s="1118" t="s">
        <v>511</v>
      </c>
      <c r="E64" s="1228" t="s">
        <v>1159</v>
      </c>
    </row>
    <row r="65" spans="2:6" s="1127" customFormat="1" ht="14.25" customHeight="1" x14ac:dyDescent="0.2">
      <c r="B65" s="1118"/>
      <c r="C65" s="1148"/>
      <c r="D65" s="1118"/>
      <c r="E65" s="546"/>
    </row>
    <row r="66" spans="2:6" s="1127" customFormat="1" ht="14.25" customHeight="1" x14ac:dyDescent="0.2">
      <c r="B66" s="1118" t="s">
        <v>175</v>
      </c>
      <c r="C66" s="1148" t="str">
        <f t="shared" ref="C66:C88" si="7">IF(HE_language="FR",D66,E66)</f>
        <v>Konventionen</v>
      </c>
      <c r="D66" s="1118" t="s">
        <v>212</v>
      </c>
      <c r="E66" s="1228" t="s">
        <v>1160</v>
      </c>
    </row>
    <row r="67" spans="2:6" s="1127" customFormat="1" ht="14.25" customHeight="1" x14ac:dyDescent="0.2">
      <c r="B67" s="1118" t="s">
        <v>176</v>
      </c>
      <c r="C67" s="1148" t="str">
        <f t="shared" si="7"/>
        <v>Farbcode</v>
      </c>
      <c r="D67" s="1118" t="s">
        <v>213</v>
      </c>
      <c r="E67" s="1228" t="s">
        <v>1528</v>
      </c>
      <c r="F67" s="1237"/>
    </row>
    <row r="68" spans="2:6" s="1127" customFormat="1" ht="14.25" customHeight="1" x14ac:dyDescent="0.2">
      <c r="B68" s="1118" t="s">
        <v>177</v>
      </c>
      <c r="C68" s="1148" t="str">
        <f t="shared" si="7"/>
        <v>Daten</v>
      </c>
      <c r="D68" s="1118" t="s">
        <v>55</v>
      </c>
      <c r="E68" s="1228" t="s">
        <v>1161</v>
      </c>
    </row>
    <row r="69" spans="2:6" s="1127" customFormat="1" ht="14.25" customHeight="1" x14ac:dyDescent="0.2">
      <c r="B69" s="1118" t="s">
        <v>512</v>
      </c>
      <c r="C69" s="1148" t="str">
        <f t="shared" si="7"/>
        <v>Parameter</v>
      </c>
      <c r="D69" s="1118" t="s">
        <v>56</v>
      </c>
      <c r="E69" s="1228" t="s">
        <v>1162</v>
      </c>
    </row>
    <row r="70" spans="2:6" s="1127" customFormat="1" ht="14.25" customHeight="1" x14ac:dyDescent="0.2">
      <c r="B70" s="1118" t="s">
        <v>513</v>
      </c>
      <c r="C70" s="1148" t="str">
        <f t="shared" si="7"/>
        <v>Konfig und LZV_Result</v>
      </c>
      <c r="D70" s="1118" t="s">
        <v>86</v>
      </c>
      <c r="E70" s="1228" t="s">
        <v>1163</v>
      </c>
    </row>
    <row r="71" spans="2:6" s="1127" customFormat="1" ht="14.25" customHeight="1" x14ac:dyDescent="0.2">
      <c r="B71" s="1118" t="s">
        <v>514</v>
      </c>
      <c r="C71" s="1148" t="str">
        <f t="shared" si="7"/>
        <v>Eingabe</v>
      </c>
      <c r="D71" s="1118" t="s">
        <v>57</v>
      </c>
      <c r="E71" s="1228" t="s">
        <v>1164</v>
      </c>
    </row>
    <row r="72" spans="2:6" s="1127" customFormat="1" ht="14.25" customHeight="1" x14ac:dyDescent="0.2">
      <c r="B72" s="1118" t="s">
        <v>515</v>
      </c>
      <c r="C72" s="1148" t="str">
        <f t="shared" si="7"/>
        <v>Link</v>
      </c>
      <c r="D72" s="1118" t="s">
        <v>66</v>
      </c>
      <c r="E72" s="1228" t="s">
        <v>1165</v>
      </c>
    </row>
    <row r="73" spans="2:6" s="1127" customFormat="1" ht="14.25" customHeight="1" x14ac:dyDescent="0.2">
      <c r="B73" s="1118" t="s">
        <v>541</v>
      </c>
      <c r="C73" s="1148" t="str">
        <f t="shared" si="7"/>
        <v>Tabellenblätter, die vom Versicherungsunternehmen auszufüllen sind.</v>
      </c>
      <c r="D73" s="1118" t="s">
        <v>63</v>
      </c>
      <c r="E73" s="1228" t="s">
        <v>1166</v>
      </c>
    </row>
    <row r="74" spans="2:6" s="1127" customFormat="1" ht="14.25" customHeight="1" x14ac:dyDescent="0.2">
      <c r="B74" s="1118" t="s">
        <v>542</v>
      </c>
      <c r="C74" s="1148" t="str">
        <f t="shared" si="7"/>
        <v>Tabellenblätter mit Informationen, Parametern oder Berechnungen. Diese Tabellenblätter sollten in der Regel nicht geändert werden.</v>
      </c>
      <c r="D74" s="1118" t="s">
        <v>64</v>
      </c>
      <c r="E74" s="1228" t="s">
        <v>1529</v>
      </c>
      <c r="F74" s="1237"/>
    </row>
    <row r="75" spans="2:6" s="1127" customFormat="1" ht="14.25" customHeight="1" x14ac:dyDescent="0.2">
      <c r="B75" s="1118" t="s">
        <v>543</v>
      </c>
      <c r="C75" s="1148" t="str">
        <f t="shared" si="7"/>
        <v>Tabellenblätter oder Eingabefelder für die Steuerung der anderen Tabellenblätter und des Hilfsmittels LZV-Tool. Sollten in der Regel nicht geändert werden.</v>
      </c>
      <c r="D75" s="1118" t="s">
        <v>2065</v>
      </c>
      <c r="E75" s="1228" t="s">
        <v>2066</v>
      </c>
      <c r="F75" s="1237"/>
    </row>
    <row r="76" spans="2:6" s="1127" customFormat="1" ht="14.25" customHeight="1" x14ac:dyDescent="0.2">
      <c r="B76" s="1118" t="s">
        <v>544</v>
      </c>
      <c r="C76" s="1148" t="str">
        <f t="shared" si="7"/>
        <v>Eingabefelder: In diesen Feldern sind versicherungsspezifische Eingaben vorzunehmen.</v>
      </c>
      <c r="D76" s="1118" t="s">
        <v>65</v>
      </c>
      <c r="E76" s="1228" t="s">
        <v>1530</v>
      </c>
      <c r="F76" s="1237"/>
    </row>
    <row r="77" spans="2:6" s="1127" customFormat="1" ht="14.25" customHeight="1" x14ac:dyDescent="0.2">
      <c r="B77" s="1118" t="s">
        <v>545</v>
      </c>
      <c r="C77" s="1148" t="str">
        <f t="shared" si="7"/>
        <v>Besondere Felder, die oft mit versicherungsspezifischen Informationen zur Verwendung in anderen Berechnungen verbunden sind.</v>
      </c>
      <c r="D77" s="1118" t="s">
        <v>85</v>
      </c>
      <c r="E77" s="1228" t="s">
        <v>2093</v>
      </c>
      <c r="F77" s="1237"/>
    </row>
    <row r="78" spans="2:6" s="1127" customFormat="1" ht="14.25" customHeight="1" x14ac:dyDescent="0.2">
      <c r="B78" s="1118" t="s">
        <v>516</v>
      </c>
      <c r="C78" s="1148" t="str">
        <f t="shared" si="7"/>
        <v>Vorzeichenkonvention</v>
      </c>
      <c r="D78" s="1118" t="s">
        <v>214</v>
      </c>
      <c r="E78" s="1228" t="s">
        <v>1167</v>
      </c>
    </row>
    <row r="79" spans="2:6" s="1127" customFormat="1" ht="14.25" customHeight="1" x14ac:dyDescent="0.2">
      <c r="B79" s="1118" t="s">
        <v>517</v>
      </c>
      <c r="C79" s="1148" t="str">
        <f t="shared" si="7"/>
        <v>Prämien</v>
      </c>
      <c r="D79" s="1118" t="s">
        <v>69</v>
      </c>
      <c r="E79" s="1228" t="s">
        <v>1168</v>
      </c>
    </row>
    <row r="80" spans="2:6" s="1127" customFormat="1" ht="14.25" customHeight="1" x14ac:dyDescent="0.2">
      <c r="B80" s="1118" t="s">
        <v>518</v>
      </c>
      <c r="C80" s="1148" t="str">
        <f t="shared" si="7"/>
        <v>Leistungen</v>
      </c>
      <c r="D80" s="1118" t="s">
        <v>68</v>
      </c>
      <c r="E80" s="1228" t="s">
        <v>1169</v>
      </c>
    </row>
    <row r="81" spans="2:6" s="1127" customFormat="1" ht="14.25" customHeight="1" x14ac:dyDescent="0.2">
      <c r="B81" s="1118" t="s">
        <v>519</v>
      </c>
      <c r="C81" s="1148" t="str">
        <f t="shared" si="7"/>
        <v>Kosten</v>
      </c>
      <c r="D81" s="1118" t="s">
        <v>71</v>
      </c>
      <c r="E81" s="1228" t="s">
        <v>148</v>
      </c>
    </row>
    <row r="82" spans="2:6" s="1127" customFormat="1" ht="14.25" customHeight="1" x14ac:dyDescent="0.2">
      <c r="B82" s="1118" t="s">
        <v>520</v>
      </c>
      <c r="C82" s="1148" t="str">
        <f t="shared" si="7"/>
        <v>Prämien - Leistungen - Kosten</v>
      </c>
      <c r="D82" s="1118" t="s">
        <v>78</v>
      </c>
      <c r="E82" s="1228" t="s">
        <v>1170</v>
      </c>
    </row>
    <row r="83" spans="2:6" s="1127" customFormat="1" ht="14.25" customHeight="1" x14ac:dyDescent="0.2">
      <c r="B83" s="1118" t="s">
        <v>521</v>
      </c>
      <c r="C83" s="1148" t="str">
        <f t="shared" si="7"/>
        <v>LZV</v>
      </c>
      <c r="D83" s="1118" t="s">
        <v>72</v>
      </c>
      <c r="E83" s="1228" t="s">
        <v>1171</v>
      </c>
    </row>
    <row r="84" spans="2:6" s="1127" customFormat="1" ht="14.25" customHeight="1" x14ac:dyDescent="0.2">
      <c r="B84" s="1118" t="s">
        <v>546</v>
      </c>
      <c r="C84" s="1148" t="str">
        <f t="shared" si="7"/>
        <v>Positives Vorzeichen für eingehenden Cashflow</v>
      </c>
      <c r="D84" s="1118" t="s">
        <v>67</v>
      </c>
      <c r="E84" s="1228" t="s">
        <v>1560</v>
      </c>
    </row>
    <row r="85" spans="2:6" s="1127" customFormat="1" ht="14.25" customHeight="1" x14ac:dyDescent="0.2">
      <c r="B85" s="1118" t="s">
        <v>547</v>
      </c>
      <c r="C85" s="1148" t="str">
        <f t="shared" si="7"/>
        <v>Positives Vorzeichen für ausgehenden Cashflow</v>
      </c>
      <c r="D85" s="1118" t="s">
        <v>70</v>
      </c>
      <c r="E85" s="1228" t="s">
        <v>1561</v>
      </c>
    </row>
    <row r="86" spans="2:6" s="1127" customFormat="1" ht="14.25" customHeight="1" x14ac:dyDescent="0.2">
      <c r="B86" s="1118" t="s">
        <v>548</v>
      </c>
      <c r="C86" s="1148" t="str">
        <f t="shared" si="7"/>
        <v>Positives Vorzeichen für ausgehenden Cashflow</v>
      </c>
      <c r="D86" s="1118" t="s">
        <v>70</v>
      </c>
      <c r="E86" s="1228" t="s">
        <v>1561</v>
      </c>
    </row>
    <row r="87" spans="2:6" s="1127" customFormat="1" ht="14.25" customHeight="1" x14ac:dyDescent="0.2">
      <c r="B87" s="1118" t="s">
        <v>549</v>
      </c>
      <c r="C87" s="1148" t="str">
        <f t="shared" si="7"/>
        <v>Positives Vorzeichen wenn Gewinn, negatives Vorzeichen wenn Verlust</v>
      </c>
      <c r="D87" s="1118" t="s">
        <v>79</v>
      </c>
      <c r="E87" s="1228" t="s">
        <v>1562</v>
      </c>
      <c r="F87" s="1240"/>
    </row>
    <row r="88" spans="2:6" s="1127" customFormat="1" ht="14.25" customHeight="1" x14ac:dyDescent="0.2">
      <c r="B88" s="1118" t="s">
        <v>550</v>
      </c>
      <c r="C88" s="1148" t="str">
        <f t="shared" si="7"/>
        <v>Positives Vorzeichen wenn Bedarf (Verlust), negatives Vorzeichen wenn Guthaben (Gewinn)</v>
      </c>
      <c r="D88" s="1118" t="s">
        <v>1605</v>
      </c>
      <c r="E88" s="1228" t="s">
        <v>1606</v>
      </c>
      <c r="F88" s="1237"/>
    </row>
    <row r="89" spans="2:6" s="1127" customFormat="1" ht="14.25" customHeight="1" x14ac:dyDescent="0.2">
      <c r="B89" s="1118"/>
      <c r="C89" s="1148"/>
      <c r="D89" s="1118"/>
      <c r="E89" s="546"/>
    </row>
    <row r="90" spans="2:6" s="1127" customFormat="1" ht="14.25" customHeight="1" x14ac:dyDescent="0.2">
      <c r="B90" s="1118" t="s">
        <v>522</v>
      </c>
      <c r="C90" s="1148" t="str">
        <f t="shared" ref="C90:C126" si="8">IF(HE_language="FR",D90,E90)</f>
        <v>Benutzerhandbuch</v>
      </c>
      <c r="D90" s="1118" t="s">
        <v>303</v>
      </c>
      <c r="E90" s="1228" t="s">
        <v>1172</v>
      </c>
    </row>
    <row r="91" spans="2:6" s="1127" customFormat="1" ht="14.25" customHeight="1" x14ac:dyDescent="0.2">
      <c r="B91" s="1118" t="s">
        <v>523</v>
      </c>
      <c r="C91" s="1148" t="str">
        <f t="shared" si="8"/>
        <v>Tabellenblätter und jeweiliger Zweck</v>
      </c>
      <c r="D91" s="1118" t="s">
        <v>210</v>
      </c>
      <c r="E91" s="1228" t="s">
        <v>1173</v>
      </c>
    </row>
    <row r="92" spans="2:6" s="1127" customFormat="1" ht="14.25" customHeight="1" x14ac:dyDescent="0.2">
      <c r="B92" s="1118" t="s">
        <v>524</v>
      </c>
      <c r="C92" s="1148" t="str">
        <f t="shared" si="8"/>
        <v>Die Liste der Tabellenblätter befindet sich am Anfang des Tabellenblatts «HE_glossary». Die Tabellenblätter werden im Kapitel «Beschreibung des SST-Health-Templates» des Dokuments «Technische Beschreibung für das SST-Standardmodell Kranken» erklärt.</v>
      </c>
      <c r="D92" s="1118" t="s">
        <v>563</v>
      </c>
      <c r="E92" s="1228" t="s">
        <v>1174</v>
      </c>
    </row>
    <row r="93" spans="2:6" s="1127" customFormat="1" ht="14.25" customHeight="1" x14ac:dyDescent="0.2">
      <c r="B93" s="1118" t="s">
        <v>525</v>
      </c>
      <c r="C93" s="1148" t="str">
        <f t="shared" si="8"/>
        <v>Das Tabellenblatt «HE_prescribed_parameters» enthält Informationen über die vorgeschriebenen Parameter des SST-Standardmodells Kranken.</v>
      </c>
      <c r="D93" s="1118" t="s">
        <v>564</v>
      </c>
      <c r="E93" s="1228" t="s">
        <v>1175</v>
      </c>
    </row>
    <row r="94" spans="2:6" s="1127" customFormat="1" ht="14.25" customHeight="1" x14ac:dyDescent="0.2">
      <c r="B94" s="1118" t="s">
        <v>526</v>
      </c>
      <c r="C94" s="1148" t="str">
        <f t="shared" si="8"/>
        <v xml:space="preserve">Schritte 1 bis 5: Ermittlung der Langzeitverpflichtungen (LZV) </v>
      </c>
      <c r="D94" s="1118" t="s">
        <v>1131</v>
      </c>
      <c r="E94" s="1228" t="s">
        <v>1176</v>
      </c>
    </row>
    <row r="95" spans="2:6" s="1127" customFormat="1" ht="14.25" customHeight="1" x14ac:dyDescent="0.2">
      <c r="B95" s="1118" t="s">
        <v>551</v>
      </c>
      <c r="C95" s="1148" t="str">
        <f t="shared" si="8"/>
        <v>Für den SST 2024, gleiches Verfahren zur Ermittlung der LZV wie beim SST 2023. Zudem und separat, freiwillige Schattenrechnung für Verwendung des  LZV-Tools.</v>
      </c>
      <c r="D95" s="1118" t="s">
        <v>2067</v>
      </c>
      <c r="E95" s="1228" t="s">
        <v>2068</v>
      </c>
    </row>
    <row r="96" spans="2:6" ht="12.75" customHeight="1" x14ac:dyDescent="0.2">
      <c r="B96" s="1118" t="s">
        <v>527</v>
      </c>
      <c r="C96" s="1148" t="str">
        <f t="shared" si="8"/>
        <v>Schritt 1</v>
      </c>
      <c r="D96" s="1118" t="s">
        <v>73</v>
      </c>
      <c r="E96" s="1228" t="s">
        <v>1177</v>
      </c>
    </row>
    <row r="97" spans="2:6" ht="12.75" customHeight="1" x14ac:dyDescent="0.2">
      <c r="B97" s="1118" t="s">
        <v>528</v>
      </c>
      <c r="C97" s="1148" t="str">
        <f t="shared" ref="C97" si="9">IF(HE_language="FR",D97,E97)</f>
        <v>Schritt 2a - SST 2024</v>
      </c>
      <c r="D97" s="1118" t="s">
        <v>1042</v>
      </c>
      <c r="E97" s="1228" t="s">
        <v>1178</v>
      </c>
    </row>
    <row r="98" spans="2:6" ht="12.75" customHeight="1" x14ac:dyDescent="0.2">
      <c r="B98" s="1118" t="s">
        <v>1040</v>
      </c>
      <c r="C98" s="1148" t="str">
        <f t="shared" ref="C98" si="10">IF(HE_language="FR",D98,E98)</f>
        <v>Schritt 2b - SST 2024</v>
      </c>
      <c r="D98" s="1118" t="s">
        <v>1041</v>
      </c>
      <c r="E98" s="1228" t="s">
        <v>1179</v>
      </c>
    </row>
    <row r="99" spans="2:6" ht="12.75" customHeight="1" x14ac:dyDescent="0.2">
      <c r="B99" s="1118" t="s">
        <v>529</v>
      </c>
      <c r="C99" s="1148" t="str">
        <f t="shared" si="8"/>
        <v>Schritt 3 - SST 2024</v>
      </c>
      <c r="D99" s="1118" t="s">
        <v>488</v>
      </c>
      <c r="E99" s="1228" t="s">
        <v>1180</v>
      </c>
    </row>
    <row r="100" spans="2:6" ht="12.75" customHeight="1" x14ac:dyDescent="0.2">
      <c r="B100" s="1118" t="s">
        <v>530</v>
      </c>
      <c r="C100" s="1148" t="str">
        <f t="shared" si="8"/>
        <v>Schritt 4 - SST 2024</v>
      </c>
      <c r="D100" s="1118" t="s">
        <v>1033</v>
      </c>
      <c r="E100" s="1228" t="s">
        <v>1181</v>
      </c>
    </row>
    <row r="101" spans="2:6" ht="12.75" customHeight="1" x14ac:dyDescent="0.2">
      <c r="B101" s="1118" t="s">
        <v>531</v>
      </c>
      <c r="C101" s="1148" t="str">
        <f t="shared" si="8"/>
        <v>Schritt 2</v>
      </c>
      <c r="D101" s="1118" t="s">
        <v>2110</v>
      </c>
      <c r="E101" s="1228" t="s">
        <v>2113</v>
      </c>
    </row>
    <row r="102" spans="2:6" ht="12.75" customHeight="1" x14ac:dyDescent="0.2">
      <c r="B102" s="1118" t="s">
        <v>532</v>
      </c>
      <c r="C102" s="1148" t="str">
        <f t="shared" si="8"/>
        <v>Schritt 3</v>
      </c>
      <c r="D102" s="1118" t="s">
        <v>2111</v>
      </c>
      <c r="E102" s="1228" t="s">
        <v>2114</v>
      </c>
    </row>
    <row r="103" spans="2:6" ht="12.75" customHeight="1" x14ac:dyDescent="0.2">
      <c r="B103" s="1118" t="s">
        <v>533</v>
      </c>
      <c r="C103" s="1148" t="str">
        <f t="shared" si="8"/>
        <v>Schritt 4</v>
      </c>
      <c r="D103" s="1118" t="s">
        <v>2112</v>
      </c>
      <c r="E103" s="1228" t="s">
        <v>2115</v>
      </c>
    </row>
    <row r="104" spans="2:6" ht="12.75" customHeight="1" x14ac:dyDescent="0.2">
      <c r="B104" s="1118" t="s">
        <v>534</v>
      </c>
      <c r="C104" s="1148" t="str">
        <f t="shared" si="8"/>
        <v>Schritt 5</v>
      </c>
      <c r="D104" s="1118" t="s">
        <v>211</v>
      </c>
      <c r="E104" s="1228" t="s">
        <v>1182</v>
      </c>
    </row>
    <row r="105" spans="2:6" ht="12.75" customHeight="1" x14ac:dyDescent="0.2">
      <c r="B105" s="1118" t="s">
        <v>552</v>
      </c>
      <c r="C105" s="1148" t="str">
        <f t="shared" si="8"/>
        <v>Tabellenblätter «Intro_SM_Health» und «HE_contract_groups» ausfüllen</v>
      </c>
      <c r="D105" s="1118" t="s">
        <v>1034</v>
      </c>
      <c r="E105" s="1228" t="s">
        <v>1183</v>
      </c>
    </row>
    <row r="106" spans="2:6" ht="12.75" customHeight="1" x14ac:dyDescent="0.2">
      <c r="B106" s="1118" t="s">
        <v>553</v>
      </c>
      <c r="C106" s="1148" t="str">
        <f t="shared" ref="C106" si="11">IF(HE_language="FR",D106,E106)</f>
        <v>Tabellenblätter der separaten Datei mit Makros «Berechnungs-Template-LZV.xlsm» ausfüllen</v>
      </c>
      <c r="D106" s="1118" t="s">
        <v>1038</v>
      </c>
      <c r="E106" s="1228" t="s">
        <v>1531</v>
      </c>
    </row>
    <row r="107" spans="2:6" ht="12.75" customHeight="1" x14ac:dyDescent="0.2">
      <c r="B107" s="1118" t="s">
        <v>1039</v>
      </c>
      <c r="C107" s="1148" t="str">
        <f t="shared" ref="C107" si="12">IF(HE_language="FR",D107,E107)</f>
        <v xml:space="preserve">Tabellenblatt «HE_VWK» sowie Tabellenblätter «HE_CGx» (ein Tabellenblatt pro Vertragsgruppe) am Ende dieser Mappe ausfüllen.  </v>
      </c>
      <c r="D107" s="1118" t="s">
        <v>1045</v>
      </c>
      <c r="E107" s="1228" t="s">
        <v>1184</v>
      </c>
    </row>
    <row r="108" spans="2:6" ht="12.75" customHeight="1" x14ac:dyDescent="0.2">
      <c r="B108" s="1118" t="s">
        <v>1105</v>
      </c>
      <c r="C108" s="1148" t="str">
        <f t="shared" ref="C108" si="13">IF(HE_language="FR",D108,E108)</f>
        <v>Dieser Schritt 2b ist freiwillig für den SST 2024.</v>
      </c>
      <c r="D108" s="1118" t="s">
        <v>1106</v>
      </c>
      <c r="E108" s="1228" t="s">
        <v>1185</v>
      </c>
    </row>
    <row r="109" spans="2:6" ht="12.75" customHeight="1" x14ac:dyDescent="0.2">
      <c r="B109" s="1118" t="s">
        <v>554</v>
      </c>
      <c r="C109" s="1148" t="str">
        <f t="shared" si="8"/>
        <v>Makros des «Berechnungs-Template-LZV.xlsm» ausführen</v>
      </c>
      <c r="D109" s="1118" t="s">
        <v>1043</v>
      </c>
      <c r="E109" s="1228" t="s">
        <v>1186</v>
      </c>
    </row>
    <row r="110" spans="2:6" ht="12.75" customHeight="1" x14ac:dyDescent="0.2">
      <c r="B110" s="1118" t="s">
        <v>555</v>
      </c>
      <c r="C110" s="1148" t="str">
        <f t="shared" si="8"/>
        <v>Tabellenblatt «HE_LZV_CF_(classic)» auf Grundlage der Ergebnisse des «Berechnungs-Template-LZV.xlsm» ausfüllen, dann Anweisungen unten auf diesem Blatt folgen, um «HE_LZV_CF» gemäss Schritt 5 auszufüllen.</v>
      </c>
      <c r="D110" s="1118" t="s">
        <v>1044</v>
      </c>
      <c r="E110" s="1228" t="s">
        <v>1187</v>
      </c>
    </row>
    <row r="111" spans="2:6" ht="12.75" customHeight="1" x14ac:dyDescent="0.2">
      <c r="B111" s="1118" t="s">
        <v>556</v>
      </c>
      <c r="C111" s="1148" t="str">
        <f t="shared" si="8"/>
        <v xml:space="preserve">Tabellenblatt «HE_VWK» sowie Tabellenblätter «HE_CGx» (ein Tabellenblatt pro Vertragsgruppe) am Ende dieser Mappe ausfüllen.  </v>
      </c>
      <c r="D111" s="1118" t="s">
        <v>1045</v>
      </c>
      <c r="E111" s="1228" t="s">
        <v>1184</v>
      </c>
    </row>
    <row r="112" spans="2:6" ht="12.75" customHeight="1" x14ac:dyDescent="0.2">
      <c r="B112" s="1118" t="s">
        <v>557</v>
      </c>
      <c r="C112" s="1148" t="str">
        <f t="shared" si="8"/>
        <v>LZV-Tool ausführen (für die Produktegruppen, die nicht durch das LZV-Tool berechnet werden, muss «nein» in der Spalte L «Berechnung durch LZV-Tool» im Tabellenblatt «HE_contract_groups» angegeben werden).</v>
      </c>
      <c r="D112" s="1118" t="s">
        <v>2118</v>
      </c>
      <c r="E112" s="1228" t="s">
        <v>2116</v>
      </c>
      <c r="F112" s="1237"/>
    </row>
    <row r="113" spans="2:6" ht="12.75" customHeight="1" x14ac:dyDescent="0.2">
      <c r="B113" s="1118" t="s">
        <v>1036</v>
      </c>
      <c r="C113" s="1148" t="str">
        <f t="shared" si="8"/>
        <v xml:space="preserve">Ergebnisse der Ermittlung der LZV, die sich in der durch Ausführung des R- Codes generierten Datei namens «LZV_Result_suffix.xlsx» befinden, in das Tabellenblatt «HE_LZV_CF» (hellgrüne Eingabefelder) kopieren. </v>
      </c>
      <c r="D113" s="1118" t="s">
        <v>2119</v>
      </c>
      <c r="E113" s="1228" t="s">
        <v>2117</v>
      </c>
      <c r="F113" s="1237"/>
    </row>
    <row r="114" spans="2:6" ht="12.75" customHeight="1" x14ac:dyDescent="0.2">
      <c r="B114" s="1118" t="s">
        <v>558</v>
      </c>
      <c r="C114" s="1148" t="str">
        <f t="shared" si="8"/>
        <v>Falls Produktegruppen nicht durch das LZV-Tool berechnet werden (Verwendung eines eigenen Berechnungstools), Eingabefelder (hellorange) im Tabellenblatt « HE_LZV_CF» ausfüllen</v>
      </c>
      <c r="D114" s="1118" t="s">
        <v>2120</v>
      </c>
      <c r="E114" s="1228" t="s">
        <v>2121</v>
      </c>
    </row>
    <row r="115" spans="2:6" ht="12.75" customHeight="1" x14ac:dyDescent="0.2">
      <c r="B115" s="1118" t="s">
        <v>1037</v>
      </c>
      <c r="C115" s="1148" t="str">
        <f t="shared" si="8"/>
        <v xml:space="preserve">Schritte 6 bis 8: Ermittlung des Versicherungsrisikos </v>
      </c>
      <c r="D115" s="1118" t="s">
        <v>1046</v>
      </c>
      <c r="E115" s="1228" t="s">
        <v>1619</v>
      </c>
    </row>
    <row r="116" spans="2:6" ht="12.75" customHeight="1" x14ac:dyDescent="0.2">
      <c r="B116" s="1118" t="s">
        <v>1035</v>
      </c>
      <c r="C116" s="1148" t="str">
        <f t="shared" si="8"/>
        <v>Schritt 6</v>
      </c>
      <c r="D116" s="1118" t="s">
        <v>483</v>
      </c>
      <c r="E116" s="1228" t="s">
        <v>1188</v>
      </c>
    </row>
    <row r="117" spans="2:6" ht="12.75" customHeight="1" x14ac:dyDescent="0.2">
      <c r="B117" s="1118" t="s">
        <v>535</v>
      </c>
      <c r="C117" s="1148" t="str">
        <f t="shared" si="8"/>
        <v>Schritt 7</v>
      </c>
      <c r="D117" s="1118" t="s">
        <v>482</v>
      </c>
      <c r="E117" s="1228" t="s">
        <v>1189</v>
      </c>
    </row>
    <row r="118" spans="2:6" ht="12.75" customHeight="1" x14ac:dyDescent="0.2">
      <c r="B118" s="1118" t="s">
        <v>536</v>
      </c>
      <c r="C118" s="1148" t="str">
        <f t="shared" si="8"/>
        <v>Schritt 8</v>
      </c>
      <c r="D118" s="1118" t="s">
        <v>484</v>
      </c>
      <c r="E118" s="1228" t="s">
        <v>1190</v>
      </c>
    </row>
    <row r="119" spans="2:6" ht="12.75" customHeight="1" x14ac:dyDescent="0.2">
      <c r="B119" s="1118" t="s">
        <v>1047</v>
      </c>
      <c r="C119" s="1148" t="str">
        <f t="shared" si="8"/>
        <v>Tabellenblätter «HE_CV_Leistungen» und «HE_ins_risk_EK» für Versicherungsrisiko Einzelkranken ausfüllen (die benötigten Ergebnisse der Ermittlung der Langzeitverpflichtungen sind bereits im Tabellenblatt «HE_LZV_CF», siehe oben)</v>
      </c>
      <c r="D119" s="57" t="s">
        <v>486</v>
      </c>
      <c r="E119" s="1229" t="s">
        <v>1532</v>
      </c>
      <c r="F119" s="1237"/>
    </row>
    <row r="120" spans="2:6" ht="12.75" customHeight="1" x14ac:dyDescent="0.2">
      <c r="B120" s="1118" t="s">
        <v>559</v>
      </c>
      <c r="C120" s="1148" t="str">
        <f t="shared" si="8"/>
        <v>Tabellenblatt «HE_ins_risk_KTG» für Versicherungsrisiko Kollektivtaggeld ausfüllen</v>
      </c>
      <c r="D120" s="57" t="s">
        <v>490</v>
      </c>
      <c r="E120" s="1229" t="s">
        <v>1191</v>
      </c>
    </row>
    <row r="121" spans="2:6" ht="12.75" customHeight="1" x14ac:dyDescent="0.2">
      <c r="B121" s="1118" t="s">
        <v>560</v>
      </c>
      <c r="C121" s="1148" t="str">
        <f t="shared" si="8"/>
        <v>Tabellenblatt «HE_expected_result» für erwartetes Versicherungsergebnis und Anzahl versicherte Personen (Kopfzählung) ausfüllen</v>
      </c>
      <c r="D121" s="57" t="s">
        <v>1119</v>
      </c>
      <c r="E121" s="1229" t="s">
        <v>1533</v>
      </c>
      <c r="F121" s="1237"/>
    </row>
    <row r="122" spans="2:6" ht="12.75" customHeight="1" x14ac:dyDescent="0.2">
      <c r="B122" s="1118" t="s">
        <v>537</v>
      </c>
      <c r="C122" s="1148" t="str">
        <f t="shared" si="8"/>
        <v>Schritte 9 und 10: Dokumentation und Finalisierung der Berechnungen</v>
      </c>
      <c r="D122" s="1118" t="s">
        <v>1048</v>
      </c>
      <c r="E122" s="1228" t="s">
        <v>1192</v>
      </c>
    </row>
    <row r="123" spans="2:6" ht="12.75" customHeight="1" x14ac:dyDescent="0.2">
      <c r="B123" s="1118" t="s">
        <v>538</v>
      </c>
      <c r="C123" s="1148" t="str">
        <f t="shared" si="8"/>
        <v>Schritt 9</v>
      </c>
      <c r="D123" s="1118" t="s">
        <v>2124</v>
      </c>
      <c r="E123" s="1228" t="s">
        <v>2125</v>
      </c>
    </row>
    <row r="124" spans="2:6" ht="12.75" customHeight="1" x14ac:dyDescent="0.2">
      <c r="B124" s="1118" t="s">
        <v>539</v>
      </c>
      <c r="C124" s="1148" t="str">
        <f t="shared" si="8"/>
        <v>Schritt 10</v>
      </c>
      <c r="D124" s="1118" t="s">
        <v>1049</v>
      </c>
      <c r="E124" s="1228" t="s">
        <v>1193</v>
      </c>
    </row>
    <row r="125" spans="2:6" ht="12.75" customHeight="1" x14ac:dyDescent="0.2">
      <c r="B125" s="1118" t="s">
        <v>561</v>
      </c>
      <c r="C125" s="1148" t="str">
        <f t="shared" si="8"/>
        <v>Auskunft über die Berechnungen durch schrittweises Ausfüllen des Tabellenblatts «HE_calculation_documentation» geben.</v>
      </c>
      <c r="D125" s="1118" t="s">
        <v>2122</v>
      </c>
      <c r="E125" s="1228" t="s">
        <v>2123</v>
      </c>
    </row>
    <row r="126" spans="2:6" ht="12.75" customHeight="1" x14ac:dyDescent="0.2">
      <c r="B126" s="1118" t="s">
        <v>562</v>
      </c>
      <c r="C126" s="1148" t="str">
        <f t="shared" si="8"/>
        <v>Outputs des Standardmodells Kranken, die sich im Tabellenblatt «HE_input_SST_Template» befinden, ins SST-Template kopieren. Alle SST-Berechnungen für das Fundamental Data Sheet (FDS) werden im SST-Template finalisiert.</v>
      </c>
      <c r="D126" s="1118" t="s">
        <v>485</v>
      </c>
      <c r="E126" s="1228" t="s">
        <v>1194</v>
      </c>
    </row>
    <row r="127" spans="2:6" ht="12.75" customHeight="1" x14ac:dyDescent="0.2">
      <c r="B127" s="1118"/>
      <c r="C127" s="1148"/>
      <c r="D127" s="1118"/>
      <c r="E127" s="546"/>
    </row>
    <row r="128" spans="2:6" ht="12.75" customHeight="1" x14ac:dyDescent="0.2">
      <c r="B128" s="1118" t="s">
        <v>540</v>
      </c>
      <c r="C128" s="1148" t="str">
        <f t="shared" ref="C128" si="14">IF(HE_language="FR",D128,E128)</f>
        <v>Namen, auf die in Formeln verwiesen wird.</v>
      </c>
      <c r="D128" s="1118" t="s">
        <v>74</v>
      </c>
      <c r="E128" s="1228" t="s">
        <v>1534</v>
      </c>
    </row>
    <row r="129" spans="1:6" ht="12.75" customHeight="1" x14ac:dyDescent="0.2">
      <c r="B129" s="1118" t="s">
        <v>1121</v>
      </c>
      <c r="C129" s="1148" t="str">
        <f t="shared" ref="C129" si="15">IF(HE_language="FR",D129,E129)</f>
        <v>Zur Aktualisierung Folgendes verwenden: «Formulas / Defined Names / Use in Formula / Paste Names / Paste List»</v>
      </c>
      <c r="D129" s="1118" t="s">
        <v>1122</v>
      </c>
      <c r="E129" s="1228" t="s">
        <v>1195</v>
      </c>
    </row>
    <row r="130" spans="1:6" s="543" customFormat="1" ht="12.75" customHeight="1" x14ac:dyDescent="0.2">
      <c r="C130" s="574"/>
      <c r="F130" s="1153"/>
    </row>
    <row r="131" spans="1:6" s="543" customFormat="1" ht="12.75" customHeight="1" x14ac:dyDescent="0.2">
      <c r="C131" s="574"/>
      <c r="F131" s="1153"/>
    </row>
    <row r="132" spans="1:6" s="543" customFormat="1" ht="14.25" customHeight="1" x14ac:dyDescent="0.2">
      <c r="A132" s="1147"/>
      <c r="B132" s="545" t="s">
        <v>565</v>
      </c>
      <c r="C132" s="1149" t="str">
        <f t="shared" ref="C132:C138" si="16">IF(HE_language="FR",D132,E132)</f>
        <v>Kranken VVG: Aktualisierungsliste</v>
      </c>
      <c r="D132" s="545" t="str">
        <f>D9</f>
        <v>Maladie LCA: Liste des mises à jour</v>
      </c>
      <c r="E132" s="545" t="str">
        <f>E9</f>
        <v>Kranken VVG: Aktualisierungsliste</v>
      </c>
    </row>
    <row r="133" spans="1:6" s="1127" customFormat="1" ht="14.25" customHeight="1" x14ac:dyDescent="0.2">
      <c r="B133" s="1118"/>
      <c r="C133" s="1148"/>
      <c r="D133" s="1118"/>
      <c r="E133" s="1118"/>
    </row>
    <row r="134" spans="1:6" s="1127" customFormat="1" ht="14.25" customHeight="1" x14ac:dyDescent="0.2">
      <c r="B134" s="1118" t="s">
        <v>566</v>
      </c>
      <c r="C134" s="1148" t="str">
        <f t="shared" si="16"/>
        <v>Nr.</v>
      </c>
      <c r="D134" s="1118" t="s">
        <v>235</v>
      </c>
      <c r="E134" s="1118" t="s">
        <v>1198</v>
      </c>
    </row>
    <row r="135" spans="1:6" s="1127" customFormat="1" ht="14.25" customHeight="1" x14ac:dyDescent="0.2">
      <c r="B135" s="1118" t="s">
        <v>567</v>
      </c>
      <c r="C135" s="1148" t="str">
        <f t="shared" si="16"/>
        <v>Datum</v>
      </c>
      <c r="D135" s="1118" t="s">
        <v>236</v>
      </c>
      <c r="E135" s="1118" t="s">
        <v>1199</v>
      </c>
    </row>
    <row r="136" spans="1:6" s="1127" customFormat="1" ht="14.25" customHeight="1" x14ac:dyDescent="0.2">
      <c r="B136" s="1118" t="s">
        <v>568</v>
      </c>
      <c r="C136" s="1148" t="str">
        <f t="shared" si="16"/>
        <v>Tabellenblatt</v>
      </c>
      <c r="D136" s="1118" t="s">
        <v>237</v>
      </c>
      <c r="E136" s="1118" t="s">
        <v>1200</v>
      </c>
    </row>
    <row r="137" spans="1:6" s="1127" customFormat="1" ht="14.25" customHeight="1" x14ac:dyDescent="0.2">
      <c r="B137" s="1118" t="s">
        <v>569</v>
      </c>
      <c r="C137" s="1148" t="str">
        <f t="shared" si="16"/>
        <v>Zellen</v>
      </c>
      <c r="D137" s="1118" t="s">
        <v>238</v>
      </c>
      <c r="E137" s="1118" t="s">
        <v>1201</v>
      </c>
    </row>
    <row r="138" spans="1:6" s="1127" customFormat="1" ht="14.25" customHeight="1" x14ac:dyDescent="0.2">
      <c r="B138" s="1118" t="s">
        <v>570</v>
      </c>
      <c r="C138" s="1148" t="str">
        <f t="shared" si="16"/>
        <v>Erklärungen</v>
      </c>
      <c r="D138" s="1118" t="s">
        <v>180</v>
      </c>
      <c r="E138" s="1118" t="s">
        <v>1202</v>
      </c>
    </row>
    <row r="139" spans="1:6" s="543" customFormat="1" ht="12.75" customHeight="1" x14ac:dyDescent="0.2">
      <c r="C139" s="574"/>
      <c r="F139" s="1153"/>
    </row>
    <row r="140" spans="1:6" s="543" customFormat="1" ht="12.75" customHeight="1" x14ac:dyDescent="0.2">
      <c r="B140" s="574"/>
      <c r="C140" s="574" t="s">
        <v>573</v>
      </c>
      <c r="F140" s="1153"/>
    </row>
    <row r="141" spans="1:6" s="543" customFormat="1" ht="14.25" customHeight="1" x14ac:dyDescent="0.2">
      <c r="A141" s="1147"/>
      <c r="B141" s="545"/>
      <c r="C141" s="1149" t="str">
        <f t="shared" ref="C141" si="17">IF(HE_language="FR",D141,E141)</f>
        <v>Kranken VVG: Glossar Französisch - Deutsch</v>
      </c>
      <c r="D141" s="545" t="str">
        <f>D10</f>
        <v>Maladie LCA: Glossaire français - allemand</v>
      </c>
      <c r="E141" s="545" t="str">
        <f>E10</f>
        <v>Kranken VVG: Glossar Französisch - Deutsch</v>
      </c>
    </row>
    <row r="142" spans="1:6" s="1127" customFormat="1" ht="14.25" customHeight="1" x14ac:dyDescent="0.2">
      <c r="B142" s="1118"/>
      <c r="C142" s="1148"/>
      <c r="D142" s="1118"/>
      <c r="E142" s="1118"/>
    </row>
    <row r="143" spans="1:6" s="1127" customFormat="1" ht="14.25" customHeight="1" x14ac:dyDescent="0.2">
      <c r="B143" s="1118"/>
      <c r="C143" s="1148" t="str">
        <f t="shared" ref="C143:C144" si="18">IF(HE_language="FR",D143,E143)</f>
        <v>Liste der Tabellenblätter</v>
      </c>
      <c r="D143" s="1118" t="s">
        <v>571</v>
      </c>
      <c r="E143" s="1228" t="s">
        <v>1203</v>
      </c>
    </row>
    <row r="144" spans="1:6" s="1127" customFormat="1" ht="14.25" customHeight="1" x14ac:dyDescent="0.2">
      <c r="B144" s="1118"/>
      <c r="C144" s="1148" t="str">
        <f t="shared" si="18"/>
        <v>Glossar</v>
      </c>
      <c r="D144" s="1118" t="s">
        <v>572</v>
      </c>
      <c r="E144" s="1228" t="s">
        <v>1204</v>
      </c>
    </row>
    <row r="147" spans="1:6" s="543" customFormat="1" ht="14.25" customHeight="1" x14ac:dyDescent="0.2">
      <c r="A147" s="1147"/>
      <c r="B147" s="545" t="s">
        <v>574</v>
      </c>
      <c r="C147" s="1149" t="str">
        <f t="shared" ref="C147" si="19">IF(HE_language="FR",D147,E147)</f>
        <v>Kranken VVG: FINMA vorgegebene Parameter</v>
      </c>
      <c r="D147" s="545" t="str">
        <f>D11</f>
        <v>Maladie LCA: paramètres prescrits par la FINMA</v>
      </c>
      <c r="E147" s="545" t="str">
        <f>E11</f>
        <v>Kranken VVG: FINMA vorgegebene Parameter</v>
      </c>
    </row>
    <row r="148" spans="1:6" s="1127" customFormat="1" ht="14.25" customHeight="1" x14ac:dyDescent="0.2">
      <c r="B148" s="1118"/>
      <c r="C148" s="1148"/>
      <c r="D148" s="1118"/>
      <c r="E148" s="1118"/>
    </row>
    <row r="149" spans="1:6" s="1127" customFormat="1" ht="14.25" customHeight="1" x14ac:dyDescent="0.2">
      <c r="B149" s="1118" t="s">
        <v>575</v>
      </c>
      <c r="C149" s="1148" t="str">
        <f t="shared" ref="C149:C172" si="20">IF(HE_language="FR",D149,E149)</f>
        <v>Allgemeine Parameter per 31.12.</v>
      </c>
      <c r="D149" s="1118" t="s">
        <v>1114</v>
      </c>
      <c r="E149" s="1118" t="s">
        <v>1205</v>
      </c>
    </row>
    <row r="150" spans="1:6" s="1127" customFormat="1" ht="14.25" customHeight="1" x14ac:dyDescent="0.2">
      <c r="B150" s="1118" t="s">
        <v>576</v>
      </c>
      <c r="C150" s="1148" t="str">
        <f t="shared" si="20"/>
        <v xml:space="preserve">Aktualisierung der Werte im Januar </v>
      </c>
      <c r="D150" s="1118" t="s">
        <v>1115</v>
      </c>
      <c r="E150" s="1118" t="s">
        <v>1206</v>
      </c>
    </row>
    <row r="151" spans="1:6" s="1127" customFormat="1" ht="14.25" customHeight="1" x14ac:dyDescent="0.2">
      <c r="B151" s="1118" t="s">
        <v>1291</v>
      </c>
      <c r="C151" s="1148" t="str">
        <f t="shared" ref="C151" si="21">IF(HE_language="FR",D151,E151)</f>
        <v>vor der Aktualisierung rot markiert</v>
      </c>
      <c r="D151" s="1118" t="s">
        <v>1290</v>
      </c>
      <c r="E151" s="1233" t="s">
        <v>1289</v>
      </c>
    </row>
    <row r="152" spans="1:6" s="1127" customFormat="1" ht="14.25" customHeight="1" x14ac:dyDescent="0.2">
      <c r="B152" s="1118" t="s">
        <v>577</v>
      </c>
      <c r="C152" s="1148" t="str">
        <f t="shared" si="20"/>
        <v xml:space="preserve">Risikoloser Zinssatz r(t) </v>
      </c>
      <c r="D152" s="1118" t="s">
        <v>596</v>
      </c>
      <c r="E152" s="1118" t="s">
        <v>1207</v>
      </c>
    </row>
    <row r="153" spans="1:6" s="1127" customFormat="1" ht="14.25" customHeight="1" x14ac:dyDescent="0.2">
      <c r="B153" s="1118" t="s">
        <v>578</v>
      </c>
      <c r="C153" s="1148" t="str">
        <f t="shared" si="20"/>
        <v>in Prozent</v>
      </c>
      <c r="D153" s="1118" t="s">
        <v>595</v>
      </c>
      <c r="E153" s="1118" t="s">
        <v>1208</v>
      </c>
    </row>
    <row r="154" spans="1:6" s="1127" customFormat="1" ht="14.25" customHeight="1" x14ac:dyDescent="0.2">
      <c r="B154" s="1118" t="s">
        <v>579</v>
      </c>
      <c r="C154" s="1148" t="str">
        <f t="shared" si="20"/>
        <v>Fälligkeit (in Jahren)</v>
      </c>
      <c r="D154" s="1118" t="s">
        <v>75</v>
      </c>
      <c r="E154" s="1118" t="s">
        <v>1209</v>
      </c>
    </row>
    <row r="155" spans="1:6" s="1127" customFormat="1" ht="14.25" customHeight="1" x14ac:dyDescent="0.2">
      <c r="B155" s="1118" t="s">
        <v>580</v>
      </c>
      <c r="C155" s="1148" t="str">
        <f t="shared" si="20"/>
        <v xml:space="preserve">Diskontfaktoren </v>
      </c>
      <c r="D155" s="1118" t="s">
        <v>76</v>
      </c>
      <c r="E155" s="1118" t="s">
        <v>1210</v>
      </c>
    </row>
    <row r="156" spans="1:6" s="1127" customFormat="1" ht="14.25" customHeight="1" x14ac:dyDescent="0.2">
      <c r="B156" s="1118" t="s">
        <v>581</v>
      </c>
      <c r="C156" s="1148" t="str">
        <f t="shared" si="20"/>
        <v>Diskontfunktion d(t) = (1+r(t)/100)^(-t)</v>
      </c>
      <c r="D156" s="1118" t="s">
        <v>77</v>
      </c>
      <c r="E156" s="1118" t="s">
        <v>1211</v>
      </c>
    </row>
    <row r="157" spans="1:6" s="1127" customFormat="1" ht="14.25" customHeight="1" x14ac:dyDescent="0.2">
      <c r="B157" s="1118" t="s">
        <v>820</v>
      </c>
      <c r="C157" s="1148" t="str">
        <f t="shared" si="20"/>
        <v>Alternative</v>
      </c>
      <c r="D157" s="1118" t="s">
        <v>818</v>
      </c>
      <c r="E157" s="1118" t="s">
        <v>818</v>
      </c>
    </row>
    <row r="158" spans="1:6" s="1127" customFormat="1" ht="14.25" customHeight="1" x14ac:dyDescent="0.2">
      <c r="B158" s="1118" t="s">
        <v>821</v>
      </c>
      <c r="C158" s="1148" t="str">
        <f t="shared" ref="C158" si="22">IF(HE_language="FR",D158,E158)</f>
        <v>Verwendet (für die LZV)</v>
      </c>
      <c r="D158" s="1118" t="s">
        <v>819</v>
      </c>
      <c r="E158" s="1233" t="s">
        <v>1535</v>
      </c>
      <c r="F158" s="1237"/>
    </row>
    <row r="159" spans="1:6" s="1127" customFormat="1" ht="14.25" customHeight="1" x14ac:dyDescent="0.2">
      <c r="B159" s="1118" t="s">
        <v>582</v>
      </c>
      <c r="C159" s="1148" t="str">
        <f t="shared" si="20"/>
        <v>Periodensterbetafeln des Bundesamts für Statistik (BFS)</v>
      </c>
      <c r="D159" s="1118" t="s">
        <v>109</v>
      </c>
      <c r="E159" s="1118" t="s">
        <v>1212</v>
      </c>
      <c r="F159" s="1236"/>
    </row>
    <row r="160" spans="1:6" s="1127" customFormat="1" ht="14.25" customHeight="1" x14ac:dyDescent="0.2">
      <c r="B160" s="1118" t="s">
        <v>583</v>
      </c>
      <c r="C160" s="1148" t="str">
        <f t="shared" si="20"/>
        <v>Berücksichtigte(s) Jahr(e)</v>
      </c>
      <c r="D160" s="1118" t="s">
        <v>99</v>
      </c>
      <c r="E160" s="1118" t="s">
        <v>1213</v>
      </c>
    </row>
    <row r="161" spans="2:8" s="1127" customFormat="1" ht="14.25" customHeight="1" x14ac:dyDescent="0.2">
      <c r="B161" s="1118" t="s">
        <v>584</v>
      </c>
      <c r="C161" s="1148" t="str">
        <f t="shared" si="20"/>
        <v>Quelle für Sterbetafeln: Männer</v>
      </c>
      <c r="D161" s="1118" t="s">
        <v>94</v>
      </c>
      <c r="E161" s="1118" t="s">
        <v>1536</v>
      </c>
      <c r="F161" s="1237"/>
    </row>
    <row r="162" spans="2:8" s="1127" customFormat="1" ht="14.25" customHeight="1" x14ac:dyDescent="0.2">
      <c r="B162" s="1118" t="s">
        <v>585</v>
      </c>
      <c r="C162" s="1148" t="str">
        <f t="shared" si="20"/>
        <v>Quelle für Sterbetafeln: Frauen</v>
      </c>
      <c r="D162" s="1118" t="s">
        <v>95</v>
      </c>
      <c r="E162" s="1118" t="s">
        <v>1537</v>
      </c>
      <c r="F162" s="1237"/>
    </row>
    <row r="163" spans="2:8" s="1127" customFormat="1" ht="14.25" customHeight="1" x14ac:dyDescent="0.2">
      <c r="B163" s="1118" t="s">
        <v>586</v>
      </c>
      <c r="C163" s="1148" t="str">
        <f>IF(HE_language="FR",D163,E163)</f>
        <v>Zugrundeliegende Sterbetafel</v>
      </c>
      <c r="D163" s="1118" t="s">
        <v>96</v>
      </c>
      <c r="E163" s="1118" t="s">
        <v>1608</v>
      </c>
      <c r="F163" s="1237"/>
      <c r="H163" s="1237"/>
    </row>
    <row r="164" spans="2:8" ht="12.75" customHeight="1" x14ac:dyDescent="0.2">
      <c r="B164" s="541" t="s">
        <v>1579</v>
      </c>
      <c r="C164" s="1148" t="str">
        <f>IF(HE_language="FR",D164,E164)</f>
        <v>siehe Sterbetafel unten, berechnet aus den BFS Daten</v>
      </c>
      <c r="D164" s="282" t="s">
        <v>110</v>
      </c>
      <c r="E164" s="541" t="s">
        <v>1580</v>
      </c>
      <c r="F164" s="1241"/>
      <c r="G164" s="1242"/>
    </row>
    <row r="165" spans="2:8" s="1127" customFormat="1" ht="14.25" customHeight="1" x14ac:dyDescent="0.2">
      <c r="B165" s="1118" t="s">
        <v>587</v>
      </c>
      <c r="C165" s="1148" t="str">
        <f t="shared" si="20"/>
        <v>Für Schätzung der Leistungen des aktuellen Jahres (CY) berücksichtigte Vorjahre (PY)</v>
      </c>
      <c r="D165" s="1118" t="s">
        <v>104</v>
      </c>
      <c r="E165" s="1118" t="s">
        <v>1540</v>
      </c>
      <c r="F165" s="1237"/>
    </row>
    <row r="166" spans="2:8" s="1127" customFormat="1" ht="14.25" customHeight="1" x14ac:dyDescent="0.2">
      <c r="B166" s="1118" t="s">
        <v>588</v>
      </c>
      <c r="C166" s="1148" t="str">
        <f t="shared" si="20"/>
        <v>Berücksichtigte Jahre</v>
      </c>
      <c r="D166" s="1118" t="s">
        <v>105</v>
      </c>
      <c r="E166" s="1118" t="s">
        <v>1538</v>
      </c>
      <c r="F166" s="1237"/>
    </row>
    <row r="167" spans="2:8" s="1127" customFormat="1" ht="14.25" customHeight="1" x14ac:dyDescent="0.2">
      <c r="B167" s="1118" t="s">
        <v>589</v>
      </c>
      <c r="C167" s="1148" t="str">
        <f t="shared" si="20"/>
        <v>Anzahl Jahre bis CY</v>
      </c>
      <c r="D167" s="1118" t="s">
        <v>103</v>
      </c>
      <c r="E167" s="1118" t="s">
        <v>1214</v>
      </c>
    </row>
    <row r="168" spans="2:8" s="1127" customFormat="1" ht="14.25" customHeight="1" x14ac:dyDescent="0.2">
      <c r="B168" s="1118" t="s">
        <v>590</v>
      </c>
      <c r="C168" s="1148" t="str">
        <f t="shared" si="20"/>
        <v>Für Schätzung der Verwaltungskostensätze berücksichtigte Vorjahre</v>
      </c>
      <c r="D168" s="1118" t="s">
        <v>219</v>
      </c>
      <c r="E168" s="1118" t="s">
        <v>1541</v>
      </c>
      <c r="F168" s="1237"/>
    </row>
    <row r="169" spans="2:8" s="1127" customFormat="1" ht="14.25" customHeight="1" x14ac:dyDescent="0.2">
      <c r="B169" s="1118" t="s">
        <v>591</v>
      </c>
      <c r="C169" s="1148" t="str">
        <f t="shared" si="20"/>
        <v>Cost of Capital-Satz zur Berechnung des Mindestbetrages</v>
      </c>
      <c r="D169" s="1118" t="s">
        <v>1590</v>
      </c>
      <c r="E169" s="1118" t="s">
        <v>1539</v>
      </c>
      <c r="F169" s="1237"/>
    </row>
    <row r="170" spans="2:8" s="1127" customFormat="1" ht="14.25" customHeight="1" x14ac:dyDescent="0.2">
      <c r="B170" s="1118" t="s">
        <v>592</v>
      </c>
      <c r="C170" s="1148" t="str">
        <f t="shared" si="20"/>
        <v xml:space="preserve">CoC-Satz </v>
      </c>
      <c r="D170" s="1118" t="s">
        <v>233</v>
      </c>
      <c r="E170" s="1118" t="s">
        <v>1215</v>
      </c>
    </row>
    <row r="171" spans="2:8" s="1127" customFormat="1" ht="14.25" customHeight="1" x14ac:dyDescent="0.2">
      <c r="B171" s="1118" t="s">
        <v>593</v>
      </c>
      <c r="C171" s="1148" t="str">
        <f t="shared" si="20"/>
        <v>Schutzniveau</v>
      </c>
      <c r="D171" s="1118" t="s">
        <v>822</v>
      </c>
      <c r="E171" s="1118" t="s">
        <v>1216</v>
      </c>
    </row>
    <row r="172" spans="2:8" s="1127" customFormat="1" ht="14.25" customHeight="1" x14ac:dyDescent="0.2">
      <c r="B172" s="1118" t="s">
        <v>594</v>
      </c>
      <c r="C172" s="1148" t="str">
        <f t="shared" si="20"/>
        <v>Alpha</v>
      </c>
      <c r="D172" s="1118" t="s">
        <v>30</v>
      </c>
      <c r="E172" s="1118" t="s">
        <v>30</v>
      </c>
    </row>
    <row r="173" spans="2:8" s="1127" customFormat="1" ht="14.25" customHeight="1" x14ac:dyDescent="0.2">
      <c r="B173" s="1118"/>
      <c r="C173" s="1148"/>
      <c r="D173" s="1118"/>
      <c r="E173" s="1118"/>
    </row>
    <row r="174" spans="2:8" s="1127" customFormat="1" ht="14.25" customHeight="1" x14ac:dyDescent="0.2">
      <c r="B174" s="1118" t="s">
        <v>597</v>
      </c>
      <c r="C174" s="1148" t="str">
        <f t="shared" ref="C174:C186" si="23">IF(HE_language="FR",D174,E174)</f>
        <v>Parameter für das Risikomodell</v>
      </c>
      <c r="D174" s="1118" t="s">
        <v>220</v>
      </c>
      <c r="E174" s="1118" t="s">
        <v>1217</v>
      </c>
    </row>
    <row r="175" spans="2:8" s="1127" customFormat="1" ht="14.25" customHeight="1" x14ac:dyDescent="0.2">
      <c r="B175" s="1118" t="s">
        <v>598</v>
      </c>
      <c r="C175" s="1148" t="str">
        <f t="shared" si="23"/>
        <v>Delta-Sensitivität (Risiko der zukünftigen Jahre FY)</v>
      </c>
      <c r="D175" s="1118" t="s">
        <v>227</v>
      </c>
      <c r="E175" s="1118" t="s">
        <v>1218</v>
      </c>
    </row>
    <row r="176" spans="2:8" s="1127" customFormat="1" ht="14.25" customHeight="1" x14ac:dyDescent="0.2">
      <c r="B176" s="1118" t="s">
        <v>599</v>
      </c>
      <c r="C176" s="1148" t="str">
        <f t="shared" si="23"/>
        <v>Sensitivität</v>
      </c>
      <c r="D176" s="1118" t="s">
        <v>348</v>
      </c>
      <c r="E176" s="1118" t="s">
        <v>1219</v>
      </c>
    </row>
    <row r="177" spans="2:6" s="1127" customFormat="1" ht="14.25" customHeight="1" x14ac:dyDescent="0.2">
      <c r="B177" s="1118" t="s">
        <v>609</v>
      </c>
      <c r="C177" s="1148" t="str">
        <f t="shared" ref="C177:C178" si="24">IF(HE_language="FR",D177,E177)</f>
        <v>nach oben</v>
      </c>
      <c r="D177" s="1118" t="s">
        <v>352</v>
      </c>
      <c r="E177" s="1118" t="s">
        <v>1220</v>
      </c>
    </row>
    <row r="178" spans="2:6" s="1127" customFormat="1" ht="14.25" customHeight="1" x14ac:dyDescent="0.2">
      <c r="B178" s="1118" t="s">
        <v>610</v>
      </c>
      <c r="C178" s="1148" t="str">
        <f t="shared" si="24"/>
        <v>nach unten</v>
      </c>
      <c r="D178" s="1118" t="s">
        <v>353</v>
      </c>
      <c r="E178" s="1118" t="s">
        <v>1221</v>
      </c>
    </row>
    <row r="179" spans="2:6" s="1127" customFormat="1" ht="14.25" customHeight="1" x14ac:dyDescent="0.2">
      <c r="B179" s="1118" t="s">
        <v>600</v>
      </c>
      <c r="C179" s="1148" t="str">
        <f t="shared" si="23"/>
        <v>Zu berücksichtigende Jahre</v>
      </c>
      <c r="D179" s="1118" t="s">
        <v>349</v>
      </c>
      <c r="E179" s="1118" t="s">
        <v>1542</v>
      </c>
      <c r="F179" s="1237"/>
    </row>
    <row r="180" spans="2:6" s="1127" customFormat="1" ht="14.25" customHeight="1" x14ac:dyDescent="0.2">
      <c r="B180" s="1118" t="s">
        <v>601</v>
      </c>
      <c r="C180" s="1148" t="str">
        <f t="shared" si="23"/>
        <v>Risikofaktoren</v>
      </c>
      <c r="D180" s="1118" t="s">
        <v>350</v>
      </c>
      <c r="E180" s="1118" t="s">
        <v>1222</v>
      </c>
    </row>
    <row r="181" spans="2:6" s="1127" customFormat="1" ht="14.25" customHeight="1" x14ac:dyDescent="0.2">
      <c r="B181" s="1118" t="s">
        <v>602</v>
      </c>
      <c r="C181" s="1148" t="str">
        <f t="shared" si="23"/>
        <v>Sterblichkeit (q)</v>
      </c>
      <c r="D181" s="1118" t="s">
        <v>191</v>
      </c>
      <c r="E181" s="1118" t="s">
        <v>1223</v>
      </c>
    </row>
    <row r="182" spans="2:6" s="1127" customFormat="1" ht="14.25" customHeight="1" x14ac:dyDescent="0.2">
      <c r="B182" s="1118" t="s">
        <v>603</v>
      </c>
      <c r="C182" s="1148" t="str">
        <f t="shared" si="23"/>
        <v>Storno (s)</v>
      </c>
      <c r="D182" s="1118" t="s">
        <v>274</v>
      </c>
      <c r="E182" s="1118" t="s">
        <v>1224</v>
      </c>
    </row>
    <row r="183" spans="2:6" s="1127" customFormat="1" ht="14.25" customHeight="1" x14ac:dyDescent="0.2">
      <c r="B183" s="1118" t="s">
        <v>604</v>
      </c>
      <c r="C183" s="1148" t="str">
        <f t="shared" si="23"/>
        <v>Kosten (k)</v>
      </c>
      <c r="D183" s="1118" t="s">
        <v>275</v>
      </c>
      <c r="E183" s="1118" t="s">
        <v>1225</v>
      </c>
    </row>
    <row r="184" spans="2:6" s="1127" customFormat="1" ht="14.25" customHeight="1" x14ac:dyDescent="0.2">
      <c r="B184" s="1118" t="s">
        <v>605</v>
      </c>
      <c r="C184" s="1148" t="str">
        <f>IF(HE_language="FR",D184,E184)</f>
        <v>Leistungen (l)</v>
      </c>
      <c r="D184" s="1118" t="s">
        <v>276</v>
      </c>
      <c r="E184" s="1118" t="s">
        <v>1226</v>
      </c>
    </row>
    <row r="185" spans="2:6" s="1127" customFormat="1" ht="14.25" customHeight="1" x14ac:dyDescent="0.2">
      <c r="B185" s="1118" t="s">
        <v>697</v>
      </c>
      <c r="C185" s="1148" t="str">
        <f>IF(HE_language="FR",D185,E185)</f>
        <v xml:space="preserve">Hilfsvektor für das nicht-hedgbare Marktrisiko </v>
      </c>
      <c r="D185" s="1118" t="s">
        <v>696</v>
      </c>
      <c r="E185" s="1118" t="s">
        <v>1227</v>
      </c>
    </row>
    <row r="186" spans="2:6" s="1127" customFormat="1" ht="14.25" customHeight="1" x14ac:dyDescent="0.2">
      <c r="B186" s="1118" t="s">
        <v>606</v>
      </c>
      <c r="C186" s="1148" t="str">
        <f t="shared" si="23"/>
        <v>Risikoparameter</v>
      </c>
      <c r="D186" s="1118" t="s">
        <v>2146</v>
      </c>
      <c r="E186" s="1118" t="s">
        <v>2147</v>
      </c>
    </row>
    <row r="187" spans="2:6" s="1127" customFormat="1" ht="14.25" customHeight="1" x14ac:dyDescent="0.2">
      <c r="B187" s="1118" t="s">
        <v>607</v>
      </c>
      <c r="C187" s="1148" t="str">
        <f t="shared" ref="C187:C189" si="25">IF(HE_language="FR",D187,E187)</f>
        <v xml:space="preserve"> - Variationskoeffizient</v>
      </c>
      <c r="D187" s="1118" t="s">
        <v>617</v>
      </c>
      <c r="E187" s="1118" t="s">
        <v>1228</v>
      </c>
    </row>
    <row r="188" spans="2:6" s="1127" customFormat="1" ht="14.25" customHeight="1" x14ac:dyDescent="0.2">
      <c r="B188" s="1118" t="s">
        <v>608</v>
      </c>
      <c r="C188" s="1148" t="str">
        <f t="shared" si="25"/>
        <v xml:space="preserve"> - Anzahl Jahre, Xi, Eta, Quelle</v>
      </c>
      <c r="D188" s="1118" t="s">
        <v>618</v>
      </c>
      <c r="E188" s="1118" t="s">
        <v>1229</v>
      </c>
    </row>
    <row r="189" spans="2:6" s="1127" customFormat="1" ht="14.25" customHeight="1" x14ac:dyDescent="0.2">
      <c r="B189" s="1118" t="s">
        <v>611</v>
      </c>
      <c r="C189" s="1148" t="str">
        <f t="shared" si="25"/>
        <v xml:space="preserve"> - Variationskoeffizient, Maximum, Minimum</v>
      </c>
      <c r="D189" s="1118" t="s">
        <v>619</v>
      </c>
      <c r="E189" s="1118" t="s">
        <v>1230</v>
      </c>
    </row>
    <row r="190" spans="2:6" s="1127" customFormat="1" ht="14.25" customHeight="1" x14ac:dyDescent="0.2">
      <c r="B190" s="1118" t="s">
        <v>612</v>
      </c>
      <c r="C190" s="1148" t="str">
        <f t="shared" ref="C190:C194" si="26">IF(HE_language="FR",D190,E190)</f>
        <v>Szenario Antiselektion (AS) - Eintrittwahrscheinlichkeit</v>
      </c>
      <c r="D190" s="1118" t="s">
        <v>995</v>
      </c>
      <c r="E190" s="1118" t="s">
        <v>1231</v>
      </c>
    </row>
    <row r="191" spans="2:6" s="1127" customFormat="1" ht="14.25" customHeight="1" x14ac:dyDescent="0.2">
      <c r="B191" s="1118" t="s">
        <v>613</v>
      </c>
      <c r="C191" s="1148" t="str">
        <f t="shared" si="26"/>
        <v xml:space="preserve">Korrelationsmatrix der Risikofaktoren für die Einzelkrankenversicherung (EK) </v>
      </c>
      <c r="D191" s="1118" t="s">
        <v>255</v>
      </c>
      <c r="E191" s="1118" t="s">
        <v>1232</v>
      </c>
    </row>
    <row r="192" spans="2:6" s="1127" customFormat="1" ht="14.25" customHeight="1" x14ac:dyDescent="0.2">
      <c r="B192" s="1118" t="s">
        <v>614</v>
      </c>
      <c r="C192" s="1148" t="str">
        <f t="shared" si="26"/>
        <v>CY-Risiko</v>
      </c>
      <c r="D192" s="1118" t="s">
        <v>407</v>
      </c>
      <c r="E192" s="1118" t="s">
        <v>1233</v>
      </c>
    </row>
    <row r="193" spans="2:6" s="1127" customFormat="1" ht="14.25" customHeight="1" x14ac:dyDescent="0.2">
      <c r="B193" s="1118" t="s">
        <v>615</v>
      </c>
      <c r="C193" s="1148" t="str">
        <f t="shared" si="26"/>
        <v>Risikofaktoren für die Kollektivtaggeldversicherung (KTG)</v>
      </c>
      <c r="D193" s="1118" t="s">
        <v>228</v>
      </c>
      <c r="E193" s="1118" t="s">
        <v>1234</v>
      </c>
    </row>
    <row r="194" spans="2:6" s="1127" customFormat="1" ht="14.25" customHeight="1" x14ac:dyDescent="0.2">
      <c r="B194" s="1118" t="s">
        <v>616</v>
      </c>
      <c r="C194" s="1148" t="str">
        <f t="shared" si="26"/>
        <v>Variationskoeffizient des Einzelschadens</v>
      </c>
      <c r="D194" s="1118" t="s">
        <v>423</v>
      </c>
      <c r="E194" s="1118" t="s">
        <v>1418</v>
      </c>
      <c r="F194" s="1237"/>
    </row>
    <row r="195" spans="2:6" s="1127" customFormat="1" ht="14.25" customHeight="1" x14ac:dyDescent="0.2">
      <c r="B195" s="1118" t="s">
        <v>620</v>
      </c>
      <c r="C195" s="1148" t="str">
        <f t="shared" ref="C195:C196" si="27">IF(HE_language="FR",D195,E195)</f>
        <v>Variationskoeffizient des Parameterrisikos</v>
      </c>
      <c r="D195" s="1118" t="s">
        <v>426</v>
      </c>
      <c r="E195" s="1118" t="s">
        <v>1421</v>
      </c>
      <c r="F195" s="1237"/>
    </row>
    <row r="196" spans="2:6" s="1127" customFormat="1" ht="14.25" customHeight="1" x14ac:dyDescent="0.2">
      <c r="B196" s="1118" t="s">
        <v>621</v>
      </c>
      <c r="C196" s="1148" t="str">
        <f t="shared" si="27"/>
        <v>Szenario KTG - Eintrittwahrscheinlichkeit</v>
      </c>
      <c r="D196" s="1118" t="s">
        <v>229</v>
      </c>
      <c r="E196" s="1118" t="s">
        <v>1235</v>
      </c>
    </row>
    <row r="197" spans="2:6" s="1127" customFormat="1" ht="14.25" customHeight="1" x14ac:dyDescent="0.2">
      <c r="B197" s="1118" t="s">
        <v>622</v>
      </c>
      <c r="C197" s="1148" t="str">
        <f t="shared" ref="C197:C198" si="28">IF(HE_language="FR",D197,E197)</f>
        <v>Korrelationsmatrix der Branchen EK und KTG</v>
      </c>
      <c r="D197" s="1118" t="s">
        <v>230</v>
      </c>
      <c r="E197" s="1118" t="s">
        <v>1236</v>
      </c>
    </row>
    <row r="198" spans="2:6" s="1127" customFormat="1" ht="14.25" customHeight="1" x14ac:dyDescent="0.2">
      <c r="B198" s="1118" t="s">
        <v>623</v>
      </c>
      <c r="C198" s="1148" t="str">
        <f t="shared" si="28"/>
        <v>Einzelkranken</v>
      </c>
      <c r="D198" s="1118" t="s">
        <v>996</v>
      </c>
      <c r="E198" s="1118" t="s">
        <v>1237</v>
      </c>
    </row>
    <row r="199" spans="2:6" s="1127" customFormat="1" ht="14.25" customHeight="1" x14ac:dyDescent="0.2">
      <c r="B199" s="1118" t="s">
        <v>624</v>
      </c>
      <c r="C199" s="1148" t="str">
        <f t="shared" ref="C199:C244" si="29">IF(HE_language="FR",D199,E199)</f>
        <v>Kollektivtaggeld</v>
      </c>
      <c r="D199" s="1118" t="s">
        <v>997</v>
      </c>
      <c r="E199" s="1118" t="s">
        <v>1238</v>
      </c>
    </row>
    <row r="200" spans="2:6" s="1127" customFormat="1" ht="14.25" customHeight="1" x14ac:dyDescent="0.2">
      <c r="B200" s="1118" t="s">
        <v>627</v>
      </c>
      <c r="C200" s="1148" t="str">
        <f t="shared" si="29"/>
        <v>EK</v>
      </c>
      <c r="D200" s="1118" t="s">
        <v>231</v>
      </c>
      <c r="E200" s="1118" t="s">
        <v>1239</v>
      </c>
    </row>
    <row r="201" spans="2:6" s="1127" customFormat="1" ht="14.25" customHeight="1" x14ac:dyDescent="0.2">
      <c r="B201" s="1118" t="s">
        <v>628</v>
      </c>
      <c r="C201" s="1148" t="str">
        <f t="shared" si="29"/>
        <v>KTG</v>
      </c>
      <c r="D201" s="1118" t="s">
        <v>232</v>
      </c>
      <c r="E201" s="1118" t="s">
        <v>1240</v>
      </c>
    </row>
    <row r="202" spans="2:6" s="1127" customFormat="1" ht="14.25" customHeight="1" x14ac:dyDescent="0.2">
      <c r="B202" s="1118"/>
      <c r="C202" s="1148"/>
      <c r="D202" s="1118"/>
      <c r="E202" s="1118"/>
    </row>
    <row r="203" spans="2:6" s="1127" customFormat="1" ht="14.25" customHeight="1" x14ac:dyDescent="0.2">
      <c r="B203" s="1118" t="s">
        <v>625</v>
      </c>
      <c r="C203" s="1148" t="str">
        <f t="shared" si="29"/>
        <v>Merkmale der Vertragsgruppen (CG)</v>
      </c>
      <c r="D203" s="1118" t="s">
        <v>150</v>
      </c>
      <c r="E203" s="1118" t="s">
        <v>1241</v>
      </c>
    </row>
    <row r="204" spans="2:6" s="1127" customFormat="1" ht="14.25" customHeight="1" x14ac:dyDescent="0.2">
      <c r="B204" s="1118" t="s">
        <v>626</v>
      </c>
      <c r="C204" s="1148" t="str">
        <f t="shared" si="29"/>
        <v xml:space="preserve">Daten für CY-Anpassungen </v>
      </c>
      <c r="D204" s="1118" t="s">
        <v>124</v>
      </c>
      <c r="E204" s="1118" t="s">
        <v>1242</v>
      </c>
    </row>
    <row r="205" spans="2:6" s="1127" customFormat="1" ht="14.25" customHeight="1" x14ac:dyDescent="0.2">
      <c r="B205" s="1118" t="s">
        <v>647</v>
      </c>
      <c r="C205" s="1148" t="str">
        <f t="shared" ref="C205:C207" si="30">IF(HE_language="FR",D205,E205)</f>
        <v>CY, Faktor für fehlende Prämien</v>
      </c>
      <c r="D205" s="1118" t="s">
        <v>125</v>
      </c>
      <c r="E205" s="1118" t="s">
        <v>1243</v>
      </c>
    </row>
    <row r="206" spans="2:6" s="1127" customFormat="1" ht="14.25" customHeight="1" x14ac:dyDescent="0.2">
      <c r="B206" s="1118" t="s">
        <v>648</v>
      </c>
      <c r="C206" s="1148" t="str">
        <f t="shared" si="30"/>
        <v>Jahr PY, jährliche nicht-strukturelle Teuerung der Leistungen für CY-Anpassung</v>
      </c>
      <c r="D206" s="1118" t="s">
        <v>127</v>
      </c>
      <c r="E206" s="1118" t="s">
        <v>1244</v>
      </c>
    </row>
    <row r="207" spans="2:6" s="1127" customFormat="1" ht="14.25" customHeight="1" x14ac:dyDescent="0.2">
      <c r="B207" s="1118" t="s">
        <v>649</v>
      </c>
      <c r="C207" s="1148" t="str">
        <f t="shared" si="30"/>
        <v>Jahr PY, CY-Anpassungsfaktor</v>
      </c>
      <c r="D207" s="1118" t="s">
        <v>323</v>
      </c>
      <c r="E207" s="1118" t="s">
        <v>1245</v>
      </c>
    </row>
    <row r="208" spans="2:6" s="1127" customFormat="1" ht="14.25" customHeight="1" x14ac:dyDescent="0.2">
      <c r="B208" s="1118" t="s">
        <v>629</v>
      </c>
      <c r="C208" s="1148" t="str">
        <f t="shared" si="29"/>
        <v>Korrelationsmatrix der Leistungen</v>
      </c>
      <c r="D208" s="1118" t="s">
        <v>845</v>
      </c>
      <c r="E208" s="1118" t="s">
        <v>1246</v>
      </c>
    </row>
    <row r="209" spans="2:6" s="1127" customFormat="1" ht="14.25" customHeight="1" x14ac:dyDescent="0.2">
      <c r="B209" s="1118" t="s">
        <v>630</v>
      </c>
      <c r="C209" s="1148" t="str">
        <f t="shared" si="29"/>
        <v>Produktegruppen (PG)</v>
      </c>
      <c r="D209" s="1118" t="s">
        <v>98</v>
      </c>
      <c r="E209" s="1118" t="s">
        <v>1247</v>
      </c>
    </row>
    <row r="210" spans="2:6" s="1127" customFormat="1" ht="14.25" customHeight="1" x14ac:dyDescent="0.2">
      <c r="B210" s="1118" t="s">
        <v>631</v>
      </c>
      <c r="C210" s="1148" t="str">
        <f t="shared" si="29"/>
        <v>PG1 - Stationäre Produkte Halbprivat, Privat und Flex</v>
      </c>
      <c r="D210" s="1118" t="s">
        <v>89</v>
      </c>
      <c r="E210" s="1118" t="s">
        <v>1248</v>
      </c>
    </row>
    <row r="211" spans="2:6" s="1127" customFormat="1" ht="14.25" customHeight="1" x14ac:dyDescent="0.2">
      <c r="B211" s="1118" t="s">
        <v>632</v>
      </c>
      <c r="C211" s="1148" t="str">
        <f t="shared" si="29"/>
        <v>PG2 - Übrige stationäre Produkte</v>
      </c>
      <c r="D211" s="1118" t="s">
        <v>91</v>
      </c>
      <c r="E211" s="1118" t="s">
        <v>1249</v>
      </c>
    </row>
    <row r="212" spans="2:6" s="1127" customFormat="1" ht="14.25" customHeight="1" x14ac:dyDescent="0.2">
      <c r="B212" s="1118" t="s">
        <v>633</v>
      </c>
      <c r="C212" s="1148" t="str">
        <f t="shared" si="29"/>
        <v>PG3 - Ambulante Produkte</v>
      </c>
      <c r="D212" s="1118" t="s">
        <v>90</v>
      </c>
      <c r="E212" s="1118" t="s">
        <v>1250</v>
      </c>
    </row>
    <row r="213" spans="2:6" s="1127" customFormat="1" ht="14.25" customHeight="1" x14ac:dyDescent="0.2">
      <c r="B213" s="1118" t="s">
        <v>634</v>
      </c>
      <c r="C213" s="1148" t="str">
        <f t="shared" si="29"/>
        <v>PG4 - Langzeitpflege</v>
      </c>
      <c r="D213" s="1118" t="s">
        <v>49</v>
      </c>
      <c r="E213" s="1118" t="s">
        <v>1251</v>
      </c>
    </row>
    <row r="214" spans="2:6" s="1127" customFormat="1" ht="14.25" customHeight="1" x14ac:dyDescent="0.2">
      <c r="B214" s="1118" t="s">
        <v>635</v>
      </c>
      <c r="C214" s="1148" t="str">
        <f t="shared" si="29"/>
        <v>PG5 - Einzeltaggeldversicherung</v>
      </c>
      <c r="D214" s="1118" t="s">
        <v>50</v>
      </c>
      <c r="E214" s="1233" t="s">
        <v>1406</v>
      </c>
    </row>
    <row r="215" spans="2:6" s="1127" customFormat="1" ht="14.25" customHeight="1" x14ac:dyDescent="0.2">
      <c r="B215" s="1118" t="s">
        <v>636</v>
      </c>
      <c r="C215" s="1148" t="str">
        <f t="shared" si="29"/>
        <v>Total fünf Produktegruppen</v>
      </c>
      <c r="D215" s="1118" t="s">
        <v>284</v>
      </c>
      <c r="E215" s="1118" t="s">
        <v>1253</v>
      </c>
    </row>
    <row r="216" spans="2:6" s="1127" customFormat="1" ht="14.25" customHeight="1" x14ac:dyDescent="0.2">
      <c r="B216" s="1118" t="s">
        <v>637</v>
      </c>
      <c r="C216" s="1148" t="str">
        <f t="shared" si="29"/>
        <v>Produktegruppen und -untergruppen</v>
      </c>
      <c r="D216" s="1118" t="s">
        <v>215</v>
      </c>
      <c r="E216" s="1118" t="s">
        <v>1254</v>
      </c>
    </row>
    <row r="217" spans="2:6" s="1127" customFormat="1" ht="14.25" customHeight="1" x14ac:dyDescent="0.2">
      <c r="B217" s="1118" t="s">
        <v>638</v>
      </c>
      <c r="C217" s="1148" t="str">
        <f t="shared" si="29"/>
        <v>PG1.1 - Stationäre Produkte Halbprivat</v>
      </c>
      <c r="D217" s="1118" t="s">
        <v>216</v>
      </c>
      <c r="E217" s="1118" t="s">
        <v>1255</v>
      </c>
    </row>
    <row r="218" spans="2:6" s="1127" customFormat="1" ht="14.25" customHeight="1" x14ac:dyDescent="0.2">
      <c r="B218" s="1118" t="s">
        <v>639</v>
      </c>
      <c r="C218" s="1148" t="str">
        <f t="shared" si="29"/>
        <v>PG1.2 - Stationäre Produkte Privat</v>
      </c>
      <c r="D218" s="1118" t="s">
        <v>217</v>
      </c>
      <c r="E218" s="1118" t="s">
        <v>1256</v>
      </c>
    </row>
    <row r="219" spans="2:6" s="1127" customFormat="1" ht="14.25" customHeight="1" x14ac:dyDescent="0.2">
      <c r="B219" s="1118" t="s">
        <v>640</v>
      </c>
      <c r="C219" s="1148" t="str">
        <f t="shared" si="29"/>
        <v>PG1.3 - Stationäre Produkte Flex</v>
      </c>
      <c r="D219" s="1118" t="s">
        <v>218</v>
      </c>
      <c r="E219" s="1118" t="s">
        <v>1257</v>
      </c>
    </row>
    <row r="220" spans="2:6" s="1127" customFormat="1" ht="14.25" customHeight="1" x14ac:dyDescent="0.2">
      <c r="B220" s="1118" t="s">
        <v>641</v>
      </c>
      <c r="C220" s="1148" t="str">
        <f t="shared" si="29"/>
        <v>PG2 - Übrige stationäre Produkte</v>
      </c>
      <c r="D220" s="1118" t="s">
        <v>91</v>
      </c>
      <c r="E220" s="1118" t="s">
        <v>1249</v>
      </c>
    </row>
    <row r="221" spans="2:6" s="1127" customFormat="1" ht="14.25" customHeight="1" x14ac:dyDescent="0.2">
      <c r="B221" s="1118" t="s">
        <v>642</v>
      </c>
      <c r="C221" s="1148" t="str">
        <f t="shared" si="29"/>
        <v>PG3 - Ambulante Produkte</v>
      </c>
      <c r="D221" s="1118" t="s">
        <v>90</v>
      </c>
      <c r="E221" s="1118" t="s">
        <v>1250</v>
      </c>
    </row>
    <row r="222" spans="2:6" s="1127" customFormat="1" ht="14.25" customHeight="1" x14ac:dyDescent="0.2">
      <c r="B222" s="1118" t="s">
        <v>643</v>
      </c>
      <c r="C222" s="1148" t="str">
        <f t="shared" si="29"/>
        <v>PG4 - Langzeitpflege</v>
      </c>
      <c r="D222" s="1118" t="s">
        <v>49</v>
      </c>
      <c r="E222" s="1118" t="s">
        <v>1251</v>
      </c>
    </row>
    <row r="223" spans="2:6" s="1127" customFormat="1" ht="14.25" customHeight="1" x14ac:dyDescent="0.2">
      <c r="B223" s="1118" t="s">
        <v>644</v>
      </c>
      <c r="C223" s="1148" t="str">
        <f t="shared" si="29"/>
        <v>PG5 - Einzeltaggeld</v>
      </c>
      <c r="D223" s="1118" t="s">
        <v>50</v>
      </c>
      <c r="E223" s="1118" t="s">
        <v>1252</v>
      </c>
    </row>
    <row r="224" spans="2:6" s="1127" customFormat="1" ht="14.25" customHeight="1" x14ac:dyDescent="0.2">
      <c r="B224" s="1118" t="s">
        <v>645</v>
      </c>
      <c r="C224" s="1148" t="str">
        <f t="shared" si="29"/>
        <v>Arten der Tarifierung</v>
      </c>
      <c r="D224" s="1127" t="s">
        <v>385</v>
      </c>
      <c r="E224" s="1118" t="s">
        <v>1258</v>
      </c>
      <c r="F224" s="1237"/>
    </row>
    <row r="225" spans="2:5" s="1127" customFormat="1" ht="14.25" customHeight="1" x14ac:dyDescent="0.2">
      <c r="B225" s="1118" t="s">
        <v>646</v>
      </c>
      <c r="C225" s="1148" t="str">
        <f t="shared" si="29"/>
        <v>Effektivalter</v>
      </c>
      <c r="D225" s="1118" t="s">
        <v>312</v>
      </c>
      <c r="E225" s="1118" t="s">
        <v>1259</v>
      </c>
    </row>
    <row r="226" spans="2:5" s="1127" customFormat="1" ht="14.25" customHeight="1" x14ac:dyDescent="0.2">
      <c r="B226" s="1118" t="s">
        <v>660</v>
      </c>
      <c r="C226" s="1148" t="str">
        <f t="shared" si="29"/>
        <v>Eintrittsalter</v>
      </c>
      <c r="D226" s="1118" t="s">
        <v>313</v>
      </c>
      <c r="E226" s="1118" t="s">
        <v>1260</v>
      </c>
    </row>
    <row r="227" spans="2:5" s="1127" customFormat="1" ht="14.25" customHeight="1" x14ac:dyDescent="0.2">
      <c r="B227" s="1118" t="s">
        <v>661</v>
      </c>
      <c r="C227" s="1148" t="str">
        <f t="shared" si="29"/>
        <v>Produkteuntergruppen und Arten der Tarifierung</v>
      </c>
      <c r="D227" s="1118" t="s">
        <v>222</v>
      </c>
      <c r="E227" s="1118" t="s">
        <v>1261</v>
      </c>
    </row>
    <row r="228" spans="2:5" s="1127" customFormat="1" ht="14.25" customHeight="1" x14ac:dyDescent="0.2">
      <c r="B228" s="1118" t="s">
        <v>662</v>
      </c>
      <c r="C228" s="1148" t="str">
        <f t="shared" si="29"/>
        <v>.0.1 - Effektivalter</v>
      </c>
      <c r="D228" s="1118" t="s">
        <v>304</v>
      </c>
      <c r="E228" s="1118" t="s">
        <v>1262</v>
      </c>
    </row>
    <row r="229" spans="2:5" s="1127" customFormat="1" ht="14.25" customHeight="1" x14ac:dyDescent="0.2">
      <c r="B229" s="1118" t="s">
        <v>663</v>
      </c>
      <c r="C229" s="1148" t="str">
        <f t="shared" si="29"/>
        <v>.1.1 - Halbprivat, Effektivalter</v>
      </c>
      <c r="D229" s="1118" t="s">
        <v>305</v>
      </c>
      <c r="E229" s="1118" t="s">
        <v>1263</v>
      </c>
    </row>
    <row r="230" spans="2:5" s="1127" customFormat="1" ht="14.25" customHeight="1" x14ac:dyDescent="0.2">
      <c r="B230" s="1118" t="s">
        <v>664</v>
      </c>
      <c r="C230" s="1148" t="str">
        <f t="shared" si="29"/>
        <v>.2.1 - Privat, Effektivalter</v>
      </c>
      <c r="D230" s="1118" t="s">
        <v>306</v>
      </c>
      <c r="E230" s="1118" t="s">
        <v>1264</v>
      </c>
    </row>
    <row r="231" spans="2:5" s="1127" customFormat="1" ht="14.25" customHeight="1" x14ac:dyDescent="0.2">
      <c r="B231" s="1118" t="s">
        <v>665</v>
      </c>
      <c r="C231" s="1148" t="str">
        <f t="shared" si="29"/>
        <v>.3.1 - Flex, Effektivalter</v>
      </c>
      <c r="D231" s="1118" t="s">
        <v>307</v>
      </c>
      <c r="E231" s="1118" t="s">
        <v>1265</v>
      </c>
    </row>
    <row r="232" spans="2:5" s="1127" customFormat="1" ht="14.25" customHeight="1" x14ac:dyDescent="0.2">
      <c r="B232" s="1118" t="s">
        <v>666</v>
      </c>
      <c r="C232" s="1148" t="str">
        <f t="shared" si="29"/>
        <v>.0.2 - Eintrittsalter</v>
      </c>
      <c r="D232" s="1118" t="s">
        <v>308</v>
      </c>
      <c r="E232" s="1118" t="s">
        <v>1266</v>
      </c>
    </row>
    <row r="233" spans="2:5" s="1127" customFormat="1" ht="14.25" customHeight="1" x14ac:dyDescent="0.2">
      <c r="B233" s="1118" t="s">
        <v>667</v>
      </c>
      <c r="C233" s="1148" t="str">
        <f t="shared" si="29"/>
        <v>.1.2 - Halbprivat, Eintrittsalter</v>
      </c>
      <c r="D233" s="1118" t="s">
        <v>309</v>
      </c>
      <c r="E233" s="1118" t="s">
        <v>1267</v>
      </c>
    </row>
    <row r="234" spans="2:5" s="1127" customFormat="1" ht="14.25" customHeight="1" x14ac:dyDescent="0.2">
      <c r="B234" s="1118" t="s">
        <v>650</v>
      </c>
      <c r="C234" s="1148" t="str">
        <f t="shared" si="29"/>
        <v>.2.2 - Privat, Eintrittsalter</v>
      </c>
      <c r="D234" s="1127" t="s">
        <v>310</v>
      </c>
      <c r="E234" s="1118" t="s">
        <v>1268</v>
      </c>
    </row>
    <row r="235" spans="2:5" s="1127" customFormat="1" ht="14.25" customHeight="1" x14ac:dyDescent="0.2">
      <c r="B235" s="1118" t="s">
        <v>651</v>
      </c>
      <c r="C235" s="1148" t="str">
        <f t="shared" si="29"/>
        <v>.3.2 - Flex, Eintrittsalter</v>
      </c>
      <c r="D235" s="1118" t="s">
        <v>311</v>
      </c>
      <c r="E235" s="1118" t="s">
        <v>1269</v>
      </c>
    </row>
    <row r="236" spans="2:5" s="1127" customFormat="1" ht="14.25" customHeight="1" x14ac:dyDescent="0.2">
      <c r="B236" s="1118" t="s">
        <v>652</v>
      </c>
      <c r="C236" s="1148" t="str">
        <f t="shared" si="29"/>
        <v>Indikator ja/nein</v>
      </c>
      <c r="D236" s="1118" t="s">
        <v>106</v>
      </c>
      <c r="E236" s="1118" t="s">
        <v>1270</v>
      </c>
    </row>
    <row r="237" spans="2:5" s="1127" customFormat="1" ht="14.25" customHeight="1" x14ac:dyDescent="0.2">
      <c r="B237" s="1118" t="s">
        <v>653</v>
      </c>
      <c r="C237" s="1148" t="str">
        <f t="shared" si="29"/>
        <v>ja</v>
      </c>
      <c r="D237" s="1118" t="s">
        <v>83</v>
      </c>
      <c r="E237" s="1118" t="s">
        <v>1271</v>
      </c>
    </row>
    <row r="238" spans="2:5" s="1127" customFormat="1" ht="14.25" customHeight="1" x14ac:dyDescent="0.2">
      <c r="B238" s="1118" t="s">
        <v>654</v>
      </c>
      <c r="C238" s="1148" t="str">
        <f t="shared" si="29"/>
        <v>nein</v>
      </c>
      <c r="D238" s="1118" t="s">
        <v>84</v>
      </c>
      <c r="E238" s="1118" t="s">
        <v>1272</v>
      </c>
    </row>
    <row r="239" spans="2:5" s="1127" customFormat="1" ht="14.25" customHeight="1" x14ac:dyDescent="0.2">
      <c r="B239" s="1118"/>
      <c r="C239" s="1148"/>
      <c r="D239" s="1118"/>
      <c r="E239" s="1118"/>
    </row>
    <row r="240" spans="2:5" s="1127" customFormat="1" ht="14.25" customHeight="1" x14ac:dyDescent="0.2">
      <c r="B240" s="1118" t="s">
        <v>655</v>
      </c>
      <c r="C240" s="1148" t="str">
        <f t="shared" si="29"/>
        <v>Merkmale gemäss Altersgruppe und Geschlecht</v>
      </c>
      <c r="D240" s="1118" t="s">
        <v>151</v>
      </c>
      <c r="E240" s="1118" t="s">
        <v>1273</v>
      </c>
    </row>
    <row r="241" spans="2:6" s="1127" customFormat="1" ht="14.25" customHeight="1" x14ac:dyDescent="0.2">
      <c r="B241" s="1118" t="s">
        <v>656</v>
      </c>
      <c r="C241" s="1148" t="str">
        <f t="shared" si="29"/>
        <v>Nr. für Input-Tabellenblätter pro Altersgruppe und Geschlecht</v>
      </c>
      <c r="D241" s="1118" t="s">
        <v>263</v>
      </c>
      <c r="E241" s="1118" t="s">
        <v>1274</v>
      </c>
    </row>
    <row r="242" spans="2:6" s="1127" customFormat="1" ht="14.25" customHeight="1" x14ac:dyDescent="0.2">
      <c r="B242" s="1118" t="s">
        <v>657</v>
      </c>
      <c r="C242" s="1148" t="str">
        <f t="shared" si="29"/>
        <v>Korrekturfaktor Sterblichkeit BFS, nach Geschlecht</v>
      </c>
      <c r="D242" s="1118" t="s">
        <v>97</v>
      </c>
      <c r="E242" s="1118" t="s">
        <v>1543</v>
      </c>
      <c r="F242" s="1237"/>
    </row>
    <row r="243" spans="2:6" s="1127" customFormat="1" ht="14.25" customHeight="1" x14ac:dyDescent="0.2">
      <c r="B243" s="1118" t="s">
        <v>658</v>
      </c>
      <c r="C243" s="1148" t="str">
        <f t="shared" si="29"/>
        <v>Männer</v>
      </c>
      <c r="D243" s="1118" t="s">
        <v>100</v>
      </c>
      <c r="E243" s="1118" t="s">
        <v>1275</v>
      </c>
    </row>
    <row r="244" spans="2:6" s="1127" customFormat="1" ht="14.25" customHeight="1" x14ac:dyDescent="0.2">
      <c r="B244" s="1118" t="s">
        <v>659</v>
      </c>
      <c r="C244" s="1148" t="str">
        <f t="shared" si="29"/>
        <v>Frauen</v>
      </c>
      <c r="D244" s="1118" t="s">
        <v>101</v>
      </c>
      <c r="E244" s="1118" t="s">
        <v>1276</v>
      </c>
    </row>
    <row r="245" spans="2:6" s="1127" customFormat="1" ht="14.25" customHeight="1" x14ac:dyDescent="0.2">
      <c r="B245" s="1118" t="s">
        <v>669</v>
      </c>
      <c r="C245" s="1148" t="str">
        <f t="shared" ref="C245:C262" si="31">IF(HE_language="FR",D245,E245)</f>
        <v>Gewichtungsfaktor für Durchschnittsbestand</v>
      </c>
      <c r="D245" s="1118" t="s">
        <v>113</v>
      </c>
      <c r="E245" s="1118" t="s">
        <v>1277</v>
      </c>
    </row>
    <row r="246" spans="2:6" s="1127" customFormat="1" ht="14.25" customHeight="1" x14ac:dyDescent="0.2">
      <c r="B246" s="1118" t="s">
        <v>670</v>
      </c>
      <c r="C246" s="1148" t="str">
        <f t="shared" si="31"/>
        <v>Beginn der Periode</v>
      </c>
      <c r="D246" s="1118" t="s">
        <v>114</v>
      </c>
      <c r="E246" s="1118" t="s">
        <v>1278</v>
      </c>
    </row>
    <row r="247" spans="2:6" s="1127" customFormat="1" ht="14.25" customHeight="1" x14ac:dyDescent="0.2">
      <c r="B247" s="1118" t="s">
        <v>671</v>
      </c>
      <c r="C247" s="1148" t="str">
        <f t="shared" si="31"/>
        <v>Ende der Periode</v>
      </c>
      <c r="D247" s="1118" t="s">
        <v>115</v>
      </c>
      <c r="E247" s="1118" t="s">
        <v>1279</v>
      </c>
    </row>
    <row r="248" spans="2:6" s="1127" customFormat="1" ht="14.25" customHeight="1" x14ac:dyDescent="0.2">
      <c r="B248" s="1118" t="s">
        <v>672</v>
      </c>
      <c r="C248" s="1148" t="str">
        <f t="shared" si="31"/>
        <v>Sterblichkeit und Storno CY</v>
      </c>
      <c r="D248" s="1118" t="s">
        <v>112</v>
      </c>
      <c r="E248" s="1118" t="s">
        <v>1280</v>
      </c>
    </row>
    <row r="249" spans="2:6" s="1127" customFormat="1" ht="14.25" customHeight="1" x14ac:dyDescent="0.2">
      <c r="B249" s="1118" t="s">
        <v>673</v>
      </c>
      <c r="C249" s="1148" t="str">
        <f t="shared" si="31"/>
        <v>Altersklasse</v>
      </c>
      <c r="D249" s="1118" t="s">
        <v>107</v>
      </c>
      <c r="E249" s="1118" t="s">
        <v>1281</v>
      </c>
    </row>
    <row r="250" spans="2:6" s="1127" customFormat="1" ht="14.25" customHeight="1" x14ac:dyDescent="0.2">
      <c r="B250" s="1118" t="s">
        <v>681</v>
      </c>
      <c r="C250" s="1148" t="str">
        <f t="shared" ref="C250:C251" si="32">IF(HE_language="FR",D250,E250)</f>
        <v>Altersklasse x = Alter am 31.12.CY = Jahr CY - Geburtsjahr</v>
      </c>
      <c r="D250" s="1118" t="s">
        <v>152</v>
      </c>
      <c r="E250" s="1118" t="s">
        <v>1282</v>
      </c>
    </row>
    <row r="251" spans="2:6" s="1127" customFormat="1" ht="14.25" customHeight="1" x14ac:dyDescent="0.2">
      <c r="B251" s="1118" t="s">
        <v>682</v>
      </c>
      <c r="C251" s="1148" t="str">
        <f t="shared" si="32"/>
        <v>Indiz i der Altersklasse; i=x+1</v>
      </c>
      <c r="D251" s="1118" t="s">
        <v>108</v>
      </c>
      <c r="E251" s="1118" t="s">
        <v>1283</v>
      </c>
    </row>
    <row r="252" spans="2:6" s="1127" customFormat="1" ht="14.25" customHeight="1" x14ac:dyDescent="0.2">
      <c r="B252" s="1118" t="s">
        <v>674</v>
      </c>
      <c r="C252" s="1148" t="str">
        <f t="shared" si="31"/>
        <v xml:space="preserve">Erwartete Sterblichkeit BFS während CY  </v>
      </c>
      <c r="D252" s="1118" t="s">
        <v>102</v>
      </c>
      <c r="E252" s="1118" t="s">
        <v>1284</v>
      </c>
    </row>
    <row r="253" spans="2:6" s="1127" customFormat="1" ht="14.25" customHeight="1" x14ac:dyDescent="0.2">
      <c r="B253" s="1118" t="s">
        <v>683</v>
      </c>
      <c r="C253" s="1148" t="str">
        <f t="shared" ref="C253:C254" si="33">IF(HE_language="FR",D253,E253)</f>
        <v>Alter am 31.12.CY-1  = x-1</v>
      </c>
      <c r="D253" s="1118" t="s">
        <v>2082</v>
      </c>
      <c r="E253" s="1118" t="s">
        <v>2083</v>
      </c>
    </row>
    <row r="254" spans="2:6" s="1127" customFormat="1" ht="14.25" customHeight="1" x14ac:dyDescent="0.2">
      <c r="B254" s="1118" t="s">
        <v>684</v>
      </c>
      <c r="C254" s="1148" t="str">
        <f t="shared" si="33"/>
        <v>q(i,1)=[Q(x-1)+Q(x)]/2 wobei Q gemäss BFS definiert wird</v>
      </c>
      <c r="D254" s="1118" t="s">
        <v>2088</v>
      </c>
      <c r="E254" s="1118" t="s">
        <v>2084</v>
      </c>
    </row>
    <row r="255" spans="2:6" s="1127" customFormat="1" ht="14.25" customHeight="1" x14ac:dyDescent="0.2">
      <c r="B255" s="1118" t="s">
        <v>675</v>
      </c>
      <c r="C255" s="1148" t="str">
        <f t="shared" si="31"/>
        <v>Erwartete Stornoquoten während CY, pro Produktegruppe und -untergruppe (Tarifierung nach Effektivalter)</v>
      </c>
      <c r="D255" s="1118" t="s">
        <v>314</v>
      </c>
      <c r="E255" s="1118" t="s">
        <v>1544</v>
      </c>
      <c r="F255" s="1238"/>
    </row>
    <row r="256" spans="2:6" s="1127" customFormat="1" ht="14.25" customHeight="1" x14ac:dyDescent="0.2">
      <c r="B256" s="1118" t="s">
        <v>676</v>
      </c>
      <c r="C256" s="1148" t="str">
        <f t="shared" si="31"/>
        <v>Erwartete Stornoquoten während CY, pro Produktegruppe und -untergruppe (Tarifierung nach Eintrittsalter)</v>
      </c>
      <c r="D256" s="1118" t="s">
        <v>315</v>
      </c>
      <c r="E256" s="1118" t="s">
        <v>1545</v>
      </c>
      <c r="F256" s="1237"/>
    </row>
    <row r="257" spans="1:6" s="1127" customFormat="1" ht="14.25" customHeight="1" x14ac:dyDescent="0.2">
      <c r="B257" s="1118" t="s">
        <v>677</v>
      </c>
      <c r="C257" s="1148" t="str">
        <f t="shared" si="31"/>
        <v>Szenario AS</v>
      </c>
      <c r="D257" s="1118" t="s">
        <v>139</v>
      </c>
      <c r="E257" s="1118" t="s">
        <v>1285</v>
      </c>
    </row>
    <row r="258" spans="1:6" s="1127" customFormat="1" ht="14.25" customHeight="1" x14ac:dyDescent="0.2">
      <c r="B258" s="1118" t="s">
        <v>685</v>
      </c>
      <c r="C258" s="1148" t="str">
        <f t="shared" si="31"/>
        <v>Stornoquoten des Szenarios Antiselektion (AS)</v>
      </c>
      <c r="D258" s="1118" t="s">
        <v>140</v>
      </c>
      <c r="E258" s="1118" t="s">
        <v>1286</v>
      </c>
    </row>
    <row r="259" spans="1:6" s="1127" customFormat="1" ht="14.25" customHeight="1" x14ac:dyDescent="0.2">
      <c r="B259" s="1118"/>
      <c r="C259" s="1148"/>
      <c r="D259" s="1118"/>
      <c r="E259" s="1118"/>
    </row>
    <row r="260" spans="1:6" s="1127" customFormat="1" ht="14.25" customHeight="1" x14ac:dyDescent="0.2">
      <c r="B260" s="1118" t="s">
        <v>678</v>
      </c>
      <c r="C260" s="1148" t="str">
        <f t="shared" si="31"/>
        <v>Annahmen zukünftiger nicht-struktureller Teuerung per 31.12.</v>
      </c>
      <c r="D260" s="1118" t="s">
        <v>686</v>
      </c>
      <c r="E260" s="1118" t="s">
        <v>1287</v>
      </c>
    </row>
    <row r="261" spans="1:6" s="1127" customFormat="1" ht="14.25" customHeight="1" x14ac:dyDescent="0.2">
      <c r="B261" s="1118" t="s">
        <v>679</v>
      </c>
      <c r="C261" s="1148" t="str">
        <f t="shared" si="31"/>
        <v>Abweichung der vorgesehenen Quote für Jahr 1 (CY), verwendete Quoten für Jahr 2 und folgende</v>
      </c>
      <c r="D261" s="1118" t="s">
        <v>141</v>
      </c>
      <c r="E261" s="1118" t="s">
        <v>1546</v>
      </c>
      <c r="F261" s="1237"/>
    </row>
    <row r="262" spans="1:6" s="1127" customFormat="1" ht="14.25" customHeight="1" x14ac:dyDescent="0.2">
      <c r="B262" s="1118" t="s">
        <v>680</v>
      </c>
      <c r="C262" s="1148" t="str">
        <f t="shared" si="31"/>
        <v>Behandlungsjahr</v>
      </c>
      <c r="D262" s="1118" t="s">
        <v>316</v>
      </c>
      <c r="E262" s="1118" t="s">
        <v>1288</v>
      </c>
    </row>
    <row r="265" spans="1:6" s="543" customFormat="1" ht="14.25" customHeight="1" x14ac:dyDescent="0.2">
      <c r="A265" s="1147"/>
      <c r="B265" s="545" t="s">
        <v>1102</v>
      </c>
      <c r="C265" s="1149" t="str">
        <f t="shared" ref="C265" si="34">IF(HE_language="FR",D265,E265)</f>
        <v>Kranken VVG: Berechnungsdokumentation</v>
      </c>
      <c r="D265" s="545" t="str">
        <f>D12</f>
        <v>Maladie LCA: Documentation du calcul</v>
      </c>
      <c r="E265" s="545" t="str">
        <f>E12</f>
        <v>Kranken VVG: Berechnungsdokumentation</v>
      </c>
    </row>
    <row r="266" spans="1:6" s="1127" customFormat="1" ht="14.25" customHeight="1" x14ac:dyDescent="0.2">
      <c r="B266" s="1118"/>
      <c r="C266" s="1148"/>
      <c r="D266" s="1118"/>
      <c r="E266" s="1118"/>
    </row>
    <row r="267" spans="1:6" s="1127" customFormat="1" ht="14.25" customHeight="1" x14ac:dyDescent="0.2">
      <c r="B267" s="1118" t="s">
        <v>1103</v>
      </c>
      <c r="C267" s="1148" t="str">
        <f t="shared" ref="C267" si="35">IF(HE_language="FR",D267,E267)</f>
        <v>Fakultativ für den SST 2025</v>
      </c>
      <c r="D267" s="1118" t="s">
        <v>2132</v>
      </c>
      <c r="E267" s="1118" t="s">
        <v>2131</v>
      </c>
    </row>
    <row r="268" spans="1:6" s="1127" customFormat="1" ht="14.25" customHeight="1" x14ac:dyDescent="0.2">
      <c r="B268" s="1118" t="s">
        <v>1104</v>
      </c>
      <c r="C268" s="1148" t="str">
        <f t="shared" ref="C268" si="36">IF(HE_language="FR",D268,E268)</f>
        <v xml:space="preserve"> </v>
      </c>
      <c r="D268" s="1118" t="s">
        <v>2133</v>
      </c>
      <c r="E268" s="1118" t="s">
        <v>2133</v>
      </c>
    </row>
    <row r="271" spans="1:6" s="543" customFormat="1" ht="14.25" customHeight="1" x14ac:dyDescent="0.2">
      <c r="A271" s="1147"/>
      <c r="B271" s="545" t="s">
        <v>698</v>
      </c>
      <c r="C271" s="1149" t="str">
        <f t="shared" ref="C271:C313" si="37">IF(HE_language="FR",D271,E271)</f>
        <v>Kranken VVG: Massgebliche Vertragsgruppen für die Cashflows</v>
      </c>
      <c r="D271" s="545" t="str">
        <f>D13</f>
        <v>Maladie LCA: Groupes de contrats déterminants pour les cash flows</v>
      </c>
      <c r="E271" s="545" t="str">
        <f>E13</f>
        <v>Kranken VVG: Massgebliche Vertragsgruppen für die Cashflows</v>
      </c>
    </row>
    <row r="272" spans="1:6" s="1127" customFormat="1" ht="14.25" customHeight="1" x14ac:dyDescent="0.2">
      <c r="B272" s="1118"/>
      <c r="C272" s="1148"/>
      <c r="D272" s="1118"/>
      <c r="E272" s="546"/>
    </row>
    <row r="273" spans="2:11" s="1127" customFormat="1" ht="14.25" customHeight="1" x14ac:dyDescent="0.2">
      <c r="B273" s="1118" t="s">
        <v>699</v>
      </c>
      <c r="C273" s="1148" t="str">
        <f t="shared" si="37"/>
        <v>Massgebliche Vertragsgruppen für die Cashflows der Langzeitverpflichtungen (LZV)</v>
      </c>
      <c r="D273" s="1118" t="s">
        <v>277</v>
      </c>
      <c r="E273" s="1228" t="s">
        <v>1292</v>
      </c>
    </row>
    <row r="274" spans="2:11" s="1127" customFormat="1" ht="14.25" customHeight="1" x14ac:dyDescent="0.2">
      <c r="B274" s="1118" t="s">
        <v>700</v>
      </c>
      <c r="C274" s="1148" t="str">
        <f t="shared" si="37"/>
        <v>Vertragsgruppe (CG)</v>
      </c>
      <c r="D274" s="1118" t="s">
        <v>88</v>
      </c>
      <c r="E274" s="1228" t="s">
        <v>1293</v>
      </c>
    </row>
    <row r="275" spans="2:11" s="1127" customFormat="1" ht="14.25" customHeight="1" x14ac:dyDescent="0.2">
      <c r="B275" s="1118" t="s">
        <v>718</v>
      </c>
      <c r="C275" s="1148" t="str">
        <f t="shared" ref="C275" si="38">IF(HE_language="FR",D275,E275)</f>
        <v>einschliesslich Vertragsgruppen, deren Berechnung nicht durch das LZV-Tool durchgeführt wird</v>
      </c>
      <c r="D275" s="1118" t="s">
        <v>2134</v>
      </c>
      <c r="E275" s="1228" t="s">
        <v>2135</v>
      </c>
      <c r="F275" s="1237"/>
    </row>
    <row r="276" spans="2:11" s="1127" customFormat="1" ht="14.25" customHeight="1" x14ac:dyDescent="0.2">
      <c r="B276" s="1118" t="s">
        <v>719</v>
      </c>
      <c r="C276" s="1148" t="str">
        <f t="shared" ref="C276" si="39">IF(HE_language="FR",D276,E276)</f>
        <v>Tabellenblätter HE_CGx vor HE_LZV_CF ausfüllen</v>
      </c>
      <c r="D276" s="1118" t="s">
        <v>1327</v>
      </c>
      <c r="E276" s="1235" t="s">
        <v>1328</v>
      </c>
    </row>
    <row r="277" spans="2:11" s="1127" customFormat="1" ht="14.25" customHeight="1" x14ac:dyDescent="0.2">
      <c r="B277" s="1118" t="s">
        <v>701</v>
      </c>
      <c r="C277" s="1148" t="str">
        <f t="shared" si="37"/>
        <v>Identifikator der CG</v>
      </c>
      <c r="D277" s="1118" t="s">
        <v>267</v>
      </c>
      <c r="E277" s="1228" t="s">
        <v>1294</v>
      </c>
    </row>
    <row r="278" spans="2:11" s="1127" customFormat="1" ht="14.25" customHeight="1" x14ac:dyDescent="0.2">
      <c r="B278" s="1118" t="s">
        <v>702</v>
      </c>
      <c r="C278" s="1148" t="str">
        <f t="shared" si="37"/>
        <v>Produktegruppe (PG)</v>
      </c>
      <c r="D278" s="1118" t="s">
        <v>81</v>
      </c>
      <c r="E278" s="1228" t="s">
        <v>1295</v>
      </c>
    </row>
    <row r="279" spans="2:11" s="1127" customFormat="1" ht="14.25" customHeight="1" x14ac:dyDescent="0.2">
      <c r="B279" s="1118" t="s">
        <v>703</v>
      </c>
      <c r="C279" s="1148" t="str">
        <f t="shared" si="37"/>
        <v>Produkteuntergruppe (SPG) und Art der Tarifierung (TT)</v>
      </c>
      <c r="D279" s="1118" t="s">
        <v>264</v>
      </c>
      <c r="E279" s="1228" t="s">
        <v>1296</v>
      </c>
    </row>
    <row r="280" spans="2:11" s="1127" customFormat="1" ht="14.25" customHeight="1" x14ac:dyDescent="0.2">
      <c r="B280" s="1118" t="s">
        <v>704</v>
      </c>
      <c r="C280" s="1148" t="str">
        <f t="shared" si="37"/>
        <v>Zusätzliche Spezifikation der CG</v>
      </c>
      <c r="D280" s="1118" t="s">
        <v>266</v>
      </c>
      <c r="E280" s="1228" t="s">
        <v>1297</v>
      </c>
    </row>
    <row r="281" spans="2:11" s="1127" customFormat="1" ht="14.25" customHeight="1" x14ac:dyDescent="0.2">
      <c r="B281" s="1118" t="s">
        <v>705</v>
      </c>
      <c r="C281" s="1148" t="str">
        <f t="shared" si="37"/>
        <v>Bezeichnung der CG</v>
      </c>
      <c r="D281" s="1118" t="s">
        <v>80</v>
      </c>
      <c r="E281" s="1228" t="s">
        <v>1609</v>
      </c>
      <c r="H281" s="1243"/>
      <c r="I281" s="1243"/>
      <c r="J281" s="1243"/>
      <c r="K281" s="1243"/>
    </row>
    <row r="282" spans="2:11" s="1127" customFormat="1" ht="14.25" customHeight="1" x14ac:dyDescent="0.2">
      <c r="B282" s="1118" t="s">
        <v>706</v>
      </c>
      <c r="C282" s="1148" t="str">
        <f t="shared" si="37"/>
        <v>Nr. der PG</v>
      </c>
      <c r="D282" s="1118" t="s">
        <v>265</v>
      </c>
      <c r="E282" s="1228" t="s">
        <v>1298</v>
      </c>
    </row>
    <row r="283" spans="2:11" s="1127" customFormat="1" ht="14.25" customHeight="1" x14ac:dyDescent="0.2">
      <c r="B283" s="1118" t="s">
        <v>707</v>
      </c>
      <c r="C283" s="1148" t="str">
        <f t="shared" si="37"/>
        <v>Nr. der SPG</v>
      </c>
      <c r="D283" s="1118" t="s">
        <v>268</v>
      </c>
      <c r="E283" s="1228" t="s">
        <v>1299</v>
      </c>
    </row>
    <row r="284" spans="2:11" s="1127" customFormat="1" ht="14.25" customHeight="1" x14ac:dyDescent="0.2">
      <c r="B284" s="1118" t="s">
        <v>708</v>
      </c>
      <c r="C284" s="1148" t="str">
        <f t="shared" si="37"/>
        <v>Nr. der TT</v>
      </c>
      <c r="D284" s="1118" t="s">
        <v>269</v>
      </c>
      <c r="E284" s="1228" t="s">
        <v>1300</v>
      </c>
    </row>
    <row r="285" spans="2:11" s="1127" customFormat="1" ht="14.25" customHeight="1" x14ac:dyDescent="0.2">
      <c r="B285" s="1118" t="s">
        <v>709</v>
      </c>
      <c r="C285" s="1148" t="str">
        <f t="shared" si="37"/>
        <v>zusätzl. Nr.</v>
      </c>
      <c r="D285" s="1118" t="s">
        <v>270</v>
      </c>
      <c r="E285" s="1228" t="s">
        <v>1547</v>
      </c>
      <c r="F285" s="1237"/>
    </row>
    <row r="286" spans="2:11" s="1127" customFormat="1" ht="14.25" customHeight="1" x14ac:dyDescent="0.2">
      <c r="B286" s="1118" t="s">
        <v>710</v>
      </c>
      <c r="C286" s="1148" t="str">
        <f t="shared" si="37"/>
        <v>Entsprechendes Tabellenblatt für die Daten nach Alter und Geschlecht</v>
      </c>
      <c r="D286" s="1118" t="s">
        <v>128</v>
      </c>
      <c r="E286" s="1228" t="s">
        <v>1301</v>
      </c>
    </row>
    <row r="287" spans="2:11" s="1127" customFormat="1" ht="14.25" customHeight="1" x14ac:dyDescent="0.2">
      <c r="B287" s="1118" t="s">
        <v>720</v>
      </c>
      <c r="C287" s="1148" t="str">
        <f t="shared" ref="C287:C290" si="40">IF(HE_language="FR",D287,E287)</f>
        <v>Gemäss den 5 Standardproduktegruppen</v>
      </c>
      <c r="D287" s="1118" t="s">
        <v>87</v>
      </c>
      <c r="E287" s="1228" t="s">
        <v>1302</v>
      </c>
    </row>
    <row r="288" spans="2:11" s="1127" customFormat="1" ht="14.25" customHeight="1" x14ac:dyDescent="0.2">
      <c r="B288" s="1118" t="s">
        <v>721</v>
      </c>
      <c r="C288" s="1148" t="str">
        <f t="shared" si="40"/>
        <v>Gegebenenfalls Standardprodukteuntergruppe und Art der Tarifierung</v>
      </c>
      <c r="D288" s="1118" t="s">
        <v>271</v>
      </c>
      <c r="E288" s="1228" t="s">
        <v>1303</v>
      </c>
    </row>
    <row r="289" spans="2:8" s="1127" customFormat="1" ht="14.25" customHeight="1" x14ac:dyDescent="0.2">
      <c r="B289" s="1118" t="s">
        <v>722</v>
      </c>
      <c r="C289" s="1148" t="str">
        <f t="shared" si="40"/>
        <v>Auszufüllen, wenn die vorangehenden Spezifikationen nicht ausreichen. Bitte keine Sonderzeichen oder Punkte verwenden</v>
      </c>
      <c r="D289" s="1118" t="s">
        <v>273</v>
      </c>
      <c r="E289" s="1228" t="s">
        <v>1548</v>
      </c>
      <c r="F289" s="1237"/>
    </row>
    <row r="290" spans="2:8" s="1127" customFormat="1" ht="14.25" customHeight="1" x14ac:dyDescent="0.2">
      <c r="B290" s="1118" t="s">
        <v>723</v>
      </c>
      <c r="C290" s="1148" t="str">
        <f t="shared" si="40"/>
        <v>Bezeichnung des Tabs</v>
      </c>
      <c r="D290" s="1118" t="s">
        <v>118</v>
      </c>
      <c r="E290" s="1228" t="s">
        <v>1581</v>
      </c>
    </row>
    <row r="291" spans="2:8" s="1127" customFormat="1" ht="14.25" customHeight="1" x14ac:dyDescent="0.2">
      <c r="B291" s="1118" t="s">
        <v>724</v>
      </c>
      <c r="C291" s="1148" t="str">
        <f t="shared" ref="C291:C304" si="41">IF(HE_language="FR",D291,E291)</f>
        <v>Bezeichnung in Zelle A1 des Tabellenblatts</v>
      </c>
      <c r="D291" s="1118" t="s">
        <v>119</v>
      </c>
      <c r="E291" s="1228" t="s">
        <v>1582</v>
      </c>
    </row>
    <row r="292" spans="2:8" s="1127" customFormat="1" ht="14.25" customHeight="1" x14ac:dyDescent="0.2">
      <c r="B292" s="1118" t="s">
        <v>711</v>
      </c>
      <c r="C292" s="1148" t="str">
        <f t="shared" si="41"/>
        <v xml:space="preserve">Merkmale der CG für die Berechnung </v>
      </c>
      <c r="D292" s="1118" t="s">
        <v>149</v>
      </c>
      <c r="E292" s="1228" t="s">
        <v>1304</v>
      </c>
    </row>
    <row r="293" spans="2:8" s="1127" customFormat="1" ht="14.25" customHeight="1" x14ac:dyDescent="0.2">
      <c r="B293" s="1118" t="s">
        <v>733</v>
      </c>
      <c r="C293" s="1148" t="str">
        <f t="shared" ref="C293" si="42">IF(HE_language="FR",D293,E293)</f>
        <v>falls nötig vorausgefüllte Werte manuell überschreiben</v>
      </c>
      <c r="D293" s="1118" t="s">
        <v>82</v>
      </c>
      <c r="E293" s="1228" t="s">
        <v>1549</v>
      </c>
      <c r="F293" s="1237"/>
    </row>
    <row r="294" spans="2:8" s="1127" customFormat="1" ht="14.25" customHeight="1" x14ac:dyDescent="0.2">
      <c r="B294" s="1118" t="s">
        <v>712</v>
      </c>
      <c r="C294" s="1148" t="str">
        <f t="shared" si="41"/>
        <v xml:space="preserve">Berechnung durch LZV-Tool </v>
      </c>
      <c r="D294" s="1118" t="s">
        <v>2138</v>
      </c>
      <c r="E294" s="1228" t="s">
        <v>2139</v>
      </c>
    </row>
    <row r="295" spans="2:8" s="1127" customFormat="1" ht="14.25" customHeight="1" x14ac:dyDescent="0.2">
      <c r="B295" s="1118" t="s">
        <v>713</v>
      </c>
      <c r="C295" s="1148" t="str">
        <f t="shared" si="41"/>
        <v xml:space="preserve">Schwelle Prämie pro Eintrittsalter </v>
      </c>
      <c r="D295" s="1118" t="s">
        <v>58</v>
      </c>
      <c r="E295" s="1228" t="s">
        <v>1305</v>
      </c>
    </row>
    <row r="296" spans="2:8" s="1127" customFormat="1" ht="14.25" customHeight="1" x14ac:dyDescent="0.2">
      <c r="B296" s="1118" t="s">
        <v>714</v>
      </c>
      <c r="C296" s="1148" t="str">
        <f t="shared" si="41"/>
        <v>Schwelle invariante Leistungen pro Alter</v>
      </c>
      <c r="D296" s="1118" t="s">
        <v>59</v>
      </c>
      <c r="E296" s="1228" t="s">
        <v>1306</v>
      </c>
    </row>
    <row r="297" spans="2:8" s="1127" customFormat="1" ht="14.25" customHeight="1" x14ac:dyDescent="0.2">
      <c r="B297" s="1118" t="s">
        <v>715</v>
      </c>
      <c r="C297" s="1148" t="str">
        <f t="shared" si="41"/>
        <v>Schwelle invariante Kosten pro Alter</v>
      </c>
      <c r="D297" s="1118" t="s">
        <v>60</v>
      </c>
      <c r="E297" s="1228" t="s">
        <v>1307</v>
      </c>
    </row>
    <row r="298" spans="2:8" s="1127" customFormat="1" ht="14.25" customHeight="1" x14ac:dyDescent="0.2">
      <c r="B298" s="1118" t="s">
        <v>716</v>
      </c>
      <c r="C298" s="1148" t="str">
        <f t="shared" si="41"/>
        <v>Gruppe für Prämien-Cap (PC-G)</v>
      </c>
      <c r="D298" s="1118" t="s">
        <v>755</v>
      </c>
      <c r="E298" s="1228" t="s">
        <v>1308</v>
      </c>
    </row>
    <row r="299" spans="2:8" s="1127" customFormat="1" ht="14.25" customHeight="1" x14ac:dyDescent="0.2">
      <c r="B299" s="1118" t="s">
        <v>734</v>
      </c>
      <c r="C299" s="1148" t="str">
        <f t="shared" ref="C299:C303" si="43">IF(HE_language="FR",D299,E299)</f>
        <v>Standardmässig «ja»; «nein» bedeutet, dass das LZV-Tool die CG ignoriert</v>
      </c>
      <c r="D299" s="1118" t="s">
        <v>2140</v>
      </c>
      <c r="E299" s="1228" t="s">
        <v>2141</v>
      </c>
    </row>
    <row r="300" spans="2:8" s="1127" customFormat="1" ht="14.25" customHeight="1" x14ac:dyDescent="0.2">
      <c r="B300" s="1118" t="s">
        <v>735</v>
      </c>
      <c r="C300" s="1148" t="str">
        <f t="shared" si="43"/>
        <v>Altersklassen-Schwelle, ab der die Prämie pro Eintrittsalter angenommen wird: standardmässig 110, d. h. Prämie nach Effektivalter</v>
      </c>
      <c r="D300" s="1118" t="s">
        <v>126</v>
      </c>
      <c r="E300" s="1228" t="s">
        <v>1610</v>
      </c>
      <c r="F300" s="1237"/>
      <c r="H300" s="1236"/>
    </row>
    <row r="301" spans="2:8" s="1127" customFormat="1" ht="14.25" customHeight="1" x14ac:dyDescent="0.2">
      <c r="B301" s="1118" t="s">
        <v>736</v>
      </c>
      <c r="C301" s="1148" t="str">
        <f t="shared" si="43"/>
        <v>Altersklassen-Schwelle, ab der angenommen wird, dass die erwarteten Leistungen pro Alter konstant bleiben; standardmässig 110</v>
      </c>
      <c r="D301" s="1118" t="s">
        <v>92</v>
      </c>
      <c r="E301" s="1228" t="s">
        <v>1584</v>
      </c>
    </row>
    <row r="302" spans="2:8" s="1127" customFormat="1" ht="14.25" customHeight="1" x14ac:dyDescent="0.2">
      <c r="B302" s="1118" t="s">
        <v>737</v>
      </c>
      <c r="C302" s="1148" t="str">
        <f t="shared" si="43"/>
        <v>Altersklassen-Schwelle, ab der angenommen wird, dass die erwarteten Kosten pro Alter konstant bleiben; standardmässig 110</v>
      </c>
      <c r="D302" s="1118" t="s">
        <v>93</v>
      </c>
      <c r="E302" s="1228" t="s">
        <v>1583</v>
      </c>
    </row>
    <row r="303" spans="2:8" s="1127" customFormat="1" ht="14.25" customHeight="1" x14ac:dyDescent="0.2">
      <c r="B303" s="1118" t="s">
        <v>738</v>
      </c>
      <c r="C303" s="1148" t="str">
        <f t="shared" si="43"/>
        <v>Entspricht standardmässig Nummer der Produktegruppe.</v>
      </c>
      <c r="D303" s="1118" t="s">
        <v>272</v>
      </c>
      <c r="E303" s="1228" t="s">
        <v>1309</v>
      </c>
    </row>
    <row r="304" spans="2:8" s="1127" customFormat="1" ht="14.25" customHeight="1" x14ac:dyDescent="0.2">
      <c r="B304" s="1118" t="s">
        <v>717</v>
      </c>
      <c r="C304" s="1148" t="str">
        <f t="shared" si="41"/>
        <v xml:space="preserve">Prämienvolumen </v>
      </c>
      <c r="D304" s="1118" t="s">
        <v>383</v>
      </c>
      <c r="E304" s="1228" t="s">
        <v>1310</v>
      </c>
    </row>
    <row r="305" spans="2:6" s="1127" customFormat="1" ht="14.25" customHeight="1" x14ac:dyDescent="0.2">
      <c r="B305" s="1118" t="s">
        <v>739</v>
      </c>
      <c r="C305" s="1148" t="str">
        <f t="shared" ref="C305" si="44">IF(HE_language="FR",D305,E305)</f>
        <v xml:space="preserve">Total jährliche Prämien für </v>
      </c>
      <c r="D305" s="1118" t="s">
        <v>740</v>
      </c>
      <c r="E305" s="1228" t="s">
        <v>1311</v>
      </c>
    </row>
    <row r="306" spans="2:6" s="1127" customFormat="1" ht="14.25" customHeight="1" x14ac:dyDescent="0.2">
      <c r="B306" s="1118" t="s">
        <v>742</v>
      </c>
      <c r="C306" s="1148" t="str">
        <f t="shared" ref="C306" si="45">IF(HE_language="FR",D306,E306)</f>
        <v xml:space="preserve"> aller Verträge per 01.01.</v>
      </c>
      <c r="D306" s="1118" t="s">
        <v>1616</v>
      </c>
      <c r="E306" s="1228" t="s">
        <v>1615</v>
      </c>
    </row>
    <row r="307" spans="2:6" s="1127" customFormat="1" ht="14.25" customHeight="1" x14ac:dyDescent="0.2">
      <c r="B307" s="1118" t="s">
        <v>727</v>
      </c>
      <c r="C307" s="1148" t="str">
        <f t="shared" si="37"/>
        <v>Davon bereits erhaltene Prämien per 31.12.</v>
      </c>
      <c r="D307" s="1118" t="s">
        <v>741</v>
      </c>
      <c r="E307" s="1228" t="s">
        <v>1312</v>
      </c>
    </row>
    <row r="308" spans="2:6" s="1127" customFormat="1" ht="14.25" customHeight="1" x14ac:dyDescent="0.2">
      <c r="B308" s="1118"/>
      <c r="C308" s="1148"/>
      <c r="D308" s="1118"/>
      <c r="E308" s="1228"/>
    </row>
    <row r="309" spans="2:6" s="1127" customFormat="1" ht="14.25" customHeight="1" x14ac:dyDescent="0.2">
      <c r="B309" s="1118" t="s">
        <v>728</v>
      </c>
      <c r="C309" s="1148" t="str">
        <f t="shared" si="37"/>
        <v xml:space="preserve">Angabe der Produkte der CG </v>
      </c>
      <c r="D309" s="1118" t="s">
        <v>138</v>
      </c>
      <c r="E309" s="1228" t="s">
        <v>1313</v>
      </c>
    </row>
    <row r="310" spans="2:6" s="1127" customFormat="1" ht="14.25" customHeight="1" x14ac:dyDescent="0.2">
      <c r="B310" s="1118" t="s">
        <v>729</v>
      </c>
      <c r="C310" s="1148" t="str">
        <f t="shared" si="37"/>
        <v>Massgebende Produkte für die Ermittlung der LZV</v>
      </c>
      <c r="D310" s="1118" t="s">
        <v>137</v>
      </c>
      <c r="E310" s="1228" t="s">
        <v>1314</v>
      </c>
    </row>
    <row r="311" spans="2:6" s="1127" customFormat="1" ht="14.25" customHeight="1" x14ac:dyDescent="0.2">
      <c r="B311" s="1118" t="s">
        <v>730</v>
      </c>
      <c r="C311" s="1148" t="str">
        <f t="shared" si="37"/>
        <v>Name des Produkts</v>
      </c>
      <c r="D311" s="1118" t="s">
        <v>135</v>
      </c>
      <c r="E311" s="1228" t="s">
        <v>1315</v>
      </c>
    </row>
    <row r="312" spans="2:6" s="1127" customFormat="1" ht="14.25" customHeight="1" x14ac:dyDescent="0.2">
      <c r="B312" s="1118" t="s">
        <v>731</v>
      </c>
      <c r="C312" s="1148" t="str">
        <f t="shared" si="37"/>
        <v>Zusätzliche Benennung</v>
      </c>
      <c r="D312" s="1118" t="s">
        <v>61</v>
      </c>
      <c r="E312" s="1228" t="s">
        <v>1316</v>
      </c>
    </row>
    <row r="313" spans="2:6" s="1127" customFormat="1" ht="14.25" customHeight="1" x14ac:dyDescent="0.2">
      <c r="B313" s="1118" t="s">
        <v>732</v>
      </c>
      <c r="C313" s="1148" t="str">
        <f t="shared" si="37"/>
        <v>Identifikator der CG</v>
      </c>
      <c r="D313" s="1118" t="s">
        <v>267</v>
      </c>
      <c r="E313" s="1228" t="s">
        <v>1294</v>
      </c>
    </row>
    <row r="314" spans="2:6" s="1127" customFormat="1" ht="14.25" customHeight="1" x14ac:dyDescent="0.2">
      <c r="B314" s="1118" t="s">
        <v>745</v>
      </c>
      <c r="C314" s="1148" t="str">
        <f t="shared" ref="C314:C319" si="46">IF(HE_language="FR",D314,E314)</f>
        <v>Bezeichnung der CG</v>
      </c>
      <c r="D314" s="1118" t="s">
        <v>80</v>
      </c>
      <c r="E314" s="1228" t="s">
        <v>1609</v>
      </c>
    </row>
    <row r="315" spans="2:6" s="1127" customFormat="1" ht="14.25" customHeight="1" x14ac:dyDescent="0.2">
      <c r="B315" s="1118" t="s">
        <v>748</v>
      </c>
      <c r="C315" s="1148" t="str">
        <f t="shared" si="46"/>
        <v>Bezeichnung entspricht jener der FINMA für die Genehmigung der Prämien in der EHP. Derselbe Produktname kann auf mehreren Zeilen aufgeführt werden, wenn mehrere CG vom selben Produkt betroffen sind</v>
      </c>
      <c r="D315" s="1118" t="s">
        <v>136</v>
      </c>
      <c r="E315" s="1228" t="s">
        <v>1614</v>
      </c>
    </row>
    <row r="316" spans="2:6" s="1127" customFormat="1" ht="14.25" customHeight="1" x14ac:dyDescent="0.2">
      <c r="B316" s="1118" t="s">
        <v>749</v>
      </c>
      <c r="C316" s="1148" t="str">
        <f t="shared" si="46"/>
        <v>Zu verwenden wenn Name des Produkts mehrmals erscheint, ansonsten optional (z. B. «Halbprivat»)</v>
      </c>
      <c r="D316" s="1118" t="s">
        <v>62</v>
      </c>
      <c r="E316" s="1228" t="s">
        <v>1317</v>
      </c>
    </row>
    <row r="317" spans="2:6" s="1127" customFormat="1" ht="14.25" customHeight="1" x14ac:dyDescent="0.2">
      <c r="B317" s="1118"/>
      <c r="C317" s="1148"/>
      <c r="D317" s="1118"/>
      <c r="E317" s="1228"/>
    </row>
    <row r="318" spans="2:6" s="1127" customFormat="1" ht="14.25" customHeight="1" x14ac:dyDescent="0.2">
      <c r="B318" s="1118" t="s">
        <v>746</v>
      </c>
      <c r="C318" s="1148" t="str">
        <f t="shared" si="46"/>
        <v>Parameter für Prämien-Cap</v>
      </c>
      <c r="D318" s="1118" t="s">
        <v>129</v>
      </c>
      <c r="E318" s="1228" t="s">
        <v>1318</v>
      </c>
    </row>
    <row r="319" spans="2:6" s="1127" customFormat="1" ht="14.25" customHeight="1" x14ac:dyDescent="0.2">
      <c r="B319" s="1118" t="s">
        <v>747</v>
      </c>
      <c r="C319" s="1148" t="str">
        <f t="shared" si="46"/>
        <v>Prämien-Cap-Gruppe («Premium Cap», PC-G)</v>
      </c>
      <c r="D319" s="1118" t="s">
        <v>756</v>
      </c>
      <c r="E319" s="1235" t="s">
        <v>1329</v>
      </c>
    </row>
    <row r="320" spans="2:6" s="1127" customFormat="1" ht="14.25" customHeight="1" x14ac:dyDescent="0.2">
      <c r="B320" s="1118" t="s">
        <v>750</v>
      </c>
      <c r="C320" s="1148" t="str">
        <f t="shared" ref="C320:C323" si="47">IF(HE_language="FR",D320,E320)</f>
        <v>falls nötig vorausgefüllte Werte manuell überschreiben</v>
      </c>
      <c r="D320" s="1118" t="s">
        <v>82</v>
      </c>
      <c r="E320" s="1228" t="s">
        <v>1549</v>
      </c>
      <c r="F320" s="1237"/>
    </row>
    <row r="321" spans="1:6" s="1127" customFormat="1" ht="14.25" customHeight="1" x14ac:dyDescent="0.2">
      <c r="B321" s="1118" t="s">
        <v>751</v>
      </c>
      <c r="C321" s="1148" t="str">
        <f t="shared" si="47"/>
        <v>PC-G</v>
      </c>
      <c r="D321" s="1118" t="s">
        <v>757</v>
      </c>
      <c r="E321" s="1228" t="s">
        <v>757</v>
      </c>
    </row>
    <row r="322" spans="1:6" s="1127" customFormat="1" ht="14.25" customHeight="1" x14ac:dyDescent="0.2">
      <c r="B322" s="1118" t="s">
        <v>752</v>
      </c>
      <c r="C322" s="1148" t="str">
        <f t="shared" si="47"/>
        <v>Minimaler Schaden-Kosten-Satz</v>
      </c>
      <c r="D322" s="1118" t="s">
        <v>130</v>
      </c>
      <c r="E322" s="1228" t="s">
        <v>1319</v>
      </c>
    </row>
    <row r="323" spans="1:6" s="1127" customFormat="1" ht="14.25" customHeight="1" x14ac:dyDescent="0.2">
      <c r="B323" s="1118" t="s">
        <v>753</v>
      </c>
      <c r="C323" s="1148" t="str">
        <f t="shared" si="47"/>
        <v>Jahr, ab dem dieser Satz angewendet wird</v>
      </c>
      <c r="D323" s="1118" t="s">
        <v>131</v>
      </c>
      <c r="E323" s="1228" t="s">
        <v>1320</v>
      </c>
    </row>
    <row r="324" spans="1:6" s="1127" customFormat="1" ht="14.25" customHeight="1" x14ac:dyDescent="0.2">
      <c r="B324" s="1118" t="s">
        <v>754</v>
      </c>
      <c r="C324" s="1148" t="str">
        <f t="shared" ref="C324:C327" si="48">IF(HE_language="FR",D324,E324)</f>
        <v>Satz pro Jahr</v>
      </c>
      <c r="D324" s="1118" t="s">
        <v>133</v>
      </c>
      <c r="E324" s="1228" t="s">
        <v>1321</v>
      </c>
    </row>
    <row r="325" spans="1:6" s="1127" customFormat="1" ht="14.25" customHeight="1" x14ac:dyDescent="0.2">
      <c r="B325" s="1118" t="s">
        <v>758</v>
      </c>
      <c r="C325" s="1148" t="str">
        <f t="shared" si="48"/>
        <v>Nur die in der oben stehenden Tabelle definierten PC-G werden verwendet</v>
      </c>
      <c r="D325" s="1118" t="s">
        <v>1325</v>
      </c>
      <c r="E325" s="1228" t="s">
        <v>1322</v>
      </c>
    </row>
    <row r="326" spans="1:6" s="1127" customFormat="1" ht="14.25" customHeight="1" x14ac:dyDescent="0.2">
      <c r="B326" s="1118" t="s">
        <v>759</v>
      </c>
      <c r="C326" s="1148" t="str">
        <f t="shared" si="48"/>
        <v>Standardmässig 90%</v>
      </c>
      <c r="D326" s="1118" t="s">
        <v>134</v>
      </c>
      <c r="E326" s="1228" t="s">
        <v>1323</v>
      </c>
    </row>
    <row r="327" spans="1:6" s="1127" customFormat="1" ht="14.25" customHeight="1" x14ac:dyDescent="0.2">
      <c r="B327" s="1118" t="s">
        <v>760</v>
      </c>
      <c r="C327" s="1148" t="str">
        <f t="shared" si="48"/>
        <v>Standardmässig 6; 110 falls kein Cap</v>
      </c>
      <c r="D327" s="1118" t="s">
        <v>1326</v>
      </c>
      <c r="E327" s="1228" t="s">
        <v>1324</v>
      </c>
    </row>
    <row r="328" spans="1:6" s="1127" customFormat="1" ht="14.25" customHeight="1" x14ac:dyDescent="0.2">
      <c r="B328" s="1118" t="s">
        <v>761</v>
      </c>
      <c r="C328" s="1148" t="str">
        <f t="shared" ref="C328" si="49">IF(HE_language="FR",D328,E328)</f>
        <v xml:space="preserve">Standardmässig «ja»; «nein» für Satz für zusammengezogene Jahre </v>
      </c>
      <c r="D328" s="1118" t="s">
        <v>132</v>
      </c>
      <c r="E328" s="1228" t="s">
        <v>1550</v>
      </c>
      <c r="F328" s="1237"/>
    </row>
    <row r="331" spans="1:6" s="543" customFormat="1" ht="14.25" customHeight="1" x14ac:dyDescent="0.2">
      <c r="A331" s="1147"/>
      <c r="B331" s="545" t="s">
        <v>762</v>
      </c>
      <c r="C331" s="1149" t="str">
        <f t="shared" ref="C331" si="50">IF(HE_language="FR",D331,E331)</f>
        <v>Kranken VVG: Verwaltungskosten-Sätze</v>
      </c>
      <c r="D331" s="545" t="str">
        <f>D14</f>
        <v>Maladie LCA: Taux de frais administratifs</v>
      </c>
      <c r="E331" s="545" t="str">
        <f>E14</f>
        <v>Kranken VVG: Verwaltungskosten-Sätze</v>
      </c>
    </row>
    <row r="332" spans="1:6" s="1127" customFormat="1" ht="14.25" customHeight="1" x14ac:dyDescent="0.2">
      <c r="B332" s="1118"/>
      <c r="C332" s="1148"/>
      <c r="D332" s="1118"/>
      <c r="E332" s="1118"/>
    </row>
    <row r="333" spans="1:6" s="1127" customFormat="1" ht="14.25" customHeight="1" x14ac:dyDescent="0.2">
      <c r="B333" s="1118" t="s">
        <v>763</v>
      </c>
      <c r="C333" s="1148" t="str">
        <f t="shared" ref="C333:C344" si="51">IF(HE_language="FR",D333,E333)</f>
        <v>Schritt 1: Verwaltungsaufwendungen – auf die fünf Produktegruppen (PG) abgegrenzt</v>
      </c>
      <c r="D333" s="1118" t="s">
        <v>280</v>
      </c>
      <c r="E333" s="1118" t="s">
        <v>1330</v>
      </c>
    </row>
    <row r="334" spans="1:6" s="1127" customFormat="1" ht="14.25" customHeight="1" x14ac:dyDescent="0.2">
      <c r="B334" s="1118" t="s">
        <v>764</v>
      </c>
      <c r="C334" s="1148" t="str">
        <f t="shared" si="51"/>
        <v>315200100 Verwaltungsaufwendungen</v>
      </c>
      <c r="D334" s="1118" t="s">
        <v>278</v>
      </c>
      <c r="E334" s="1118" t="s">
        <v>1331</v>
      </c>
    </row>
    <row r="335" spans="1:6" s="1127" customFormat="1" ht="14.25" customHeight="1" x14ac:dyDescent="0.2">
      <c r="B335" s="1118" t="s">
        <v>765</v>
      </c>
      <c r="C335" s="1148" t="str">
        <f t="shared" si="51"/>
        <v>Verwaltungsaufwendungen, die nicht PG1 bis PG5 zuzuordnen sind</v>
      </c>
      <c r="D335" s="1118" t="s">
        <v>1591</v>
      </c>
      <c r="E335" s="1118" t="s">
        <v>1551</v>
      </c>
      <c r="F335" s="1237"/>
    </row>
    <row r="336" spans="1:6" s="1127" customFormat="1" ht="14.25" customHeight="1" x14ac:dyDescent="0.2">
      <c r="B336" s="1118" t="s">
        <v>766</v>
      </c>
      <c r="C336" s="1148" t="str">
        <f t="shared" si="51"/>
        <v>Bereinigte Verwaltungsaufwendungen der PG1 bis PG5, vermindert um 5%</v>
      </c>
      <c r="D336" s="1118" t="s">
        <v>317</v>
      </c>
      <c r="E336" s="1118" t="s">
        <v>1552</v>
      </c>
      <c r="F336" s="1237"/>
    </row>
    <row r="337" spans="2:5" s="1127" customFormat="1" ht="14.25" customHeight="1" x14ac:dyDescent="0.2">
      <c r="B337" s="1118" t="s">
        <v>767</v>
      </c>
      <c r="C337" s="1148" t="str">
        <f t="shared" si="51"/>
        <v>Schritt 2: Informationen zum Risikobestand – auf die fünf Produktegruppen abgegrenzt und gegliedert</v>
      </c>
      <c r="D337" s="1118" t="s">
        <v>281</v>
      </c>
      <c r="E337" s="1118" t="s">
        <v>1332</v>
      </c>
    </row>
    <row r="338" spans="2:5" s="1127" customFormat="1" ht="14.25" customHeight="1" x14ac:dyDescent="0.2">
      <c r="B338" s="1118" t="s">
        <v>768</v>
      </c>
      <c r="C338" s="1148" t="str">
        <f t="shared" si="51"/>
        <v>Risikobestand</v>
      </c>
      <c r="D338" s="1118" t="s">
        <v>279</v>
      </c>
      <c r="E338" s="1118" t="s">
        <v>1333</v>
      </c>
    </row>
    <row r="339" spans="2:5" s="1127" customFormat="1" ht="14.25" customHeight="1" x14ac:dyDescent="0.2">
      <c r="B339" s="1118" t="s">
        <v>769</v>
      </c>
      <c r="C339" s="1148" t="str">
        <f t="shared" si="51"/>
        <v>Anteil am Total</v>
      </c>
      <c r="D339" s="1118" t="s">
        <v>282</v>
      </c>
      <c r="E339" s="1118" t="s">
        <v>1334</v>
      </c>
    </row>
    <row r="340" spans="2:5" s="1127" customFormat="1" ht="14.25" customHeight="1" x14ac:dyDescent="0.2">
      <c r="B340" s="1118" t="s">
        <v>770</v>
      </c>
      <c r="C340" s="1148" t="str">
        <f t="shared" si="51"/>
        <v>Schritt 3: Informationen zu den Leistungsdaten – auf die fünf Produktegruppen abgegrenzt und gegliedert</v>
      </c>
      <c r="D340" s="1118" t="s">
        <v>286</v>
      </c>
      <c r="E340" s="1118" t="s">
        <v>1335</v>
      </c>
    </row>
    <row r="341" spans="2:5" s="1127" customFormat="1" ht="14.25" customHeight="1" x14ac:dyDescent="0.2">
      <c r="B341" s="1118" t="s">
        <v>771</v>
      </c>
      <c r="C341" s="1148" t="str">
        <f t="shared" si="51"/>
        <v>Leistungen</v>
      </c>
      <c r="D341" s="1118" t="s">
        <v>777</v>
      </c>
      <c r="E341" s="1118" t="s">
        <v>1169</v>
      </c>
    </row>
    <row r="342" spans="2:5" s="1127" customFormat="1" ht="14.25" customHeight="1" x14ac:dyDescent="0.2">
      <c r="B342" s="1118" t="s">
        <v>772</v>
      </c>
      <c r="C342" s="1148" t="str">
        <f t="shared" si="51"/>
        <v>Schritt 4: Herunterbrechen der bereinigten Verwaltungsaufwendungen auf die fünf Produktegruppen</v>
      </c>
      <c r="D342" s="1118" t="s">
        <v>285</v>
      </c>
      <c r="E342" s="1118" t="s">
        <v>1336</v>
      </c>
    </row>
    <row r="343" spans="2:5" s="1127" customFormat="1" ht="14.25" customHeight="1" x14ac:dyDescent="0.2">
      <c r="B343" s="1118" t="s">
        <v>773</v>
      </c>
      <c r="C343" s="1148" t="str">
        <f t="shared" si="51"/>
        <v>Aufteilung gemäss Risikobestand</v>
      </c>
      <c r="D343" s="1118" t="s">
        <v>287</v>
      </c>
      <c r="E343" s="1118" t="s">
        <v>1337</v>
      </c>
    </row>
    <row r="344" spans="2:5" s="1127" customFormat="1" ht="14.25" customHeight="1" x14ac:dyDescent="0.2">
      <c r="B344" s="1118" t="s">
        <v>774</v>
      </c>
      <c r="C344" s="1148" t="str">
        <f t="shared" si="51"/>
        <v>Bereinigte Verwaltungsaufwendungen</v>
      </c>
      <c r="D344" s="1118" t="s">
        <v>781</v>
      </c>
      <c r="E344" s="1118" t="s">
        <v>1338</v>
      </c>
    </row>
    <row r="345" spans="2:5" s="1127" customFormat="1" ht="14.25" customHeight="1" x14ac:dyDescent="0.2">
      <c r="B345" s="1118" t="s">
        <v>778</v>
      </c>
      <c r="C345" s="1148" t="str">
        <f t="shared" ref="C345:C347" si="52">IF(HE_language="FR",D345,E345)</f>
        <v>Aufteilung gemäss Leistungen</v>
      </c>
      <c r="D345" s="1118" t="s">
        <v>288</v>
      </c>
      <c r="E345" s="1118" t="s">
        <v>1339</v>
      </c>
    </row>
    <row r="346" spans="2:5" s="1127" customFormat="1" ht="14.25" customHeight="1" x14ac:dyDescent="0.2">
      <c r="B346" s="1118" t="s">
        <v>779</v>
      </c>
      <c r="C346" s="1148" t="str">
        <f t="shared" si="52"/>
        <v>Best-Estimate pro Produktegruppe</v>
      </c>
      <c r="D346" s="1118" t="s">
        <v>289</v>
      </c>
      <c r="E346" s="1118" t="s">
        <v>1340</v>
      </c>
    </row>
    <row r="347" spans="2:5" s="1127" customFormat="1" ht="14.25" customHeight="1" x14ac:dyDescent="0.2">
      <c r="B347" s="1118" t="s">
        <v>780</v>
      </c>
      <c r="C347" s="1148" t="str">
        <f t="shared" si="52"/>
        <v>Schritt 5: Kostensatz pro Produktegruppe</v>
      </c>
      <c r="D347" s="1118" t="s">
        <v>290</v>
      </c>
      <c r="E347" s="1118" t="s">
        <v>1341</v>
      </c>
    </row>
    <row r="348" spans="2:5" s="1127" customFormat="1" ht="14.25" customHeight="1" x14ac:dyDescent="0.2">
      <c r="B348" s="1118" t="s">
        <v>782</v>
      </c>
      <c r="C348" s="1148" t="str">
        <f t="shared" ref="C348:C351" si="53">IF(HE_language="FR",D348,E348)</f>
        <v>Prämien pro Produktegruppe</v>
      </c>
      <c r="D348" s="1118" t="s">
        <v>291</v>
      </c>
      <c r="E348" s="1118" t="s">
        <v>1342</v>
      </c>
    </row>
    <row r="349" spans="2:5" s="1127" customFormat="1" ht="14.25" customHeight="1" x14ac:dyDescent="0.2">
      <c r="B349" s="1118" t="s">
        <v>783</v>
      </c>
      <c r="C349" s="1148" t="str">
        <f t="shared" si="53"/>
        <v>Prämienvolumen</v>
      </c>
      <c r="D349" s="1118" t="s">
        <v>786</v>
      </c>
      <c r="E349" s="1118" t="s">
        <v>1343</v>
      </c>
    </row>
    <row r="350" spans="2:5" s="1127" customFormat="1" ht="14.25" customHeight="1" x14ac:dyDescent="0.2">
      <c r="B350" s="1118" t="s">
        <v>784</v>
      </c>
      <c r="C350" s="1148" t="str">
        <f t="shared" si="53"/>
        <v xml:space="preserve">Kostensatz pro Produktegruppe pro Jahr </v>
      </c>
      <c r="D350" s="1118" t="s">
        <v>293</v>
      </c>
      <c r="E350" s="1118" t="s">
        <v>1344</v>
      </c>
    </row>
    <row r="351" spans="2:5" s="1127" customFormat="1" ht="14.25" customHeight="1" x14ac:dyDescent="0.2">
      <c r="B351" s="1118" t="s">
        <v>785</v>
      </c>
      <c r="C351" s="1148" t="str">
        <f t="shared" si="53"/>
        <v>Kostensatz pro Produktegruppe für die Ermittlung der LZV</v>
      </c>
      <c r="D351" s="1118" t="s">
        <v>292</v>
      </c>
      <c r="E351" s="1118" t="s">
        <v>1345</v>
      </c>
    </row>
    <row r="354" spans="1:5" s="543" customFormat="1" ht="14.25" customHeight="1" x14ac:dyDescent="0.2">
      <c r="A354" s="1147"/>
      <c r="B354" s="545" t="s">
        <v>787</v>
      </c>
      <c r="C354" s="1149" t="str">
        <f t="shared" ref="C354" si="54">IF(HE_language="FR",D354,E354)</f>
        <v>Kranken VVG: Cashflows für die Ermittlung der Langzeitverpflichtungen</v>
      </c>
      <c r="D354" s="545" t="str">
        <f>D16</f>
        <v>Maladie LCA: Cash flows pour le calcul des engagements viagers</v>
      </c>
      <c r="E354" s="545" t="str">
        <f>E16</f>
        <v>Kranken VVG: Cashflows für die Ermittlung der Langzeitverpflichtungen</v>
      </c>
    </row>
    <row r="355" spans="1:5" s="1127" customFormat="1" ht="14.25" customHeight="1" x14ac:dyDescent="0.2">
      <c r="B355" s="1118"/>
      <c r="C355" s="1148"/>
      <c r="D355" s="1118"/>
      <c r="E355" s="1118"/>
    </row>
    <row r="356" spans="1:5" s="1127" customFormat="1" ht="14.25" customHeight="1" x14ac:dyDescent="0.2">
      <c r="B356" s="1118" t="s">
        <v>788</v>
      </c>
      <c r="C356" s="1148" t="str">
        <f t="shared" ref="C356:C383" si="55">IF(HE_language="FR",D356,E356)</f>
        <v xml:space="preserve">Dieses Tabellenblatt enthält Cashflows </v>
      </c>
      <c r="D356" s="1118" t="s">
        <v>807</v>
      </c>
      <c r="E356" s="1118" t="s">
        <v>1346</v>
      </c>
    </row>
    <row r="357" spans="1:5" s="1127" customFormat="1" ht="14.25" customHeight="1" x14ac:dyDescent="0.2">
      <c r="B357" s="1118" t="s">
        <v>789</v>
      </c>
      <c r="C357" s="1148" t="str">
        <f>IF(HE_language="FR",D357,E357)</f>
        <v xml:space="preserve">Die hellgrünen Eingabefelder sind Eingaben, die gegebenenfalls vom Output des LZV-Tools zu kopieren sind. </v>
      </c>
      <c r="D357" s="1118" t="s">
        <v>2126</v>
      </c>
      <c r="E357" s="1118" t="s">
        <v>2127</v>
      </c>
    </row>
    <row r="358" spans="1:5" s="1127" customFormat="1" ht="14.25" customHeight="1" x14ac:dyDescent="0.2">
      <c r="B358" s="1118" t="s">
        <v>790</v>
      </c>
      <c r="C358" s="1148" t="str">
        <f>IF(HE_language="FR",D358,E358)</f>
        <v>Falls Cashflows nicht durch das LZV-Tool berechnet werden (Verwendung eines eigenen Tools), sind sie in den hellorangen Eingabefeldern einzugeben.</v>
      </c>
      <c r="D358" s="1118" t="s">
        <v>2128</v>
      </c>
      <c r="E358" s="1118" t="s">
        <v>2129</v>
      </c>
    </row>
    <row r="359" spans="1:5" s="1127" customFormat="1" ht="14.25" customHeight="1" x14ac:dyDescent="0.2">
      <c r="B359" s="1118"/>
      <c r="C359" s="1148"/>
      <c r="D359" s="1118"/>
      <c r="E359" s="1118"/>
    </row>
    <row r="360" spans="1:5" s="1127" customFormat="1" ht="14.25" customHeight="1" x14ac:dyDescent="0.2">
      <c r="B360" s="1118" t="s">
        <v>791</v>
      </c>
      <c r="C360" s="1148" t="str">
        <f t="shared" si="55"/>
        <v>Cashflows für die LZV in der SST-Bilanz per 31.12.</v>
      </c>
      <c r="D360" s="1118" t="s">
        <v>808</v>
      </c>
      <c r="E360" s="1118" t="s">
        <v>1347</v>
      </c>
    </row>
    <row r="361" spans="1:5" s="1127" customFormat="1" ht="14.25" customHeight="1" x14ac:dyDescent="0.2">
      <c r="B361" s="1118" t="s">
        <v>792</v>
      </c>
      <c r="C361" s="1148" t="str">
        <f t="shared" si="55"/>
        <v>Cashflows vor Prämien-Cap, pro Cashflowtyp</v>
      </c>
      <c r="D361" s="1118" t="s">
        <v>334</v>
      </c>
      <c r="E361" s="1118" t="s">
        <v>1366</v>
      </c>
    </row>
    <row r="362" spans="1:5" s="1127" customFormat="1" ht="14.25" customHeight="1" x14ac:dyDescent="0.2">
      <c r="B362" s="1118" t="s">
        <v>793</v>
      </c>
      <c r="C362" s="1148" t="str">
        <f t="shared" si="55"/>
        <v xml:space="preserve">Diskontierte Totale </v>
      </c>
      <c r="D362" s="1118" t="s">
        <v>336</v>
      </c>
      <c r="E362" s="1118" t="s">
        <v>1348</v>
      </c>
    </row>
    <row r="363" spans="1:5" s="1127" customFormat="1" ht="14.25" customHeight="1" x14ac:dyDescent="0.2">
      <c r="B363" s="1118" t="s">
        <v>809</v>
      </c>
      <c r="C363" s="1148" t="str">
        <f t="shared" si="55"/>
        <v>Total, in CHF</v>
      </c>
      <c r="D363" s="1118" t="s">
        <v>812</v>
      </c>
      <c r="E363" s="1118" t="s">
        <v>1349</v>
      </c>
    </row>
    <row r="364" spans="1:5" s="1127" customFormat="1" ht="14.25" customHeight="1" x14ac:dyDescent="0.2">
      <c r="B364" s="1118" t="s">
        <v>810</v>
      </c>
      <c r="C364" s="1148" t="str">
        <f t="shared" si="55"/>
        <v>Anteil am Total, mit Vorzeichen</v>
      </c>
      <c r="D364" s="1118" t="s">
        <v>339</v>
      </c>
      <c r="E364" s="1118" t="s">
        <v>1350</v>
      </c>
    </row>
    <row r="365" spans="1:5" s="1127" customFormat="1" ht="14.25" customHeight="1" x14ac:dyDescent="0.2">
      <c r="B365" s="1118" t="s">
        <v>811</v>
      </c>
      <c r="C365" s="1148" t="str">
        <f t="shared" si="55"/>
        <v>Diskontierungsfaktor</v>
      </c>
      <c r="D365" s="1118" t="s">
        <v>340</v>
      </c>
      <c r="E365" s="1118" t="s">
        <v>1585</v>
      </c>
    </row>
    <row r="366" spans="1:5" s="1127" customFormat="1" ht="14.25" customHeight="1" x14ac:dyDescent="0.2">
      <c r="B366" s="1118" t="s">
        <v>794</v>
      </c>
      <c r="C366" s="1148" t="str">
        <f t="shared" si="55"/>
        <v>Undiskontierte Cashflows pro Abwicklungsjahr, in CHF</v>
      </c>
      <c r="D366" s="1118" t="s">
        <v>337</v>
      </c>
      <c r="E366" s="1118" t="s">
        <v>1351</v>
      </c>
    </row>
    <row r="367" spans="1:5" s="1127" customFormat="1" ht="14.25" customHeight="1" x14ac:dyDescent="0.2">
      <c r="B367" s="1118" t="s">
        <v>813</v>
      </c>
      <c r="C367" s="1148" t="str">
        <f t="shared" ref="C367" si="56">IF(HE_language="FR",D367,E367)</f>
        <v>Total</v>
      </c>
      <c r="D367" s="1118" t="s">
        <v>142</v>
      </c>
      <c r="E367" s="1118" t="s">
        <v>142</v>
      </c>
    </row>
    <row r="368" spans="1:5" s="1127" customFormat="1" ht="14.25" customHeight="1" x14ac:dyDescent="0.2">
      <c r="B368" s="1118" t="s">
        <v>795</v>
      </c>
      <c r="C368" s="1148" t="str">
        <f t="shared" si="55"/>
        <v>Alternative Berechnung</v>
      </c>
      <c r="D368" s="1118" t="s">
        <v>338</v>
      </c>
      <c r="E368" s="1118" t="s">
        <v>1352</v>
      </c>
    </row>
    <row r="369" spans="2:6" s="1127" customFormat="1" ht="14.25" customHeight="1" x14ac:dyDescent="0.2">
      <c r="B369" s="1118" t="s">
        <v>796</v>
      </c>
      <c r="C369" s="1148" t="str">
        <f t="shared" si="55"/>
        <v>Zusammenzug</v>
      </c>
      <c r="D369" s="1118" t="s">
        <v>1592</v>
      </c>
      <c r="E369" s="1118" t="s">
        <v>1556</v>
      </c>
      <c r="F369" s="1237"/>
    </row>
    <row r="370" spans="2:6" s="1127" customFormat="1" ht="14.25" customHeight="1" x14ac:dyDescent="0.2">
      <c r="B370" s="1118" t="s">
        <v>797</v>
      </c>
      <c r="C370" s="1148" t="str">
        <f t="shared" si="55"/>
        <v>Cashflows vor Prämien-Cap, pro Produktegruppe</v>
      </c>
      <c r="D370" s="1118" t="s">
        <v>341</v>
      </c>
      <c r="E370" s="1118" t="s">
        <v>1353</v>
      </c>
    </row>
    <row r="371" spans="2:6" s="1127" customFormat="1" ht="14.25" customHeight="1" x14ac:dyDescent="0.2">
      <c r="B371" s="1118" t="s">
        <v>798</v>
      </c>
      <c r="C371" s="1148" t="str">
        <f t="shared" si="55"/>
        <v>Cashflows nach Prämien-Cap, pro Produktegruppe</v>
      </c>
      <c r="D371" s="1118" t="s">
        <v>823</v>
      </c>
      <c r="E371" s="1118" t="s">
        <v>1354</v>
      </c>
    </row>
    <row r="372" spans="2:6" s="1127" customFormat="1" ht="14.25" customHeight="1" x14ac:dyDescent="0.2">
      <c r="B372" s="1118" t="s">
        <v>799</v>
      </c>
      <c r="C372" s="1148" t="str">
        <f t="shared" si="55"/>
        <v>, nach Cap</v>
      </c>
      <c r="D372" s="1118" t="s">
        <v>814</v>
      </c>
      <c r="E372" s="1118" t="s">
        <v>1355</v>
      </c>
    </row>
    <row r="373" spans="2:6" s="1127" customFormat="1" ht="14.25" customHeight="1" x14ac:dyDescent="0.2">
      <c r="B373" s="1118" t="s">
        <v>800</v>
      </c>
      <c r="C373" s="1148" t="str">
        <f t="shared" si="55"/>
        <v>Risikobestand, pro Produktegruppe</v>
      </c>
      <c r="D373" s="1118" t="s">
        <v>342</v>
      </c>
      <c r="E373" s="1118" t="s">
        <v>1356</v>
      </c>
    </row>
    <row r="374" spans="2:6" s="1127" customFormat="1" ht="14.25" customHeight="1" x14ac:dyDescent="0.2">
      <c r="B374" s="1118" t="s">
        <v>801</v>
      </c>
      <c r="C374" s="1148" t="str">
        <f t="shared" si="55"/>
        <v>Anzahl Verträge (zwei Produkte zählen als zwei Verträge)</v>
      </c>
      <c r="D374" s="1118" t="s">
        <v>381</v>
      </c>
      <c r="E374" s="1118" t="s">
        <v>1357</v>
      </c>
    </row>
    <row r="375" spans="2:6" s="1127" customFormat="1" ht="14.25" customHeight="1" x14ac:dyDescent="0.2">
      <c r="B375" s="1118" t="s">
        <v>802</v>
      </c>
      <c r="C375" s="1148" t="str">
        <f t="shared" si="55"/>
        <v>Kennzahlen pro Vertrag (bestehendes Geschäft)</v>
      </c>
      <c r="D375" s="1118" t="s">
        <v>346</v>
      </c>
      <c r="E375" s="1118" t="s">
        <v>1358</v>
      </c>
    </row>
    <row r="376" spans="2:6" s="1127" customFormat="1" ht="14.25" customHeight="1" x14ac:dyDescent="0.2">
      <c r="B376" s="1118" t="s">
        <v>815</v>
      </c>
      <c r="C376" s="1148" t="str">
        <f t="shared" si="55"/>
        <v xml:space="preserve"> Best-Estimate-Gewinn pro Vertrag, in CHF</v>
      </c>
      <c r="D376" s="1118" t="s">
        <v>345</v>
      </c>
      <c r="E376" s="1118" t="s">
        <v>1359</v>
      </c>
    </row>
    <row r="377" spans="2:6" s="1127" customFormat="1" ht="14.25" customHeight="1" x14ac:dyDescent="0.2">
      <c r="B377" s="1118" t="s">
        <v>816</v>
      </c>
      <c r="C377" s="1148" t="str">
        <f t="shared" si="55"/>
        <v>Durchschnittsdauer eines Vertrages, in Jahren</v>
      </c>
      <c r="D377" s="1118" t="s">
        <v>343</v>
      </c>
      <c r="E377" s="1118" t="s">
        <v>1360</v>
      </c>
    </row>
    <row r="378" spans="2:6" s="1127" customFormat="1" ht="14.25" customHeight="1" x14ac:dyDescent="0.2">
      <c r="B378" s="1118" t="s">
        <v>817</v>
      </c>
      <c r="C378" s="1148" t="str">
        <f t="shared" si="55"/>
        <v>Anteil der PG an Total Verträge</v>
      </c>
      <c r="D378" s="1118" t="s">
        <v>344</v>
      </c>
      <c r="E378" s="1118" t="s">
        <v>1361</v>
      </c>
    </row>
    <row r="379" spans="2:6" s="1127" customFormat="1" ht="14.25" customHeight="1" x14ac:dyDescent="0.2">
      <c r="B379" s="1118" t="s">
        <v>803</v>
      </c>
      <c r="C379" s="1148" t="str">
        <f t="shared" si="55"/>
        <v>Anfangsbestand (bestehendes Geschäft) und Durchschnittsbestand pro Abwicklungsjahr</v>
      </c>
      <c r="D379" s="1118" t="s">
        <v>382</v>
      </c>
      <c r="E379" s="1118" t="s">
        <v>1362</v>
      </c>
    </row>
    <row r="380" spans="2:6" s="1127" customFormat="1" ht="14.25" customHeight="1" x14ac:dyDescent="0.2">
      <c r="B380" s="1118"/>
      <c r="C380" s="1148"/>
      <c r="D380" s="1118"/>
      <c r="E380" s="1118"/>
    </row>
    <row r="381" spans="2:6" s="1127" customFormat="1" ht="14.25" customHeight="1" x14ac:dyDescent="0.2">
      <c r="B381" s="1118" t="s">
        <v>804</v>
      </c>
      <c r="C381" s="1148" t="str">
        <f t="shared" si="55"/>
        <v xml:space="preserve">Cashflows für das Risikomodell </v>
      </c>
      <c r="D381" s="1118" t="s">
        <v>347</v>
      </c>
      <c r="E381" s="1118" t="s">
        <v>1363</v>
      </c>
    </row>
    <row r="382" spans="2:6" s="1127" customFormat="1" ht="14.25" customHeight="1" x14ac:dyDescent="0.2">
      <c r="B382" s="1118" t="s">
        <v>805</v>
      </c>
      <c r="C382" s="1148" t="str">
        <f t="shared" si="55"/>
        <v xml:space="preserve">Cashflows nach Delta-Sensitivität Auslenkung mit Prämien-Cap, pro Risikofaktor </v>
      </c>
      <c r="D382" s="1118" t="s">
        <v>1594</v>
      </c>
      <c r="E382" s="1118" t="s">
        <v>1593</v>
      </c>
      <c r="F382" s="1237"/>
    </row>
    <row r="383" spans="2:6" s="1127" customFormat="1" ht="14.25" customHeight="1" x14ac:dyDescent="0.2">
      <c r="B383" s="1118" t="s">
        <v>806</v>
      </c>
      <c r="C383" s="1148" t="str">
        <f t="shared" si="55"/>
        <v>Totale (mit Auslenkung nur für die vorgegebenen Jahre, verbleibende Jahre ohne Auslenkung)</v>
      </c>
      <c r="D383" s="1118" t="s">
        <v>1595</v>
      </c>
      <c r="E383" s="1118" t="s">
        <v>1558</v>
      </c>
      <c r="F383" s="1237"/>
    </row>
    <row r="384" spans="2:6" s="1127" customFormat="1" ht="14.25" customHeight="1" x14ac:dyDescent="0.2">
      <c r="B384" s="1118" t="s">
        <v>825</v>
      </c>
      <c r="C384" s="1148" t="str">
        <f t="shared" ref="C384:C386" si="57">IF(HE_language="FR",D384,E384)</f>
        <v xml:space="preserve"> Diskontiertes Total, in CHF</v>
      </c>
      <c r="D384" s="1118" t="s">
        <v>693</v>
      </c>
      <c r="E384" s="1118" t="s">
        <v>1364</v>
      </c>
    </row>
    <row r="385" spans="1:6" s="1127" customFormat="1" ht="14.25" customHeight="1" x14ac:dyDescent="0.2">
      <c r="B385" s="1118" t="s">
        <v>826</v>
      </c>
      <c r="C385" s="1148" t="str">
        <f t="shared" si="57"/>
        <v>Verhältnis zum Basisfall, mit Vorzeichen</v>
      </c>
      <c r="D385" s="1118" t="s">
        <v>351</v>
      </c>
      <c r="E385" s="1118" t="s">
        <v>1557</v>
      </c>
      <c r="F385" s="1237"/>
    </row>
    <row r="386" spans="1:6" s="1127" customFormat="1" ht="14.25" customHeight="1" x14ac:dyDescent="0.2">
      <c r="B386" s="1118" t="s">
        <v>827</v>
      </c>
      <c r="C386" s="1148" t="str">
        <f t="shared" si="57"/>
        <v>Undiskontiertes Total, in CHF</v>
      </c>
      <c r="D386" s="1118" t="s">
        <v>694</v>
      </c>
      <c r="E386" s="1118" t="s">
        <v>1365</v>
      </c>
    </row>
    <row r="387" spans="1:6" s="1127" customFormat="1" ht="14.25" customHeight="1" x14ac:dyDescent="0.2">
      <c r="B387" s="1118" t="s">
        <v>824</v>
      </c>
      <c r="C387" s="1148" t="str">
        <f t="shared" ref="C387" si="58">IF(HE_language="FR",D387,E387)</f>
        <v>Basisfall - ohne Auslenkung</v>
      </c>
      <c r="D387" s="1118" t="s">
        <v>354</v>
      </c>
      <c r="E387" s="1118" t="s">
        <v>1555</v>
      </c>
      <c r="F387" s="1237"/>
    </row>
    <row r="388" spans="1:6" s="1127" customFormat="1" ht="14.25" customHeight="1" x14ac:dyDescent="0.2">
      <c r="B388" s="1118" t="s">
        <v>828</v>
      </c>
      <c r="C388" s="1148" t="str">
        <f t="shared" ref="C388" si="59">IF(HE_language="FR",D388,E388)</f>
        <v>Cashflows nach Storni gemäss Szenario Antiselektion mit Prämien-Cap, pro Produktegruppe</v>
      </c>
      <c r="D388" s="1118" t="s">
        <v>1596</v>
      </c>
      <c r="E388" s="1118" t="s">
        <v>1597</v>
      </c>
      <c r="F388" s="1237"/>
    </row>
    <row r="391" spans="1:6" s="543" customFormat="1" ht="14.25" customHeight="1" x14ac:dyDescent="0.2">
      <c r="A391" s="1147"/>
      <c r="B391" s="545" t="s">
        <v>829</v>
      </c>
      <c r="C391" s="1149" t="str">
        <f t="shared" ref="C391" si="60">IF(HE_language="FR",D391,E391)</f>
        <v>Kranken VVG: Variationskoeffizient der Leistungen</v>
      </c>
      <c r="D391" s="545" t="str">
        <f>D17</f>
        <v>Maladie LCA: Coefficient de variation des prestations</v>
      </c>
      <c r="E391" s="545" t="str">
        <f>E17</f>
        <v>Kranken VVG: Variationskoeffizient der Leistungen</v>
      </c>
    </row>
    <row r="392" spans="1:6" s="1127" customFormat="1" ht="14.25" customHeight="1" x14ac:dyDescent="0.2">
      <c r="B392" s="1118"/>
      <c r="C392" s="1148"/>
      <c r="D392" s="1118"/>
      <c r="E392" s="1118"/>
    </row>
    <row r="393" spans="1:6" s="1127" customFormat="1" ht="14.25" customHeight="1" x14ac:dyDescent="0.2">
      <c r="B393" s="1118" t="s">
        <v>830</v>
      </c>
      <c r="C393" s="1148" t="str">
        <f t="shared" ref="C393:C403" si="61">IF(HE_language="FR",D393,E393)</f>
        <v xml:space="preserve">Erwartete Leistungen pro Vertrag für </v>
      </c>
      <c r="D393" s="1118" t="s">
        <v>842</v>
      </c>
      <c r="E393" s="1118" t="s">
        <v>1367</v>
      </c>
    </row>
    <row r="394" spans="1:6" s="1127" customFormat="1" ht="14.25" customHeight="1" x14ac:dyDescent="0.2">
      <c r="B394" s="1118" t="s">
        <v>831</v>
      </c>
      <c r="C394" s="1148" t="str">
        <f t="shared" si="61"/>
        <v>Standardabweichung der jährlichen Leistungen pro Vertrag</v>
      </c>
      <c r="D394" s="1118" t="s">
        <v>390</v>
      </c>
      <c r="E394" s="1118" t="s">
        <v>1368</v>
      </c>
    </row>
    <row r="395" spans="1:6" s="1127" customFormat="1" ht="14.25" customHeight="1" x14ac:dyDescent="0.2">
      <c r="B395" s="1118" t="s">
        <v>832</v>
      </c>
      <c r="C395" s="1148" t="str">
        <f t="shared" si="61"/>
        <v>Variationskoeffizient der jährlichen Leistungen</v>
      </c>
      <c r="D395" s="1118" t="s">
        <v>391</v>
      </c>
      <c r="E395" s="1118" t="s">
        <v>1369</v>
      </c>
    </row>
    <row r="396" spans="1:6" s="1127" customFormat="1" ht="14.25" customHeight="1" x14ac:dyDescent="0.2">
      <c r="B396" s="1118" t="s">
        <v>833</v>
      </c>
      <c r="C396" s="1148" t="str">
        <f t="shared" si="61"/>
        <v>Variationskoeffizient der jährlichen erwarteten Leistungen</v>
      </c>
      <c r="D396" s="1118" t="s">
        <v>392</v>
      </c>
      <c r="E396" s="1118" t="s">
        <v>1370</v>
      </c>
    </row>
    <row r="397" spans="1:6" s="1127" customFormat="1" ht="14.25" customHeight="1" x14ac:dyDescent="0.2">
      <c r="B397" s="1118" t="s">
        <v>834</v>
      </c>
      <c r="C397" s="1148" t="str">
        <f t="shared" si="61"/>
        <v>Behandlungsjahr</v>
      </c>
      <c r="D397" s="1118" t="s">
        <v>316</v>
      </c>
      <c r="E397" s="1118" t="s">
        <v>1288</v>
      </c>
    </row>
    <row r="398" spans="1:6" s="1127" customFormat="1" ht="14.25" customHeight="1" x14ac:dyDescent="0.2">
      <c r="B398" s="1118" t="s">
        <v>835</v>
      </c>
      <c r="C398" s="1148" t="str">
        <f t="shared" si="61"/>
        <v>Leistungen, in CHF</v>
      </c>
      <c r="D398" s="1118" t="s">
        <v>283</v>
      </c>
      <c r="E398" s="1118" t="s">
        <v>1371</v>
      </c>
    </row>
    <row r="399" spans="1:6" s="1127" customFormat="1" ht="14.25" customHeight="1" x14ac:dyDescent="0.2">
      <c r="B399" s="1118" t="s">
        <v>836</v>
      </c>
      <c r="C399" s="1148" t="str">
        <f t="shared" si="61"/>
        <v>Bestand per 31.12.</v>
      </c>
      <c r="D399" s="1118" t="s">
        <v>386</v>
      </c>
      <c r="E399" s="1118" t="s">
        <v>1372</v>
      </c>
    </row>
    <row r="400" spans="1:6" s="1127" customFormat="1" ht="14.25" customHeight="1" x14ac:dyDescent="0.2">
      <c r="B400" s="1118" t="s">
        <v>837</v>
      </c>
      <c r="C400" s="1148" t="str">
        <f t="shared" si="61"/>
        <v>Leistungen pro Vertrag, in CHF</v>
      </c>
      <c r="D400" s="1118" t="s">
        <v>387</v>
      </c>
      <c r="E400" s="1118" t="s">
        <v>1373</v>
      </c>
    </row>
    <row r="401" spans="1:6" s="1127" customFormat="1" ht="14.25" customHeight="1" x14ac:dyDescent="0.2">
      <c r="B401" s="1118" t="s">
        <v>838</v>
      </c>
      <c r="C401" s="1148" t="str">
        <f t="shared" si="61"/>
        <v>Mittelwert</v>
      </c>
      <c r="D401" s="1118" t="s">
        <v>388</v>
      </c>
      <c r="E401" s="1118" t="s">
        <v>1559</v>
      </c>
      <c r="F401" s="1237"/>
    </row>
    <row r="402" spans="1:6" s="1127" customFormat="1" ht="14.25" customHeight="1" x14ac:dyDescent="0.2">
      <c r="B402" s="1118" t="s">
        <v>839</v>
      </c>
      <c r="C402" s="1148" t="str">
        <f t="shared" si="61"/>
        <v>Bestand per 01.01.</v>
      </c>
      <c r="D402" s="1118" t="s">
        <v>843</v>
      </c>
      <c r="E402" s="1118" t="s">
        <v>1374</v>
      </c>
    </row>
    <row r="403" spans="1:6" s="1127" customFormat="1" ht="14.25" customHeight="1" x14ac:dyDescent="0.2">
      <c r="B403" s="1118" t="s">
        <v>840</v>
      </c>
      <c r="C403" s="1148" t="str">
        <f t="shared" si="61"/>
        <v>Anteil der PG an Total Bestand</v>
      </c>
      <c r="D403" s="1118" t="s">
        <v>389</v>
      </c>
      <c r="E403" s="1118" t="s">
        <v>1375</v>
      </c>
    </row>
    <row r="404" spans="1:6" s="1127" customFormat="1" ht="14.25" customHeight="1" x14ac:dyDescent="0.2">
      <c r="B404" s="1118" t="s">
        <v>841</v>
      </c>
      <c r="C404" s="1148" t="str">
        <f t="shared" ref="C404" si="62">IF(HE_language="FR",D404,E404)</f>
        <v>Vektor für Berechnung</v>
      </c>
      <c r="D404" s="1118" t="s">
        <v>393</v>
      </c>
      <c r="E404" s="1118" t="s">
        <v>1376</v>
      </c>
    </row>
    <row r="407" spans="1:6" s="543" customFormat="1" ht="14.25" customHeight="1" x14ac:dyDescent="0.2">
      <c r="A407" s="1147"/>
      <c r="B407" s="545" t="s">
        <v>846</v>
      </c>
      <c r="C407" s="1149" t="str">
        <f t="shared" ref="C407" si="63">IF(HE_language="FR",D407,E407)</f>
        <v>Kranken VVG: Versicherungsrisiko der Branche Einzelkrankenversicherung (EK)</v>
      </c>
      <c r="D407" s="545" t="str">
        <f>D18</f>
        <v>Maladie LCA: Risques d'assurance de la branche assurance-maladie individuelle (MI)</v>
      </c>
      <c r="E407" s="545" t="str">
        <f>E18</f>
        <v>Kranken VVG: Versicherungsrisiko der Branche Einzelkrankenversicherung (EK)</v>
      </c>
    </row>
    <row r="408" spans="1:6" s="1127" customFormat="1" ht="14.25" customHeight="1" x14ac:dyDescent="0.2">
      <c r="B408" s="1118"/>
      <c r="C408" s="1148"/>
      <c r="D408" s="1118"/>
      <c r="E408" s="1118"/>
    </row>
    <row r="409" spans="1:6" s="1127" customFormat="1" ht="14.25" customHeight="1" x14ac:dyDescent="0.2">
      <c r="B409" s="1118" t="s">
        <v>847</v>
      </c>
      <c r="C409" s="1148" t="str">
        <f t="shared" ref="C409:C428" si="64">IF(HE_language="FR",D409,E409)</f>
        <v>Werte in SST-Bilanz und in statutarischer Bilanz</v>
      </c>
      <c r="D409" s="1118" t="s">
        <v>394</v>
      </c>
      <c r="E409" s="1118" t="s">
        <v>1377</v>
      </c>
    </row>
    <row r="410" spans="1:6" s="1127" customFormat="1" ht="14.25" customHeight="1" x14ac:dyDescent="0.2">
      <c r="B410" s="1118" t="s">
        <v>848</v>
      </c>
      <c r="C410" s="1148" t="str">
        <f t="shared" ref="C410" si="65">IF(HE_language="FR",D410,E410)</f>
        <v>Berechnungsschritte</v>
      </c>
      <c r="D410" s="1118" t="s">
        <v>396</v>
      </c>
      <c r="E410" s="1118" t="s">
        <v>1378</v>
      </c>
    </row>
    <row r="411" spans="1:6" s="1127" customFormat="1" ht="14.25" customHeight="1" x14ac:dyDescent="0.2">
      <c r="B411" s="1118" t="s">
        <v>861</v>
      </c>
      <c r="C411" s="1148" t="str">
        <f t="shared" si="64"/>
        <v>Vor Prämien-Cap, undiskontiert, in CHF</v>
      </c>
      <c r="D411" s="1118" t="s">
        <v>397</v>
      </c>
      <c r="E411" s="1118" t="s">
        <v>1379</v>
      </c>
    </row>
    <row r="412" spans="1:6" s="1127" customFormat="1" ht="14.25" customHeight="1" x14ac:dyDescent="0.2">
      <c r="B412" s="1118" t="s">
        <v>862</v>
      </c>
      <c r="C412" s="1148" t="str">
        <f t="shared" ref="C412:C414" si="66">IF(HE_language="FR",D412,E412)</f>
        <v>Quotient vor/nach Cap</v>
      </c>
      <c r="D412" s="1118" t="s">
        <v>398</v>
      </c>
      <c r="E412" s="1118" t="s">
        <v>1380</v>
      </c>
    </row>
    <row r="413" spans="1:6" s="1127" customFormat="1" ht="14.25" customHeight="1" x14ac:dyDescent="0.2">
      <c r="B413" s="1118" t="s">
        <v>863</v>
      </c>
      <c r="C413" s="1148" t="str">
        <f t="shared" si="66"/>
        <v>Nach Prämien-Cap, undiskontiert, in CHF</v>
      </c>
      <c r="D413" s="1118" t="s">
        <v>399</v>
      </c>
      <c r="E413" s="1118" t="s">
        <v>1381</v>
      </c>
    </row>
    <row r="414" spans="1:6" s="1127" customFormat="1" ht="14.25" customHeight="1" x14ac:dyDescent="0.2">
      <c r="B414" s="1118" t="s">
        <v>864</v>
      </c>
      <c r="C414" s="1148" t="str">
        <f t="shared" si="66"/>
        <v>Quotient vor/nach Diskontierung</v>
      </c>
      <c r="D414" s="1118" t="s">
        <v>400</v>
      </c>
      <c r="E414" s="1118" t="s">
        <v>1382</v>
      </c>
    </row>
    <row r="415" spans="1:6" s="1127" customFormat="1" ht="14.25" customHeight="1" x14ac:dyDescent="0.2">
      <c r="B415" s="1118" t="s">
        <v>865</v>
      </c>
      <c r="C415" s="1148" t="str">
        <f t="shared" ref="C415" si="67">IF(HE_language="FR",D415,E415)</f>
        <v>Nach Prämien-Cap, diskontiert, in CHF</v>
      </c>
      <c r="D415" s="1118" t="s">
        <v>401</v>
      </c>
      <c r="E415" s="1118" t="s">
        <v>1383</v>
      </c>
    </row>
    <row r="416" spans="1:6" s="1127" customFormat="1" ht="14.25" customHeight="1" x14ac:dyDescent="0.2">
      <c r="B416" s="1118" t="s">
        <v>849</v>
      </c>
      <c r="C416" s="1148" t="str">
        <f t="shared" si="64"/>
        <v>Best-Estimate der Langzeitverpflichtungen (Kranken): Brutto</v>
      </c>
      <c r="D416" s="1118" t="s">
        <v>395</v>
      </c>
      <c r="E416" s="1118" t="s">
        <v>1384</v>
      </c>
    </row>
    <row r="417" spans="2:5" s="1127" customFormat="1" ht="14.25" customHeight="1" x14ac:dyDescent="0.2">
      <c r="B417" s="1118" t="s">
        <v>850</v>
      </c>
      <c r="C417" s="1148" t="str">
        <f t="shared" si="64"/>
        <v>Statutarische Alterungsrückstellungen</v>
      </c>
      <c r="D417" s="1118" t="s">
        <v>1408</v>
      </c>
      <c r="E417" s="1233" t="s">
        <v>1409</v>
      </c>
    </row>
    <row r="418" spans="2:5" s="1127" customFormat="1" ht="14.25" customHeight="1" x14ac:dyDescent="0.2">
      <c r="B418" s="1118"/>
      <c r="C418" s="1148"/>
      <c r="D418" s="1118"/>
      <c r="E418" s="1118"/>
    </row>
    <row r="419" spans="2:5" s="1127" customFormat="1" ht="14.25" customHeight="1" x14ac:dyDescent="0.2">
      <c r="B419" s="1118" t="s">
        <v>851</v>
      </c>
      <c r="C419" s="1148" t="str">
        <f t="shared" si="64"/>
        <v>1) Abhängigkeit der Langzeitverpflichtungen (LZV) von den Risikofaktoren für das Risiko der zukünftigen Jahre</v>
      </c>
      <c r="D419" s="1118" t="s">
        <v>885</v>
      </c>
      <c r="E419" s="1118" t="s">
        <v>1385</v>
      </c>
    </row>
    <row r="420" spans="2:5" s="1127" customFormat="1" ht="14.25" customHeight="1" x14ac:dyDescent="0.2">
      <c r="B420" s="1118" t="s">
        <v>852</v>
      </c>
      <c r="C420" s="1148" t="str">
        <f t="shared" si="64"/>
        <v>Risikofaktoren (inkl. Prämien-Cap)</v>
      </c>
      <c r="D420" s="1118" t="s">
        <v>886</v>
      </c>
      <c r="E420" s="1118" t="s">
        <v>1386</v>
      </c>
    </row>
    <row r="421" spans="2:5" s="1127" customFormat="1" ht="14.25" customHeight="1" x14ac:dyDescent="0.2">
      <c r="B421" s="1118" t="s">
        <v>853</v>
      </c>
      <c r="C421" s="1148" t="str">
        <f t="shared" si="64"/>
        <v xml:space="preserve">Auslenkung </v>
      </c>
      <c r="D421" s="1118" t="s">
        <v>866</v>
      </c>
      <c r="E421" s="1118" t="s">
        <v>1387</v>
      </c>
    </row>
    <row r="422" spans="2:5" s="1127" customFormat="1" ht="14.25" customHeight="1" x14ac:dyDescent="0.2">
      <c r="B422" s="1118" t="s">
        <v>854</v>
      </c>
      <c r="C422" s="1148" t="str">
        <f t="shared" si="64"/>
        <v xml:space="preserve">Relative Auslenkung des Risikofaktors, </v>
      </c>
      <c r="D422" s="1118" t="s">
        <v>867</v>
      </c>
      <c r="E422" s="1118" t="s">
        <v>1388</v>
      </c>
    </row>
    <row r="423" spans="2:5" s="1127" customFormat="1" ht="14.25" customHeight="1" x14ac:dyDescent="0.2">
      <c r="B423" s="1118" t="s">
        <v>855</v>
      </c>
      <c r="C423" s="1148" t="str">
        <f t="shared" si="64"/>
        <v>Wert der LZV abhängig vom Risikofaktor, in CHF</v>
      </c>
      <c r="D423" s="1118" t="s">
        <v>491</v>
      </c>
      <c r="E423" s="1118" t="s">
        <v>1389</v>
      </c>
    </row>
    <row r="424" spans="2:5" s="1127" customFormat="1" ht="14.25" customHeight="1" x14ac:dyDescent="0.2">
      <c r="B424" s="1118" t="s">
        <v>856</v>
      </c>
      <c r="C424" s="1148" t="str">
        <f t="shared" si="64"/>
        <v>Delta-Sensitivität</v>
      </c>
      <c r="D424" s="1118" t="s">
        <v>402</v>
      </c>
      <c r="E424" s="1118" t="s">
        <v>1390</v>
      </c>
    </row>
    <row r="425" spans="2:5" s="1127" customFormat="1" ht="14.25" customHeight="1" x14ac:dyDescent="0.2">
      <c r="B425" s="1118" t="s">
        <v>857</v>
      </c>
      <c r="C425" s="1148" t="str">
        <f t="shared" si="64"/>
        <v>Variationskoeffizient des Risikofaktors</v>
      </c>
      <c r="D425" s="1118" t="s">
        <v>403</v>
      </c>
      <c r="E425" s="1118" t="s">
        <v>1391</v>
      </c>
    </row>
    <row r="426" spans="2:5" s="1127" customFormat="1" ht="14.25" customHeight="1" x14ac:dyDescent="0.2">
      <c r="B426" s="1118" t="s">
        <v>858</v>
      </c>
      <c r="C426" s="1148" t="str">
        <f t="shared" si="64"/>
        <v>Standardabweichung der LZV aufgrund der Auslenkung des Risikofaktors, in CHF</v>
      </c>
      <c r="D426" s="1118" t="s">
        <v>887</v>
      </c>
      <c r="E426" s="1118" t="s">
        <v>1407</v>
      </c>
    </row>
    <row r="427" spans="2:5" s="1127" customFormat="1" ht="14.25" customHeight="1" x14ac:dyDescent="0.2">
      <c r="B427" s="1118" t="s">
        <v>859</v>
      </c>
      <c r="C427" s="1148" t="str">
        <f t="shared" si="64"/>
        <v>TOTAL Standardabweichung der LZV aufgrund der Auslenkungen der Risikofaktoren, in CHF</v>
      </c>
      <c r="D427" s="1118" t="s">
        <v>888</v>
      </c>
      <c r="E427" s="1118" t="s">
        <v>1412</v>
      </c>
    </row>
    <row r="428" spans="2:5" s="1127" customFormat="1" ht="14.25" customHeight="1" x14ac:dyDescent="0.2">
      <c r="B428" s="1118" t="s">
        <v>860</v>
      </c>
      <c r="C428" s="1148" t="str">
        <f t="shared" si="64"/>
        <v>Multivariates Normal-Modell</v>
      </c>
      <c r="D428" s="1118" t="s">
        <v>408</v>
      </c>
      <c r="E428" s="1118" t="s">
        <v>1392</v>
      </c>
    </row>
    <row r="429" spans="2:5" s="1127" customFormat="1" ht="14.25" customHeight="1" x14ac:dyDescent="0.2">
      <c r="B429" s="1118" t="s">
        <v>875</v>
      </c>
      <c r="C429" s="1148" t="str">
        <f t="shared" ref="C429:C435" si="68">IF(HE_language="FR",D429,E429)</f>
        <v>Total</v>
      </c>
      <c r="D429" s="1118" t="s">
        <v>142</v>
      </c>
      <c r="E429" s="1118" t="s">
        <v>142</v>
      </c>
    </row>
    <row r="430" spans="2:5" s="1127" customFormat="1" ht="14.25" customHeight="1" x14ac:dyDescent="0.2">
      <c r="B430" s="1118"/>
      <c r="C430" s="1148"/>
      <c r="D430" s="1118"/>
      <c r="E430" s="1118"/>
    </row>
    <row r="431" spans="2:5" s="1127" customFormat="1" ht="14.25" customHeight="1" x14ac:dyDescent="0.2">
      <c r="B431" s="1118" t="s">
        <v>876</v>
      </c>
      <c r="C431" s="1148" t="str">
        <f t="shared" si="68"/>
        <v>2) CY-Risiko</v>
      </c>
      <c r="D431" s="1118" t="s">
        <v>404</v>
      </c>
      <c r="E431" s="1118" t="s">
        <v>1393</v>
      </c>
    </row>
    <row r="432" spans="2:5" s="1127" customFormat="1" ht="14.25" customHeight="1" x14ac:dyDescent="0.2">
      <c r="B432" s="1118" t="s">
        <v>877</v>
      </c>
      <c r="C432" s="1148" t="str">
        <f t="shared" si="68"/>
        <v>Erwartete Leistungen für das Behandlungsjahr CY des bestehenden Geschäfts per 31.12.</v>
      </c>
      <c r="D432" s="1118" t="s">
        <v>883</v>
      </c>
      <c r="E432" s="1118" t="s">
        <v>1394</v>
      </c>
    </row>
    <row r="433" spans="2:6" s="1127" customFormat="1" ht="14.25" customHeight="1" x14ac:dyDescent="0.2">
      <c r="B433" s="1118" t="s">
        <v>1410</v>
      </c>
      <c r="C433" s="1148" t="str">
        <f t="shared" ref="C433" si="69">IF(HE_language="FR",D433,E433)</f>
        <v xml:space="preserve"> (positives Vorzeichen)</v>
      </c>
      <c r="D433" s="1118" t="s">
        <v>1411</v>
      </c>
      <c r="E433" s="1118" t="s">
        <v>1563</v>
      </c>
    </row>
    <row r="434" spans="2:6" s="1127" customFormat="1" ht="14.25" customHeight="1" x14ac:dyDescent="0.2">
      <c r="B434" s="1118" t="s">
        <v>878</v>
      </c>
      <c r="C434" s="1148" t="str">
        <f t="shared" si="68"/>
        <v>Standardabweichung der jährlichen Leistungen, in CHF</v>
      </c>
      <c r="D434" s="1118" t="s">
        <v>405</v>
      </c>
      <c r="E434" s="1118" t="s">
        <v>1395</v>
      </c>
    </row>
    <row r="435" spans="2:6" s="1127" customFormat="1" ht="14.25" customHeight="1" x14ac:dyDescent="0.2">
      <c r="B435" s="1118" t="s">
        <v>879</v>
      </c>
      <c r="C435" s="1148" t="str">
        <f t="shared" si="68"/>
        <v>1) und 2) Übersicht der Ergebnisse</v>
      </c>
      <c r="D435" s="1118" t="s">
        <v>406</v>
      </c>
      <c r="E435" s="1118" t="s">
        <v>1396</v>
      </c>
    </row>
    <row r="436" spans="2:6" s="1127" customFormat="1" ht="14.25" customHeight="1" x14ac:dyDescent="0.2">
      <c r="B436" s="1118" t="s">
        <v>880</v>
      </c>
      <c r="C436" s="1148" t="str">
        <f t="shared" ref="C436:C438" si="70">IF(HE_language="FR",D436,E436)</f>
        <v xml:space="preserve">Risikofaktoren </v>
      </c>
      <c r="D436" s="1118" t="s">
        <v>889</v>
      </c>
      <c r="E436" s="1118" t="s">
        <v>1397</v>
      </c>
    </row>
    <row r="437" spans="2:6" s="1127" customFormat="1" ht="14.25" customHeight="1" x14ac:dyDescent="0.2">
      <c r="B437" s="1118" t="s">
        <v>881</v>
      </c>
      <c r="C437" s="1148" t="str">
        <f t="shared" si="70"/>
        <v>Versicherungsrisiko der zukünftigen Jahre</v>
      </c>
      <c r="D437" s="1118" t="s">
        <v>409</v>
      </c>
      <c r="E437" s="1118" t="s">
        <v>1398</v>
      </c>
    </row>
    <row r="438" spans="2:6" s="1127" customFormat="1" ht="14.25" customHeight="1" x14ac:dyDescent="0.2">
      <c r="B438" s="1118" t="s">
        <v>882</v>
      </c>
      <c r="C438" s="1148" t="str">
        <f t="shared" si="70"/>
        <v>CY-Risiko</v>
      </c>
      <c r="D438" s="1118" t="s">
        <v>407</v>
      </c>
      <c r="E438" s="1118" t="s">
        <v>1233</v>
      </c>
    </row>
    <row r="439" spans="2:6" s="1127" customFormat="1" ht="14.25" customHeight="1" x14ac:dyDescent="0.2">
      <c r="B439" s="1118" t="s">
        <v>890</v>
      </c>
      <c r="C439" s="1148" t="str">
        <f t="shared" ref="C439:C440" si="71">IF(HE_language="FR",D439,E439)</f>
        <v>Versicherungsrisiko Einzelkranken (vor Szenario AS)</v>
      </c>
      <c r="D439" s="1118" t="s">
        <v>477</v>
      </c>
      <c r="E439" s="1118" t="s">
        <v>1399</v>
      </c>
    </row>
    <row r="440" spans="2:6" s="1127" customFormat="1" ht="14.25" customHeight="1" x14ac:dyDescent="0.2">
      <c r="B440" s="1118" t="s">
        <v>891</v>
      </c>
      <c r="C440" s="1148" t="str">
        <f t="shared" si="71"/>
        <v>3) Szenario Antiselektion</v>
      </c>
      <c r="D440" s="1118" t="s">
        <v>410</v>
      </c>
      <c r="E440" s="1118" t="s">
        <v>1400</v>
      </c>
    </row>
    <row r="441" spans="2:6" s="1127" customFormat="1" ht="14.25" customHeight="1" x14ac:dyDescent="0.2">
      <c r="B441" s="1118" t="s">
        <v>892</v>
      </c>
      <c r="C441" s="1148" t="str">
        <f t="shared" ref="C441:C444" si="72">IF(HE_language="FR",D441,E441)</f>
        <v>Wert der LZV nach Ereignis Antiselektion, in CHF</v>
      </c>
      <c r="D441" s="1118" t="s">
        <v>419</v>
      </c>
      <c r="E441" s="1118" t="s">
        <v>1401</v>
      </c>
    </row>
    <row r="442" spans="2:6" s="1127" customFormat="1" ht="14.25" customHeight="1" x14ac:dyDescent="0.2">
      <c r="B442" s="1118" t="s">
        <v>893</v>
      </c>
      <c r="C442" s="1148" t="str">
        <f t="shared" si="72"/>
        <v>Auswirkung des Ereignisses Antiselektion, in CHF</v>
      </c>
      <c r="D442" s="1118" t="s">
        <v>447</v>
      </c>
      <c r="E442" s="1118" t="s">
        <v>1402</v>
      </c>
    </row>
    <row r="443" spans="2:6" s="1127" customFormat="1" ht="14.25" customHeight="1" x14ac:dyDescent="0.2">
      <c r="B443" s="1118" t="s">
        <v>894</v>
      </c>
      <c r="C443" s="1148" t="str">
        <f t="shared" si="72"/>
        <v>1%-Quantil der Standardnormalverteilung</v>
      </c>
      <c r="D443" s="1118" t="s">
        <v>899</v>
      </c>
      <c r="E443" s="1118" t="s">
        <v>1565</v>
      </c>
      <c r="F443" s="1237"/>
    </row>
    <row r="444" spans="2:6" s="1127" customFormat="1" ht="14.25" customHeight="1" x14ac:dyDescent="0.2">
      <c r="B444" s="1118" t="s">
        <v>895</v>
      </c>
      <c r="C444" s="1148" t="str">
        <f t="shared" si="72"/>
        <v>Expected Shortfall 1% der Standardnormalverteilung</v>
      </c>
      <c r="D444" s="1118" t="s">
        <v>900</v>
      </c>
      <c r="E444" s="1118" t="s">
        <v>1564</v>
      </c>
      <c r="F444" s="1237"/>
    </row>
    <row r="445" spans="2:6" s="1127" customFormat="1" ht="14.25" customHeight="1" x14ac:dyDescent="0.2">
      <c r="B445" s="1118" t="s">
        <v>896</v>
      </c>
      <c r="C445" s="1148" t="str">
        <f t="shared" ref="C445:C446" si="73">IF(HE_language="FR",D445,E445)</f>
        <v>Verhältnis Expected Shortfall / Quantil</v>
      </c>
      <c r="D445" s="1118" t="s">
        <v>411</v>
      </c>
      <c r="E445" s="1118" t="s">
        <v>1403</v>
      </c>
    </row>
    <row r="446" spans="2:6" s="1127" customFormat="1" ht="14.25" customHeight="1" x14ac:dyDescent="0.2">
      <c r="B446" s="1118" t="s">
        <v>897</v>
      </c>
      <c r="C446" s="1148" t="str">
        <f t="shared" si="73"/>
        <v xml:space="preserve">Verkleinerter Raum an Risikofaktoren, wird verwendet für MVM ab Jahr 6 der Projektion </v>
      </c>
      <c r="D446" s="1118" t="s">
        <v>412</v>
      </c>
      <c r="E446" s="1118" t="s">
        <v>1404</v>
      </c>
    </row>
    <row r="447" spans="2:6" s="1127" customFormat="1" ht="14.25" customHeight="1" x14ac:dyDescent="0.2">
      <c r="B447" s="1118" t="s">
        <v>898</v>
      </c>
      <c r="C447" s="1148" t="str">
        <f>IF(HE_language="FR",D447,E447)</f>
        <v>Relativer Anteil am Risiko</v>
      </c>
      <c r="D447" s="1118" t="s">
        <v>413</v>
      </c>
      <c r="E447" s="1118" t="s">
        <v>1405</v>
      </c>
    </row>
    <row r="450" spans="1:5" s="543" customFormat="1" ht="14.25" customHeight="1" x14ac:dyDescent="0.2">
      <c r="A450" s="1147"/>
      <c r="B450" s="545" t="s">
        <v>901</v>
      </c>
      <c r="C450" s="1149" t="str">
        <f t="shared" ref="C450" si="74">IF(HE_language="FR",D450,E450)</f>
        <v>Kranken VVG: Versicherungsrisiko der Branche Kollektivtaggeldversicherung (KTG)</v>
      </c>
      <c r="D450" s="545" t="str">
        <f>D19</f>
        <v>Maladie LCA: Risques d'assurance de la branche assurance collective d'indemnités journalières (CIJ)</v>
      </c>
      <c r="E450" s="545" t="str">
        <f>E19</f>
        <v>Kranken VVG: Versicherungsrisiko der Branche Kollektivtaggeldversicherung (KTG)</v>
      </c>
    </row>
    <row r="451" spans="1:5" s="1127" customFormat="1" ht="14.25" customHeight="1" x14ac:dyDescent="0.2">
      <c r="B451" s="1118"/>
      <c r="C451" s="1148"/>
      <c r="D451" s="1118"/>
      <c r="E451" s="1118"/>
    </row>
    <row r="452" spans="1:5" s="1127" customFormat="1" ht="14.25" customHeight="1" x14ac:dyDescent="0.2">
      <c r="B452" s="1118" t="s">
        <v>902</v>
      </c>
      <c r="C452" s="1148" t="str">
        <f t="shared" ref="C452:C470" si="75">IF(HE_language="FR",D452,E452)</f>
        <v>Erwartungswerte</v>
      </c>
      <c r="D452" s="1118" t="s">
        <v>418</v>
      </c>
      <c r="E452" s="1228" t="s">
        <v>1566</v>
      </c>
    </row>
    <row r="453" spans="1:5" s="1127" customFormat="1" ht="14.25" customHeight="1" x14ac:dyDescent="0.2">
      <c r="B453" s="1118" t="s">
        <v>903</v>
      </c>
      <c r="C453" s="1148" t="str">
        <f t="shared" si="75"/>
        <v>Erwartete Leistungen (Jahressumme) vor Rückversicherung, in Mio. CHF</v>
      </c>
      <c r="D453" s="1118" t="s">
        <v>416</v>
      </c>
      <c r="E453" s="1228" t="s">
        <v>1413</v>
      </c>
    </row>
    <row r="454" spans="1:5" s="1127" customFormat="1" ht="14.25" customHeight="1" x14ac:dyDescent="0.2">
      <c r="B454" s="1118" t="s">
        <v>904</v>
      </c>
      <c r="C454" s="1148" t="str">
        <f t="shared" si="75"/>
        <v>Erwartete Leistungen (Jahressumme) nach Rückversicherung, in Mio. CHF</v>
      </c>
      <c r="D454" s="1118" t="s">
        <v>417</v>
      </c>
      <c r="E454" s="1228" t="s">
        <v>1414</v>
      </c>
    </row>
    <row r="455" spans="1:5" s="1127" customFormat="1" ht="14.25" customHeight="1" x14ac:dyDescent="0.2">
      <c r="B455" s="1118" t="s">
        <v>905</v>
      </c>
      <c r="C455" s="1148" t="str">
        <f t="shared" si="75"/>
        <v>Variabilität (Werte, falls die erste Methode verwendet wird)</v>
      </c>
      <c r="D455" s="1118" t="s">
        <v>420</v>
      </c>
      <c r="E455" s="1228" t="s">
        <v>1415</v>
      </c>
    </row>
    <row r="456" spans="1:5" s="1127" customFormat="1" ht="14.25" customHeight="1" x14ac:dyDescent="0.2">
      <c r="B456" s="1118" t="s">
        <v>906</v>
      </c>
      <c r="C456" s="1148" t="str">
        <f t="shared" si="75"/>
        <v>1) Zufallsrisiko</v>
      </c>
      <c r="D456" s="1118" t="s">
        <v>421</v>
      </c>
      <c r="E456" s="1228" t="s">
        <v>1416</v>
      </c>
    </row>
    <row r="457" spans="1:5" s="1127" customFormat="1" ht="14.25" customHeight="1" x14ac:dyDescent="0.2">
      <c r="B457" s="1118" t="s">
        <v>907</v>
      </c>
      <c r="C457" s="1148" t="str">
        <f t="shared" si="75"/>
        <v>Erwartete Anzahl Schadenfälle</v>
      </c>
      <c r="D457" s="1118" t="s">
        <v>422</v>
      </c>
      <c r="E457" s="1228" t="s">
        <v>1417</v>
      </c>
    </row>
    <row r="458" spans="1:5" s="1127" customFormat="1" ht="14.25" customHeight="1" x14ac:dyDescent="0.2">
      <c r="B458" s="1118" t="s">
        <v>908</v>
      </c>
      <c r="C458" s="1148" t="str">
        <f t="shared" si="75"/>
        <v>Variationskoeffizient des Einzelschadens</v>
      </c>
      <c r="D458" s="1118" t="s">
        <v>423</v>
      </c>
      <c r="E458" s="1228" t="s">
        <v>1418</v>
      </c>
    </row>
    <row r="459" spans="1:5" s="1127" customFormat="1" ht="14.25" customHeight="1" x14ac:dyDescent="0.2">
      <c r="B459" s="1118" t="s">
        <v>917</v>
      </c>
      <c r="C459" s="1148" t="str">
        <f t="shared" ref="C459" si="76">IF(HE_language="FR",D459,E459)</f>
        <v xml:space="preserve">Bitte begründen, falls Abweichung vom Standardwert </v>
      </c>
      <c r="D459" s="1118" t="s">
        <v>918</v>
      </c>
      <c r="E459" s="1228" t="s">
        <v>1567</v>
      </c>
    </row>
    <row r="460" spans="1:5" s="1127" customFormat="1" ht="14.25" customHeight="1" x14ac:dyDescent="0.2">
      <c r="B460" s="1118" t="s">
        <v>909</v>
      </c>
      <c r="C460" s="1148" t="str">
        <f t="shared" si="75"/>
        <v>Variationskoeffizient des Zufallsrisikos</v>
      </c>
      <c r="D460" s="1118" t="s">
        <v>424</v>
      </c>
      <c r="E460" s="1228" t="s">
        <v>1419</v>
      </c>
    </row>
    <row r="461" spans="1:5" s="1127" customFormat="1" ht="14.25" customHeight="1" x14ac:dyDescent="0.2">
      <c r="B461" s="1118" t="s">
        <v>910</v>
      </c>
      <c r="C461" s="1148" t="str">
        <f t="shared" si="75"/>
        <v>2) Parameterrisiko</v>
      </c>
      <c r="D461" s="1118" t="s">
        <v>425</v>
      </c>
      <c r="E461" s="1228" t="s">
        <v>1420</v>
      </c>
    </row>
    <row r="462" spans="1:5" s="1127" customFormat="1" ht="14.25" customHeight="1" x14ac:dyDescent="0.2">
      <c r="B462" s="1118" t="s">
        <v>911</v>
      </c>
      <c r="C462" s="1148" t="str">
        <f t="shared" si="75"/>
        <v>Variationskoeffizient des Parameterrisikos</v>
      </c>
      <c r="D462" s="1118" t="s">
        <v>426</v>
      </c>
      <c r="E462" s="1228" t="s">
        <v>1421</v>
      </c>
    </row>
    <row r="463" spans="1:5" s="1127" customFormat="1" ht="14.25" customHeight="1" x14ac:dyDescent="0.2">
      <c r="B463" s="1118" t="s">
        <v>912</v>
      </c>
      <c r="C463" s="1148" t="str">
        <f t="shared" si="75"/>
        <v>1) + 2) Zufallsrisiko und Parameterrisiko</v>
      </c>
      <c r="D463" s="1118" t="s">
        <v>427</v>
      </c>
      <c r="E463" s="1228" t="s">
        <v>1422</v>
      </c>
    </row>
    <row r="464" spans="1:5" s="1127" customFormat="1" ht="14.25" customHeight="1" x14ac:dyDescent="0.2">
      <c r="B464" s="1118" t="s">
        <v>913</v>
      </c>
      <c r="C464" s="1148" t="str">
        <f t="shared" si="75"/>
        <v>Variationskoeffizient der jährlichen Leistungen</v>
      </c>
      <c r="D464" s="1118" t="s">
        <v>391</v>
      </c>
      <c r="E464" s="1228" t="s">
        <v>1369</v>
      </c>
    </row>
    <row r="465" spans="1:5" s="1127" customFormat="1" ht="14.25" customHeight="1" x14ac:dyDescent="0.2">
      <c r="B465" s="1118" t="s">
        <v>914</v>
      </c>
      <c r="C465" s="1148" t="str">
        <f t="shared" ref="C465" si="77">IF(HE_language="FR",D465,E465)</f>
        <v>Standardabweichung der jährlichen Leistungen nach Rückversicherung, in Mio. CHF</v>
      </c>
      <c r="D465" s="1118" t="s">
        <v>428</v>
      </c>
      <c r="E465" s="1228" t="s">
        <v>1423</v>
      </c>
    </row>
    <row r="466" spans="1:5" s="1127" customFormat="1" ht="14.25" customHeight="1" x14ac:dyDescent="0.2">
      <c r="B466" s="1118"/>
      <c r="C466" s="1148"/>
      <c r="D466" s="1118"/>
      <c r="E466" s="1228"/>
    </row>
    <row r="467" spans="1:5" s="1127" customFormat="1" ht="14.25" customHeight="1" x14ac:dyDescent="0.2">
      <c r="B467" s="1118" t="s">
        <v>915</v>
      </c>
      <c r="C467" s="1148" t="str">
        <f t="shared" si="75"/>
        <v>Szenario Krankentaggeld</v>
      </c>
      <c r="D467" s="1118" t="s">
        <v>429</v>
      </c>
      <c r="E467" s="1235" t="s">
        <v>1426</v>
      </c>
    </row>
    <row r="468" spans="1:5" s="1127" customFormat="1" ht="14.25" customHeight="1" x14ac:dyDescent="0.2">
      <c r="B468" s="1118" t="s">
        <v>916</v>
      </c>
      <c r="C468" s="1148" t="str">
        <f t="shared" si="75"/>
        <v>Wert der erwarteten Leistungen nach Ereignis Krankentaggeld, in Mio. CHF</v>
      </c>
      <c r="D468" s="1118" t="s">
        <v>432</v>
      </c>
      <c r="E468" s="1228" t="s">
        <v>1424</v>
      </c>
    </row>
    <row r="469" spans="1:5" s="1127" customFormat="1" ht="14.25" customHeight="1" x14ac:dyDescent="0.2">
      <c r="B469" s="1118" t="s">
        <v>919</v>
      </c>
      <c r="C469" s="1148" t="str">
        <f t="shared" si="75"/>
        <v>Auswirkung des Ereignisses Krankentaggeld</v>
      </c>
      <c r="D469" s="1118" t="s">
        <v>430</v>
      </c>
      <c r="E469" s="1228" t="s">
        <v>1425</v>
      </c>
    </row>
    <row r="470" spans="1:5" s="1127" customFormat="1" ht="14.25" customHeight="1" x14ac:dyDescent="0.2">
      <c r="B470" s="1118" t="s">
        <v>920</v>
      </c>
      <c r="C470" s="1148" t="str">
        <f t="shared" si="75"/>
        <v>Negatives Vorzeichen (Verlust)</v>
      </c>
      <c r="D470" s="1118" t="s">
        <v>431</v>
      </c>
      <c r="E470" s="1228" t="s">
        <v>1568</v>
      </c>
    </row>
    <row r="473" spans="1:5" s="543" customFormat="1" ht="14.25" customHeight="1" x14ac:dyDescent="0.2">
      <c r="A473" s="1147"/>
      <c r="B473" s="545" t="s">
        <v>921</v>
      </c>
      <c r="C473" s="1149" t="str">
        <f t="shared" ref="C473" si="78">IF(HE_language="FR",D473,E473)</f>
        <v>Kranken VVG: Erwartetes Versicherungsergebnis</v>
      </c>
      <c r="D473" s="545" t="str">
        <f>D20</f>
        <v>Maladie LCA: Résultat d'assurance attendu</v>
      </c>
      <c r="E473" s="545" t="str">
        <f>E20</f>
        <v>Kranken VVG: Erwartetes Versicherungsergebnis</v>
      </c>
    </row>
    <row r="474" spans="1:5" s="1127" customFormat="1" ht="14.25" customHeight="1" x14ac:dyDescent="0.2">
      <c r="B474" s="1118"/>
      <c r="C474" s="1148"/>
      <c r="D474" s="1118"/>
      <c r="E474" s="1118"/>
    </row>
    <row r="475" spans="1:5" s="1127" customFormat="1" ht="14.25" customHeight="1" x14ac:dyDescent="0.2">
      <c r="B475" s="1118" t="s">
        <v>922</v>
      </c>
      <c r="C475" s="1148" t="str">
        <f t="shared" ref="C475:C492" si="79">IF(HE_language="FR",D475,E475)</f>
        <v>Erwartetes Versicherungsergebnis des Neugeschäfts Kranken</v>
      </c>
      <c r="D475" s="1118" t="s">
        <v>444</v>
      </c>
      <c r="E475" s="1118" t="s">
        <v>1427</v>
      </c>
    </row>
    <row r="476" spans="1:5" s="1127" customFormat="1" ht="14.25" customHeight="1" x14ac:dyDescent="0.2">
      <c r="B476" s="1118" t="s">
        <v>1449</v>
      </c>
      <c r="C476" s="1148" t="str">
        <f t="shared" ref="C476" si="80">IF(HE_language="FR",D476,E476)</f>
        <v>Im SST 2025 sind neue Geschäfte, deren Deckung am 01.01.2025 beginnt, Teil der LZV in der SST-Bilanz, und hier wird ein Nullwert ausgewiesen.</v>
      </c>
      <c r="D476" s="1118" t="s">
        <v>2137</v>
      </c>
      <c r="E476" s="1118" t="s">
        <v>2136</v>
      </c>
    </row>
    <row r="477" spans="1:5" s="1127" customFormat="1" ht="14.25" customHeight="1" x14ac:dyDescent="0.2">
      <c r="B477" s="1118" t="s">
        <v>923</v>
      </c>
      <c r="C477" s="1148" t="str">
        <f t="shared" si="79"/>
        <v>Total Krankenversicherung VVG</v>
      </c>
      <c r="D477" s="1118" t="s">
        <v>445</v>
      </c>
      <c r="E477" s="1118" t="s">
        <v>1428</v>
      </c>
    </row>
    <row r="478" spans="1:5" s="1127" customFormat="1" ht="14.25" customHeight="1" x14ac:dyDescent="0.2">
      <c r="B478" s="1118" t="s">
        <v>924</v>
      </c>
      <c r="C478" s="1148" t="str">
        <f t="shared" si="79"/>
        <v>Einzelkrankenversicherung (EK)</v>
      </c>
      <c r="D478" s="1118" t="s">
        <v>446</v>
      </c>
      <c r="E478" s="1118" t="s">
        <v>1429</v>
      </c>
    </row>
    <row r="479" spans="1:5" s="1127" customFormat="1" ht="14.25" customHeight="1" x14ac:dyDescent="0.2">
      <c r="B479" s="1118" t="s">
        <v>925</v>
      </c>
      <c r="C479" s="1148" t="str">
        <f t="shared" si="79"/>
        <v>Daten über Anzahl neuer Verträge per 01.01.</v>
      </c>
      <c r="D479" s="1118" t="s">
        <v>951</v>
      </c>
      <c r="E479" s="1118" t="s">
        <v>1430</v>
      </c>
    </row>
    <row r="480" spans="1:5" s="1127" customFormat="1" ht="14.25" customHeight="1" x14ac:dyDescent="0.2">
      <c r="B480" s="1118" t="s">
        <v>926</v>
      </c>
      <c r="C480" s="1148" t="str">
        <f t="shared" ref="C480" si="81">IF(HE_language="FR",D480,E480)</f>
        <v xml:space="preserve"> (ausgenommen garantierte Eintritte)</v>
      </c>
      <c r="D480" s="1118" t="s">
        <v>952</v>
      </c>
      <c r="E480" s="1118" t="s">
        <v>1569</v>
      </c>
    </row>
    <row r="481" spans="2:11" s="1127" customFormat="1" ht="14.25" customHeight="1" x14ac:dyDescent="0.2">
      <c r="B481" s="1118" t="s">
        <v>953</v>
      </c>
      <c r="C481" s="1148" t="str">
        <f t="shared" si="79"/>
        <v>Tabellenblatt</v>
      </c>
      <c r="D481" s="1118" t="s">
        <v>237</v>
      </c>
      <c r="E481" s="1118" t="s">
        <v>1200</v>
      </c>
    </row>
    <row r="482" spans="2:11" s="1127" customFormat="1" ht="14.25" customHeight="1" x14ac:dyDescent="0.2">
      <c r="B482" s="1118" t="s">
        <v>954</v>
      </c>
      <c r="C482" s="1148" t="str">
        <f t="shared" si="79"/>
        <v>Nr. der PG</v>
      </c>
      <c r="D482" s="1118" t="s">
        <v>265</v>
      </c>
      <c r="E482" s="1118" t="s">
        <v>1298</v>
      </c>
    </row>
    <row r="483" spans="2:11" s="1127" customFormat="1" ht="14.25" customHeight="1" x14ac:dyDescent="0.2">
      <c r="B483" s="1118" t="s">
        <v>955</v>
      </c>
      <c r="C483" s="1148" t="str">
        <f t="shared" ref="C483" si="82">IF(HE_language="FR",D483,E483)</f>
        <v xml:space="preserve">Risikobestand </v>
      </c>
      <c r="D483" s="1118" t="s">
        <v>443</v>
      </c>
      <c r="E483" s="1118" t="s">
        <v>1431</v>
      </c>
    </row>
    <row r="484" spans="2:11" s="1127" customFormat="1" ht="14.25" customHeight="1" x14ac:dyDescent="0.2">
      <c r="B484" s="1118" t="s">
        <v>927</v>
      </c>
      <c r="C484" s="1148" t="str">
        <f t="shared" si="79"/>
        <v>Totale erwartete Cashflows der neuen Verträge per 01.01.</v>
      </c>
      <c r="D484" s="1118" t="s">
        <v>956</v>
      </c>
      <c r="E484" s="1118" t="s">
        <v>1432</v>
      </c>
    </row>
    <row r="485" spans="2:11" s="1127" customFormat="1" ht="14.25" customHeight="1" x14ac:dyDescent="0.2">
      <c r="B485" s="1118" t="s">
        <v>928</v>
      </c>
      <c r="C485" s="1148" t="str">
        <f>IF(HE_language="FR",D485,E485)</f>
        <v>, mit Prämien-Cap und diskontiert</v>
      </c>
      <c r="D485" s="1118" t="s">
        <v>1598</v>
      </c>
      <c r="E485" s="1127" t="s">
        <v>1599</v>
      </c>
      <c r="F485" s="1237"/>
      <c r="I485" s="1191"/>
    </row>
    <row r="486" spans="2:11" s="1127" customFormat="1" ht="14.25" customHeight="1" x14ac:dyDescent="0.2">
      <c r="B486" s="1118" t="s">
        <v>929</v>
      </c>
      <c r="C486" s="1148" t="str">
        <f t="shared" si="79"/>
        <v>Anzahl neuer Verträge per 01.01.</v>
      </c>
      <c r="D486" s="1118" t="s">
        <v>957</v>
      </c>
      <c r="E486" s="1118" t="s">
        <v>1433</v>
      </c>
    </row>
    <row r="487" spans="2:11" s="1127" customFormat="1" ht="14.25" customHeight="1" x14ac:dyDescent="0.2">
      <c r="B487" s="1118" t="s">
        <v>930</v>
      </c>
      <c r="C487" s="1148" t="str">
        <f t="shared" si="79"/>
        <v xml:space="preserve"> (ausgenommen garantierte Eintritte)</v>
      </c>
      <c r="D487" s="1118" t="s">
        <v>952</v>
      </c>
      <c r="E487" s="1118" t="s">
        <v>1569</v>
      </c>
    </row>
    <row r="488" spans="2:11" s="1127" customFormat="1" ht="14.25" customHeight="1" x14ac:dyDescent="0.2">
      <c r="B488" s="1118" t="s">
        <v>931</v>
      </c>
      <c r="C488" s="1148" t="str">
        <f t="shared" si="79"/>
        <v xml:space="preserve">Ihre  </v>
      </c>
      <c r="D488" s="1118" t="s">
        <v>958</v>
      </c>
      <c r="E488" s="1118" t="s">
        <v>1611</v>
      </c>
      <c r="F488" s="1237"/>
      <c r="K488" s="1191"/>
    </row>
    <row r="489" spans="2:11" s="1127" customFormat="1" ht="14.25" customHeight="1" x14ac:dyDescent="0.2">
      <c r="B489" s="1118" t="s">
        <v>932</v>
      </c>
      <c r="C489" s="1148" t="str">
        <f t="shared" si="79"/>
        <v xml:space="preserve"> auf ihrer gesamten Abwicklungsdauer</v>
      </c>
      <c r="D489" s="1118" t="s">
        <v>963</v>
      </c>
      <c r="E489" s="1118" t="s">
        <v>1570</v>
      </c>
      <c r="F489" s="1237"/>
    </row>
    <row r="490" spans="2:11" s="1127" customFormat="1" ht="14.25" customHeight="1" x14ac:dyDescent="0.2">
      <c r="B490" s="1118" t="s">
        <v>933</v>
      </c>
      <c r="C490" s="1148" t="str">
        <f t="shared" si="79"/>
        <v>Versicherte Personen per 01.01.</v>
      </c>
      <c r="D490" s="1118" t="s">
        <v>964</v>
      </c>
      <c r="E490" s="1118" t="s">
        <v>1434</v>
      </c>
    </row>
    <row r="491" spans="2:11" s="1127" customFormat="1" ht="14.25" customHeight="1" x14ac:dyDescent="0.2">
      <c r="B491" s="1118" t="s">
        <v>934</v>
      </c>
      <c r="C491" s="1148" t="str">
        <f t="shared" si="79"/>
        <v>Anzahl versicherter Personen per 01.01.</v>
      </c>
      <c r="D491" s="1118" t="s">
        <v>965</v>
      </c>
      <c r="E491" s="1118" t="s">
        <v>1435</v>
      </c>
    </row>
    <row r="492" spans="2:11" s="1127" customFormat="1" ht="14.25" customHeight="1" x14ac:dyDescent="0.2">
      <c r="B492" s="1118" t="s">
        <v>959</v>
      </c>
      <c r="C492" s="1148" t="str">
        <f t="shared" si="79"/>
        <v xml:space="preserve"> (einschliesslich Personen, die schon versichert waren per 31.12.</v>
      </c>
      <c r="D492" s="1118" t="s">
        <v>966</v>
      </c>
      <c r="E492" s="1118" t="s">
        <v>1448</v>
      </c>
    </row>
    <row r="493" spans="2:11" s="1127" customFormat="1" ht="14.25" customHeight="1" x14ac:dyDescent="0.2">
      <c r="B493" s="1118" t="s">
        <v>967</v>
      </c>
      <c r="C493" s="1148" t="str">
        <f t="shared" ref="C493" si="83">IF(HE_language="FR",D493,E493)</f>
        <v>Eine Person mit mehreren Produkten zählt nur einmal (Kopfzählung)</v>
      </c>
      <c r="D493" s="1118" t="s">
        <v>467</v>
      </c>
      <c r="E493" s="1118" t="s">
        <v>1444</v>
      </c>
    </row>
    <row r="494" spans="2:11" s="1127" customFormat="1" ht="14.25" customHeight="1" x14ac:dyDescent="0.2">
      <c r="B494" s="1118"/>
      <c r="C494" s="1148"/>
      <c r="D494" s="1118"/>
      <c r="E494" s="1118"/>
    </row>
    <row r="495" spans="2:11" s="1127" customFormat="1" ht="14.25" customHeight="1" x14ac:dyDescent="0.2">
      <c r="B495" s="1118" t="s">
        <v>960</v>
      </c>
      <c r="C495" s="1148" t="str">
        <f t="shared" ref="C495:C497" si="84">IF(HE_language="FR",D495,E495)</f>
        <v>Kollektivtaggeldversicherung (KTG)</v>
      </c>
      <c r="D495" s="1118" t="s">
        <v>442</v>
      </c>
      <c r="E495" s="1118" t="s">
        <v>1436</v>
      </c>
    </row>
    <row r="496" spans="2:11" s="1127" customFormat="1" ht="14.25" customHeight="1" x14ac:dyDescent="0.2">
      <c r="B496" s="1118" t="s">
        <v>961</v>
      </c>
      <c r="C496" s="1148" t="str">
        <f t="shared" si="84"/>
        <v xml:space="preserve">Erwartete Prämien (verdiente) vor Rückversicherung </v>
      </c>
      <c r="D496" s="1118" t="s">
        <v>433</v>
      </c>
      <c r="E496" s="1118" t="s">
        <v>1437</v>
      </c>
    </row>
    <row r="497" spans="1:6" s="1127" customFormat="1" ht="14.25" customHeight="1" x14ac:dyDescent="0.2">
      <c r="B497" s="1118" t="s">
        <v>962</v>
      </c>
      <c r="C497" s="1148" t="str">
        <f t="shared" si="84"/>
        <v>Erwartete Prämien (verdiente) nach Rückversicherung</v>
      </c>
      <c r="D497" s="1118" t="s">
        <v>435</v>
      </c>
      <c r="E497" s="1118" t="s">
        <v>1438</v>
      </c>
    </row>
    <row r="498" spans="1:6" s="1127" customFormat="1" ht="14.25" customHeight="1" x14ac:dyDescent="0.2">
      <c r="B498" s="1118" t="s">
        <v>968</v>
      </c>
      <c r="C498" s="1148" t="str">
        <f t="shared" ref="C498:C506" si="85">IF(HE_language="FR",D498,E498)</f>
        <v>Versicherungstechnische Erträge (nach Rückversicherung)</v>
      </c>
      <c r="D498" s="1118" t="s">
        <v>436</v>
      </c>
      <c r="E498" s="1118" t="s">
        <v>1571</v>
      </c>
      <c r="F498" s="1237"/>
    </row>
    <row r="499" spans="1:6" s="1127" customFormat="1" ht="14.25" customHeight="1" x14ac:dyDescent="0.2">
      <c r="B499" s="1118" t="s">
        <v>969</v>
      </c>
      <c r="C499" s="1148" t="str">
        <f t="shared" si="85"/>
        <v>Erwartete Leistungen (Jahressumme) vor Rückversicherung</v>
      </c>
      <c r="D499" s="1118" t="s">
        <v>414</v>
      </c>
      <c r="E499" s="1118" t="s">
        <v>1439</v>
      </c>
    </row>
    <row r="500" spans="1:6" s="1127" customFormat="1" ht="14.25" customHeight="1" x14ac:dyDescent="0.2">
      <c r="B500" s="1118" t="s">
        <v>970</v>
      </c>
      <c r="C500" s="1148" t="str">
        <f t="shared" si="85"/>
        <v>Erwartete Leistungen (Jahressumme) nach Rückversicherung</v>
      </c>
      <c r="D500" s="1118" t="s">
        <v>415</v>
      </c>
      <c r="E500" s="1118" t="s">
        <v>1440</v>
      </c>
    </row>
    <row r="501" spans="1:6" s="1127" customFormat="1" ht="14.25" customHeight="1" x14ac:dyDescent="0.2">
      <c r="B501" s="1118" t="s">
        <v>971</v>
      </c>
      <c r="C501" s="1148" t="str">
        <f t="shared" si="85"/>
        <v>Veränderung der Schadenrückstellungen (Best-Estimate)</v>
      </c>
      <c r="D501" s="1118" t="s">
        <v>437</v>
      </c>
      <c r="E501" s="1118" t="s">
        <v>1446</v>
      </c>
    </row>
    <row r="502" spans="1:6" s="1127" customFormat="1" ht="14.25" customHeight="1" x14ac:dyDescent="0.2">
      <c r="B502" s="1118" t="s">
        <v>972</v>
      </c>
      <c r="C502" s="1148" t="str">
        <f t="shared" si="85"/>
        <v>Veränderung der sonstigen Versicherungsrückstellungen (Best-Estimate)</v>
      </c>
      <c r="D502" s="1118" t="s">
        <v>438</v>
      </c>
      <c r="E502" s="1118" t="s">
        <v>1447</v>
      </c>
    </row>
    <row r="503" spans="1:6" s="1127" customFormat="1" ht="14.25" customHeight="1" x14ac:dyDescent="0.2">
      <c r="B503" s="1118" t="s">
        <v>973</v>
      </c>
      <c r="C503" s="1148" t="str">
        <f t="shared" si="85"/>
        <v>Betriebs- und Verwaltungsaufwendungen</v>
      </c>
      <c r="D503" s="1118" t="s">
        <v>439</v>
      </c>
      <c r="E503" s="1118" t="s">
        <v>1445</v>
      </c>
    </row>
    <row r="504" spans="1:6" s="1127" customFormat="1" ht="14.25" customHeight="1" x14ac:dyDescent="0.2">
      <c r="B504" s="1118" t="s">
        <v>974</v>
      </c>
      <c r="C504" s="1148" t="str">
        <f t="shared" si="85"/>
        <v>Andere Aufwendungen (marktkonform bewertet)</v>
      </c>
      <c r="D504" s="1118" t="s">
        <v>1442</v>
      </c>
      <c r="E504" s="1118" t="s">
        <v>1443</v>
      </c>
    </row>
    <row r="505" spans="1:6" s="1127" customFormat="1" ht="14.25" customHeight="1" x14ac:dyDescent="0.2">
      <c r="B505" s="1118" t="s">
        <v>975</v>
      </c>
      <c r="C505" s="1148" t="str">
        <f t="shared" si="85"/>
        <v>Versicherungstechnische Aufwendungen (nach Rückversicherung)</v>
      </c>
      <c r="D505" s="1118" t="s">
        <v>440</v>
      </c>
      <c r="E505" s="1118" t="s">
        <v>1572</v>
      </c>
      <c r="F505" s="1237"/>
    </row>
    <row r="506" spans="1:6" s="1127" customFormat="1" ht="14.25" customHeight="1" x14ac:dyDescent="0.2">
      <c r="B506" s="1118" t="s">
        <v>976</v>
      </c>
      <c r="C506" s="1148" t="str">
        <f t="shared" si="85"/>
        <v>Versicherungsergebnis (nach Rückversicherung)</v>
      </c>
      <c r="D506" s="1118" t="s">
        <v>441</v>
      </c>
      <c r="E506" s="1118" t="s">
        <v>1441</v>
      </c>
    </row>
    <row r="509" spans="1:6" s="543" customFormat="1" ht="14.25" customHeight="1" x14ac:dyDescent="0.2">
      <c r="A509" s="1147"/>
      <c r="B509" s="545" t="s">
        <v>935</v>
      </c>
      <c r="C509" s="1149" t="str">
        <f t="shared" ref="C509" si="86">IF(HE_language="FR",D509,E509)</f>
        <v>Kranken VVG: Mindestbetrag (MVM)</v>
      </c>
      <c r="D509" s="545" t="str">
        <f>D21</f>
        <v>Maladie LCA: Montant minimum (MVM)</v>
      </c>
      <c r="E509" s="545" t="str">
        <f>E21</f>
        <v>Kranken VVG: Mindestbetrag (MVM)</v>
      </c>
    </row>
    <row r="510" spans="1:6" s="1127" customFormat="1" ht="14.25" customHeight="1" x14ac:dyDescent="0.2">
      <c r="B510" s="1118"/>
      <c r="C510" s="1148"/>
      <c r="D510" s="1118"/>
      <c r="E510" s="1118"/>
    </row>
    <row r="511" spans="1:6" s="1127" customFormat="1" ht="14.25" customHeight="1" x14ac:dyDescent="0.2">
      <c r="B511" s="1118" t="s">
        <v>936</v>
      </c>
      <c r="C511" s="1148" t="str">
        <f t="shared" ref="C511:C525" si="87">IF(HE_language="FR",D511,E511)</f>
        <v>Versicherungsrisiko EK (vor Szenario AS) dividiert durch den Barwert der Leistungen und Verwaltungskosten</v>
      </c>
      <c r="D511" s="1118" t="s">
        <v>1600</v>
      </c>
      <c r="E511" s="1228" t="s">
        <v>1573</v>
      </c>
      <c r="F511" s="1237"/>
    </row>
    <row r="512" spans="1:6" s="1127" customFormat="1" ht="14.25" customHeight="1" x14ac:dyDescent="0.2">
      <c r="B512" s="1118" t="s">
        <v>937</v>
      </c>
      <c r="C512" s="1148" t="str">
        <f t="shared" si="87"/>
        <v>Abwicklungsjahr</v>
      </c>
      <c r="D512" s="1118" t="s">
        <v>468</v>
      </c>
      <c r="E512" s="1228" t="s">
        <v>1450</v>
      </c>
    </row>
    <row r="513" spans="1:6" s="1127" customFormat="1" ht="14.25" customHeight="1" x14ac:dyDescent="0.2">
      <c r="B513" s="1118" t="s">
        <v>938</v>
      </c>
      <c r="C513" s="1148" t="str">
        <f t="shared" si="87"/>
        <v>Undiskontierte Cashflows, in CHF</v>
      </c>
      <c r="D513" s="1118" t="s">
        <v>469</v>
      </c>
      <c r="E513" s="1228" t="s">
        <v>1451</v>
      </c>
    </row>
    <row r="514" spans="1:6" s="1127" customFormat="1" ht="14.25" customHeight="1" x14ac:dyDescent="0.2">
      <c r="B514" s="1118" t="s">
        <v>939</v>
      </c>
      <c r="C514" s="1148" t="str">
        <f t="shared" si="87"/>
        <v>Diskontierte Cashflows, in CHF</v>
      </c>
      <c r="D514" s="1118" t="s">
        <v>470</v>
      </c>
      <c r="E514" s="1228" t="s">
        <v>1452</v>
      </c>
    </row>
    <row r="515" spans="1:6" s="1127" customFormat="1" ht="14.25" customHeight="1" x14ac:dyDescent="0.2">
      <c r="B515" s="1118" t="s">
        <v>940</v>
      </c>
      <c r="C515" s="1148" t="str">
        <f t="shared" si="87"/>
        <v>Diskontierte Cashflows (SST-Stichtag diskontiert), verbleibendes Total zu Beginn des Jahres k, in CHF</v>
      </c>
      <c r="D515" s="1118" t="s">
        <v>1478</v>
      </c>
      <c r="E515" s="1228" t="s">
        <v>1453</v>
      </c>
    </row>
    <row r="516" spans="1:6" s="1127" customFormat="1" ht="14.25" customHeight="1" x14ac:dyDescent="0.2">
      <c r="B516" s="1118" t="s">
        <v>941</v>
      </c>
      <c r="C516" s="1148" t="str">
        <f t="shared" si="87"/>
        <v>Undiskontierte Cashflows, verbleibendes Total zu Beginn des Jahres k, in CHF</v>
      </c>
      <c r="D516" s="1118" t="s">
        <v>471</v>
      </c>
      <c r="E516" s="1228" t="s">
        <v>1454</v>
      </c>
    </row>
    <row r="517" spans="1:6" s="1127" customFormat="1" ht="14.25" customHeight="1" x14ac:dyDescent="0.2">
      <c r="B517" s="1118" t="s">
        <v>942</v>
      </c>
      <c r="C517" s="1148" t="str">
        <f t="shared" si="87"/>
        <v>Faktor für Diversifikation</v>
      </c>
      <c r="D517" s="1118" t="s">
        <v>472</v>
      </c>
      <c r="E517" s="1228" t="s">
        <v>1455</v>
      </c>
    </row>
    <row r="518" spans="1:6" s="1127" customFormat="1" ht="14.25" customHeight="1" x14ac:dyDescent="0.2">
      <c r="B518" s="1118" t="s">
        <v>943</v>
      </c>
      <c r="C518" s="1148" t="str">
        <f t="shared" si="87"/>
        <v>Jahre 1 bis 5</v>
      </c>
      <c r="D518" s="1118" t="s">
        <v>474</v>
      </c>
      <c r="E518" s="1228" t="s">
        <v>1456</v>
      </c>
    </row>
    <row r="519" spans="1:6" s="1127" customFormat="1" ht="14.25" customHeight="1" x14ac:dyDescent="0.2">
      <c r="B519" s="1118" t="s">
        <v>944</v>
      </c>
      <c r="C519" s="1148" t="str">
        <f t="shared" si="87"/>
        <v>Ab Jahr 6</v>
      </c>
      <c r="D519" s="1118" t="s">
        <v>473</v>
      </c>
      <c r="E519" s="1228" t="s">
        <v>1457</v>
      </c>
    </row>
    <row r="520" spans="1:6" s="1127" customFormat="1" ht="14.25" customHeight="1" x14ac:dyDescent="0.2">
      <c r="B520" s="1118" t="s">
        <v>945</v>
      </c>
      <c r="C520" s="1148" t="str">
        <f t="shared" si="87"/>
        <v>Summe</v>
      </c>
      <c r="D520" s="1118" t="s">
        <v>475</v>
      </c>
      <c r="E520" s="1228" t="s">
        <v>1458</v>
      </c>
    </row>
    <row r="521" spans="1:6" s="1127" customFormat="1" ht="14.25" customHeight="1" x14ac:dyDescent="0.2">
      <c r="B521" s="1118" t="s">
        <v>946</v>
      </c>
      <c r="C521" s="1148" t="str">
        <f t="shared" si="87"/>
        <v>Einjahresrisiko, in Mio. CHF</v>
      </c>
      <c r="D521" s="1118" t="s">
        <v>476</v>
      </c>
      <c r="E521" s="1228" t="s">
        <v>1459</v>
      </c>
    </row>
    <row r="522" spans="1:6" s="1127" customFormat="1" ht="14.25" customHeight="1" x14ac:dyDescent="0.2">
      <c r="B522" s="1118" t="s">
        <v>947</v>
      </c>
      <c r="C522" s="1148" t="str">
        <f t="shared" si="87"/>
        <v>Versicherungsrisiko EK (vor Szenario AS)</v>
      </c>
      <c r="D522" s="1118" t="s">
        <v>478</v>
      </c>
      <c r="E522" s="1228" t="s">
        <v>1460</v>
      </c>
    </row>
    <row r="523" spans="1:6" s="1127" customFormat="1" ht="14.25" customHeight="1" x14ac:dyDescent="0.2">
      <c r="B523" s="1118" t="s">
        <v>948</v>
      </c>
      <c r="C523" s="1148" t="str">
        <f t="shared" si="87"/>
        <v>Jährliche Kapitalkosten für das projizierte Risiko</v>
      </c>
      <c r="D523" s="1118" t="s">
        <v>479</v>
      </c>
      <c r="E523" s="1228" t="s">
        <v>1461</v>
      </c>
    </row>
    <row r="524" spans="1:6" s="1127" customFormat="1" ht="14.25" customHeight="1" x14ac:dyDescent="0.2">
      <c r="B524" s="1118" t="s">
        <v>949</v>
      </c>
      <c r="C524" s="1148" t="str">
        <f t="shared" si="87"/>
        <v>Diskontierter Wert der zukünftigen Kapitalkosten</v>
      </c>
      <c r="D524" s="1118" t="s">
        <v>480</v>
      </c>
      <c r="E524" s="1228" t="s">
        <v>1462</v>
      </c>
    </row>
    <row r="525" spans="1:6" s="1127" customFormat="1" ht="14.25" customHeight="1" x14ac:dyDescent="0.2">
      <c r="B525" s="1118" t="s">
        <v>950</v>
      </c>
      <c r="C525" s="1148" t="str">
        <f t="shared" si="87"/>
        <v>Mindestbetrag (Summe der diskontierten Kapitalkosten), in Mio. CHF</v>
      </c>
      <c r="D525" s="1118" t="s">
        <v>1601</v>
      </c>
      <c r="E525" s="1228" t="s">
        <v>1574</v>
      </c>
      <c r="F525" s="1237"/>
    </row>
    <row r="528" spans="1:6" s="543" customFormat="1" ht="14.25" customHeight="1" x14ac:dyDescent="0.2">
      <c r="A528" s="1147"/>
      <c r="B528" s="545" t="s">
        <v>977</v>
      </c>
      <c r="C528" s="1149" t="str">
        <f t="shared" ref="C528" si="88">IF(HE_language="FR",D528,E528)</f>
        <v>Kranken VVG: Inputs für das SST-Template</v>
      </c>
      <c r="D528" s="545" t="str">
        <f>D22</f>
        <v>Maladie LCA: Inputs pour le SST-Template</v>
      </c>
      <c r="E528" s="545" t="str">
        <f>E22</f>
        <v>Kranken VVG: Inputs für das SST-Template</v>
      </c>
    </row>
    <row r="529" spans="2:9" s="1127" customFormat="1" ht="14.25" customHeight="1" x14ac:dyDescent="0.2">
      <c r="B529" s="1118"/>
      <c r="C529" s="1148"/>
      <c r="D529" s="1118"/>
      <c r="E529" s="1118"/>
    </row>
    <row r="530" spans="2:9" s="1127" customFormat="1" ht="14.25" customHeight="1" x14ac:dyDescent="0.2">
      <c r="B530" s="1118" t="s">
        <v>978</v>
      </c>
      <c r="C530" s="1148" t="str">
        <f t="shared" ref="C530:C533" si="89">IF(HE_language="FR",D530,E530)</f>
        <v>Die Inhalte dieses Tabellenblatts sind Outputs des Standardmodells Kranken, die in die entsprechenden Eingabefelder des SST-Templates zu übertragen sind. Die monetären Beträge sind in Millionen CHF, wie vom SST-Template verlangt.</v>
      </c>
      <c r="D530" s="1118" t="s">
        <v>1480</v>
      </c>
      <c r="E530" s="1228" t="s">
        <v>1576</v>
      </c>
      <c r="F530" s="1237"/>
    </row>
    <row r="531" spans="2:9" s="1127" customFormat="1" ht="14.25" customHeight="1" x14ac:dyDescent="0.2">
      <c r="B531" s="1118" t="s">
        <v>979</v>
      </c>
      <c r="C531" s="1148" t="str">
        <f t="shared" si="89"/>
        <v>Jeder Abschnitt dieses Tabellenblatts entspricht einem Tabellenblatt des SST-Templates.</v>
      </c>
      <c r="D531" s="1118" t="s">
        <v>1607</v>
      </c>
      <c r="E531" s="1228" t="s">
        <v>1479</v>
      </c>
    </row>
    <row r="532" spans="2:9" s="1127" customFormat="1" ht="14.25" customHeight="1" x14ac:dyDescent="0.2">
      <c r="B532" s="1118" t="s">
        <v>980</v>
      </c>
      <c r="C532" s="1148" t="str">
        <f t="shared" si="89"/>
        <v>Outputs des Standardmodells Kranken für das Tabellenblatt «General Inputs» des SST-Templates</v>
      </c>
      <c r="D532" s="1118" t="s">
        <v>1607</v>
      </c>
      <c r="E532" s="1228" t="s">
        <v>1491</v>
      </c>
    </row>
    <row r="533" spans="2:9" s="1127" customFormat="1" ht="14.25" customHeight="1" x14ac:dyDescent="0.2">
      <c r="B533" s="1118" t="s">
        <v>981</v>
      </c>
      <c r="C533" s="1148" t="str">
        <f t="shared" si="89"/>
        <v>SST-Währung</v>
      </c>
      <c r="D533" s="1118" t="s">
        <v>53</v>
      </c>
      <c r="E533" s="1228" t="s">
        <v>1158</v>
      </c>
    </row>
    <row r="534" spans="2:9" s="1127" customFormat="1" ht="14.25" customHeight="1" x14ac:dyDescent="0.2">
      <c r="B534" s="1118" t="s">
        <v>982</v>
      </c>
      <c r="C534" s="1148" t="str">
        <f t="shared" ref="C534:C545" si="90">IF(HE_language="FR",D534,E534)</f>
        <v>Erwartetes Versicherungsergebnis</v>
      </c>
      <c r="D534" s="1118" t="s">
        <v>181</v>
      </c>
      <c r="E534" s="1228" t="s">
        <v>1463</v>
      </c>
    </row>
    <row r="535" spans="2:9" s="1127" customFormat="1" ht="14.25" customHeight="1" x14ac:dyDescent="0.2">
      <c r="B535" s="1118" t="s">
        <v>983</v>
      </c>
      <c r="C535" s="1148" t="str">
        <f t="shared" si="90"/>
        <v>BE Tilde Kranken</v>
      </c>
      <c r="D535" s="1118" t="s">
        <v>695</v>
      </c>
      <c r="E535" s="1228" t="s">
        <v>1464</v>
      </c>
    </row>
    <row r="536" spans="2:9" s="1127" customFormat="1" ht="14.25" customHeight="1" x14ac:dyDescent="0.2">
      <c r="B536" s="1118" t="s">
        <v>1009</v>
      </c>
      <c r="C536" s="1148" t="str">
        <f t="shared" ref="C536" si="91">IF(HE_language="FR",D536,E536)</f>
        <v>MVM Kranken</v>
      </c>
      <c r="D536" s="1118" t="s">
        <v>182</v>
      </c>
      <c r="E536" s="1228" t="s">
        <v>1465</v>
      </c>
    </row>
    <row r="537" spans="2:9" s="1127" customFormat="1" ht="14.25" customHeight="1" x14ac:dyDescent="0.2">
      <c r="B537" s="1118" t="s">
        <v>984</v>
      </c>
      <c r="C537" s="1148" t="str">
        <f t="shared" si="90"/>
        <v>Outputs des Standardmodels Kranken für das Tabellenblatt «SST Balance Sheet» des SST-Templates</v>
      </c>
      <c r="D537" s="1118" t="s">
        <v>1481</v>
      </c>
      <c r="E537" s="1228" t="s">
        <v>1482</v>
      </c>
    </row>
    <row r="538" spans="2:9" s="1127" customFormat="1" ht="14.25" customHeight="1" x14ac:dyDescent="0.2">
      <c r="B538" s="1118" t="s">
        <v>985</v>
      </c>
      <c r="C538" s="1148" t="str">
        <f t="shared" si="90"/>
        <v>Best-Estimate der Langzeitverpflichtungen (Kranken)</v>
      </c>
      <c r="D538" s="1118" t="s">
        <v>460</v>
      </c>
      <c r="E538" s="1228" t="s">
        <v>1466</v>
      </c>
    </row>
    <row r="539" spans="2:9" s="1127" customFormat="1" ht="14.25" customHeight="1" x14ac:dyDescent="0.2">
      <c r="B539" s="1118" t="s">
        <v>986</v>
      </c>
      <c r="C539" s="1148" t="str">
        <f t="shared" si="90"/>
        <v>Outputs des Standardmodells Kranken für das Tabellenblatt «Insurance Cashflows» des SST-Templates</v>
      </c>
      <c r="D539" s="1118" t="s">
        <v>1483</v>
      </c>
      <c r="E539" s="1228" t="s">
        <v>1484</v>
      </c>
    </row>
    <row r="540" spans="2:9" s="1127" customFormat="1" ht="14.25" customHeight="1" x14ac:dyDescent="0.2">
      <c r="B540" s="1118" t="s">
        <v>987</v>
      </c>
      <c r="C540" s="1148" t="str">
        <f t="shared" si="90"/>
        <v>Kranken CHF</v>
      </c>
      <c r="D540" s="1118" t="s">
        <v>461</v>
      </c>
      <c r="E540" s="1228" t="s">
        <v>1467</v>
      </c>
      <c r="F540" s="1237"/>
      <c r="I540" s="1244"/>
    </row>
    <row r="541" spans="2:9" s="1127" customFormat="1" ht="14.25" customHeight="1" x14ac:dyDescent="0.2">
      <c r="B541" s="1118" t="s">
        <v>988</v>
      </c>
      <c r="C541" s="1148" t="str">
        <f t="shared" si="90"/>
        <v>Outputs des Standardmodells Kranken für das Tabellenblatt «Health» des SST-Templates</v>
      </c>
      <c r="D541" s="1118" t="s">
        <v>1485</v>
      </c>
      <c r="E541" s="1228" t="s">
        <v>1486</v>
      </c>
    </row>
    <row r="542" spans="2:9" s="1127" customFormat="1" ht="14.25" customHeight="1" x14ac:dyDescent="0.2">
      <c r="B542" s="1118" t="s">
        <v>989</v>
      </c>
      <c r="C542" s="1148" t="str">
        <f t="shared" si="90"/>
        <v xml:space="preserve">Sensitivität </v>
      </c>
      <c r="D542" s="1118" t="s">
        <v>462</v>
      </c>
      <c r="E542" s="1228" t="s">
        <v>1468</v>
      </c>
    </row>
    <row r="543" spans="2:9" s="1127" customFormat="1" ht="14.25" customHeight="1" x14ac:dyDescent="0.2">
      <c r="B543" s="1118" t="s">
        <v>990</v>
      </c>
      <c r="C543" s="1148" t="str">
        <f t="shared" si="90"/>
        <v>Auswirkungen der Szenarien des Standardmodells Kranken</v>
      </c>
      <c r="D543" s="1118" t="s">
        <v>1493</v>
      </c>
      <c r="E543" s="1239" t="s">
        <v>1492</v>
      </c>
    </row>
    <row r="544" spans="2:9" s="1127" customFormat="1" ht="14.25" customHeight="1" x14ac:dyDescent="0.2">
      <c r="B544" s="1118" t="s">
        <v>991</v>
      </c>
      <c r="C544" s="1148" t="str">
        <f t="shared" si="90"/>
        <v>Szenario AS</v>
      </c>
      <c r="D544" s="1118" t="s">
        <v>139</v>
      </c>
      <c r="E544" s="1228" t="s">
        <v>1285</v>
      </c>
    </row>
    <row r="545" spans="1:6" s="1127" customFormat="1" ht="14.25" customHeight="1" x14ac:dyDescent="0.2">
      <c r="B545" s="1118" t="s">
        <v>992</v>
      </c>
      <c r="C545" s="1148" t="str">
        <f t="shared" si="90"/>
        <v>Szenario KTG</v>
      </c>
      <c r="D545" s="1118" t="s">
        <v>463</v>
      </c>
      <c r="E545" s="1228" t="s">
        <v>1575</v>
      </c>
      <c r="F545" s="1237"/>
    </row>
    <row r="546" spans="1:6" s="1127" customFormat="1" ht="14.25" customHeight="1" x14ac:dyDescent="0.2">
      <c r="B546" s="1118" t="s">
        <v>998</v>
      </c>
      <c r="C546" s="1148" t="str">
        <f t="shared" ref="C546:C548" si="92">IF(HE_language="FR",D546,E546)</f>
        <v>Eintrittswahrscheinlichkeiten der Szenarien des Standardmodells Kranken</v>
      </c>
      <c r="D546" s="1118" t="s">
        <v>1487</v>
      </c>
      <c r="E546" s="1228" t="s">
        <v>1488</v>
      </c>
    </row>
    <row r="547" spans="1:6" s="1127" customFormat="1" ht="14.25" customHeight="1" x14ac:dyDescent="0.2">
      <c r="B547" s="1118" t="s">
        <v>999</v>
      </c>
      <c r="C547" s="1148" t="str">
        <f t="shared" si="92"/>
        <v>Outputs des Standardmodells Kranken für das Tabellenblatt «Other Data» des SST-Templates</v>
      </c>
      <c r="D547" s="1118" t="s">
        <v>1489</v>
      </c>
      <c r="E547" s="1228" t="s">
        <v>1490</v>
      </c>
    </row>
    <row r="548" spans="1:6" s="1127" customFormat="1" ht="14.25" customHeight="1" x14ac:dyDescent="0.2">
      <c r="B548" s="1118" t="s">
        <v>1000</v>
      </c>
      <c r="C548" s="1148" t="str">
        <f t="shared" si="92"/>
        <v>Versicherungsrisiko Einzelkranken: LZV-Risiko (Expected Shortfall)</v>
      </c>
      <c r="D548" s="1118" t="s">
        <v>464</v>
      </c>
      <c r="E548" s="1228" t="s">
        <v>1469</v>
      </c>
    </row>
    <row r="549" spans="1:6" s="1127" customFormat="1" ht="14.25" customHeight="1" x14ac:dyDescent="0.2">
      <c r="B549" s="1118" t="s">
        <v>1001</v>
      </c>
      <c r="C549" s="1148" t="str">
        <f t="shared" ref="C549:C552" si="93">IF(HE_language="FR",D549,E549)</f>
        <v>davon Sterblichkeit (Expected Shortfall)</v>
      </c>
      <c r="D549" s="1118" t="s">
        <v>184</v>
      </c>
      <c r="E549" s="1228" t="s">
        <v>1470</v>
      </c>
    </row>
    <row r="550" spans="1:6" s="1127" customFormat="1" ht="14.25" customHeight="1" x14ac:dyDescent="0.2">
      <c r="B550" s="1118" t="s">
        <v>1002</v>
      </c>
      <c r="C550" s="1148" t="str">
        <f t="shared" si="93"/>
        <v>davon Storno (Expected Shortfall)</v>
      </c>
      <c r="D550" s="1118" t="s">
        <v>185</v>
      </c>
      <c r="E550" s="1228" t="s">
        <v>1471</v>
      </c>
    </row>
    <row r="551" spans="1:6" s="1127" customFormat="1" ht="14.25" customHeight="1" x14ac:dyDescent="0.2">
      <c r="B551" s="1118" t="s">
        <v>1003</v>
      </c>
      <c r="C551" s="1148" t="str">
        <f t="shared" si="93"/>
        <v>davon Verwaltungskosten (Expected Shortfall)</v>
      </c>
      <c r="D551" s="1118" t="s">
        <v>186</v>
      </c>
      <c r="E551" s="1228" t="s">
        <v>1472</v>
      </c>
    </row>
    <row r="552" spans="1:6" s="1127" customFormat="1" ht="14.25" customHeight="1" x14ac:dyDescent="0.2">
      <c r="B552" s="1118" t="s">
        <v>1004</v>
      </c>
      <c r="C552" s="1148" t="str">
        <f t="shared" si="93"/>
        <v>davon Leistungen (Expected Shortfall)</v>
      </c>
      <c r="D552" s="1118" t="s">
        <v>187</v>
      </c>
      <c r="E552" s="1228" t="s">
        <v>1473</v>
      </c>
    </row>
    <row r="553" spans="1:6" s="1127" customFormat="1" ht="14.25" customHeight="1" x14ac:dyDescent="0.2">
      <c r="B553" s="1118" t="s">
        <v>1005</v>
      </c>
      <c r="C553" s="1148" t="str">
        <f t="shared" ref="C553:C554" si="94">IF(HE_language="FR",D553,E553)</f>
        <v>Versicherungsrisiko Einzelkranken: CY-Risiko (Expected Shortfall)</v>
      </c>
      <c r="D553" s="1118" t="s">
        <v>465</v>
      </c>
      <c r="E553" s="1228" t="s">
        <v>1474</v>
      </c>
    </row>
    <row r="554" spans="1:6" s="1127" customFormat="1" ht="14.25" customHeight="1" x14ac:dyDescent="0.2">
      <c r="B554" s="1118" t="s">
        <v>1006</v>
      </c>
      <c r="C554" s="1148" t="str">
        <f t="shared" si="94"/>
        <v xml:space="preserve">Einzelkranken: Anzahl Versicherte (Kopfzählung)  </v>
      </c>
      <c r="D554" s="1118" t="s">
        <v>188</v>
      </c>
      <c r="E554" s="1228" t="s">
        <v>1475</v>
      </c>
    </row>
    <row r="555" spans="1:6" s="1127" customFormat="1" ht="14.25" customHeight="1" x14ac:dyDescent="0.2">
      <c r="B555" s="1118" t="s">
        <v>1007</v>
      </c>
      <c r="C555" s="1148" t="str">
        <f t="shared" ref="C555:C556" si="95">IF(HE_language="FR",D555,E555)</f>
        <v>Kollektivtaggeld: Erwartete Prämien (vor Rückversicherung)</v>
      </c>
      <c r="D555" s="1118" t="s">
        <v>189</v>
      </c>
      <c r="E555" s="1228" t="s">
        <v>1476</v>
      </c>
    </row>
    <row r="556" spans="1:6" s="1127" customFormat="1" ht="14.25" customHeight="1" x14ac:dyDescent="0.2">
      <c r="B556" s="1118" t="s">
        <v>1008</v>
      </c>
      <c r="C556" s="1148" t="str">
        <f t="shared" si="95"/>
        <v>Kollektivtaggeld: Erwartete Leistungen (vor Rückversicherung)</v>
      </c>
      <c r="D556" s="1118" t="s">
        <v>190</v>
      </c>
      <c r="E556" s="1228" t="s">
        <v>1477</v>
      </c>
    </row>
    <row r="559" spans="1:6" s="543" customFormat="1" ht="14.25" customHeight="1" x14ac:dyDescent="0.2">
      <c r="A559" s="1127"/>
      <c r="B559" s="545" t="s">
        <v>1010</v>
      </c>
      <c r="C559" s="1149" t="str">
        <f>IF(HE_language="FR",D559,E559)</f>
        <v xml:space="preserve">Kranken VVG: Daten nach Alter und Vertragsgruppe </v>
      </c>
      <c r="D559" s="545" t="str">
        <f>D23</f>
        <v xml:space="preserve">Maladie LCA: Données par âge et sexe du groupe de contrats </v>
      </c>
      <c r="E559" s="545" t="str">
        <f>E23</f>
        <v xml:space="preserve">Kranken VVG: Daten nach Alter und Vertragsgruppe </v>
      </c>
    </row>
    <row r="560" spans="1:6" s="543" customFormat="1" ht="14.25" customHeight="1" x14ac:dyDescent="0.2">
      <c r="A560" s="1127"/>
      <c r="C560" s="574"/>
    </row>
    <row r="561" spans="2:6" s="1127" customFormat="1" ht="14.25" customHeight="1" x14ac:dyDescent="0.2">
      <c r="B561" s="1118" t="s">
        <v>1011</v>
      </c>
      <c r="C561" s="1148" t="str">
        <f t="shared" ref="C561:C573" si="96">IF(HE_language="FR",D561,E561)</f>
        <v xml:space="preserve">Eingabe der Daten der Gesellschaft </v>
      </c>
      <c r="D561" s="1118" t="s">
        <v>1032</v>
      </c>
      <c r="E561" s="1228" t="s">
        <v>1494</v>
      </c>
    </row>
    <row r="562" spans="2:6" s="1127" customFormat="1" ht="14.25" customHeight="1" x14ac:dyDescent="0.2">
      <c r="B562" s="1118" t="s">
        <v>1012</v>
      </c>
      <c r="C562" s="1148" t="str">
        <f t="shared" si="96"/>
        <v>Altersklasse</v>
      </c>
      <c r="D562" s="1118" t="s">
        <v>107</v>
      </c>
      <c r="E562" s="1228" t="s">
        <v>1281</v>
      </c>
    </row>
    <row r="563" spans="2:6" s="1127" customFormat="1" ht="14.25" customHeight="1" x14ac:dyDescent="0.2">
      <c r="B563" s="1118" t="s">
        <v>1022</v>
      </c>
      <c r="C563" s="1148" t="str">
        <f t="shared" ref="C563:C564" si="97">IF(HE_language="FR",D563,E563)</f>
        <v>Altersklasse x = betroffenes Jahr - Geburtsjahr</v>
      </c>
      <c r="D563" s="1118" t="s">
        <v>262</v>
      </c>
      <c r="E563" s="1228" t="s">
        <v>1523</v>
      </c>
    </row>
    <row r="564" spans="2:6" s="1127" customFormat="1" ht="14.25" customHeight="1" x14ac:dyDescent="0.2">
      <c r="B564" s="1118" t="s">
        <v>1023</v>
      </c>
      <c r="C564" s="1148" t="str">
        <f t="shared" si="97"/>
        <v>Indiz i der Altersklasse;  i = x+1</v>
      </c>
      <c r="D564" s="1118" t="s">
        <v>122</v>
      </c>
      <c r="E564" s="1228" t="s">
        <v>1495</v>
      </c>
    </row>
    <row r="565" spans="2:6" s="1127" customFormat="1" ht="14.25" customHeight="1" x14ac:dyDescent="0.2">
      <c r="B565" s="1118" t="s">
        <v>1013</v>
      </c>
      <c r="C565" s="1148" t="str">
        <f t="shared" si="96"/>
        <v xml:space="preserve">Geburtsjahr </v>
      </c>
      <c r="D565" s="1118" t="s">
        <v>153</v>
      </c>
      <c r="E565" s="1228" t="s">
        <v>1496</v>
      </c>
    </row>
    <row r="566" spans="2:6" s="1127" customFormat="1" ht="14.25" customHeight="1" x14ac:dyDescent="0.2">
      <c r="B566" s="1118"/>
      <c r="C566" s="1148"/>
      <c r="D566" s="1118"/>
      <c r="E566" s="1228"/>
    </row>
    <row r="567" spans="2:6" s="1127" customFormat="1" ht="14.25" customHeight="1" x14ac:dyDescent="0.2">
      <c r="B567" s="1118" t="s">
        <v>1014</v>
      </c>
      <c r="C567" s="1148" t="str">
        <f t="shared" si="96"/>
        <v>Daten für Durchschnittsbestand CY und Durchschnittsbestände der folgende Jahre</v>
      </c>
      <c r="D567" s="1127" t="s">
        <v>121</v>
      </c>
      <c r="E567" s="1228" t="s">
        <v>1524</v>
      </c>
    </row>
    <row r="568" spans="2:6" s="1127" customFormat="1" ht="14.25" customHeight="1" x14ac:dyDescent="0.2">
      <c r="B568" s="1118" t="s">
        <v>1015</v>
      </c>
      <c r="C568" s="1148" t="str">
        <f t="shared" si="96"/>
        <v>Anzahl Verträge per 01.01.</v>
      </c>
      <c r="D568" s="1118" t="s">
        <v>1024</v>
      </c>
      <c r="E568" s="1228" t="s">
        <v>1497</v>
      </c>
    </row>
    <row r="569" spans="2:6" s="1127" customFormat="1" ht="14.25" customHeight="1" x14ac:dyDescent="0.2">
      <c r="B569" s="1118" t="s">
        <v>1026</v>
      </c>
      <c r="C569" s="1148" t="str">
        <f t="shared" si="96"/>
        <v>Davon neue Verträge am 01.01.</v>
      </c>
      <c r="D569" s="1118" t="s">
        <v>1025</v>
      </c>
      <c r="E569" s="1228" t="s">
        <v>1525</v>
      </c>
    </row>
    <row r="570" spans="2:6" s="1127" customFormat="1" ht="14.25" customHeight="1" x14ac:dyDescent="0.2">
      <c r="B570" s="1118" t="s">
        <v>1027</v>
      </c>
      <c r="C570" s="1148" t="str">
        <f t="shared" ref="C570" si="98">IF(HE_language="FR",D570,E570)</f>
        <v xml:space="preserve"> (ausgenommen garantierte Eintritte)</v>
      </c>
      <c r="D570" s="1118" t="s">
        <v>1602</v>
      </c>
      <c r="E570" s="1228" t="s">
        <v>1569</v>
      </c>
    </row>
    <row r="571" spans="2:6" s="1127" customFormat="1" ht="14.25" customHeight="1" x14ac:dyDescent="0.2">
      <c r="B571" s="1118" t="s">
        <v>1028</v>
      </c>
      <c r="C571" s="1148" t="str">
        <f t="shared" si="96"/>
        <v>Bestand per 01.01.</v>
      </c>
      <c r="D571" s="1118" t="s">
        <v>843</v>
      </c>
      <c r="E571" s="1228" t="s">
        <v>1374</v>
      </c>
    </row>
    <row r="572" spans="2:6" s="1127" customFormat="1" ht="14.25" customHeight="1" x14ac:dyDescent="0.2">
      <c r="B572" s="1118" t="s">
        <v>1029</v>
      </c>
      <c r="C572" s="1148" t="str">
        <f t="shared" ref="C572" si="99">IF(HE_language="FR",D572,E572)</f>
        <v xml:space="preserve"> des bestehenden Geschäfts per 31.12.</v>
      </c>
      <c r="D572" s="1118" t="s">
        <v>1030</v>
      </c>
      <c r="E572" s="1228" t="s">
        <v>1498</v>
      </c>
    </row>
    <row r="573" spans="2:6" s="1127" customFormat="1" ht="14.25" customHeight="1" x14ac:dyDescent="0.2">
      <c r="B573" s="1118" t="s">
        <v>1016</v>
      </c>
      <c r="C573" s="1148" t="str">
        <f t="shared" si="96"/>
        <v>Sterblichkeit CY</v>
      </c>
      <c r="D573" s="1118" t="s">
        <v>111</v>
      </c>
      <c r="E573" s="1228" t="s">
        <v>1499</v>
      </c>
    </row>
    <row r="574" spans="2:6" s="1127" customFormat="1" ht="14.25" customHeight="1" x14ac:dyDescent="0.2">
      <c r="B574" s="1118" t="s">
        <v>1017</v>
      </c>
      <c r="C574" s="1148" t="str">
        <f t="shared" ref="C574:C587" si="100">IF(HE_language="FR",D574,E574)</f>
        <v>CY-Storni (ausgenommen garantierte Wechsel)</v>
      </c>
      <c r="D574" s="1118" t="s">
        <v>1603</v>
      </c>
      <c r="E574" s="1228" t="s">
        <v>1577</v>
      </c>
      <c r="F574" s="1237"/>
    </row>
    <row r="575" spans="2:6" s="1127" customFormat="1" ht="14.25" customHeight="1" x14ac:dyDescent="0.2">
      <c r="B575" s="1118" t="s">
        <v>1018</v>
      </c>
      <c r="C575" s="1148" t="str">
        <f t="shared" si="100"/>
        <v xml:space="preserve">Faktor für Durchschnittsbestand </v>
      </c>
      <c r="D575" s="1118" t="s">
        <v>1031</v>
      </c>
      <c r="E575" s="1228" t="s">
        <v>1500</v>
      </c>
    </row>
    <row r="576" spans="2:6" s="1127" customFormat="1" ht="14.25" customHeight="1" x14ac:dyDescent="0.2">
      <c r="B576" s="1118"/>
      <c r="C576" s="1148"/>
      <c r="D576" s="1118"/>
      <c r="E576" s="1228"/>
    </row>
    <row r="577" spans="2:9" s="1127" customFormat="1" ht="14.25" customHeight="1" x14ac:dyDescent="0.2">
      <c r="B577" s="1118" t="s">
        <v>1019</v>
      </c>
      <c r="C577" s="1148" t="str">
        <f t="shared" si="100"/>
        <v>Daten für die erwarteten Prämien CY</v>
      </c>
      <c r="D577" s="1118" t="s">
        <v>117</v>
      </c>
      <c r="E577" s="1228" t="s">
        <v>1501</v>
      </c>
    </row>
    <row r="578" spans="2:9" s="1127" customFormat="1" ht="14.25" customHeight="1" x14ac:dyDescent="0.2">
      <c r="B578" s="1118" t="s">
        <v>1020</v>
      </c>
      <c r="C578" s="1148" t="str">
        <f t="shared" si="100"/>
        <v>Prämien für 12 Monate aller Verträge per 01.01.</v>
      </c>
      <c r="D578" s="1118" t="s">
        <v>1050</v>
      </c>
      <c r="E578" s="1228" t="s">
        <v>1502</v>
      </c>
    </row>
    <row r="579" spans="2:9" s="1127" customFormat="1" ht="14.25" customHeight="1" x14ac:dyDescent="0.2">
      <c r="B579" s="1118" t="s">
        <v>1051</v>
      </c>
      <c r="C579" s="1148" t="str">
        <f t="shared" si="100"/>
        <v xml:space="preserve">Prämien für die in </v>
      </c>
      <c r="D579" s="1118" t="s">
        <v>1613</v>
      </c>
      <c r="E579" s="1228" t="s">
        <v>1604</v>
      </c>
      <c r="F579" s="1237"/>
      <c r="H579" s="1243"/>
      <c r="I579" s="1244"/>
    </row>
    <row r="580" spans="2:9" s="1127" customFormat="1" ht="14.25" customHeight="1" x14ac:dyDescent="0.2">
      <c r="B580" s="1118" t="s">
        <v>1052</v>
      </c>
      <c r="C580" s="1148" t="str">
        <f t="shared" si="100"/>
        <v xml:space="preserve"> erwartete versicherte Dauer, von allen Verträgen per 01.01.</v>
      </c>
      <c r="D580" s="1118" t="s">
        <v>1526</v>
      </c>
      <c r="E580" s="1228" t="s">
        <v>1612</v>
      </c>
      <c r="G580" s="1245"/>
    </row>
    <row r="581" spans="2:9" s="1127" customFormat="1" ht="14.25" customHeight="1" x14ac:dyDescent="0.2">
      <c r="B581" s="1118" t="s">
        <v>1055</v>
      </c>
      <c r="C581" s="1148" t="str">
        <f t="shared" si="100"/>
        <v xml:space="preserve">Erwartete Prämie pro Vertrag für </v>
      </c>
      <c r="D581" s="1118" t="s">
        <v>1054</v>
      </c>
      <c r="E581" s="1228" t="s">
        <v>1504</v>
      </c>
    </row>
    <row r="582" spans="2:9" s="1127" customFormat="1" ht="14.25" customHeight="1" x14ac:dyDescent="0.2">
      <c r="B582" s="1118" t="s">
        <v>1056</v>
      </c>
      <c r="C582" s="1148" t="str">
        <f t="shared" ref="C582" si="101">IF(HE_language="FR",D582,E582)</f>
        <v xml:space="preserve"> (ohne Ausfall von Zahlungen), von allen Verträgen per 01.01.</v>
      </c>
      <c r="D582" s="1118" t="s">
        <v>1057</v>
      </c>
      <c r="E582" s="1228" t="s">
        <v>1578</v>
      </c>
      <c r="F582" s="1237"/>
    </row>
    <row r="583" spans="2:9" s="1127" customFormat="1" ht="14.25" customHeight="1" x14ac:dyDescent="0.2">
      <c r="B583" s="1118" t="s">
        <v>1058</v>
      </c>
      <c r="C583" s="1148" t="str">
        <f t="shared" si="100"/>
        <v>Standard</v>
      </c>
      <c r="D583" s="1118" t="s">
        <v>320</v>
      </c>
      <c r="E583" s="1228" t="s">
        <v>1505</v>
      </c>
    </row>
    <row r="584" spans="2:9" s="1127" customFormat="1" ht="14.25" customHeight="1" x14ac:dyDescent="0.2">
      <c r="B584" s="1118" t="s">
        <v>1059</v>
      </c>
      <c r="C584" s="1148" t="str">
        <f t="shared" ref="C584:C585" si="102">IF(HE_language="FR",D584,E584)</f>
        <v>Alternative</v>
      </c>
      <c r="D584" s="1118" t="s">
        <v>321</v>
      </c>
      <c r="E584" s="1228" t="s">
        <v>818</v>
      </c>
    </row>
    <row r="585" spans="2:9" s="1127" customFormat="1" ht="14.25" customHeight="1" x14ac:dyDescent="0.2">
      <c r="B585" s="1118" t="s">
        <v>1060</v>
      </c>
      <c r="C585" s="1148" t="str">
        <f t="shared" si="102"/>
        <v>Verwendet</v>
      </c>
      <c r="D585" s="1118" t="s">
        <v>322</v>
      </c>
      <c r="E585" s="1228" t="s">
        <v>1586</v>
      </c>
    </row>
    <row r="586" spans="2:9" s="1127" customFormat="1" ht="14.25" customHeight="1" x14ac:dyDescent="0.2">
      <c r="B586" s="1118"/>
      <c r="C586" s="1148"/>
      <c r="D586" s="1118"/>
      <c r="E586" s="1228"/>
    </row>
    <row r="587" spans="2:9" s="1127" customFormat="1" ht="14.25" customHeight="1" x14ac:dyDescent="0.2">
      <c r="B587" s="1118" t="s">
        <v>1021</v>
      </c>
      <c r="C587" s="1148" t="str">
        <f t="shared" si="100"/>
        <v>Daten für die erwarteten Kosten CY</v>
      </c>
      <c r="D587" s="1118" t="s">
        <v>120</v>
      </c>
      <c r="E587" s="1228" t="s">
        <v>1506</v>
      </c>
    </row>
    <row r="588" spans="2:9" s="1127" customFormat="1" ht="14.25" customHeight="1" x14ac:dyDescent="0.2">
      <c r="B588" s="1118" t="s">
        <v>1064</v>
      </c>
      <c r="C588" s="1148" t="str">
        <f t="shared" ref="C588:C604" si="103">IF(HE_language="FR",D588,E588)</f>
        <v xml:space="preserve">Erwartete Kosten pro Vertrag für </v>
      </c>
      <c r="D588" s="1118" t="s">
        <v>1063</v>
      </c>
      <c r="E588" s="1228" t="s">
        <v>1507</v>
      </c>
    </row>
    <row r="589" spans="2:9" s="1127" customFormat="1" ht="14.25" customHeight="1" x14ac:dyDescent="0.2">
      <c r="B589" s="1118" t="s">
        <v>1065</v>
      </c>
      <c r="C589" s="1148" t="str">
        <f t="shared" ref="C589" si="104">IF(HE_language="FR",D589,E589)</f>
        <v>, von allen Verträgen per 01.01.</v>
      </c>
      <c r="D589" s="1118" t="s">
        <v>1053</v>
      </c>
      <c r="E589" s="1228" t="s">
        <v>1503</v>
      </c>
    </row>
    <row r="590" spans="2:9" s="1127" customFormat="1" ht="14.25" customHeight="1" x14ac:dyDescent="0.2">
      <c r="B590" s="1118"/>
      <c r="C590" s="1148"/>
      <c r="D590" s="1118"/>
      <c r="E590" s="1228"/>
    </row>
    <row r="591" spans="2:9" s="1127" customFormat="1" ht="14.25" customHeight="1" x14ac:dyDescent="0.2">
      <c r="B591" s="1118" t="s">
        <v>1072</v>
      </c>
      <c r="C591" s="1148" t="str">
        <f t="shared" si="103"/>
        <v xml:space="preserve">Jahresdaten </v>
      </c>
      <c r="D591" s="1118" t="s">
        <v>1074</v>
      </c>
      <c r="E591" s="1228" t="s">
        <v>1508</v>
      </c>
    </row>
    <row r="592" spans="2:9" s="1127" customFormat="1" ht="14.25" customHeight="1" x14ac:dyDescent="0.2">
      <c r="B592" s="1118" t="s">
        <v>1073</v>
      </c>
      <c r="C592" s="1148" t="str">
        <f t="shared" ref="C592" si="105">IF(HE_language="FR",D592,E592)</f>
        <v xml:space="preserve"> für die erwarteten Leistungen CY</v>
      </c>
      <c r="D592" s="1118" t="s">
        <v>1075</v>
      </c>
      <c r="E592" s="1228" t="s">
        <v>1509</v>
      </c>
    </row>
    <row r="593" spans="2:5" s="1127" customFormat="1" ht="14.25" customHeight="1" x14ac:dyDescent="0.2">
      <c r="B593" s="1118" t="s">
        <v>1076</v>
      </c>
      <c r="C593" s="1148" t="str">
        <f t="shared" si="103"/>
        <v>Anzahl Verträge per 01.01.</v>
      </c>
      <c r="D593" s="1118" t="s">
        <v>1024</v>
      </c>
      <c r="E593" s="1228" t="s">
        <v>1497</v>
      </c>
    </row>
    <row r="594" spans="2:5" s="1127" customFormat="1" ht="14.25" customHeight="1" x14ac:dyDescent="0.2">
      <c r="B594" s="1118" t="s">
        <v>1077</v>
      </c>
      <c r="C594" s="1148" t="str">
        <f t="shared" ref="C594" si="106">IF(HE_language="FR",D594,E594)</f>
        <v>Anzahl Verträge per 31.12.</v>
      </c>
      <c r="D594" s="1118" t="s">
        <v>1078</v>
      </c>
      <c r="E594" s="1228" t="s">
        <v>1510</v>
      </c>
    </row>
    <row r="595" spans="2:5" s="1127" customFormat="1" ht="14.25" customHeight="1" x14ac:dyDescent="0.2">
      <c r="B595" s="1118" t="s">
        <v>1079</v>
      </c>
      <c r="C595" s="1148" t="str">
        <f t="shared" si="103"/>
        <v>Davon Verträge per 31.12.</v>
      </c>
      <c r="D595" s="1118" t="s">
        <v>1081</v>
      </c>
      <c r="E595" s="1228" t="s">
        <v>1511</v>
      </c>
    </row>
    <row r="596" spans="2:5" s="1127" customFormat="1" ht="14.25" customHeight="1" x14ac:dyDescent="0.2">
      <c r="B596" s="1118" t="s">
        <v>1080</v>
      </c>
      <c r="C596" s="1148" t="str">
        <f t="shared" ref="C596:C600" si="107">IF(HE_language="FR",D596,E596)</f>
        <v xml:space="preserve"> ohne Deckung am 01.01.</v>
      </c>
      <c r="D596" s="1118" t="s">
        <v>1082</v>
      </c>
      <c r="E596" s="1228" t="s">
        <v>1512</v>
      </c>
    </row>
    <row r="597" spans="2:5" s="1127" customFormat="1" ht="14.25" customHeight="1" x14ac:dyDescent="0.2">
      <c r="B597" s="1118" t="s">
        <v>1083</v>
      </c>
      <c r="C597" s="1148" t="str">
        <f t="shared" si="107"/>
        <v xml:space="preserve">Faktor für Durchschnittsbestand </v>
      </c>
      <c r="D597" s="1118" t="s">
        <v>1031</v>
      </c>
      <c r="E597" s="1228" t="s">
        <v>1500</v>
      </c>
    </row>
    <row r="598" spans="2:5" s="1127" customFormat="1" ht="13.5" customHeight="1" x14ac:dyDescent="0.2">
      <c r="B598" s="1118" t="s">
        <v>1084</v>
      </c>
      <c r="C598" s="1148" t="str">
        <f t="shared" si="107"/>
        <v xml:space="preserve"> aus dem Bestand per 01.01.</v>
      </c>
      <c r="D598" s="1118" t="s">
        <v>1092</v>
      </c>
      <c r="E598" s="1228" t="s">
        <v>1527</v>
      </c>
    </row>
    <row r="599" spans="2:5" s="1127" customFormat="1" ht="14.25" customHeight="1" x14ac:dyDescent="0.2">
      <c r="B599" s="1118" t="s">
        <v>1088</v>
      </c>
      <c r="C599" s="1148" t="str">
        <f t="shared" si="107"/>
        <v>, kohärent mit dem Faktor für CY</v>
      </c>
      <c r="D599" s="1118" t="s">
        <v>1093</v>
      </c>
      <c r="E599" s="1228" t="s">
        <v>1513</v>
      </c>
    </row>
    <row r="600" spans="2:5" s="1127" customFormat="1" ht="14.25" customHeight="1" x14ac:dyDescent="0.2">
      <c r="B600" s="1118" t="s">
        <v>1089</v>
      </c>
      <c r="C600" s="1148" t="str">
        <f t="shared" si="107"/>
        <v xml:space="preserve">Leistungen für das Behandlungsjahr </v>
      </c>
      <c r="D600" s="1118" t="s">
        <v>1085</v>
      </c>
      <c r="E600" s="1228" t="s">
        <v>1514</v>
      </c>
    </row>
    <row r="601" spans="2:5" s="1127" customFormat="1" ht="14.25" customHeight="1" x14ac:dyDescent="0.2">
      <c r="B601" s="1118" t="s">
        <v>1090</v>
      </c>
      <c r="C601" s="1148" t="str">
        <f t="shared" si="103"/>
        <v>, einschliesslich IBNR, von allen Verträgen</v>
      </c>
      <c r="D601" s="1118" t="s">
        <v>1086</v>
      </c>
      <c r="E601" s="1228" t="s">
        <v>1515</v>
      </c>
    </row>
    <row r="602" spans="2:5" s="1127" customFormat="1" ht="14.25" customHeight="1" x14ac:dyDescent="0.2">
      <c r="B602" s="1118" t="s">
        <v>1061</v>
      </c>
      <c r="C602" s="1148" t="str">
        <f t="shared" si="103"/>
        <v xml:space="preserve">Leistungen pro Vertrag für das Behandlungsjahr </v>
      </c>
      <c r="D602" s="1118" t="s">
        <v>1087</v>
      </c>
      <c r="E602" s="1228" t="s">
        <v>1516</v>
      </c>
    </row>
    <row r="603" spans="2:5" s="1127" customFormat="1" ht="14.25" customHeight="1" x14ac:dyDescent="0.2">
      <c r="B603" s="1118" t="s">
        <v>1062</v>
      </c>
      <c r="C603" s="1148" t="str">
        <f t="shared" si="103"/>
        <v>vor Anpassung an CY</v>
      </c>
      <c r="D603" s="1118" t="s">
        <v>324</v>
      </c>
      <c r="E603" s="1228" t="s">
        <v>1517</v>
      </c>
    </row>
    <row r="604" spans="2:5" s="1127" customFormat="1" ht="14.25" customHeight="1" x14ac:dyDescent="0.2">
      <c r="B604" s="1118" t="s">
        <v>1091</v>
      </c>
      <c r="C604" s="1148" t="str">
        <f t="shared" si="103"/>
        <v>nach Anpassung an CY</v>
      </c>
      <c r="D604" s="1118" t="s">
        <v>325</v>
      </c>
      <c r="E604" s="1228" t="s">
        <v>1518</v>
      </c>
    </row>
    <row r="605" spans="2:5" s="1127" customFormat="1" ht="14.25" customHeight="1" x14ac:dyDescent="0.2">
      <c r="B605" s="1118"/>
      <c r="C605" s="1148"/>
      <c r="D605" s="1118"/>
      <c r="E605" s="1228"/>
    </row>
    <row r="606" spans="2:5" s="1127" customFormat="1" ht="14.25" customHeight="1" x14ac:dyDescent="0.2">
      <c r="B606" s="1118" t="s">
        <v>1094</v>
      </c>
      <c r="C606" s="1148" t="str">
        <f t="shared" ref="C606:C610" si="108">IF(HE_language="FR",D606,E606)</f>
        <v>Erwartete Leistungen CY</v>
      </c>
      <c r="D606" s="1118" t="s">
        <v>330</v>
      </c>
      <c r="E606" s="1228" t="s">
        <v>1519</v>
      </c>
    </row>
    <row r="607" spans="2:5" s="1127" customFormat="1" ht="14.25" customHeight="1" x14ac:dyDescent="0.2">
      <c r="B607" s="1118" t="s">
        <v>1098</v>
      </c>
      <c r="C607" s="1148" t="str">
        <f t="shared" si="108"/>
        <v xml:space="preserve">Erwartete Leistungen pro Vertrag für </v>
      </c>
      <c r="D607" s="1118" t="s">
        <v>1097</v>
      </c>
      <c r="E607" s="1228" t="s">
        <v>1367</v>
      </c>
    </row>
    <row r="608" spans="2:5" s="1127" customFormat="1" ht="14.25" customHeight="1" x14ac:dyDescent="0.2">
      <c r="B608" s="1118" t="s">
        <v>1099</v>
      </c>
      <c r="C608" s="1148" t="str">
        <f t="shared" ref="C608" si="109">IF(HE_language="FR",D608,E608)</f>
        <v>, von allen Verträgen per 01.01.</v>
      </c>
      <c r="D608" s="1118" t="s">
        <v>1053</v>
      </c>
      <c r="E608" s="1228" t="s">
        <v>1503</v>
      </c>
    </row>
    <row r="609" spans="2:5" s="1127" customFormat="1" ht="14.25" customHeight="1" x14ac:dyDescent="0.2">
      <c r="B609" s="1118" t="s">
        <v>1095</v>
      </c>
      <c r="C609" s="1148" t="str">
        <f t="shared" si="108"/>
        <v>vor Glättung</v>
      </c>
      <c r="D609" s="1118" t="s">
        <v>329</v>
      </c>
      <c r="E609" s="1228" t="s">
        <v>1520</v>
      </c>
    </row>
    <row r="610" spans="2:5" s="1127" customFormat="1" ht="14.25" customHeight="1" x14ac:dyDescent="0.2">
      <c r="B610" s="1118" t="s">
        <v>1096</v>
      </c>
      <c r="C610" s="1148" t="str">
        <f t="shared" si="108"/>
        <v xml:space="preserve">Standardglättung </v>
      </c>
      <c r="D610" s="1118" t="s">
        <v>331</v>
      </c>
      <c r="E610" s="1228" t="s">
        <v>1521</v>
      </c>
    </row>
    <row r="611" spans="2:5" s="1127" customFormat="1" ht="14.25" customHeight="1" x14ac:dyDescent="0.2">
      <c r="B611" s="1118" t="s">
        <v>1100</v>
      </c>
      <c r="C611" s="1148" t="str">
        <f t="shared" ref="C611" si="110">IF(HE_language="FR",D611,E611)</f>
        <v>alternative Glättung</v>
      </c>
      <c r="D611" s="1118" t="s">
        <v>332</v>
      </c>
      <c r="E611" s="1228" t="s">
        <v>1522</v>
      </c>
    </row>
    <row r="612" spans="2:5" s="1127" customFormat="1" ht="14.25" customHeight="1" x14ac:dyDescent="0.2">
      <c r="B612" s="1118" t="s">
        <v>1101</v>
      </c>
      <c r="C612" s="1148" t="str">
        <f>IF(HE_language="FR",D612,E612)</f>
        <v>verwendete Glättung</v>
      </c>
      <c r="D612" s="1118" t="s">
        <v>333</v>
      </c>
      <c r="E612" s="1228" t="s">
        <v>1587</v>
      </c>
    </row>
  </sheetData>
  <pageMargins left="0.70866141732283472" right="0.70866141732283472" top="0.74803149606299213" bottom="0.74803149606299213" header="0.31496062992125984" footer="0.31496062992125984"/>
  <pageSetup paperSize="9" scale="41" fitToHeight="3"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109C7-A141-49AB-BE1B-946D9439FBD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HE_CGSheetsNr&amp;".15"</f>
        <v>15.15</v>
      </c>
      <c r="B1" s="54" t="str">
        <f>VLOOKUP("T.15.01",HE_label,2,FALSE)&amp;$N$3&amp;IF($N$5="",""," ("&amp;$N$5&amp;")")</f>
        <v>Kranken VVG: Daten nach Alter und Vertragsgruppe 15</v>
      </c>
    </row>
    <row r="2" spans="1:88" x14ac:dyDescent="0.2">
      <c r="B2" s="228" t="str" cm="1">
        <f t="array" ref="B2">HE_company_name&amp;" - SST "&amp;HE_CY&amp;HE_suffix</f>
        <v xml:space="preserve"> - SST 2025</v>
      </c>
      <c r="F2" s="279"/>
      <c r="K2" s="346"/>
      <c r="L2" s="343"/>
      <c r="M2" s="344"/>
      <c r="N2" s="342"/>
      <c r="O2" s="346"/>
      <c r="P2" s="346"/>
    </row>
    <row r="3" spans="1:88" ht="15.75" x14ac:dyDescent="0.25">
      <c r="F3" s="332"/>
      <c r="K3" s="347" t="s">
        <v>295</v>
      </c>
      <c r="L3" s="620" t="str" cm="1">
        <f t="array" ref="L3">INDEX(HE_CG,$N$3,7)</f>
        <v/>
      </c>
      <c r="M3" s="348" t="s">
        <v>299</v>
      </c>
      <c r="N3" s="345" t="str">
        <f>RIGHT(A1,LEN(A1)-FIND("@",SUBSTITUTE(A1,".","@",LEN(A1)-LEN(SUBSTITUTE(A1,".",""))),1))</f>
        <v>15</v>
      </c>
      <c r="O3" s="348" t="s">
        <v>319</v>
      </c>
      <c r="P3" s="345">
        <f>HE_weight_BesBegin</f>
        <v>0.5</v>
      </c>
    </row>
    <row r="4" spans="1:88" ht="15.75" x14ac:dyDescent="0.25">
      <c r="B4" s="269" cm="1">
        <f t="array" ref="B4">INDEX(HE_CG,$N$3,3)</f>
        <v>0</v>
      </c>
      <c r="F4" s="332"/>
      <c r="K4" s="348" t="s">
        <v>296</v>
      </c>
      <c r="L4" s="621" t="str" cm="1">
        <f t="array" ref="L4">INDEX(HE_CG,$N$3,8)</f>
        <v/>
      </c>
      <c r="M4" s="348" t="s">
        <v>300</v>
      </c>
      <c r="N4" s="345" t="str" cm="1">
        <f t="array" ref="N4">INDEX(HE_CG,$N$3,2)</f>
        <v/>
      </c>
      <c r="O4" s="348" t="s">
        <v>302</v>
      </c>
      <c r="P4" s="380" cm="1">
        <f t="array" ref="P4">IFERROR(INDEX(HE_VWK_rates,$L$3,4),0)</f>
        <v>0</v>
      </c>
    </row>
    <row r="5" spans="1:88" ht="15.75" x14ac:dyDescent="0.25">
      <c r="B5" s="269" cm="1">
        <f t="array" ref="B5">INDEX(HE_CG,$N$3,4)</f>
        <v>0</v>
      </c>
      <c r="J5" s="48"/>
      <c r="K5" s="348" t="s">
        <v>297</v>
      </c>
      <c r="L5" s="621" t="str" cm="1">
        <f t="array" ref="L5">INDEX(HE_CG,$N$3,9)</f>
        <v/>
      </c>
      <c r="M5" s="348" t="s">
        <v>301</v>
      </c>
      <c r="N5" s="345" t="str" cm="1">
        <f t="array" ref="N5">INDEX(HE_CG,$N$3,6)</f>
        <v/>
      </c>
      <c r="O5" s="348" t="s">
        <v>326</v>
      </c>
      <c r="P5" s="683" cm="1">
        <f t="array" ref="P5">IFERROR(INDEX(HE_AsIfCY,$L$3,7),1)</f>
        <v>1</v>
      </c>
    </row>
    <row r="6" spans="1:88" ht="15.75" x14ac:dyDescent="0.25">
      <c r="B6" s="269" t="str" cm="1">
        <f t="array" ref="B6">IF(INDEX(HE_CG,$N$3,5)="","",INDEX(HE_CG,$N$3,5))</f>
        <v/>
      </c>
      <c r="J6" s="48"/>
      <c r="K6" s="348" t="s">
        <v>298</v>
      </c>
      <c r="L6" s="621" t="str" cm="1">
        <f t="array" ref="L6">INDEX(HE_CG,$N$3,10)</f>
        <v/>
      </c>
      <c r="M6" s="348" t="s">
        <v>116</v>
      </c>
      <c r="N6" s="345" t="str" cm="1">
        <f t="array" ref="N6">INDEX(HE_CG,$N$3,11)</f>
        <v>HE_CG15</v>
      </c>
      <c r="O6" s="348" t="s">
        <v>327</v>
      </c>
      <c r="P6" s="683" cm="1">
        <f t="array" ref="P6">IFERROR(INDEX(HE_AsIfCY,$L$3,8),1)</f>
        <v>1</v>
      </c>
      <c r="Q6" s="363"/>
    </row>
    <row r="7" spans="1:88" ht="13.5" customHeight="1" x14ac:dyDescent="0.25">
      <c r="B7" s="269"/>
      <c r="J7" s="344"/>
      <c r="K7" s="348" t="s">
        <v>318</v>
      </c>
      <c r="L7" s="621">
        <f>IFERROR(IF($L$3*1&gt;=2,$L$3+2+($L$5-1)*7,$L$3+$L$4-1+($L$5-1)*7),1)</f>
        <v>1</v>
      </c>
      <c r="M7" s="230"/>
      <c r="N7" s="230"/>
      <c r="O7" s="348" t="s">
        <v>328</v>
      </c>
      <c r="P7" s="683" cm="1">
        <f t="array" ref="P7">IFERROR(INDEX(HE_AsIfCY,$L$3,9),1)</f>
        <v>1</v>
      </c>
    </row>
    <row r="8" spans="1:88" ht="15.75" x14ac:dyDescent="0.2">
      <c r="B8" s="331" t="str">
        <f>VLOOKUP("T.15.02",HE_label,2,FALSE)</f>
        <v xml:space="preserve">Eingabe der Daten der Gesellschaft </v>
      </c>
      <c r="C8" s="279"/>
      <c r="D8" s="279"/>
      <c r="E8" s="279"/>
      <c r="F8" s="1044"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0"/>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59" t="str">
        <f>VLOOKUP("T.15.05",HE_label,2,FALSE)</f>
        <v>Daten für Durchschnittsbestand CY und Durchschnittsbestände der folgende Jahre</v>
      </c>
      <c r="E10" s="359"/>
      <c r="F10" s="293"/>
      <c r="G10" s="293"/>
      <c r="H10" s="293"/>
      <c r="I10" s="293"/>
      <c r="J10" s="293"/>
      <c r="K10" s="293"/>
      <c r="L10" s="293"/>
      <c r="M10" s="293"/>
      <c r="N10" s="293"/>
      <c r="O10" s="293"/>
      <c r="P10" s="294"/>
      <c r="Q10" s="359" t="str">
        <f>VLOOKUP("T.15.13",HE_label,2,FALSE)</f>
        <v>Daten für die erwarteten Prämien CY</v>
      </c>
      <c r="R10" s="359"/>
      <c r="S10" s="293"/>
      <c r="T10" s="293"/>
      <c r="U10" s="293"/>
      <c r="V10" s="293"/>
      <c r="W10" s="293"/>
      <c r="X10" s="293"/>
      <c r="Y10" s="294"/>
      <c r="Z10" s="297" t="str">
        <f>VLOOKUP("T.15.18",HE_label,2,FALSE)</f>
        <v>Daten für die erwarteten Kosten CY</v>
      </c>
      <c r="AA10" s="297"/>
      <c r="AB10" s="297"/>
      <c r="AC10" s="297"/>
      <c r="AD10" s="297"/>
      <c r="AE10" s="297"/>
      <c r="AF10" s="294"/>
      <c r="AG10" s="359" t="str">
        <f>VLOOKUP("T.15.20a",HE_label,2,FALSE)&amp;HE_PY1&amp;" ("&amp;HE_prescribed_parameters!$C$24&amp;")"&amp;VLOOKUP("T.15.20b",HE_label,2,FALSE)</f>
        <v>Jahresdaten 2024 (PY1) für die erwarteten Leistungen CY</v>
      </c>
      <c r="AH10" s="359"/>
      <c r="AI10" s="293"/>
      <c r="AJ10" s="359"/>
      <c r="AK10" s="293"/>
      <c r="AL10" s="359"/>
      <c r="AM10" s="293"/>
      <c r="AN10" s="293"/>
      <c r="AO10" s="293"/>
      <c r="AP10" s="293"/>
      <c r="AQ10" s="293"/>
      <c r="AR10" s="293"/>
      <c r="AS10" s="293"/>
      <c r="AT10" s="293"/>
      <c r="AU10" s="294"/>
      <c r="AV10" s="359" t="str">
        <f>VLOOKUP("T.15.20a",HE_label,2,FALSE)&amp;HE_PY2&amp;" ("&amp;HE_prescribed_parameters!$D$24&amp;")"&amp;VLOOKUP("T.15.20b",HE_label,2,FALSE)</f>
        <v>Jahresdaten 2023 (PY2) für die erwarteten Leistungen CY</v>
      </c>
      <c r="AW10" s="359"/>
      <c r="AX10" s="293"/>
      <c r="AY10" s="359"/>
      <c r="AZ10" s="293"/>
      <c r="BA10" s="359"/>
      <c r="BB10" s="293"/>
      <c r="BC10" s="293"/>
      <c r="BD10" s="293"/>
      <c r="BE10" s="293"/>
      <c r="BF10" s="293"/>
      <c r="BG10" s="293"/>
      <c r="BH10" s="293"/>
      <c r="BI10" s="293"/>
      <c r="BJ10" s="294"/>
      <c r="BK10" s="359" t="str">
        <f>VLOOKUP("T.15.20a",HE_label,2,FALSE)&amp;HE_PY3&amp;" ("&amp;HE_prescribed_parameters!$E$24&amp;")"&amp;VLOOKUP("T.15.20b",HE_label,2,FALSE)</f>
        <v>Jahresdaten 2022 (PY3) für die erwarteten Leistungen CY</v>
      </c>
      <c r="BL10" s="359"/>
      <c r="BM10" s="293"/>
      <c r="BN10" s="359"/>
      <c r="BO10" s="293"/>
      <c r="BP10" s="359"/>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80" t="str">
        <f>VLOOKUP("T.15.03a",HE_label,2,FALSE)</f>
        <v>Altersklasse x = betroffenes Jahr - Geburtsjahr</v>
      </c>
      <c r="C11" s="528" t="str">
        <f>VLOOKUP("T.15.03b",HE_label,2,FALSE)</f>
        <v>Indiz i der Altersklasse;  i = x+1</v>
      </c>
      <c r="D11" s="538" t="str">
        <f>VLOOKUP("T.15.04",HE_label,2,FALSE)</f>
        <v xml:space="preserve">Geburtsjahr </v>
      </c>
      <c r="E11" s="1382" t="str">
        <f>VLOOKUP("T.15.07",HE_label,2,FALSE)&amp;HE_CY</f>
        <v>Anzahl Verträge per 01.01.2025</v>
      </c>
      <c r="F11" s="1377"/>
      <c r="G11" s="1383" t="str">
        <f>VLOOKUP("T.15.08a",HE_label,2,FALSE)&amp;HE_CY&amp;VLOOKUP("T.15.08b",HE_label,2,FALSE)</f>
        <v>Davon neue Verträge am 01.01.2025 (ausgenommen garantierte Eintritte)</v>
      </c>
      <c r="H11" s="1374"/>
      <c r="I11" s="1376" t="str">
        <f>VLOOKUP("T.15.09a",HE_label,2,FALSE)&amp;HE_CY&amp;VLOOKUP("T.15.09b",HE_label,2,FALSE)&amp;HE_CY-1</f>
        <v>Bestand per 01.01.2025 des bestehenden Geschäfts per 31.12.2024</v>
      </c>
      <c r="J11" s="1377"/>
      <c r="K11" s="1379" t="str">
        <f>VLOOKUP("T.15.10",HE_label,2,FALSE)</f>
        <v>Sterblichkeit CY</v>
      </c>
      <c r="L11" s="1377"/>
      <c r="M11" s="1384" t="str">
        <f>VLOOKUP("T.15.11",HE_label,2,FALSE)</f>
        <v>CY-Storni (ausgenommen garantierte Wechsel)</v>
      </c>
      <c r="N11" s="1377"/>
      <c r="O11" s="1376" t="str">
        <f>VLOOKUP("T.15.12",HE_label,2,FALSE)&amp;HE_CY</f>
        <v>Faktor für Durchschnittsbestand 2025</v>
      </c>
      <c r="P11" s="1385"/>
      <c r="Q11" s="1136" t="str">
        <f>VLOOKUP("T.15.04",HE_label,2,FALSE)</f>
        <v xml:space="preserve">Geburtsjahr </v>
      </c>
      <c r="R11" s="1382" t="str">
        <f>VLOOKUP("T.15.14",HE_label,2,FALSE)&amp;HE_CY&amp;VLOOKUP("T.00.02",HE_label,2,FALSE)</f>
        <v>Prämien für 12 Monate aller Verträge per 01.01.2025, in CHF</v>
      </c>
      <c r="S11" s="1377"/>
      <c r="T11" s="1306" t="str">
        <f>VLOOKUP("T.15.16a",HE_label,2,FALSE)&amp;HE_CY&amp;VLOOKUP("T.15.16b",HE_label,2,FALSE)&amp;HE_CY&amp;VLOOKUP("T.00.02",HE_label,2,FALSE)</f>
        <v>Erwartete Prämie pro Vertrag für 2025 (ohne Ausfall von Zahlungen), von allen Verträgen per 01.01.2025, in CHF</v>
      </c>
      <c r="U11" s="1302"/>
      <c r="V11" s="1302"/>
      <c r="W11" s="1302"/>
      <c r="X11" s="1302"/>
      <c r="Y11" s="1303"/>
      <c r="Z11" s="538" t="str">
        <f>VLOOKUP("T.15.04",HE_label,2,FALSE)</f>
        <v xml:space="preserve">Geburtsjahr </v>
      </c>
      <c r="AA11" s="1372" t="str">
        <f>VLOOKUP("T.15.19a",HE_label,2,FALSE)&amp;HE_CY&amp;VLOOKUP("T.15.19b",HE_label,2,FALSE)&amp;HE_CY&amp;VLOOKUP("T.00.02",HE_label,2,FALSE)</f>
        <v>Erwartete Kosten pro Vertrag für 2025, von allen Verträgen per 01.01.2025, in CHF</v>
      </c>
      <c r="AB11" s="1302"/>
      <c r="AC11" s="1302"/>
      <c r="AD11" s="1302"/>
      <c r="AE11" s="1302"/>
      <c r="AF11" s="1303"/>
      <c r="AG11" s="538" t="str">
        <f>VLOOKUP("T.15.04",HE_label,2,FALSE)</f>
        <v xml:space="preserve">Geburtsjahr </v>
      </c>
      <c r="AH11" s="1378" t="str">
        <f>VLOOKUP("T.15.21a",HE_label,2,FALSE)&amp;HE_PY1</f>
        <v>Anzahl Verträge per 01.01.2024</v>
      </c>
      <c r="AI11" s="1374"/>
      <c r="AJ11" s="1376" t="str">
        <f>VLOOKUP("T.15.21b",HE_label,2,FALSE)&amp;HE_PY1</f>
        <v>Anzahl Verträge per 31.12.2024</v>
      </c>
      <c r="AK11" s="1377"/>
      <c r="AL11" s="1373" t="str">
        <f>VLOOKUP("T.15.22a",HE_label,2,FALSE)&amp;HE_PY1&amp;VLOOKUP("T.15.22b",HE_label,2,FALSE)&amp;HE_PY1</f>
        <v>Davon Verträge per 31.12.2024 ohne Deckung am 01.01.2024</v>
      </c>
      <c r="AM11" s="1374"/>
      <c r="AN11" s="1376" t="str">
        <f>VLOOKUP("T.15.23a",HE_label,2,FALSE)&amp;HE_PY1&amp;VLOOKUP("T.15.23b",HE_label,2,FALSE)&amp;HE_PY1&amp;VLOOKUP("T.15.23c",HE_label,2,FALSE)</f>
        <v>Faktor für Durchschnittsbestand 2024 aus dem Bestand per 01.01.2024, kohärent mit dem Faktor für CY</v>
      </c>
      <c r="AO11" s="1377"/>
      <c r="AP11" s="1376" t="str">
        <f>VLOOKUP("T.15.24a",HE_label,2,FALSE)&amp;HE_PY1&amp;VLOOKUP("T.15.24b",HE_label,2,FALSE)&amp;VLOOKUP("T.00.02",HE_label,2,FALSE)</f>
        <v>Leistungen für das Behandlungsjahr 2024, einschliesslich IBNR, von allen Verträgen, in CHF</v>
      </c>
      <c r="AQ11" s="1377"/>
      <c r="AR11" s="1306" t="str">
        <f>VLOOKUP("T.15.25",HE_label,2,FALSE)&amp;HE_PY1&amp;VLOOKUP("T.00.02",HE_label,2,FALSE)</f>
        <v>Leistungen pro Vertrag für das Behandlungsjahr 2024, in CHF</v>
      </c>
      <c r="AS11" s="1302"/>
      <c r="AT11" s="1302"/>
      <c r="AU11" s="1303"/>
      <c r="AV11" s="327" t="str">
        <f>VLOOKUP("T.15.04",HE_label,2,FALSE)</f>
        <v xml:space="preserve">Geburtsjahr </v>
      </c>
      <c r="AW11" s="1378" t="str">
        <f>VLOOKUP("T.15.21a",HE_label,2,FALSE)&amp;HE_PY2</f>
        <v>Anzahl Verträge per 01.01.2023</v>
      </c>
      <c r="AX11" s="1374"/>
      <c r="AY11" s="1379" t="str">
        <f>VLOOKUP("T.15.21b",HE_label,2,FALSE)&amp;HE_PY2</f>
        <v>Anzahl Verträge per 31.12.2023</v>
      </c>
      <c r="AZ11" s="1377"/>
      <c r="BA11" s="1373" t="str">
        <f>VLOOKUP("T.15.22a",HE_label,2,FALSE)&amp;HE_PY2&amp;VLOOKUP("T.15.22b",HE_label,2,FALSE)&amp;HE_PY2</f>
        <v>Davon Verträge per 31.12.2023 ohne Deckung am 01.01.2023</v>
      </c>
      <c r="BB11" s="1374"/>
      <c r="BC11" s="1376" t="str">
        <f>VLOOKUP("T.15.23a",HE_label,2,FALSE)&amp;HE_PY2&amp;VLOOKUP("T.15.23b",HE_label,2,FALSE)&amp;HE_PY2&amp;VLOOKUP("T.15.23c",HE_label,2,FALSE)</f>
        <v>Faktor für Durchschnittsbestand 2023 aus dem Bestand per 01.01.2023, kohärent mit dem Faktor für CY</v>
      </c>
      <c r="BD11" s="1377"/>
      <c r="BE11" s="1376" t="str">
        <f>VLOOKUP("T.15.24a",HE_label,2,FALSE)&amp;HE_PY2&amp;VLOOKUP("T.15.24b",HE_label,2,FALSE)&amp;VLOOKUP("T.00.02",HE_label,2,FALSE)</f>
        <v>Leistungen für das Behandlungsjahr 2023, einschliesslich IBNR, von allen Verträgen, in CHF</v>
      </c>
      <c r="BF11" s="1377"/>
      <c r="BG11" s="1306" t="str">
        <f>VLOOKUP("T.15.25",HE_label,2,FALSE)&amp;HE_PY2&amp;VLOOKUP("T.00.02",HE_label,2,FALSE)</f>
        <v>Leistungen pro Vertrag für das Behandlungsjahr 2023, in CHF</v>
      </c>
      <c r="BH11" s="1302"/>
      <c r="BI11" s="1302"/>
      <c r="BJ11" s="1303"/>
      <c r="BK11" s="327" t="str">
        <f>VLOOKUP("T.15.04",HE_label,2,FALSE)</f>
        <v xml:space="preserve">Geburtsjahr </v>
      </c>
      <c r="BL11" s="1378" t="str">
        <f>VLOOKUP("T.15.21a",HE_label,2,FALSE)&amp;HE_PY3</f>
        <v>Anzahl Verträge per 01.01.2022</v>
      </c>
      <c r="BM11" s="1374"/>
      <c r="BN11" s="1379" t="str">
        <f>VLOOKUP("T.15.21b",HE_label,2,FALSE)&amp;HE_PY3</f>
        <v>Anzahl Verträge per 31.12.2022</v>
      </c>
      <c r="BO11" s="1377"/>
      <c r="BP11" s="1373" t="str">
        <f>VLOOKUP("T.15.22a",HE_label,2,FALSE)&amp;HE_PY3&amp;VLOOKUP("T.15.22b",HE_label,2,FALSE)&amp;HE_PY3</f>
        <v>Davon Verträge per 31.12.2022 ohne Deckung am 01.01.2022</v>
      </c>
      <c r="BQ11" s="1374"/>
      <c r="BR11" s="1376" t="str">
        <f>VLOOKUP("T.15.23a",HE_label,2,FALSE)&amp;HE_PY3&amp;VLOOKUP("T.15.23b",HE_label,2,FALSE)&amp;HE_PY3&amp;VLOOKUP("T.15.23c",HE_label,2,FALSE)</f>
        <v>Faktor für Durchschnittsbestand 2022 aus dem Bestand per 01.01.2022, kohärent mit dem Faktor für CY</v>
      </c>
      <c r="BS11" s="1377"/>
      <c r="BT11" s="1376" t="str">
        <f>VLOOKUP("T.15.24a",HE_label,2,FALSE)&amp;HE_PY3&amp;VLOOKUP("T.15.24b",HE_label,2,FALSE)&amp;VLOOKUP("T.00.02",HE_label,2,FALSE)</f>
        <v>Leistungen für das Behandlungsjahr 2022, einschliesslich IBNR, von allen Verträgen, in CHF</v>
      </c>
      <c r="BU11" s="1377"/>
      <c r="BV11" s="1306" t="str">
        <f>VLOOKUP("T.15.25",HE_label,2,FALSE)&amp;HE_PY3&amp;VLOOKUP("T.00.02",HE_label,2,FALSE)</f>
        <v>Leistungen pro Vertrag für das Behandlungsjahr 2022, in CHF</v>
      </c>
      <c r="BW11" s="1302"/>
      <c r="BX11" s="1302"/>
      <c r="BY11" s="1303"/>
      <c r="BZ11" s="327" t="str">
        <f>VLOOKUP("T.15.04",HE_label,2,FALSE)</f>
        <v xml:space="preserve">Geburtsjahr </v>
      </c>
      <c r="CA11" s="1372" t="str">
        <f>VLOOKUP("T.15.29a",HE_label,2,FALSE)&amp;HE_CY&amp;VLOOKUP("T.15.29b",HE_label,2,FALSE)&amp;HE_CY&amp;VLOOKUP("T.00.02",HE_label,2,FALSE)</f>
        <v>Erwartete Leistungen pro Vertrag für 2025, von allen Verträgen per 01.01.2025, in CHF</v>
      </c>
      <c r="CB11" s="1302"/>
      <c r="CC11" s="1302"/>
      <c r="CD11" s="1302"/>
      <c r="CE11" s="1302"/>
      <c r="CF11" s="1302"/>
      <c r="CG11" s="1302"/>
      <c r="CH11" s="1303"/>
    </row>
    <row r="12" spans="1:88" ht="12.75" customHeight="1" x14ac:dyDescent="0.2">
      <c r="B12" s="1381" t="str">
        <f>VLOOKUP("T.15.03",HE_label,2,FALSE)</f>
        <v>Altersklasse</v>
      </c>
      <c r="C12" s="654"/>
      <c r="D12" s="655"/>
      <c r="E12" s="656"/>
      <c r="F12" s="657"/>
      <c r="G12" s="1287"/>
      <c r="H12" s="1267"/>
      <c r="I12" s="672"/>
      <c r="J12" s="673"/>
      <c r="K12" s="656"/>
      <c r="L12" s="657"/>
      <c r="M12" s="659"/>
      <c r="N12" s="657"/>
      <c r="O12" s="658"/>
      <c r="P12" s="660"/>
      <c r="Q12" s="1137"/>
      <c r="R12" s="656"/>
      <c r="S12" s="657"/>
      <c r="T12" s="1369" t="str">
        <f>VLOOKUP("T.15.17a",HE_label,2,FALSE)</f>
        <v>Standard</v>
      </c>
      <c r="U12" s="1370"/>
      <c r="V12" s="1369" t="str">
        <f>VLOOKUP("T.15.17b",HE_label,2,FALSE)</f>
        <v>Alternative</v>
      </c>
      <c r="W12" s="1370"/>
      <c r="X12" s="1369" t="str">
        <f>VLOOKUP("T.15.17c",HE_label,2,FALSE)</f>
        <v>Verwendet</v>
      </c>
      <c r="Y12" s="1371"/>
      <c r="Z12" s="655"/>
      <c r="AA12" s="1369" t="str">
        <f>VLOOKUP("T.15.17a",HE_label,2,FALSE)</f>
        <v>Standard</v>
      </c>
      <c r="AB12" s="1370"/>
      <c r="AC12" s="1369" t="str">
        <f>VLOOKUP("T.15.17b",HE_label,2,FALSE)</f>
        <v>Alternative</v>
      </c>
      <c r="AD12" s="1370"/>
      <c r="AE12" s="1369" t="str">
        <f>VLOOKUP("T.15.17c",HE_label,2,FALSE)</f>
        <v>Verwendet</v>
      </c>
      <c r="AF12" s="1371"/>
      <c r="AG12" s="661"/>
      <c r="AH12" s="1266"/>
      <c r="AI12" s="1267"/>
      <c r="AJ12" s="656"/>
      <c r="AK12" s="657"/>
      <c r="AL12" s="1266"/>
      <c r="AM12" s="1267"/>
      <c r="AN12" s="658"/>
      <c r="AO12" s="657"/>
      <c r="AP12" s="658"/>
      <c r="AQ12" s="657"/>
      <c r="AR12" s="1369" t="str">
        <f>VLOOKUP("T.15.26",HE_label,2,FALSE)</f>
        <v>vor Anpassung an CY</v>
      </c>
      <c r="AS12" s="1370"/>
      <c r="AT12" s="1375" t="str">
        <f>VLOOKUP("T.15.27",HE_label,2,FALSE)</f>
        <v>nach Anpassung an CY</v>
      </c>
      <c r="AU12" s="1371"/>
      <c r="AV12" s="661"/>
      <c r="AW12" s="1266"/>
      <c r="AX12" s="1267"/>
      <c r="AY12" s="656"/>
      <c r="AZ12" s="657"/>
      <c r="BA12" s="1266"/>
      <c r="BB12" s="1267"/>
      <c r="BC12" s="658"/>
      <c r="BD12" s="657"/>
      <c r="BE12" s="658"/>
      <c r="BF12" s="657"/>
      <c r="BG12" s="1369" t="str">
        <f>VLOOKUP("T.15.26",HE_label,2,FALSE)</f>
        <v>vor Anpassung an CY</v>
      </c>
      <c r="BH12" s="1370"/>
      <c r="BI12" s="1375" t="str">
        <f>VLOOKUP("T.15.27",HE_label,2,FALSE)</f>
        <v>nach Anpassung an CY</v>
      </c>
      <c r="BJ12" s="1371"/>
      <c r="BK12" s="661"/>
      <c r="BL12" s="1266"/>
      <c r="BM12" s="1267"/>
      <c r="BN12" s="656"/>
      <c r="BO12" s="657"/>
      <c r="BP12" s="1266"/>
      <c r="BQ12" s="1267"/>
      <c r="BR12" s="658"/>
      <c r="BS12" s="657"/>
      <c r="BT12" s="658"/>
      <c r="BU12" s="657"/>
      <c r="BV12" s="1369" t="str">
        <f>VLOOKUP("T.15.26",HE_label,2,FALSE)</f>
        <v>vor Anpassung an CY</v>
      </c>
      <c r="BW12" s="1370"/>
      <c r="BX12" s="1375" t="str">
        <f>VLOOKUP("T.15.27",HE_label,2,FALSE)</f>
        <v>nach Anpassung an CY</v>
      </c>
      <c r="BY12" s="1371"/>
      <c r="BZ12" s="655"/>
      <c r="CA12" s="1369" t="str">
        <f>VLOOKUP("T.15.30",HE_label,2,FALSE)</f>
        <v>vor Glättung</v>
      </c>
      <c r="CB12" s="1370" t="str">
        <f>VLOOKUP("T.15.04",HE_label,2,FALSE)</f>
        <v xml:space="preserve">Geburtsjahr </v>
      </c>
      <c r="CC12" s="1369" t="str">
        <f>VLOOKUP("T.15.31",HE_label,2,FALSE)</f>
        <v xml:space="preserve">Standardglättung </v>
      </c>
      <c r="CD12" s="1370" t="str">
        <f>VLOOKUP("T.15.04",HE_label,2,FALSE)</f>
        <v xml:space="preserve">Geburtsjahr </v>
      </c>
      <c r="CE12" s="1369" t="str">
        <f>VLOOKUP("T.15.32",HE_label,2,FALSE)</f>
        <v>alternative Glättung</v>
      </c>
      <c r="CF12" s="1370" t="str">
        <f>VLOOKUP("T.15.04",HE_label,2,FALSE)</f>
        <v xml:space="preserve">Geburtsjahr </v>
      </c>
      <c r="CG12" s="1369" t="str">
        <f>VLOOKUP("T.15.33",HE_label,2,FALSE)</f>
        <v>verwendete Glättung</v>
      </c>
      <c r="CH12" s="1371" t="str">
        <f>VLOOKUP("T.15.04",HE_label,2,FALSE)</f>
        <v xml:space="preserve">Geburtsjahr </v>
      </c>
      <c r="CJ12" s="1223">
        <f xml:space="preserve"> $B$4</f>
        <v>0</v>
      </c>
    </row>
    <row r="13" spans="1:88" ht="18" x14ac:dyDescent="0.2">
      <c r="B13" s="1381" t="str">
        <f>VLOOKUP("T.15.03",HE_label,2,FALSE)</f>
        <v>Altersklasse</v>
      </c>
      <c r="C13" s="529"/>
      <c r="D13" s="531"/>
      <c r="E13" s="276" t="str">
        <f>HE_M_label</f>
        <v>Männer</v>
      </c>
      <c r="F13" s="330" t="str">
        <f>HE_F_label</f>
        <v>Frauen</v>
      </c>
      <c r="G13" s="1288" t="str">
        <f>HE_M_label</f>
        <v>Männer</v>
      </c>
      <c r="H13" s="1269" t="str">
        <f>HE_F_label</f>
        <v>Frauen</v>
      </c>
      <c r="I13" s="355" t="str">
        <f>HE_M_label</f>
        <v>Männer</v>
      </c>
      <c r="J13" s="330" t="str">
        <f>HE_F_label</f>
        <v>Frauen</v>
      </c>
      <c r="K13" s="276" t="str">
        <f>HE_M_label</f>
        <v>Männer</v>
      </c>
      <c r="L13" s="330" t="str">
        <f>HE_F_label</f>
        <v>Frauen</v>
      </c>
      <c r="M13" s="329" t="str">
        <f>HE_M_label</f>
        <v>Männer</v>
      </c>
      <c r="N13" s="330" t="str">
        <f>HE_F_label</f>
        <v>Frauen</v>
      </c>
      <c r="O13" s="357" t="str">
        <f>HE_M_label</f>
        <v>Männer</v>
      </c>
      <c r="P13" s="1141" t="str">
        <f>HE_F_label</f>
        <v>Frauen</v>
      </c>
      <c r="Q13" s="300"/>
      <c r="R13" s="276" t="str">
        <f>HE_M_label</f>
        <v>Männer</v>
      </c>
      <c r="S13" s="330" t="str">
        <f>HE_F_label</f>
        <v>Frauen</v>
      </c>
      <c r="T13" s="674" t="str">
        <f>HE_M_label</f>
        <v>Männer</v>
      </c>
      <c r="U13" s="503" t="str">
        <f>HE_F_label</f>
        <v>Frauen</v>
      </c>
      <c r="V13" s="674" t="str">
        <f>HE_M_label</f>
        <v>Männer</v>
      </c>
      <c r="W13" s="503" t="str">
        <f>HE_F_label</f>
        <v>Frauen</v>
      </c>
      <c r="X13" s="355" t="str">
        <f>HE_M_label</f>
        <v>Männer</v>
      </c>
      <c r="Y13" s="381" t="str">
        <f>HE_F_label</f>
        <v>Frauen</v>
      </c>
      <c r="Z13" s="531"/>
      <c r="AA13" s="674" t="str">
        <f>HE_M_label</f>
        <v>Männer</v>
      </c>
      <c r="AB13" s="503" t="str">
        <f>HE_F_label</f>
        <v>Frauen</v>
      </c>
      <c r="AC13" s="674" t="str">
        <f>HE_M_label</f>
        <v>Männer</v>
      </c>
      <c r="AD13" s="503" t="str">
        <f>HE_F_label</f>
        <v>Frauen</v>
      </c>
      <c r="AE13" s="355" t="str">
        <f>HE_M_label</f>
        <v>Männer</v>
      </c>
      <c r="AF13" s="381" t="str">
        <f>HE_F_label</f>
        <v>Frauen</v>
      </c>
      <c r="AG13" s="531"/>
      <c r="AH13" s="1268" t="str">
        <f>HE_M_label</f>
        <v>Männer</v>
      </c>
      <c r="AI13" s="1269" t="str">
        <f>HE_F_label</f>
        <v>Frauen</v>
      </c>
      <c r="AJ13" s="276" t="str">
        <f>HE_M_label</f>
        <v>Männer</v>
      </c>
      <c r="AK13" s="330" t="str">
        <f>HE_F_label</f>
        <v>Frauen</v>
      </c>
      <c r="AL13" s="1268" t="str">
        <f>HE_M_label</f>
        <v>Männer</v>
      </c>
      <c r="AM13" s="1269" t="str">
        <f>HE_F_label</f>
        <v>Frauen</v>
      </c>
      <c r="AN13" s="355" t="str">
        <f>HE_M_label</f>
        <v>Männer</v>
      </c>
      <c r="AO13" s="330" t="str">
        <f>HE_F_label</f>
        <v>Frauen</v>
      </c>
      <c r="AP13" s="355" t="str">
        <f>HE_M_label</f>
        <v>Männer</v>
      </c>
      <c r="AQ13" s="330" t="str">
        <f>HE_F_label</f>
        <v>Frauen</v>
      </c>
      <c r="AR13" s="355" t="str">
        <f>HE_M_label</f>
        <v>Männer</v>
      </c>
      <c r="AS13" s="330" t="str">
        <f>HE_F_label</f>
        <v>Frauen</v>
      </c>
      <c r="AT13" s="276" t="str">
        <f>HE_M_label</f>
        <v>Männer</v>
      </c>
      <c r="AU13" s="381" t="str">
        <f>HE_F_label</f>
        <v>Frauen</v>
      </c>
      <c r="AV13" s="531"/>
      <c r="AW13" s="1268" t="str">
        <f>HE_M_label</f>
        <v>Männer</v>
      </c>
      <c r="AX13" s="1269" t="str">
        <f>HE_F_label</f>
        <v>Frauen</v>
      </c>
      <c r="AY13" s="276" t="str">
        <f>HE_M_label</f>
        <v>Männer</v>
      </c>
      <c r="AZ13" s="330" t="str">
        <f>HE_F_label</f>
        <v>Frauen</v>
      </c>
      <c r="BA13" s="1268" t="str">
        <f>HE_M_label</f>
        <v>Männer</v>
      </c>
      <c r="BB13" s="1269" t="str">
        <f>HE_F_label</f>
        <v>Frauen</v>
      </c>
      <c r="BC13" s="355" t="str">
        <f>HE_M_label</f>
        <v>Männer</v>
      </c>
      <c r="BD13" s="330" t="str">
        <f>HE_F_label</f>
        <v>Frauen</v>
      </c>
      <c r="BE13" s="355" t="str">
        <f>HE_M_label</f>
        <v>Männer</v>
      </c>
      <c r="BF13" s="330" t="str">
        <f>HE_F_label</f>
        <v>Frauen</v>
      </c>
      <c r="BG13" s="355" t="str">
        <f>HE_M_label</f>
        <v>Männer</v>
      </c>
      <c r="BH13" s="330" t="str">
        <f>HE_F_label</f>
        <v>Frauen</v>
      </c>
      <c r="BI13" s="276" t="str">
        <f>HE_M_label</f>
        <v>Männer</v>
      </c>
      <c r="BJ13" s="381" t="str">
        <f>HE_F_label</f>
        <v>Frauen</v>
      </c>
      <c r="BK13" s="531"/>
      <c r="BL13" s="1268" t="str">
        <f>HE_M_label</f>
        <v>Männer</v>
      </c>
      <c r="BM13" s="1269" t="str">
        <f>HE_F_label</f>
        <v>Frauen</v>
      </c>
      <c r="BN13" s="276" t="str">
        <f>HE_M_label</f>
        <v>Männer</v>
      </c>
      <c r="BO13" s="330" t="str">
        <f>HE_F_label</f>
        <v>Frauen</v>
      </c>
      <c r="BP13" s="1268" t="str">
        <f>HE_M_label</f>
        <v>Männer</v>
      </c>
      <c r="BQ13" s="1269" t="str">
        <f>HE_F_label</f>
        <v>Frauen</v>
      </c>
      <c r="BR13" s="355" t="str">
        <f>HE_M_label</f>
        <v>Männer</v>
      </c>
      <c r="BS13" s="330" t="str">
        <f>HE_F_label</f>
        <v>Frauen</v>
      </c>
      <c r="BT13" s="355" t="str">
        <f>HE_M_label</f>
        <v>Männer</v>
      </c>
      <c r="BU13" s="330" t="str">
        <f>HE_F_label</f>
        <v>Frauen</v>
      </c>
      <c r="BV13" s="355" t="str">
        <f>HE_M_label</f>
        <v>Männer</v>
      </c>
      <c r="BW13" s="330" t="str">
        <f>HE_F_label</f>
        <v>Frauen</v>
      </c>
      <c r="BX13" s="276" t="str">
        <f>HE_M_label</f>
        <v>Männer</v>
      </c>
      <c r="BY13" s="381" t="str">
        <f>HE_F_label</f>
        <v>Frauen</v>
      </c>
      <c r="BZ13" s="531"/>
      <c r="CA13" s="674" t="str">
        <f>HE_M_label</f>
        <v>Männer</v>
      </c>
      <c r="CB13" s="503" t="str">
        <f>HE_F_label</f>
        <v>Frauen</v>
      </c>
      <c r="CC13" s="674" t="str">
        <f>HE_M_label</f>
        <v>Männer</v>
      </c>
      <c r="CD13" s="503" t="str">
        <f>HE_F_label</f>
        <v>Frauen</v>
      </c>
      <c r="CE13" s="674" t="str">
        <f>HE_M_label</f>
        <v>Männer</v>
      </c>
      <c r="CF13" s="503" t="str">
        <f>HE_F_label</f>
        <v>Frauen</v>
      </c>
      <c r="CG13" s="355" t="str">
        <f>HE_M_label</f>
        <v>Männer</v>
      </c>
      <c r="CH13" s="381" t="str">
        <f>HE_F_label</f>
        <v>Frauen</v>
      </c>
      <c r="CJ13" s="1223">
        <f xml:space="preserve"> $B$5</f>
        <v>0</v>
      </c>
    </row>
    <row r="14" spans="1:88" ht="18" x14ac:dyDescent="0.2">
      <c r="B14" s="514" t="s">
        <v>123</v>
      </c>
      <c r="C14" s="530"/>
      <c r="D14" s="532"/>
      <c r="E14" s="389">
        <f>SUM(E15:E125)</f>
        <v>0</v>
      </c>
      <c r="F14" s="389">
        <f>SUM(F15:F125)</f>
        <v>0</v>
      </c>
      <c r="G14" s="1270">
        <f>SUM(G15:G125)</f>
        <v>0</v>
      </c>
      <c r="H14" s="1270">
        <f>SUM(H15:H125)</f>
        <v>0</v>
      </c>
      <c r="I14" s="388">
        <f t="shared" ref="I14:J14" si="0">SUM(I15:I125)</f>
        <v>0</v>
      </c>
      <c r="J14" s="389">
        <f t="shared" si="0"/>
        <v>0</v>
      </c>
      <c r="K14" s="388"/>
      <c r="L14" s="389"/>
      <c r="M14" s="389"/>
      <c r="N14" s="389"/>
      <c r="O14" s="389"/>
      <c r="P14" s="515"/>
      <c r="Q14" s="1138"/>
      <c r="R14" s="389">
        <f t="shared" ref="R14:S14" si="1">SUM(R15:R125)</f>
        <v>0</v>
      </c>
      <c r="S14" s="389">
        <f t="shared" si="1"/>
        <v>0</v>
      </c>
      <c r="T14" s="388">
        <f>IF(E14&gt;0,R14/E14,0)</f>
        <v>0</v>
      </c>
      <c r="U14" s="515">
        <f>IF(F14&gt;0,S14/F14,0)</f>
        <v>0</v>
      </c>
      <c r="V14" s="389"/>
      <c r="W14" s="389"/>
      <c r="X14" s="389"/>
      <c r="Y14" s="515"/>
      <c r="Z14" s="532"/>
      <c r="AA14" s="389"/>
      <c r="AB14" s="515"/>
      <c r="AC14" s="389"/>
      <c r="AD14" s="389"/>
      <c r="AE14" s="389"/>
      <c r="AF14" s="515"/>
      <c r="AG14" s="532"/>
      <c r="AH14" s="1270">
        <f t="shared" ref="AH14:AQ14" si="2">SUM(AH15:AH125)</f>
        <v>0</v>
      </c>
      <c r="AI14" s="1270">
        <f t="shared" si="2"/>
        <v>0</v>
      </c>
      <c r="AJ14" s="389">
        <f t="shared" si="2"/>
        <v>0</v>
      </c>
      <c r="AK14" s="389">
        <f t="shared" si="2"/>
        <v>0</v>
      </c>
      <c r="AL14" s="1270">
        <f t="shared" si="2"/>
        <v>0</v>
      </c>
      <c r="AM14" s="1270">
        <f t="shared" si="2"/>
        <v>0</v>
      </c>
      <c r="AN14" s="516">
        <f>IF(AH14&gt;0,$P$3+(1-$P$3)*(AJ14-AL14)/AH14,1)</f>
        <v>1</v>
      </c>
      <c r="AO14" s="516">
        <f t="shared" ref="AO14:AO77" si="3">IF(AI14&gt;0,$P$3+(1-$P$3)*(AK14-AM14)/AI14,1)</f>
        <v>1</v>
      </c>
      <c r="AP14" s="389">
        <f t="shared" si="2"/>
        <v>0</v>
      </c>
      <c r="AQ14" s="389">
        <f t="shared" si="2"/>
        <v>0</v>
      </c>
      <c r="AR14" s="389">
        <f>IF(AH14&gt;0,AP14/(AN14*AH14),0)</f>
        <v>0</v>
      </c>
      <c r="AS14" s="677">
        <f>IF(AI14&gt;0,AQ14/(AO14*AI14),0)</f>
        <v>0</v>
      </c>
      <c r="AT14" s="389">
        <f>AR14*$P$5</f>
        <v>0</v>
      </c>
      <c r="AU14" s="515">
        <f t="shared" ref="AU14:AU77" si="4">AS14*$P$5</f>
        <v>0</v>
      </c>
      <c r="AV14" s="532"/>
      <c r="AW14" s="1270">
        <f t="shared" ref="AW14:AX14" si="5">SUM(AW15:AW125)</f>
        <v>0</v>
      </c>
      <c r="AX14" s="1270">
        <f t="shared" si="5"/>
        <v>0</v>
      </c>
      <c r="AY14" s="389">
        <f t="shared" ref="AY14:BB14" si="6">SUM(AY15:AY125)</f>
        <v>0</v>
      </c>
      <c r="AZ14" s="389">
        <f t="shared" si="6"/>
        <v>0</v>
      </c>
      <c r="BA14" s="1270">
        <f t="shared" si="6"/>
        <v>0</v>
      </c>
      <c r="BB14" s="1270">
        <f t="shared" si="6"/>
        <v>0</v>
      </c>
      <c r="BC14" s="516">
        <f>IF(AW14&gt;0,$P$3+(1-$P$3)*(AY14-BA14)/AW14,1)</f>
        <v>1</v>
      </c>
      <c r="BD14" s="516">
        <f t="shared" ref="BD14:BD77" si="7">IF(AX14&gt;0,$P$3+(1-$P$3)*(AZ14-BB14)/AX14,1)</f>
        <v>1</v>
      </c>
      <c r="BE14" s="389">
        <f t="shared" ref="BE14:BF14" si="8">SUM(BE15:BE125)</f>
        <v>0</v>
      </c>
      <c r="BF14" s="389">
        <f t="shared" si="8"/>
        <v>0</v>
      </c>
      <c r="BG14" s="389">
        <f>IF(AW14&gt;0,BE14/(BC14*AW14),0)</f>
        <v>0</v>
      </c>
      <c r="BH14" s="677">
        <f>IF(AX14&gt;0,BF14/(BD14*AX14),0)</f>
        <v>0</v>
      </c>
      <c r="BI14" s="389">
        <f>BG14*$P$6</f>
        <v>0</v>
      </c>
      <c r="BJ14" s="515">
        <f>BH14*$P$6</f>
        <v>0</v>
      </c>
      <c r="BK14" s="532"/>
      <c r="BL14" s="1270">
        <f t="shared" ref="BL14:BM14" si="9">SUM(BL15:BL125)</f>
        <v>0</v>
      </c>
      <c r="BM14" s="1270">
        <f t="shared" si="9"/>
        <v>0</v>
      </c>
      <c r="BN14" s="389">
        <f t="shared" ref="BN14:BQ14" si="10">SUM(BN15:BN125)</f>
        <v>0</v>
      </c>
      <c r="BO14" s="389">
        <f t="shared" si="10"/>
        <v>0</v>
      </c>
      <c r="BP14" s="1270">
        <f t="shared" si="10"/>
        <v>0</v>
      </c>
      <c r="BQ14" s="1270">
        <f t="shared" si="10"/>
        <v>0</v>
      </c>
      <c r="BR14" s="516">
        <f>IF(BL14&gt;0,$P$3+(1-$P$3)*(BN14-BP14)/BL14,1)</f>
        <v>1</v>
      </c>
      <c r="BS14" s="516">
        <f t="shared" ref="BS14:BS77" si="11">IF(BM14&gt;0,$P$3+(1-$P$3)*(BO14-BQ14)/BM14,1)</f>
        <v>1</v>
      </c>
      <c r="BT14" s="389">
        <f t="shared" ref="BT14:BU14" si="12">SUM(BT15:BT125)</f>
        <v>0</v>
      </c>
      <c r="BU14" s="389">
        <f t="shared" si="12"/>
        <v>0</v>
      </c>
      <c r="BV14" s="389">
        <f>IF(BL14&gt;0,BT14/(BR14*BL14),0)</f>
        <v>0</v>
      </c>
      <c r="BW14" s="677">
        <f>IF(BM14&gt;0,BU14/(BS14*BM14),0)</f>
        <v>0</v>
      </c>
      <c r="BX14" s="389">
        <f>BV14*$P$7</f>
        <v>0</v>
      </c>
      <c r="BY14" s="515">
        <f>BW14*$P$7</f>
        <v>0</v>
      </c>
      <c r="BZ14" s="532"/>
      <c r="CA14" s="389"/>
      <c r="CB14" s="515"/>
      <c r="CC14" s="389"/>
      <c r="CD14" s="515"/>
      <c r="CE14" s="389"/>
      <c r="CF14" s="389"/>
      <c r="CG14" s="389"/>
      <c r="CH14" s="515"/>
      <c r="CJ14" s="1223" t="str">
        <f xml:space="preserve"> $B$6</f>
        <v/>
      </c>
    </row>
    <row r="15" spans="1:88" x14ac:dyDescent="0.2">
      <c r="B15" s="312">
        <v>0</v>
      </c>
      <c r="C15" s="322">
        <f>B15+1</f>
        <v>1</v>
      </c>
      <c r="D15" s="533">
        <f t="shared" ref="D15:D78" si="13">HE_CY-$B15</f>
        <v>2025</v>
      </c>
      <c r="E15" s="337"/>
      <c r="F15" s="338"/>
      <c r="G15" s="1271">
        <v>0</v>
      </c>
      <c r="H15" s="1289">
        <v>0</v>
      </c>
      <c r="I15" s="394">
        <f>E15-G15</f>
        <v>0</v>
      </c>
      <c r="J15" s="395">
        <f t="shared" ref="J15:J78" si="14">F15-H15</f>
        <v>0</v>
      </c>
      <c r="K15" s="396" cm="1">
        <f t="array" ref="K15">HE_fact_qM*INDEX(HE_MortalityLapsesCY,$C15,4)</f>
        <v>3.3540588453989059E-3</v>
      </c>
      <c r="L15" s="397" cm="1">
        <f t="array" ref="L15">HE_fact_qF*INDEX(HE_MortalityLapsesCY,$C15,5)</f>
        <v>2.7602457992656881E-3</v>
      </c>
      <c r="M15" s="398" cm="1">
        <f t="array" ref="M15">INDEX(HE_MortalityLapsesCY,$C15,5+(2*$L$7-1))</f>
        <v>9.2474576271186437E-2</v>
      </c>
      <c r="N15" s="399" cm="1">
        <f t="array" ref="N15">INDEX(HE_MortalityLapsesCY,$C15,5+2*$L$7)</f>
        <v>9.2474576271186437E-2</v>
      </c>
      <c r="O15" s="390">
        <f>$P$3+(1-$P$3)*(1-K15)</f>
        <v>0.99832297057730057</v>
      </c>
      <c r="P15" s="1142">
        <f>$P$3+(1-$P$3)*(1-L15)</f>
        <v>0.99861987710036715</v>
      </c>
      <c r="Q15" s="1139">
        <f t="shared" ref="Q15:Q78" si="15">HE_CY-$B15</f>
        <v>2025</v>
      </c>
      <c r="R15" s="337"/>
      <c r="S15" s="339"/>
      <c r="T15" s="668">
        <f t="shared" ref="T15:T78" si="16">IF(E15&gt;0,R15/E15,0)</f>
        <v>0</v>
      </c>
      <c r="U15" s="669">
        <f t="shared" ref="U15:U78" si="17">IF(F15&gt;0,S15/F15,0)</f>
        <v>0</v>
      </c>
      <c r="V15" s="337"/>
      <c r="W15" s="339"/>
      <c r="X15" s="653">
        <f>IFERROR(X16,0)</f>
        <v>0</v>
      </c>
      <c r="Y15" s="653">
        <f>IFERROR(Y16,0)</f>
        <v>0</v>
      </c>
      <c r="Z15" s="533">
        <f t="shared" ref="Z15:Z78" si="18">HE_CY-$B15</f>
        <v>2025</v>
      </c>
      <c r="AA15" s="668">
        <f>$P$4*X15</f>
        <v>0</v>
      </c>
      <c r="AB15" s="669">
        <f>$P$4*Y15</f>
        <v>0</v>
      </c>
      <c r="AC15" s="337"/>
      <c r="AD15" s="339"/>
      <c r="AE15" s="382">
        <f>IF(ISBLANK(AC15),AA15,AC15)</f>
        <v>0</v>
      </c>
      <c r="AF15" s="382">
        <f>IF(ISBLANK(AD15),AB15,AD15)</f>
        <v>0</v>
      </c>
      <c r="AG15" s="533">
        <f t="shared" ref="AG15:AG78" si="19">HE_PY1-$B15</f>
        <v>2024</v>
      </c>
      <c r="AH15" s="1271">
        <f>AJ15</f>
        <v>0</v>
      </c>
      <c r="AI15" s="1272">
        <f>AK15</f>
        <v>0</v>
      </c>
      <c r="AJ15" s="337"/>
      <c r="AK15" s="339"/>
      <c r="AL15" s="1271">
        <v>0</v>
      </c>
      <c r="AM15" s="1272">
        <v>0</v>
      </c>
      <c r="AN15" s="393">
        <f t="shared" ref="AN15:AO78" si="20">IF(AH15&gt;0,$P$3+(1-$P$3)*(AJ15-AL15)/AH15,1)</f>
        <v>1</v>
      </c>
      <c r="AO15" s="513">
        <f t="shared" si="3"/>
        <v>1</v>
      </c>
      <c r="AP15" s="337"/>
      <c r="AQ15" s="339"/>
      <c r="AR15" s="662">
        <f>IF(AJ15&gt;0,AP15/(AJ15/2),0)</f>
        <v>0</v>
      </c>
      <c r="AS15" s="678">
        <f t="shared" ref="AS15" si="21">IF(AK15&gt;0,AQ15/(AK15/2),0)</f>
        <v>0</v>
      </c>
      <c r="AT15" s="382">
        <f>AR15*$P$5</f>
        <v>0</v>
      </c>
      <c r="AU15" s="385">
        <f t="shared" si="4"/>
        <v>0</v>
      </c>
      <c r="AV15" s="533">
        <f t="shared" ref="AV15:AV78" si="22">HE_PY2-$B15</f>
        <v>2023</v>
      </c>
      <c r="AW15" s="1271">
        <f>AY15</f>
        <v>0</v>
      </c>
      <c r="AX15" s="1272">
        <f>AZ15</f>
        <v>0</v>
      </c>
      <c r="AY15" s="337"/>
      <c r="AZ15" s="339"/>
      <c r="BA15" s="1271">
        <v>0</v>
      </c>
      <c r="BB15" s="1272">
        <v>0</v>
      </c>
      <c r="BC15" s="393">
        <f t="shared" ref="BC15:BD78" si="23">IF(AW15&gt;0,$P$3+(1-$P$3)*(AY15-BA15)/AW15,1)</f>
        <v>1</v>
      </c>
      <c r="BD15" s="513">
        <f t="shared" si="7"/>
        <v>1</v>
      </c>
      <c r="BE15" s="337"/>
      <c r="BF15" s="339"/>
      <c r="BG15" s="662">
        <f>IF(AY15&gt;0,BE15/(AY15/2),0)</f>
        <v>0</v>
      </c>
      <c r="BH15" s="678">
        <f t="shared" ref="BH15" si="24">IF(AZ15&gt;0,BF15/(AZ15/2),0)</f>
        <v>0</v>
      </c>
      <c r="BI15" s="382">
        <f>BG15*$P$6</f>
        <v>0</v>
      </c>
      <c r="BJ15" s="385">
        <f>BH15*$P$6</f>
        <v>0</v>
      </c>
      <c r="BK15" s="533">
        <f t="shared" ref="BK15:BK78" si="25">HE_PY3-$B15</f>
        <v>2022</v>
      </c>
      <c r="BL15" s="1271">
        <f>BN15</f>
        <v>0</v>
      </c>
      <c r="BM15" s="1272">
        <f>BO15</f>
        <v>0</v>
      </c>
      <c r="BN15" s="337"/>
      <c r="BO15" s="339"/>
      <c r="BP15" s="1271">
        <v>0</v>
      </c>
      <c r="BQ15" s="1272">
        <v>0</v>
      </c>
      <c r="BR15" s="393">
        <f t="shared" ref="BR15:BS78" si="26">IF(BL15&gt;0,$P$3+(1-$P$3)*(BN15-BP15)/BL15,1)</f>
        <v>1</v>
      </c>
      <c r="BS15" s="513">
        <f t="shared" si="11"/>
        <v>1</v>
      </c>
      <c r="BT15" s="337"/>
      <c r="BU15" s="339"/>
      <c r="BV15" s="662">
        <f>IF(BN15&gt;0,BT15/(BN15/2),0)</f>
        <v>0</v>
      </c>
      <c r="BW15" s="678">
        <f t="shared" ref="BW15" si="27">IF(BO15&gt;0,BU15/(BO15/2),0)</f>
        <v>0</v>
      </c>
      <c r="BX15" s="382">
        <f>BV15*$P$7</f>
        <v>0</v>
      </c>
      <c r="BY15" s="385">
        <f>BW15*$P$7</f>
        <v>0</v>
      </c>
      <c r="BZ15" s="533">
        <f t="shared" ref="BZ15:BZ78" si="28">HE_CY-$B15</f>
        <v>2025</v>
      </c>
      <c r="CA15" s="668">
        <f>IFERROR((AH15*AN15*AT15+AW15*BC15*BI15+BL15*BR15*BX15)/(AH15*AN15+AW15*BC15+BL15*BR15),0)</f>
        <v>0</v>
      </c>
      <c r="CB15" s="669">
        <f>IFERROR((AI15*AO15*AU15+AX15*BD15*BJ15+BM15*BS15*BY15)/(AI15*AO15+AX15*BD15+BM15*BS15),0)</f>
        <v>0</v>
      </c>
      <c r="CC15" s="662">
        <f>CA15</f>
        <v>0</v>
      </c>
      <c r="CD15" s="663">
        <f>CB15</f>
        <v>0</v>
      </c>
      <c r="CE15" s="337"/>
      <c r="CF15" s="339"/>
      <c r="CG15" s="653">
        <f>IF(ISBLANK(CE15),CC15,CE15)</f>
        <v>0</v>
      </c>
      <c r="CH15" s="653">
        <f>IF(ISBLANK(CF15),CD15,CF15)</f>
        <v>0</v>
      </c>
    </row>
    <row r="16" spans="1:88" x14ac:dyDescent="0.2">
      <c r="B16" s="276">
        <v>1</v>
      </c>
      <c r="C16" s="320">
        <f t="shared" ref="C16:C79" si="29">B16+1</f>
        <v>2</v>
      </c>
      <c r="D16" s="534">
        <f t="shared" si="13"/>
        <v>2024</v>
      </c>
      <c r="E16" s="337"/>
      <c r="F16" s="338"/>
      <c r="G16" s="1271">
        <v>0</v>
      </c>
      <c r="H16" s="1289">
        <v>0</v>
      </c>
      <c r="I16" s="400">
        <f>E16-G16</f>
        <v>0</v>
      </c>
      <c r="J16" s="401">
        <f t="shared" si="14"/>
        <v>0</v>
      </c>
      <c r="K16" s="402" cm="1">
        <f t="array" ref="K16">HE_fact_qM*INDEX(HE_MortalityLapsesCY,$C16,4)</f>
        <v>1.7629325234591667E-3</v>
      </c>
      <c r="L16" s="403" cm="1">
        <f t="array" ref="L16">HE_fact_qF*INDEX(HE_MortalityLapsesCY,$C16,5)</f>
        <v>1.4621258841337442E-3</v>
      </c>
      <c r="M16" s="404" cm="1">
        <f t="array" ref="M16">INDEX(HE_MortalityLapsesCY,$C16,5+(2*$L$7-1))</f>
        <v>7.8361789298932324E-2</v>
      </c>
      <c r="N16" s="405" cm="1">
        <f t="array" ref="N16">INDEX(HE_MortalityLapsesCY,$C16,5+2*$L$7)</f>
        <v>7.8361789298932324E-2</v>
      </c>
      <c r="O16" s="391">
        <f t="shared" ref="O16:P79" si="30">$P$3+(1-$P$3)*(1-K16)</f>
        <v>0.99911853373827042</v>
      </c>
      <c r="P16" s="1143">
        <f t="shared" si="30"/>
        <v>0.99926893705793307</v>
      </c>
      <c r="Q16" s="356">
        <f t="shared" si="15"/>
        <v>2024</v>
      </c>
      <c r="R16" s="337"/>
      <c r="S16" s="338"/>
      <c r="T16" s="664">
        <f t="shared" si="16"/>
        <v>0</v>
      </c>
      <c r="U16" s="665">
        <f t="shared" si="17"/>
        <v>0</v>
      </c>
      <c r="V16" s="337"/>
      <c r="W16" s="338"/>
      <c r="X16" s="383">
        <f t="shared" ref="X16:Y79" si="31">IF(ISBLANK(V16),T16,V16)</f>
        <v>0</v>
      </c>
      <c r="Y16" s="386">
        <f t="shared" si="31"/>
        <v>0</v>
      </c>
      <c r="Z16" s="534">
        <f t="shared" si="18"/>
        <v>2024</v>
      </c>
      <c r="AA16" s="664">
        <f t="shared" ref="AA16:AB79" si="32">$P$4*X16</f>
        <v>0</v>
      </c>
      <c r="AB16" s="665">
        <f t="shared" si="32"/>
        <v>0</v>
      </c>
      <c r="AC16" s="337"/>
      <c r="AD16" s="338"/>
      <c r="AE16" s="383">
        <f t="shared" ref="AE16:AF79" si="33">IF(ISBLANK(AC16),AA16,AC16)</f>
        <v>0</v>
      </c>
      <c r="AF16" s="386">
        <f t="shared" si="33"/>
        <v>0</v>
      </c>
      <c r="AG16" s="534">
        <f t="shared" si="19"/>
        <v>2023</v>
      </c>
      <c r="AH16" s="1271">
        <f t="shared" ref="AH16:AH79" si="34">AJ16</f>
        <v>0</v>
      </c>
      <c r="AI16" s="1276">
        <f t="shared" ref="AI16:AI79" si="35">AK16</f>
        <v>0</v>
      </c>
      <c r="AJ16" s="337"/>
      <c r="AK16" s="338"/>
      <c r="AL16" s="1271">
        <v>0</v>
      </c>
      <c r="AM16" s="1276">
        <v>0</v>
      </c>
      <c r="AN16" s="412">
        <f t="shared" si="20"/>
        <v>1</v>
      </c>
      <c r="AO16" s="413">
        <f t="shared" si="3"/>
        <v>1</v>
      </c>
      <c r="AP16" s="337"/>
      <c r="AQ16" s="338"/>
      <c r="AR16" s="664">
        <f>IF(AH16&gt;0,AP16/(AH16*AN16),0)</f>
        <v>0</v>
      </c>
      <c r="AS16" s="679">
        <f>IF(AI16&gt;0,AQ16/(AI16*AO16),0)</f>
        <v>0</v>
      </c>
      <c r="AT16" s="383">
        <f t="shared" ref="AT16:AU79" si="36">AR16*$P$5</f>
        <v>0</v>
      </c>
      <c r="AU16" s="386">
        <f t="shared" si="4"/>
        <v>0</v>
      </c>
      <c r="AV16" s="534">
        <f t="shared" si="22"/>
        <v>2022</v>
      </c>
      <c r="AW16" s="1271">
        <f t="shared" ref="AW16:AW79" si="37">AY16</f>
        <v>0</v>
      </c>
      <c r="AX16" s="1276">
        <f t="shared" ref="AX16:AX79" si="38">AZ16</f>
        <v>0</v>
      </c>
      <c r="AY16" s="337"/>
      <c r="AZ16" s="338"/>
      <c r="BA16" s="1271">
        <v>0</v>
      </c>
      <c r="BB16" s="1276">
        <v>0</v>
      </c>
      <c r="BC16" s="412">
        <f t="shared" si="23"/>
        <v>1</v>
      </c>
      <c r="BD16" s="413">
        <f t="shared" si="7"/>
        <v>1</v>
      </c>
      <c r="BE16" s="337"/>
      <c r="BF16" s="338"/>
      <c r="BG16" s="664">
        <f>IF(AW16&gt;0,BE16/(AW16*BC16),0)</f>
        <v>0</v>
      </c>
      <c r="BH16" s="679">
        <f>IF(AX16&gt;0,BF16/(AX16*BD16),0)</f>
        <v>0</v>
      </c>
      <c r="BI16" s="383">
        <f t="shared" ref="BI16:BJ79" si="39">BG16*$P$6</f>
        <v>0</v>
      </c>
      <c r="BJ16" s="386">
        <f t="shared" si="39"/>
        <v>0</v>
      </c>
      <c r="BK16" s="534">
        <f t="shared" si="25"/>
        <v>2021</v>
      </c>
      <c r="BL16" s="1271">
        <f t="shared" ref="BL16:BL79" si="40">BN16</f>
        <v>0</v>
      </c>
      <c r="BM16" s="1276">
        <f t="shared" ref="BM16:BM79" si="41">BO16</f>
        <v>0</v>
      </c>
      <c r="BN16" s="337"/>
      <c r="BO16" s="338"/>
      <c r="BP16" s="1271">
        <v>0</v>
      </c>
      <c r="BQ16" s="1276">
        <v>0</v>
      </c>
      <c r="BR16" s="412">
        <f t="shared" si="26"/>
        <v>1</v>
      </c>
      <c r="BS16" s="413">
        <f t="shared" si="11"/>
        <v>1</v>
      </c>
      <c r="BT16" s="337"/>
      <c r="BU16" s="338"/>
      <c r="BV16" s="664">
        <f>IF(BL16&gt;0,BT16/(BL16*BR16),0)</f>
        <v>0</v>
      </c>
      <c r="BW16" s="679">
        <f>IF(BM16&gt;0,BU16/(BM16*BS16),0)</f>
        <v>0</v>
      </c>
      <c r="BX16" s="383">
        <f t="shared" ref="BX16:BY79" si="42">BV16*$P$7</f>
        <v>0</v>
      </c>
      <c r="BY16" s="386">
        <f t="shared" si="42"/>
        <v>0</v>
      </c>
      <c r="BZ16" s="534">
        <f t="shared" si="28"/>
        <v>2024</v>
      </c>
      <c r="CA16" s="664">
        <f>IFERROR((AH16*AN16*AT16+AW16*BC16*BI16+BL16*BR16*BX16)/(AH16*AN16+AW16*BC16+BL16*BR16),0)</f>
        <v>0</v>
      </c>
      <c r="CB16" s="665">
        <f>IFERROR((AI16*AO16*AU16+AX16*BD16*BJ16+BM16*BS16*BY16)/(AI16*AO16+AX16*BD16+BM16*BS16),0)</f>
        <v>0</v>
      </c>
      <c r="CC16" s="684">
        <f>IFERROR(AVERAGE(CA16:CA17),0)</f>
        <v>0</v>
      </c>
      <c r="CD16" s="685">
        <f>IFERROR(AVERAGE(CB16:CB17),0)</f>
        <v>0</v>
      </c>
      <c r="CE16" s="337"/>
      <c r="CF16" s="338"/>
      <c r="CG16" s="383">
        <f t="shared" ref="CG16:CH79" si="43">IF(ISBLANK(CE16),CC16,CE16)</f>
        <v>0</v>
      </c>
      <c r="CH16" s="386">
        <f t="shared" si="43"/>
        <v>0</v>
      </c>
    </row>
    <row r="17" spans="2:86" x14ac:dyDescent="0.2">
      <c r="B17" s="276">
        <v>2</v>
      </c>
      <c r="C17" s="320">
        <f t="shared" si="29"/>
        <v>3</v>
      </c>
      <c r="D17" s="534">
        <f t="shared" si="13"/>
        <v>2023</v>
      </c>
      <c r="E17" s="337"/>
      <c r="F17" s="338"/>
      <c r="G17" s="1271">
        <v>0</v>
      </c>
      <c r="H17" s="1289">
        <v>0</v>
      </c>
      <c r="I17" s="400">
        <f t="shared" ref="I17:J79" si="44">E17-G17</f>
        <v>0</v>
      </c>
      <c r="J17" s="401">
        <f t="shared" si="14"/>
        <v>0</v>
      </c>
      <c r="K17" s="402" cm="1">
        <f t="array" ref="K17">HE_fact_qM*INDEX(HE_MortalityLapsesCY,$C17,4)</f>
        <v>1.408724406454287E-4</v>
      </c>
      <c r="L17" s="403" cm="1">
        <f t="array" ref="L17">HE_fact_qF*INDEX(HE_MortalityLapsesCY,$C17,5)</f>
        <v>1.347768409109599E-4</v>
      </c>
      <c r="M17" s="404" cm="1">
        <f t="array" ref="M17">INDEX(HE_MortalityLapsesCY,$C17,5+(2*$L$7-1))</f>
        <v>8.1902452380021126E-2</v>
      </c>
      <c r="N17" s="405" cm="1">
        <f t="array" ref="N17">INDEX(HE_MortalityLapsesCY,$C17,5+2*$L$7)</f>
        <v>8.1902452380021126E-2</v>
      </c>
      <c r="O17" s="391">
        <f t="shared" si="30"/>
        <v>0.99992956377967723</v>
      </c>
      <c r="P17" s="1143">
        <f t="shared" si="30"/>
        <v>0.99993261157954449</v>
      </c>
      <c r="Q17" s="356">
        <f t="shared" si="15"/>
        <v>2023</v>
      </c>
      <c r="R17" s="337"/>
      <c r="S17" s="338"/>
      <c r="T17" s="664">
        <f t="shared" si="16"/>
        <v>0</v>
      </c>
      <c r="U17" s="665">
        <f t="shared" si="17"/>
        <v>0</v>
      </c>
      <c r="V17" s="337"/>
      <c r="W17" s="338"/>
      <c r="X17" s="383">
        <f t="shared" si="31"/>
        <v>0</v>
      </c>
      <c r="Y17" s="386">
        <f t="shared" si="31"/>
        <v>0</v>
      </c>
      <c r="Z17" s="534">
        <f t="shared" si="18"/>
        <v>2023</v>
      </c>
      <c r="AA17" s="664">
        <f t="shared" si="32"/>
        <v>0</v>
      </c>
      <c r="AB17" s="665">
        <f t="shared" si="32"/>
        <v>0</v>
      </c>
      <c r="AC17" s="337"/>
      <c r="AD17" s="338"/>
      <c r="AE17" s="383">
        <f t="shared" si="33"/>
        <v>0</v>
      </c>
      <c r="AF17" s="386">
        <f t="shared" si="33"/>
        <v>0</v>
      </c>
      <c r="AG17" s="534">
        <f t="shared" si="19"/>
        <v>2022</v>
      </c>
      <c r="AH17" s="1271">
        <f t="shared" si="34"/>
        <v>0</v>
      </c>
      <c r="AI17" s="1276">
        <f t="shared" si="35"/>
        <v>0</v>
      </c>
      <c r="AJ17" s="337"/>
      <c r="AK17" s="338"/>
      <c r="AL17" s="1271">
        <v>0</v>
      </c>
      <c r="AM17" s="1276">
        <v>0</v>
      </c>
      <c r="AN17" s="414">
        <f t="shared" si="20"/>
        <v>1</v>
      </c>
      <c r="AO17" s="413">
        <f t="shared" si="3"/>
        <v>1</v>
      </c>
      <c r="AP17" s="337"/>
      <c r="AQ17" s="338"/>
      <c r="AR17" s="664">
        <f t="shared" ref="AR17:AS80" si="45">IF(AH17&gt;0,AP17/(AH17*AN17),0)</f>
        <v>0</v>
      </c>
      <c r="AS17" s="679">
        <f t="shared" si="45"/>
        <v>0</v>
      </c>
      <c r="AT17" s="383">
        <f t="shared" si="36"/>
        <v>0</v>
      </c>
      <c r="AU17" s="386">
        <f t="shared" si="4"/>
        <v>0</v>
      </c>
      <c r="AV17" s="534">
        <f t="shared" si="22"/>
        <v>2021</v>
      </c>
      <c r="AW17" s="1271">
        <f t="shared" si="37"/>
        <v>0</v>
      </c>
      <c r="AX17" s="1276">
        <f t="shared" si="38"/>
        <v>0</v>
      </c>
      <c r="AY17" s="337"/>
      <c r="AZ17" s="338"/>
      <c r="BA17" s="1271">
        <v>0</v>
      </c>
      <c r="BB17" s="1276">
        <v>0</v>
      </c>
      <c r="BC17" s="414">
        <f t="shared" si="23"/>
        <v>1</v>
      </c>
      <c r="BD17" s="413">
        <f t="shared" si="7"/>
        <v>1</v>
      </c>
      <c r="BE17" s="337"/>
      <c r="BF17" s="338"/>
      <c r="BG17" s="664">
        <f t="shared" ref="BG17:BH80" si="46">IF(AW17&gt;0,BE17/(AW17*BC17),0)</f>
        <v>0</v>
      </c>
      <c r="BH17" s="679">
        <f t="shared" si="46"/>
        <v>0</v>
      </c>
      <c r="BI17" s="383">
        <f t="shared" si="39"/>
        <v>0</v>
      </c>
      <c r="BJ17" s="386">
        <f t="shared" si="39"/>
        <v>0</v>
      </c>
      <c r="BK17" s="534">
        <f t="shared" si="25"/>
        <v>2020</v>
      </c>
      <c r="BL17" s="1271">
        <f t="shared" si="40"/>
        <v>0</v>
      </c>
      <c r="BM17" s="1276">
        <f t="shared" si="41"/>
        <v>0</v>
      </c>
      <c r="BN17" s="337"/>
      <c r="BO17" s="338"/>
      <c r="BP17" s="1271">
        <v>0</v>
      </c>
      <c r="BQ17" s="1276">
        <v>0</v>
      </c>
      <c r="BR17" s="414">
        <f t="shared" si="26"/>
        <v>1</v>
      </c>
      <c r="BS17" s="413">
        <f t="shared" si="11"/>
        <v>1</v>
      </c>
      <c r="BT17" s="337"/>
      <c r="BU17" s="338"/>
      <c r="BV17" s="664">
        <f t="shared" ref="BV17:BW80" si="47">IF(BL17&gt;0,BT17/(BL17*BR17),0)</f>
        <v>0</v>
      </c>
      <c r="BW17" s="679">
        <f t="shared" si="47"/>
        <v>0</v>
      </c>
      <c r="BX17" s="383">
        <f t="shared" si="42"/>
        <v>0</v>
      </c>
      <c r="BY17" s="386">
        <f t="shared" si="42"/>
        <v>0</v>
      </c>
      <c r="BZ17" s="534">
        <f t="shared" si="28"/>
        <v>2023</v>
      </c>
      <c r="CA17" s="664">
        <f t="shared" ref="CA17:CB80" si="48">IFERROR((AH17*AN17*AT17+AW17*BC17*BI17+BL17*BR17*BX17)/(AH17*AN17+AW17*BC17+BL17*BR17),0)</f>
        <v>0</v>
      </c>
      <c r="CB17" s="665">
        <f t="shared" si="48"/>
        <v>0</v>
      </c>
      <c r="CC17" s="664">
        <f>IFERROR(AVERAGE(CA16:CA18),0)</f>
        <v>0</v>
      </c>
      <c r="CD17" s="665">
        <f>IFERROR(AVERAGE(CB16:CB18),0)</f>
        <v>0</v>
      </c>
      <c r="CE17" s="337"/>
      <c r="CF17" s="338"/>
      <c r="CG17" s="383">
        <f t="shared" si="43"/>
        <v>0</v>
      </c>
      <c r="CH17" s="386">
        <f t="shared" si="43"/>
        <v>0</v>
      </c>
    </row>
    <row r="18" spans="2:86" x14ac:dyDescent="0.2">
      <c r="B18" s="276">
        <v>3</v>
      </c>
      <c r="C18" s="320">
        <f t="shared" si="29"/>
        <v>4</v>
      </c>
      <c r="D18" s="534">
        <f t="shared" si="13"/>
        <v>2022</v>
      </c>
      <c r="E18" s="337"/>
      <c r="F18" s="338"/>
      <c r="G18" s="1271">
        <v>0</v>
      </c>
      <c r="H18" s="1289">
        <v>0</v>
      </c>
      <c r="I18" s="400">
        <f t="shared" si="44"/>
        <v>0</v>
      </c>
      <c r="J18" s="401">
        <f t="shared" si="14"/>
        <v>0</v>
      </c>
      <c r="K18" s="402" cm="1">
        <f t="array" ref="K18">HE_fact_qM*INDEX(HE_MortalityLapsesCY,$C18,4)</f>
        <v>1.0591940690406611E-4</v>
      </c>
      <c r="L18" s="403" cm="1">
        <f t="array" ref="L18">HE_fact_qF*INDEX(HE_MortalityLapsesCY,$C18,5)</f>
        <v>1.001390884875538E-4</v>
      </c>
      <c r="M18" s="404" cm="1">
        <f t="array" ref="M18">INDEX(HE_MortalityLapsesCY,$C18,5+(2*$L$7-1))</f>
        <v>0.10929437141733503</v>
      </c>
      <c r="N18" s="405" cm="1">
        <f t="array" ref="N18">INDEX(HE_MortalityLapsesCY,$C18,5+2*$L$7)</f>
        <v>0.10929437141733503</v>
      </c>
      <c r="O18" s="391">
        <f t="shared" si="30"/>
        <v>0.99994704029654802</v>
      </c>
      <c r="P18" s="1143">
        <f t="shared" si="30"/>
        <v>0.9999499304557562</v>
      </c>
      <c r="Q18" s="356">
        <f t="shared" si="15"/>
        <v>2022</v>
      </c>
      <c r="R18" s="337"/>
      <c r="S18" s="338"/>
      <c r="T18" s="664">
        <f t="shared" si="16"/>
        <v>0</v>
      </c>
      <c r="U18" s="665">
        <f t="shared" si="17"/>
        <v>0</v>
      </c>
      <c r="V18" s="337"/>
      <c r="W18" s="338"/>
      <c r="X18" s="383">
        <f t="shared" si="31"/>
        <v>0</v>
      </c>
      <c r="Y18" s="386">
        <f t="shared" si="31"/>
        <v>0</v>
      </c>
      <c r="Z18" s="534">
        <f t="shared" si="18"/>
        <v>2022</v>
      </c>
      <c r="AA18" s="664">
        <f t="shared" si="32"/>
        <v>0</v>
      </c>
      <c r="AB18" s="665">
        <f t="shared" si="32"/>
        <v>0</v>
      </c>
      <c r="AC18" s="337"/>
      <c r="AD18" s="338"/>
      <c r="AE18" s="383">
        <f t="shared" si="33"/>
        <v>0</v>
      </c>
      <c r="AF18" s="386">
        <f t="shared" si="33"/>
        <v>0</v>
      </c>
      <c r="AG18" s="534">
        <f t="shared" si="19"/>
        <v>2021</v>
      </c>
      <c r="AH18" s="1271">
        <f t="shared" si="34"/>
        <v>0</v>
      </c>
      <c r="AI18" s="1276">
        <f t="shared" si="35"/>
        <v>0</v>
      </c>
      <c r="AJ18" s="337"/>
      <c r="AK18" s="338"/>
      <c r="AL18" s="1271">
        <v>0</v>
      </c>
      <c r="AM18" s="1276">
        <v>0</v>
      </c>
      <c r="AN18" s="414">
        <f t="shared" si="20"/>
        <v>1</v>
      </c>
      <c r="AO18" s="413">
        <f t="shared" si="3"/>
        <v>1</v>
      </c>
      <c r="AP18" s="337"/>
      <c r="AQ18" s="338"/>
      <c r="AR18" s="664">
        <f t="shared" si="45"/>
        <v>0</v>
      </c>
      <c r="AS18" s="679">
        <f t="shared" si="45"/>
        <v>0</v>
      </c>
      <c r="AT18" s="383">
        <f t="shared" si="36"/>
        <v>0</v>
      </c>
      <c r="AU18" s="386">
        <f t="shared" si="4"/>
        <v>0</v>
      </c>
      <c r="AV18" s="534">
        <f t="shared" si="22"/>
        <v>2020</v>
      </c>
      <c r="AW18" s="1271">
        <f t="shared" si="37"/>
        <v>0</v>
      </c>
      <c r="AX18" s="1276">
        <f t="shared" si="38"/>
        <v>0</v>
      </c>
      <c r="AY18" s="337"/>
      <c r="AZ18" s="338"/>
      <c r="BA18" s="1271">
        <v>0</v>
      </c>
      <c r="BB18" s="1276">
        <v>0</v>
      </c>
      <c r="BC18" s="414">
        <f t="shared" si="23"/>
        <v>1</v>
      </c>
      <c r="BD18" s="413">
        <f t="shared" si="7"/>
        <v>1</v>
      </c>
      <c r="BE18" s="337"/>
      <c r="BF18" s="338"/>
      <c r="BG18" s="664">
        <f t="shared" si="46"/>
        <v>0</v>
      </c>
      <c r="BH18" s="679">
        <f t="shared" si="46"/>
        <v>0</v>
      </c>
      <c r="BI18" s="383">
        <f t="shared" si="39"/>
        <v>0</v>
      </c>
      <c r="BJ18" s="386">
        <f t="shared" si="39"/>
        <v>0</v>
      </c>
      <c r="BK18" s="534">
        <f t="shared" si="25"/>
        <v>2019</v>
      </c>
      <c r="BL18" s="1271">
        <f t="shared" si="40"/>
        <v>0</v>
      </c>
      <c r="BM18" s="1276">
        <f t="shared" si="41"/>
        <v>0</v>
      </c>
      <c r="BN18" s="337"/>
      <c r="BO18" s="338"/>
      <c r="BP18" s="1271">
        <v>0</v>
      </c>
      <c r="BQ18" s="1276">
        <v>0</v>
      </c>
      <c r="BR18" s="414">
        <f t="shared" si="26"/>
        <v>1</v>
      </c>
      <c r="BS18" s="413">
        <f t="shared" si="11"/>
        <v>1</v>
      </c>
      <c r="BT18" s="337"/>
      <c r="BU18" s="338"/>
      <c r="BV18" s="664">
        <f t="shared" si="47"/>
        <v>0</v>
      </c>
      <c r="BW18" s="679">
        <f t="shared" si="47"/>
        <v>0</v>
      </c>
      <c r="BX18" s="383">
        <f t="shared" si="42"/>
        <v>0</v>
      </c>
      <c r="BY18" s="386">
        <f t="shared" si="42"/>
        <v>0</v>
      </c>
      <c r="BZ18" s="534">
        <f t="shared" si="28"/>
        <v>2022</v>
      </c>
      <c r="CA18" s="664">
        <f t="shared" si="48"/>
        <v>0</v>
      </c>
      <c r="CB18" s="665">
        <f t="shared" si="48"/>
        <v>0</v>
      </c>
      <c r="CC18" s="664">
        <f t="shared" ref="CC18:CD81" si="49">IFERROR(AVERAGE(CA17:CA19),0)</f>
        <v>0</v>
      </c>
      <c r="CD18" s="665">
        <f t="shared" si="49"/>
        <v>0</v>
      </c>
      <c r="CE18" s="337"/>
      <c r="CF18" s="338"/>
      <c r="CG18" s="383">
        <f t="shared" si="43"/>
        <v>0</v>
      </c>
      <c r="CH18" s="386">
        <f t="shared" si="43"/>
        <v>0</v>
      </c>
    </row>
    <row r="19" spans="2:86" x14ac:dyDescent="0.2">
      <c r="B19" s="276">
        <v>4</v>
      </c>
      <c r="C19" s="320">
        <f t="shared" si="29"/>
        <v>5</v>
      </c>
      <c r="D19" s="534">
        <f t="shared" si="13"/>
        <v>2021</v>
      </c>
      <c r="E19" s="337"/>
      <c r="F19" s="338"/>
      <c r="G19" s="1271">
        <v>0</v>
      </c>
      <c r="H19" s="1289">
        <v>0</v>
      </c>
      <c r="I19" s="400">
        <f t="shared" si="44"/>
        <v>0</v>
      </c>
      <c r="J19" s="401">
        <f t="shared" si="14"/>
        <v>0</v>
      </c>
      <c r="K19" s="402" cm="1">
        <f t="array" ref="K19">HE_fact_qM*INDEX(HE_MortalityLapsesCY,$C19,4)</f>
        <v>9.5909488482451828E-5</v>
      </c>
      <c r="L19" s="403" cm="1">
        <f t="array" ref="L19">HE_fact_qF*INDEX(HE_MortalityLapsesCY,$C19,5)</f>
        <v>8.776625117937141E-5</v>
      </c>
      <c r="M19" s="404" cm="1">
        <f t="array" ref="M19">INDEX(HE_MortalityLapsesCY,$C19,5+(2*$L$7-1))</f>
        <v>9.6604661586732407E-2</v>
      </c>
      <c r="N19" s="405" cm="1">
        <f t="array" ref="N19">INDEX(HE_MortalityLapsesCY,$C19,5+2*$L$7)</f>
        <v>9.6604661586732407E-2</v>
      </c>
      <c r="O19" s="391">
        <f t="shared" si="30"/>
        <v>0.99995204525575876</v>
      </c>
      <c r="P19" s="1143">
        <f t="shared" si="30"/>
        <v>0.99995611687441033</v>
      </c>
      <c r="Q19" s="356">
        <f t="shared" si="15"/>
        <v>2021</v>
      </c>
      <c r="R19" s="337"/>
      <c r="S19" s="338"/>
      <c r="T19" s="664">
        <f t="shared" si="16"/>
        <v>0</v>
      </c>
      <c r="U19" s="665">
        <f t="shared" si="17"/>
        <v>0</v>
      </c>
      <c r="V19" s="337"/>
      <c r="W19" s="338"/>
      <c r="X19" s="383">
        <f t="shared" si="31"/>
        <v>0</v>
      </c>
      <c r="Y19" s="386">
        <f t="shared" si="31"/>
        <v>0</v>
      </c>
      <c r="Z19" s="534">
        <f t="shared" si="18"/>
        <v>2021</v>
      </c>
      <c r="AA19" s="664">
        <f t="shared" si="32"/>
        <v>0</v>
      </c>
      <c r="AB19" s="665">
        <f t="shared" si="32"/>
        <v>0</v>
      </c>
      <c r="AC19" s="337"/>
      <c r="AD19" s="338"/>
      <c r="AE19" s="383">
        <f t="shared" si="33"/>
        <v>0</v>
      </c>
      <c r="AF19" s="386">
        <f t="shared" si="33"/>
        <v>0</v>
      </c>
      <c r="AG19" s="534">
        <f t="shared" si="19"/>
        <v>2020</v>
      </c>
      <c r="AH19" s="1271">
        <f t="shared" si="34"/>
        <v>0</v>
      </c>
      <c r="AI19" s="1276">
        <f t="shared" si="35"/>
        <v>0</v>
      </c>
      <c r="AJ19" s="337"/>
      <c r="AK19" s="338"/>
      <c r="AL19" s="1271">
        <v>0</v>
      </c>
      <c r="AM19" s="1276">
        <v>0</v>
      </c>
      <c r="AN19" s="414">
        <f t="shared" si="20"/>
        <v>1</v>
      </c>
      <c r="AO19" s="413">
        <f t="shared" si="3"/>
        <v>1</v>
      </c>
      <c r="AP19" s="337"/>
      <c r="AQ19" s="338"/>
      <c r="AR19" s="664">
        <f t="shared" si="45"/>
        <v>0</v>
      </c>
      <c r="AS19" s="679">
        <f t="shared" si="45"/>
        <v>0</v>
      </c>
      <c r="AT19" s="383">
        <f t="shared" si="36"/>
        <v>0</v>
      </c>
      <c r="AU19" s="386">
        <f t="shared" si="4"/>
        <v>0</v>
      </c>
      <c r="AV19" s="534">
        <f t="shared" si="22"/>
        <v>2019</v>
      </c>
      <c r="AW19" s="1271">
        <f t="shared" si="37"/>
        <v>0</v>
      </c>
      <c r="AX19" s="1276">
        <f t="shared" si="38"/>
        <v>0</v>
      </c>
      <c r="AY19" s="337"/>
      <c r="AZ19" s="338"/>
      <c r="BA19" s="1271">
        <v>0</v>
      </c>
      <c r="BB19" s="1276">
        <v>0</v>
      </c>
      <c r="BC19" s="414">
        <f t="shared" si="23"/>
        <v>1</v>
      </c>
      <c r="BD19" s="413">
        <f t="shared" si="7"/>
        <v>1</v>
      </c>
      <c r="BE19" s="337"/>
      <c r="BF19" s="338"/>
      <c r="BG19" s="664">
        <f t="shared" si="46"/>
        <v>0</v>
      </c>
      <c r="BH19" s="679">
        <f t="shared" si="46"/>
        <v>0</v>
      </c>
      <c r="BI19" s="383">
        <f t="shared" si="39"/>
        <v>0</v>
      </c>
      <c r="BJ19" s="386">
        <f t="shared" si="39"/>
        <v>0</v>
      </c>
      <c r="BK19" s="534">
        <f t="shared" si="25"/>
        <v>2018</v>
      </c>
      <c r="BL19" s="1271">
        <f t="shared" si="40"/>
        <v>0</v>
      </c>
      <c r="BM19" s="1276">
        <f t="shared" si="41"/>
        <v>0</v>
      </c>
      <c r="BN19" s="337"/>
      <c r="BO19" s="338"/>
      <c r="BP19" s="1271">
        <v>0</v>
      </c>
      <c r="BQ19" s="1276">
        <v>0</v>
      </c>
      <c r="BR19" s="414">
        <f t="shared" si="26"/>
        <v>1</v>
      </c>
      <c r="BS19" s="413">
        <f t="shared" si="11"/>
        <v>1</v>
      </c>
      <c r="BT19" s="337"/>
      <c r="BU19" s="338"/>
      <c r="BV19" s="664">
        <f t="shared" si="47"/>
        <v>0</v>
      </c>
      <c r="BW19" s="679">
        <f t="shared" si="47"/>
        <v>0</v>
      </c>
      <c r="BX19" s="383">
        <f t="shared" si="42"/>
        <v>0</v>
      </c>
      <c r="BY19" s="386">
        <f t="shared" si="42"/>
        <v>0</v>
      </c>
      <c r="BZ19" s="534">
        <f t="shared" si="28"/>
        <v>2021</v>
      </c>
      <c r="CA19" s="664">
        <f t="shared" si="48"/>
        <v>0</v>
      </c>
      <c r="CB19" s="665">
        <f t="shared" si="48"/>
        <v>0</v>
      </c>
      <c r="CC19" s="664">
        <f t="shared" si="49"/>
        <v>0</v>
      </c>
      <c r="CD19" s="665">
        <f t="shared" si="49"/>
        <v>0</v>
      </c>
      <c r="CE19" s="337"/>
      <c r="CF19" s="338"/>
      <c r="CG19" s="383">
        <f t="shared" si="43"/>
        <v>0</v>
      </c>
      <c r="CH19" s="386">
        <f t="shared" si="43"/>
        <v>0</v>
      </c>
    </row>
    <row r="20" spans="2:86" x14ac:dyDescent="0.2">
      <c r="B20" s="276">
        <v>5</v>
      </c>
      <c r="C20" s="320">
        <f t="shared" si="29"/>
        <v>6</v>
      </c>
      <c r="D20" s="534">
        <f t="shared" si="13"/>
        <v>2020</v>
      </c>
      <c r="E20" s="337"/>
      <c r="F20" s="338"/>
      <c r="G20" s="1271">
        <v>0</v>
      </c>
      <c r="H20" s="1289">
        <v>0</v>
      </c>
      <c r="I20" s="400">
        <f t="shared" si="44"/>
        <v>0</v>
      </c>
      <c r="J20" s="401">
        <f t="shared" si="14"/>
        <v>0</v>
      </c>
      <c r="K20" s="402" cm="1">
        <f t="array" ref="K20">HE_fact_qM*INDEX(HE_MortalityLapsesCY,$C20,4)</f>
        <v>8.3490439838498239E-5</v>
      </c>
      <c r="L20" s="403" cm="1">
        <f t="array" ref="L20">HE_fact_qF*INDEX(HE_MortalityLapsesCY,$C20,5)</f>
        <v>7.4000660279005431E-5</v>
      </c>
      <c r="M20" s="404" cm="1">
        <f t="array" ref="M20">INDEX(HE_MortalityLapsesCY,$C20,5+(2*$L$7-1))</f>
        <v>0.11976138012575913</v>
      </c>
      <c r="N20" s="405" cm="1">
        <f t="array" ref="N20">INDEX(HE_MortalityLapsesCY,$C20,5+2*$L$7)</f>
        <v>0.11976138012575913</v>
      </c>
      <c r="O20" s="391">
        <f t="shared" si="30"/>
        <v>0.99995825478008071</v>
      </c>
      <c r="P20" s="1143">
        <f t="shared" si="30"/>
        <v>0.99996299966986046</v>
      </c>
      <c r="Q20" s="356">
        <f t="shared" si="15"/>
        <v>2020</v>
      </c>
      <c r="R20" s="337"/>
      <c r="S20" s="338"/>
      <c r="T20" s="664">
        <f t="shared" si="16"/>
        <v>0</v>
      </c>
      <c r="U20" s="665">
        <f t="shared" si="17"/>
        <v>0</v>
      </c>
      <c r="V20" s="337"/>
      <c r="W20" s="338"/>
      <c r="X20" s="383">
        <f t="shared" si="31"/>
        <v>0</v>
      </c>
      <c r="Y20" s="386">
        <f t="shared" si="31"/>
        <v>0</v>
      </c>
      <c r="Z20" s="534">
        <f t="shared" si="18"/>
        <v>2020</v>
      </c>
      <c r="AA20" s="664">
        <f t="shared" si="32"/>
        <v>0</v>
      </c>
      <c r="AB20" s="665">
        <f t="shared" si="32"/>
        <v>0</v>
      </c>
      <c r="AC20" s="337"/>
      <c r="AD20" s="338"/>
      <c r="AE20" s="383">
        <f t="shared" si="33"/>
        <v>0</v>
      </c>
      <c r="AF20" s="386">
        <f t="shared" si="33"/>
        <v>0</v>
      </c>
      <c r="AG20" s="534">
        <f t="shared" si="19"/>
        <v>2019</v>
      </c>
      <c r="AH20" s="1271">
        <f t="shared" si="34"/>
        <v>0</v>
      </c>
      <c r="AI20" s="1276">
        <f t="shared" si="35"/>
        <v>0</v>
      </c>
      <c r="AJ20" s="337"/>
      <c r="AK20" s="338"/>
      <c r="AL20" s="1271">
        <v>0</v>
      </c>
      <c r="AM20" s="1276">
        <v>0</v>
      </c>
      <c r="AN20" s="414">
        <f t="shared" si="20"/>
        <v>1</v>
      </c>
      <c r="AO20" s="413">
        <f t="shared" si="3"/>
        <v>1</v>
      </c>
      <c r="AP20" s="337"/>
      <c r="AQ20" s="338"/>
      <c r="AR20" s="664">
        <f t="shared" si="45"/>
        <v>0</v>
      </c>
      <c r="AS20" s="679">
        <f t="shared" si="45"/>
        <v>0</v>
      </c>
      <c r="AT20" s="383">
        <f t="shared" si="36"/>
        <v>0</v>
      </c>
      <c r="AU20" s="386">
        <f t="shared" si="4"/>
        <v>0</v>
      </c>
      <c r="AV20" s="534">
        <f t="shared" si="22"/>
        <v>2018</v>
      </c>
      <c r="AW20" s="1271">
        <f t="shared" si="37"/>
        <v>0</v>
      </c>
      <c r="AX20" s="1276">
        <f t="shared" si="38"/>
        <v>0</v>
      </c>
      <c r="AY20" s="337"/>
      <c r="AZ20" s="338"/>
      <c r="BA20" s="1271">
        <v>0</v>
      </c>
      <c r="BB20" s="1276">
        <v>0</v>
      </c>
      <c r="BC20" s="414">
        <f t="shared" si="23"/>
        <v>1</v>
      </c>
      <c r="BD20" s="413">
        <f t="shared" si="7"/>
        <v>1</v>
      </c>
      <c r="BE20" s="337"/>
      <c r="BF20" s="338"/>
      <c r="BG20" s="664">
        <f t="shared" si="46"/>
        <v>0</v>
      </c>
      <c r="BH20" s="679">
        <f t="shared" si="46"/>
        <v>0</v>
      </c>
      <c r="BI20" s="383">
        <f t="shared" si="39"/>
        <v>0</v>
      </c>
      <c r="BJ20" s="386">
        <f t="shared" si="39"/>
        <v>0</v>
      </c>
      <c r="BK20" s="534">
        <f t="shared" si="25"/>
        <v>2017</v>
      </c>
      <c r="BL20" s="1271">
        <f t="shared" si="40"/>
        <v>0</v>
      </c>
      <c r="BM20" s="1276">
        <f t="shared" si="41"/>
        <v>0</v>
      </c>
      <c r="BN20" s="337"/>
      <c r="BO20" s="338"/>
      <c r="BP20" s="1271">
        <v>0</v>
      </c>
      <c r="BQ20" s="1276">
        <v>0</v>
      </c>
      <c r="BR20" s="414">
        <f t="shared" si="26"/>
        <v>1</v>
      </c>
      <c r="BS20" s="413">
        <f t="shared" si="11"/>
        <v>1</v>
      </c>
      <c r="BT20" s="337"/>
      <c r="BU20" s="338"/>
      <c r="BV20" s="664">
        <f t="shared" si="47"/>
        <v>0</v>
      </c>
      <c r="BW20" s="679">
        <f t="shared" si="47"/>
        <v>0</v>
      </c>
      <c r="BX20" s="383">
        <f t="shared" si="42"/>
        <v>0</v>
      </c>
      <c r="BY20" s="386">
        <f t="shared" si="42"/>
        <v>0</v>
      </c>
      <c r="BZ20" s="534">
        <f t="shared" si="28"/>
        <v>2020</v>
      </c>
      <c r="CA20" s="664">
        <f t="shared" si="48"/>
        <v>0</v>
      </c>
      <c r="CB20" s="665">
        <f t="shared" si="48"/>
        <v>0</v>
      </c>
      <c r="CC20" s="664">
        <f t="shared" si="49"/>
        <v>0</v>
      </c>
      <c r="CD20" s="665">
        <f t="shared" si="49"/>
        <v>0</v>
      </c>
      <c r="CE20" s="337"/>
      <c r="CF20" s="338"/>
      <c r="CG20" s="383">
        <f t="shared" si="43"/>
        <v>0</v>
      </c>
      <c r="CH20" s="386">
        <f t="shared" si="43"/>
        <v>0</v>
      </c>
    </row>
    <row r="21" spans="2:86" x14ac:dyDescent="0.2">
      <c r="B21" s="276">
        <v>6</v>
      </c>
      <c r="C21" s="320">
        <f t="shared" si="29"/>
        <v>7</v>
      </c>
      <c r="D21" s="534">
        <f t="shared" si="13"/>
        <v>2019</v>
      </c>
      <c r="E21" s="337"/>
      <c r="F21" s="338"/>
      <c r="G21" s="1271">
        <v>0</v>
      </c>
      <c r="H21" s="1289">
        <v>0</v>
      </c>
      <c r="I21" s="400">
        <f t="shared" si="44"/>
        <v>0</v>
      </c>
      <c r="J21" s="401">
        <f t="shared" si="14"/>
        <v>0</v>
      </c>
      <c r="K21" s="402" cm="1">
        <f t="array" ref="K21">HE_fact_qM*INDEX(HE_MortalityLapsesCY,$C21,4)</f>
        <v>7.1311356171170149E-5</v>
      </c>
      <c r="L21" s="403" cm="1">
        <f t="array" ref="L21">HE_fact_qF*INDEX(HE_MortalityLapsesCY,$C21,5)</f>
        <v>6.1514796327948726E-5</v>
      </c>
      <c r="M21" s="404" cm="1">
        <f t="array" ref="M21">INDEX(HE_MortalityLapsesCY,$C21,5+(2*$L$7-1))</f>
        <v>9.8793571367992536E-2</v>
      </c>
      <c r="N21" s="405" cm="1">
        <f t="array" ref="N21">INDEX(HE_MortalityLapsesCY,$C21,5+2*$L$7)</f>
        <v>9.8793571367992536E-2</v>
      </c>
      <c r="O21" s="391">
        <f t="shared" si="30"/>
        <v>0.99996434432191439</v>
      </c>
      <c r="P21" s="1143">
        <f t="shared" si="30"/>
        <v>0.99996924260183606</v>
      </c>
      <c r="Q21" s="356">
        <f t="shared" si="15"/>
        <v>2019</v>
      </c>
      <c r="R21" s="337"/>
      <c r="S21" s="338"/>
      <c r="T21" s="664">
        <f t="shared" si="16"/>
        <v>0</v>
      </c>
      <c r="U21" s="665">
        <f t="shared" si="17"/>
        <v>0</v>
      </c>
      <c r="V21" s="337"/>
      <c r="W21" s="338"/>
      <c r="X21" s="383">
        <f t="shared" si="31"/>
        <v>0</v>
      </c>
      <c r="Y21" s="386">
        <f t="shared" si="31"/>
        <v>0</v>
      </c>
      <c r="Z21" s="534">
        <f t="shared" si="18"/>
        <v>2019</v>
      </c>
      <c r="AA21" s="664">
        <f t="shared" si="32"/>
        <v>0</v>
      </c>
      <c r="AB21" s="665">
        <f t="shared" si="32"/>
        <v>0</v>
      </c>
      <c r="AC21" s="337"/>
      <c r="AD21" s="338"/>
      <c r="AE21" s="383">
        <f t="shared" si="33"/>
        <v>0</v>
      </c>
      <c r="AF21" s="386">
        <f t="shared" si="33"/>
        <v>0</v>
      </c>
      <c r="AG21" s="534">
        <f t="shared" si="19"/>
        <v>2018</v>
      </c>
      <c r="AH21" s="1271">
        <f t="shared" si="34"/>
        <v>0</v>
      </c>
      <c r="AI21" s="1276">
        <f t="shared" si="35"/>
        <v>0</v>
      </c>
      <c r="AJ21" s="337"/>
      <c r="AK21" s="338"/>
      <c r="AL21" s="1271">
        <v>0</v>
      </c>
      <c r="AM21" s="1276">
        <v>0</v>
      </c>
      <c r="AN21" s="414">
        <f t="shared" si="20"/>
        <v>1</v>
      </c>
      <c r="AO21" s="413">
        <f t="shared" si="3"/>
        <v>1</v>
      </c>
      <c r="AP21" s="337"/>
      <c r="AQ21" s="338"/>
      <c r="AR21" s="664">
        <f t="shared" si="45"/>
        <v>0</v>
      </c>
      <c r="AS21" s="679">
        <f t="shared" si="45"/>
        <v>0</v>
      </c>
      <c r="AT21" s="383">
        <f t="shared" si="36"/>
        <v>0</v>
      </c>
      <c r="AU21" s="386">
        <f t="shared" si="4"/>
        <v>0</v>
      </c>
      <c r="AV21" s="534">
        <f t="shared" si="22"/>
        <v>2017</v>
      </c>
      <c r="AW21" s="1271">
        <f t="shared" si="37"/>
        <v>0</v>
      </c>
      <c r="AX21" s="1276">
        <f t="shared" si="38"/>
        <v>0</v>
      </c>
      <c r="AY21" s="337"/>
      <c r="AZ21" s="338"/>
      <c r="BA21" s="1271">
        <v>0</v>
      </c>
      <c r="BB21" s="1276">
        <v>0</v>
      </c>
      <c r="BC21" s="414">
        <f t="shared" si="23"/>
        <v>1</v>
      </c>
      <c r="BD21" s="413">
        <f t="shared" si="7"/>
        <v>1</v>
      </c>
      <c r="BE21" s="337"/>
      <c r="BF21" s="338"/>
      <c r="BG21" s="664">
        <f t="shared" si="46"/>
        <v>0</v>
      </c>
      <c r="BH21" s="679">
        <f t="shared" si="46"/>
        <v>0</v>
      </c>
      <c r="BI21" s="383">
        <f t="shared" si="39"/>
        <v>0</v>
      </c>
      <c r="BJ21" s="386">
        <f t="shared" si="39"/>
        <v>0</v>
      </c>
      <c r="BK21" s="534">
        <f t="shared" si="25"/>
        <v>2016</v>
      </c>
      <c r="BL21" s="1271">
        <f t="shared" si="40"/>
        <v>0</v>
      </c>
      <c r="BM21" s="1276">
        <f t="shared" si="41"/>
        <v>0</v>
      </c>
      <c r="BN21" s="337"/>
      <c r="BO21" s="338"/>
      <c r="BP21" s="1271">
        <v>0</v>
      </c>
      <c r="BQ21" s="1276">
        <v>0</v>
      </c>
      <c r="BR21" s="414">
        <f t="shared" si="26"/>
        <v>1</v>
      </c>
      <c r="BS21" s="413">
        <f t="shared" si="11"/>
        <v>1</v>
      </c>
      <c r="BT21" s="337"/>
      <c r="BU21" s="338"/>
      <c r="BV21" s="664">
        <f t="shared" si="47"/>
        <v>0</v>
      </c>
      <c r="BW21" s="679">
        <f t="shared" si="47"/>
        <v>0</v>
      </c>
      <c r="BX21" s="383">
        <f t="shared" si="42"/>
        <v>0</v>
      </c>
      <c r="BY21" s="386">
        <f t="shared" si="42"/>
        <v>0</v>
      </c>
      <c r="BZ21" s="534">
        <f t="shared" si="28"/>
        <v>2019</v>
      </c>
      <c r="CA21" s="664">
        <f t="shared" si="48"/>
        <v>0</v>
      </c>
      <c r="CB21" s="665">
        <f t="shared" si="48"/>
        <v>0</v>
      </c>
      <c r="CC21" s="664">
        <f t="shared" si="49"/>
        <v>0</v>
      </c>
      <c r="CD21" s="665">
        <f t="shared" si="49"/>
        <v>0</v>
      </c>
      <c r="CE21" s="337"/>
      <c r="CF21" s="338"/>
      <c r="CG21" s="383">
        <f t="shared" si="43"/>
        <v>0</v>
      </c>
      <c r="CH21" s="386">
        <f t="shared" si="43"/>
        <v>0</v>
      </c>
    </row>
    <row r="22" spans="2:86" x14ac:dyDescent="0.2">
      <c r="B22" s="276">
        <v>7</v>
      </c>
      <c r="C22" s="320">
        <f t="shared" si="29"/>
        <v>8</v>
      </c>
      <c r="D22" s="534">
        <f t="shared" si="13"/>
        <v>2018</v>
      </c>
      <c r="E22" s="337"/>
      <c r="F22" s="338"/>
      <c r="G22" s="1271">
        <v>0</v>
      </c>
      <c r="H22" s="1289">
        <v>0</v>
      </c>
      <c r="I22" s="400">
        <f t="shared" si="44"/>
        <v>0</v>
      </c>
      <c r="J22" s="401">
        <f t="shared" si="14"/>
        <v>0</v>
      </c>
      <c r="K22" s="402" cm="1">
        <f t="array" ref="K22">HE_fact_qM*INDEX(HE_MortalityLapsesCY,$C22,4)</f>
        <v>6.103030987455986E-5</v>
      </c>
      <c r="L22" s="403" cm="1">
        <f t="array" ref="L22">HE_fact_qF*INDEX(HE_MortalityLapsesCY,$C22,5)</f>
        <v>5.1567286955064144E-5</v>
      </c>
      <c r="M22" s="404" cm="1">
        <f t="array" ref="M22">INDEX(HE_MortalityLapsesCY,$C22,5+(2*$L$7-1))</f>
        <v>9.3924703236551499E-2</v>
      </c>
      <c r="N22" s="405" cm="1">
        <f t="array" ref="N22">INDEX(HE_MortalityLapsesCY,$C22,5+2*$L$7)</f>
        <v>9.3924703236551499E-2</v>
      </c>
      <c r="O22" s="391">
        <f t="shared" si="30"/>
        <v>0.99996948484506265</v>
      </c>
      <c r="P22" s="1143">
        <f t="shared" si="30"/>
        <v>0.99997421635652239</v>
      </c>
      <c r="Q22" s="356">
        <f t="shared" si="15"/>
        <v>2018</v>
      </c>
      <c r="R22" s="337"/>
      <c r="S22" s="338"/>
      <c r="T22" s="664">
        <f t="shared" si="16"/>
        <v>0</v>
      </c>
      <c r="U22" s="665">
        <f t="shared" si="17"/>
        <v>0</v>
      </c>
      <c r="V22" s="337"/>
      <c r="W22" s="338"/>
      <c r="X22" s="383">
        <f t="shared" si="31"/>
        <v>0</v>
      </c>
      <c r="Y22" s="386">
        <f t="shared" si="31"/>
        <v>0</v>
      </c>
      <c r="Z22" s="534">
        <f t="shared" si="18"/>
        <v>2018</v>
      </c>
      <c r="AA22" s="664">
        <f t="shared" si="32"/>
        <v>0</v>
      </c>
      <c r="AB22" s="665">
        <f t="shared" si="32"/>
        <v>0</v>
      </c>
      <c r="AC22" s="337"/>
      <c r="AD22" s="338"/>
      <c r="AE22" s="383">
        <f t="shared" si="33"/>
        <v>0</v>
      </c>
      <c r="AF22" s="386">
        <f t="shared" si="33"/>
        <v>0</v>
      </c>
      <c r="AG22" s="534">
        <f t="shared" si="19"/>
        <v>2017</v>
      </c>
      <c r="AH22" s="1271">
        <f t="shared" si="34"/>
        <v>0</v>
      </c>
      <c r="AI22" s="1276">
        <f t="shared" si="35"/>
        <v>0</v>
      </c>
      <c r="AJ22" s="337"/>
      <c r="AK22" s="338"/>
      <c r="AL22" s="1271">
        <v>0</v>
      </c>
      <c r="AM22" s="1276">
        <v>0</v>
      </c>
      <c r="AN22" s="414">
        <f t="shared" si="20"/>
        <v>1</v>
      </c>
      <c r="AO22" s="413">
        <f t="shared" si="3"/>
        <v>1</v>
      </c>
      <c r="AP22" s="337"/>
      <c r="AQ22" s="338"/>
      <c r="AR22" s="664">
        <f t="shared" si="45"/>
        <v>0</v>
      </c>
      <c r="AS22" s="679">
        <f t="shared" si="45"/>
        <v>0</v>
      </c>
      <c r="AT22" s="383">
        <f t="shared" si="36"/>
        <v>0</v>
      </c>
      <c r="AU22" s="386">
        <f t="shared" si="4"/>
        <v>0</v>
      </c>
      <c r="AV22" s="534">
        <f t="shared" si="22"/>
        <v>2016</v>
      </c>
      <c r="AW22" s="1271">
        <f t="shared" si="37"/>
        <v>0</v>
      </c>
      <c r="AX22" s="1276">
        <f t="shared" si="38"/>
        <v>0</v>
      </c>
      <c r="AY22" s="337"/>
      <c r="AZ22" s="338"/>
      <c r="BA22" s="1271">
        <v>0</v>
      </c>
      <c r="BB22" s="1276">
        <v>0</v>
      </c>
      <c r="BC22" s="414">
        <f t="shared" si="23"/>
        <v>1</v>
      </c>
      <c r="BD22" s="413">
        <f t="shared" si="7"/>
        <v>1</v>
      </c>
      <c r="BE22" s="337"/>
      <c r="BF22" s="338"/>
      <c r="BG22" s="664">
        <f t="shared" si="46"/>
        <v>0</v>
      </c>
      <c r="BH22" s="679">
        <f t="shared" si="46"/>
        <v>0</v>
      </c>
      <c r="BI22" s="383">
        <f t="shared" si="39"/>
        <v>0</v>
      </c>
      <c r="BJ22" s="386">
        <f t="shared" si="39"/>
        <v>0</v>
      </c>
      <c r="BK22" s="534">
        <f t="shared" si="25"/>
        <v>2015</v>
      </c>
      <c r="BL22" s="1271">
        <f t="shared" si="40"/>
        <v>0</v>
      </c>
      <c r="BM22" s="1276">
        <f t="shared" si="41"/>
        <v>0</v>
      </c>
      <c r="BN22" s="337"/>
      <c r="BO22" s="338"/>
      <c r="BP22" s="1271">
        <v>0</v>
      </c>
      <c r="BQ22" s="1276">
        <v>0</v>
      </c>
      <c r="BR22" s="414">
        <f t="shared" si="26"/>
        <v>1</v>
      </c>
      <c r="BS22" s="413">
        <f t="shared" si="11"/>
        <v>1</v>
      </c>
      <c r="BT22" s="337"/>
      <c r="BU22" s="338"/>
      <c r="BV22" s="664">
        <f t="shared" si="47"/>
        <v>0</v>
      </c>
      <c r="BW22" s="679">
        <f t="shared" si="47"/>
        <v>0</v>
      </c>
      <c r="BX22" s="383">
        <f t="shared" si="42"/>
        <v>0</v>
      </c>
      <c r="BY22" s="386">
        <f t="shared" si="42"/>
        <v>0</v>
      </c>
      <c r="BZ22" s="534">
        <f t="shared" si="28"/>
        <v>2018</v>
      </c>
      <c r="CA22" s="664">
        <f t="shared" si="48"/>
        <v>0</v>
      </c>
      <c r="CB22" s="665">
        <f t="shared" si="48"/>
        <v>0</v>
      </c>
      <c r="CC22" s="664">
        <f t="shared" si="49"/>
        <v>0</v>
      </c>
      <c r="CD22" s="665">
        <f t="shared" si="49"/>
        <v>0</v>
      </c>
      <c r="CE22" s="337"/>
      <c r="CF22" s="338"/>
      <c r="CG22" s="383">
        <f t="shared" si="43"/>
        <v>0</v>
      </c>
      <c r="CH22" s="386">
        <f t="shared" si="43"/>
        <v>0</v>
      </c>
    </row>
    <row r="23" spans="2:86" x14ac:dyDescent="0.2">
      <c r="B23" s="276">
        <v>8</v>
      </c>
      <c r="C23" s="320">
        <f t="shared" si="29"/>
        <v>9</v>
      </c>
      <c r="D23" s="534">
        <f t="shared" si="13"/>
        <v>2017</v>
      </c>
      <c r="E23" s="337"/>
      <c r="F23" s="338"/>
      <c r="G23" s="1271">
        <v>0</v>
      </c>
      <c r="H23" s="1289">
        <v>0</v>
      </c>
      <c r="I23" s="400">
        <f t="shared" si="44"/>
        <v>0</v>
      </c>
      <c r="J23" s="401">
        <f t="shared" si="14"/>
        <v>0</v>
      </c>
      <c r="K23" s="402" cm="1">
        <f t="array" ref="K23">HE_fact_qM*INDEX(HE_MortalityLapsesCY,$C23,4)</f>
        <v>5.3342263731346297E-5</v>
      </c>
      <c r="L23" s="403" cm="1">
        <f t="array" ref="L23">HE_fact_qF*INDEX(HE_MortalityLapsesCY,$C23,5)</f>
        <v>4.4425054078980086E-5</v>
      </c>
      <c r="M23" s="404" cm="1">
        <f t="array" ref="M23">INDEX(HE_MortalityLapsesCY,$C23,5+(2*$L$7-1))</f>
        <v>9.4329737070025552E-2</v>
      </c>
      <c r="N23" s="405" cm="1">
        <f t="array" ref="N23">INDEX(HE_MortalityLapsesCY,$C23,5+2*$L$7)</f>
        <v>9.4329737070025552E-2</v>
      </c>
      <c r="O23" s="391">
        <f t="shared" si="30"/>
        <v>0.99997332886813428</v>
      </c>
      <c r="P23" s="1143">
        <f t="shared" si="30"/>
        <v>0.99997778747296051</v>
      </c>
      <c r="Q23" s="356">
        <f t="shared" si="15"/>
        <v>2017</v>
      </c>
      <c r="R23" s="337"/>
      <c r="S23" s="338"/>
      <c r="T23" s="664">
        <f t="shared" si="16"/>
        <v>0</v>
      </c>
      <c r="U23" s="665">
        <f t="shared" si="17"/>
        <v>0</v>
      </c>
      <c r="V23" s="337"/>
      <c r="W23" s="338"/>
      <c r="X23" s="383">
        <f t="shared" si="31"/>
        <v>0</v>
      </c>
      <c r="Y23" s="386">
        <f t="shared" si="31"/>
        <v>0</v>
      </c>
      <c r="Z23" s="534">
        <f t="shared" si="18"/>
        <v>2017</v>
      </c>
      <c r="AA23" s="664">
        <f t="shared" si="32"/>
        <v>0</v>
      </c>
      <c r="AB23" s="665">
        <f t="shared" si="32"/>
        <v>0</v>
      </c>
      <c r="AC23" s="337"/>
      <c r="AD23" s="338"/>
      <c r="AE23" s="383">
        <f t="shared" si="33"/>
        <v>0</v>
      </c>
      <c r="AF23" s="386">
        <f t="shared" si="33"/>
        <v>0</v>
      </c>
      <c r="AG23" s="534">
        <f t="shared" si="19"/>
        <v>2016</v>
      </c>
      <c r="AH23" s="1271">
        <f t="shared" si="34"/>
        <v>0</v>
      </c>
      <c r="AI23" s="1276">
        <f t="shared" si="35"/>
        <v>0</v>
      </c>
      <c r="AJ23" s="337"/>
      <c r="AK23" s="338"/>
      <c r="AL23" s="1271">
        <v>0</v>
      </c>
      <c r="AM23" s="1276">
        <v>0</v>
      </c>
      <c r="AN23" s="414">
        <f t="shared" si="20"/>
        <v>1</v>
      </c>
      <c r="AO23" s="413">
        <f t="shared" si="3"/>
        <v>1</v>
      </c>
      <c r="AP23" s="337"/>
      <c r="AQ23" s="338"/>
      <c r="AR23" s="664">
        <f t="shared" si="45"/>
        <v>0</v>
      </c>
      <c r="AS23" s="679">
        <f t="shared" si="45"/>
        <v>0</v>
      </c>
      <c r="AT23" s="383">
        <f t="shared" si="36"/>
        <v>0</v>
      </c>
      <c r="AU23" s="386">
        <f t="shared" si="4"/>
        <v>0</v>
      </c>
      <c r="AV23" s="534">
        <f t="shared" si="22"/>
        <v>2015</v>
      </c>
      <c r="AW23" s="1271">
        <f t="shared" si="37"/>
        <v>0</v>
      </c>
      <c r="AX23" s="1276">
        <f t="shared" si="38"/>
        <v>0</v>
      </c>
      <c r="AY23" s="337"/>
      <c r="AZ23" s="338"/>
      <c r="BA23" s="1271">
        <v>0</v>
      </c>
      <c r="BB23" s="1276">
        <v>0</v>
      </c>
      <c r="BC23" s="414">
        <f t="shared" si="23"/>
        <v>1</v>
      </c>
      <c r="BD23" s="413">
        <f t="shared" si="7"/>
        <v>1</v>
      </c>
      <c r="BE23" s="337"/>
      <c r="BF23" s="338"/>
      <c r="BG23" s="664">
        <f t="shared" si="46"/>
        <v>0</v>
      </c>
      <c r="BH23" s="679">
        <f t="shared" si="46"/>
        <v>0</v>
      </c>
      <c r="BI23" s="383">
        <f t="shared" si="39"/>
        <v>0</v>
      </c>
      <c r="BJ23" s="386">
        <f t="shared" si="39"/>
        <v>0</v>
      </c>
      <c r="BK23" s="534">
        <f t="shared" si="25"/>
        <v>2014</v>
      </c>
      <c r="BL23" s="1271">
        <f t="shared" si="40"/>
        <v>0</v>
      </c>
      <c r="BM23" s="1276">
        <f t="shared" si="41"/>
        <v>0</v>
      </c>
      <c r="BN23" s="337"/>
      <c r="BO23" s="338"/>
      <c r="BP23" s="1271">
        <v>0</v>
      </c>
      <c r="BQ23" s="1276">
        <v>0</v>
      </c>
      <c r="BR23" s="414">
        <f t="shared" si="26"/>
        <v>1</v>
      </c>
      <c r="BS23" s="413">
        <f t="shared" si="11"/>
        <v>1</v>
      </c>
      <c r="BT23" s="337"/>
      <c r="BU23" s="338"/>
      <c r="BV23" s="664">
        <f t="shared" si="47"/>
        <v>0</v>
      </c>
      <c r="BW23" s="679">
        <f t="shared" si="47"/>
        <v>0</v>
      </c>
      <c r="BX23" s="383">
        <f t="shared" si="42"/>
        <v>0</v>
      </c>
      <c r="BY23" s="386">
        <f t="shared" si="42"/>
        <v>0</v>
      </c>
      <c r="BZ23" s="534">
        <f t="shared" si="28"/>
        <v>2017</v>
      </c>
      <c r="CA23" s="664">
        <f t="shared" si="48"/>
        <v>0</v>
      </c>
      <c r="CB23" s="665">
        <f t="shared" si="48"/>
        <v>0</v>
      </c>
      <c r="CC23" s="664">
        <f t="shared" si="49"/>
        <v>0</v>
      </c>
      <c r="CD23" s="665">
        <f t="shared" si="49"/>
        <v>0</v>
      </c>
      <c r="CE23" s="337"/>
      <c r="CF23" s="338"/>
      <c r="CG23" s="383">
        <f t="shared" si="43"/>
        <v>0</v>
      </c>
      <c r="CH23" s="386">
        <f t="shared" si="43"/>
        <v>0</v>
      </c>
    </row>
    <row r="24" spans="2:86" x14ac:dyDescent="0.2">
      <c r="B24" s="276">
        <v>9</v>
      </c>
      <c r="C24" s="320">
        <f t="shared" si="29"/>
        <v>10</v>
      </c>
      <c r="D24" s="534">
        <f t="shared" si="13"/>
        <v>2016</v>
      </c>
      <c r="E24" s="337"/>
      <c r="F24" s="338"/>
      <c r="G24" s="1271">
        <v>0</v>
      </c>
      <c r="H24" s="1289">
        <v>0</v>
      </c>
      <c r="I24" s="400">
        <f t="shared" si="44"/>
        <v>0</v>
      </c>
      <c r="J24" s="401">
        <f t="shared" si="14"/>
        <v>0</v>
      </c>
      <c r="K24" s="402" cm="1">
        <f t="array" ref="K24">HE_fact_qM*INDEX(HE_MortalityLapsesCY,$C24,4)</f>
        <v>4.8403508301950624E-5</v>
      </c>
      <c r="L24" s="403" cm="1">
        <f t="array" ref="L24">HE_fact_qF*INDEX(HE_MortalityLapsesCY,$C24,5)</f>
        <v>3.9928969661077379E-5</v>
      </c>
      <c r="M24" s="404" cm="1">
        <f t="array" ref="M24">INDEX(HE_MortalityLapsesCY,$C24,5+(2*$L$7-1))</f>
        <v>8.9733190099313798E-2</v>
      </c>
      <c r="N24" s="405" cm="1">
        <f t="array" ref="N24">INDEX(HE_MortalityLapsesCY,$C24,5+2*$L$7)</f>
        <v>8.9733190099313798E-2</v>
      </c>
      <c r="O24" s="391">
        <f t="shared" si="30"/>
        <v>0.99997579824584903</v>
      </c>
      <c r="P24" s="1143">
        <f t="shared" si="30"/>
        <v>0.99998003551516945</v>
      </c>
      <c r="Q24" s="356">
        <f t="shared" si="15"/>
        <v>2016</v>
      </c>
      <c r="R24" s="337"/>
      <c r="S24" s="338"/>
      <c r="T24" s="664">
        <f t="shared" si="16"/>
        <v>0</v>
      </c>
      <c r="U24" s="665">
        <f t="shared" si="17"/>
        <v>0</v>
      </c>
      <c r="V24" s="337"/>
      <c r="W24" s="338"/>
      <c r="X24" s="383">
        <f t="shared" si="31"/>
        <v>0</v>
      </c>
      <c r="Y24" s="386">
        <f t="shared" si="31"/>
        <v>0</v>
      </c>
      <c r="Z24" s="534">
        <f t="shared" si="18"/>
        <v>2016</v>
      </c>
      <c r="AA24" s="664">
        <f t="shared" si="32"/>
        <v>0</v>
      </c>
      <c r="AB24" s="665">
        <f t="shared" si="32"/>
        <v>0</v>
      </c>
      <c r="AC24" s="337"/>
      <c r="AD24" s="338"/>
      <c r="AE24" s="383">
        <f t="shared" si="33"/>
        <v>0</v>
      </c>
      <c r="AF24" s="386">
        <f t="shared" si="33"/>
        <v>0</v>
      </c>
      <c r="AG24" s="534">
        <f t="shared" si="19"/>
        <v>2015</v>
      </c>
      <c r="AH24" s="1271">
        <f t="shared" si="34"/>
        <v>0</v>
      </c>
      <c r="AI24" s="1276">
        <f t="shared" si="35"/>
        <v>0</v>
      </c>
      <c r="AJ24" s="337"/>
      <c r="AK24" s="338"/>
      <c r="AL24" s="1271">
        <v>0</v>
      </c>
      <c r="AM24" s="1276">
        <v>0</v>
      </c>
      <c r="AN24" s="414">
        <f t="shared" si="20"/>
        <v>1</v>
      </c>
      <c r="AO24" s="413">
        <f t="shared" si="3"/>
        <v>1</v>
      </c>
      <c r="AP24" s="337"/>
      <c r="AQ24" s="338"/>
      <c r="AR24" s="664">
        <f t="shared" si="45"/>
        <v>0</v>
      </c>
      <c r="AS24" s="679">
        <f t="shared" si="45"/>
        <v>0</v>
      </c>
      <c r="AT24" s="383">
        <f t="shared" si="36"/>
        <v>0</v>
      </c>
      <c r="AU24" s="386">
        <f t="shared" si="4"/>
        <v>0</v>
      </c>
      <c r="AV24" s="534">
        <f t="shared" si="22"/>
        <v>2014</v>
      </c>
      <c r="AW24" s="1271">
        <f t="shared" si="37"/>
        <v>0</v>
      </c>
      <c r="AX24" s="1276">
        <f t="shared" si="38"/>
        <v>0</v>
      </c>
      <c r="AY24" s="337"/>
      <c r="AZ24" s="338"/>
      <c r="BA24" s="1271">
        <v>0</v>
      </c>
      <c r="BB24" s="1276">
        <v>0</v>
      </c>
      <c r="BC24" s="414">
        <f t="shared" si="23"/>
        <v>1</v>
      </c>
      <c r="BD24" s="413">
        <f t="shared" si="7"/>
        <v>1</v>
      </c>
      <c r="BE24" s="337"/>
      <c r="BF24" s="338"/>
      <c r="BG24" s="664">
        <f t="shared" si="46"/>
        <v>0</v>
      </c>
      <c r="BH24" s="679">
        <f t="shared" si="46"/>
        <v>0</v>
      </c>
      <c r="BI24" s="383">
        <f t="shared" si="39"/>
        <v>0</v>
      </c>
      <c r="BJ24" s="386">
        <f t="shared" si="39"/>
        <v>0</v>
      </c>
      <c r="BK24" s="534">
        <f t="shared" si="25"/>
        <v>2013</v>
      </c>
      <c r="BL24" s="1271">
        <f t="shared" si="40"/>
        <v>0</v>
      </c>
      <c r="BM24" s="1276">
        <f t="shared" si="41"/>
        <v>0</v>
      </c>
      <c r="BN24" s="337"/>
      <c r="BO24" s="338"/>
      <c r="BP24" s="1271">
        <v>0</v>
      </c>
      <c r="BQ24" s="1276">
        <v>0</v>
      </c>
      <c r="BR24" s="414">
        <f t="shared" si="26"/>
        <v>1</v>
      </c>
      <c r="BS24" s="413">
        <f t="shared" si="11"/>
        <v>1</v>
      </c>
      <c r="BT24" s="337"/>
      <c r="BU24" s="338"/>
      <c r="BV24" s="664">
        <f t="shared" si="47"/>
        <v>0</v>
      </c>
      <c r="BW24" s="679">
        <f t="shared" si="47"/>
        <v>0</v>
      </c>
      <c r="BX24" s="383">
        <f t="shared" si="42"/>
        <v>0</v>
      </c>
      <c r="BY24" s="386">
        <f t="shared" si="42"/>
        <v>0</v>
      </c>
      <c r="BZ24" s="534">
        <f t="shared" si="28"/>
        <v>2016</v>
      </c>
      <c r="CA24" s="664">
        <f t="shared" si="48"/>
        <v>0</v>
      </c>
      <c r="CB24" s="665">
        <f t="shared" si="48"/>
        <v>0</v>
      </c>
      <c r="CC24" s="664">
        <f t="shared" si="49"/>
        <v>0</v>
      </c>
      <c r="CD24" s="665">
        <f t="shared" si="49"/>
        <v>0</v>
      </c>
      <c r="CE24" s="337"/>
      <c r="CF24" s="338"/>
      <c r="CG24" s="383">
        <f t="shared" si="43"/>
        <v>0</v>
      </c>
      <c r="CH24" s="386">
        <f t="shared" si="43"/>
        <v>0</v>
      </c>
    </row>
    <row r="25" spans="2:86" x14ac:dyDescent="0.2">
      <c r="B25" s="276">
        <v>10</v>
      </c>
      <c r="C25" s="320">
        <f t="shared" si="29"/>
        <v>11</v>
      </c>
      <c r="D25" s="534">
        <f t="shared" si="13"/>
        <v>2015</v>
      </c>
      <c r="E25" s="337"/>
      <c r="F25" s="338"/>
      <c r="G25" s="1271">
        <v>0</v>
      </c>
      <c r="H25" s="1289">
        <v>0</v>
      </c>
      <c r="I25" s="400">
        <f t="shared" si="44"/>
        <v>0</v>
      </c>
      <c r="J25" s="401">
        <f t="shared" si="14"/>
        <v>0</v>
      </c>
      <c r="K25" s="402" cm="1">
        <f t="array" ref="K25">HE_fact_qM*INDEX(HE_MortalityLapsesCY,$C25,4)</f>
        <v>4.6268653762397332E-5</v>
      </c>
      <c r="L25" s="403" cm="1">
        <f t="array" ref="L25">HE_fact_qF*INDEX(HE_MortalityLapsesCY,$C25,5)</f>
        <v>3.7918840520964426E-5</v>
      </c>
      <c r="M25" s="404" cm="1">
        <f t="array" ref="M25">INDEX(HE_MortalityLapsesCY,$C25,5+(2*$L$7-1))</f>
        <v>9.1228782038276862E-2</v>
      </c>
      <c r="N25" s="405" cm="1">
        <f t="array" ref="N25">INDEX(HE_MortalityLapsesCY,$C25,5+2*$L$7)</f>
        <v>9.1228782038276862E-2</v>
      </c>
      <c r="O25" s="391">
        <f t="shared" si="30"/>
        <v>0.99997686567311872</v>
      </c>
      <c r="P25" s="1143">
        <f t="shared" si="30"/>
        <v>0.99998104057973958</v>
      </c>
      <c r="Q25" s="356">
        <f t="shared" si="15"/>
        <v>2015</v>
      </c>
      <c r="R25" s="337"/>
      <c r="S25" s="338"/>
      <c r="T25" s="664">
        <f t="shared" si="16"/>
        <v>0</v>
      </c>
      <c r="U25" s="665">
        <f t="shared" si="17"/>
        <v>0</v>
      </c>
      <c r="V25" s="337"/>
      <c r="W25" s="338"/>
      <c r="X25" s="383">
        <f t="shared" si="31"/>
        <v>0</v>
      </c>
      <c r="Y25" s="386">
        <f t="shared" si="31"/>
        <v>0</v>
      </c>
      <c r="Z25" s="534">
        <f t="shared" si="18"/>
        <v>2015</v>
      </c>
      <c r="AA25" s="664">
        <f t="shared" si="32"/>
        <v>0</v>
      </c>
      <c r="AB25" s="665">
        <f t="shared" si="32"/>
        <v>0</v>
      </c>
      <c r="AC25" s="337"/>
      <c r="AD25" s="338"/>
      <c r="AE25" s="383">
        <f t="shared" si="33"/>
        <v>0</v>
      </c>
      <c r="AF25" s="386">
        <f t="shared" si="33"/>
        <v>0</v>
      </c>
      <c r="AG25" s="534">
        <f t="shared" si="19"/>
        <v>2014</v>
      </c>
      <c r="AH25" s="1271">
        <f t="shared" si="34"/>
        <v>0</v>
      </c>
      <c r="AI25" s="1276">
        <f t="shared" si="35"/>
        <v>0</v>
      </c>
      <c r="AJ25" s="337"/>
      <c r="AK25" s="338"/>
      <c r="AL25" s="1271">
        <v>0</v>
      </c>
      <c r="AM25" s="1276">
        <v>0</v>
      </c>
      <c r="AN25" s="414">
        <f t="shared" si="20"/>
        <v>1</v>
      </c>
      <c r="AO25" s="413">
        <f t="shared" si="3"/>
        <v>1</v>
      </c>
      <c r="AP25" s="337"/>
      <c r="AQ25" s="338"/>
      <c r="AR25" s="664">
        <f t="shared" si="45"/>
        <v>0</v>
      </c>
      <c r="AS25" s="679">
        <f t="shared" si="45"/>
        <v>0</v>
      </c>
      <c r="AT25" s="383">
        <f t="shared" si="36"/>
        <v>0</v>
      </c>
      <c r="AU25" s="386">
        <f t="shared" si="4"/>
        <v>0</v>
      </c>
      <c r="AV25" s="534">
        <f t="shared" si="22"/>
        <v>2013</v>
      </c>
      <c r="AW25" s="1271">
        <f t="shared" si="37"/>
        <v>0</v>
      </c>
      <c r="AX25" s="1276">
        <f t="shared" si="38"/>
        <v>0</v>
      </c>
      <c r="AY25" s="337"/>
      <c r="AZ25" s="338"/>
      <c r="BA25" s="1271">
        <v>0</v>
      </c>
      <c r="BB25" s="1276">
        <v>0</v>
      </c>
      <c r="BC25" s="414">
        <f t="shared" si="23"/>
        <v>1</v>
      </c>
      <c r="BD25" s="413">
        <f t="shared" si="7"/>
        <v>1</v>
      </c>
      <c r="BE25" s="337"/>
      <c r="BF25" s="338"/>
      <c r="BG25" s="664">
        <f t="shared" si="46"/>
        <v>0</v>
      </c>
      <c r="BH25" s="679">
        <f t="shared" si="46"/>
        <v>0</v>
      </c>
      <c r="BI25" s="383">
        <f t="shared" si="39"/>
        <v>0</v>
      </c>
      <c r="BJ25" s="386">
        <f t="shared" si="39"/>
        <v>0</v>
      </c>
      <c r="BK25" s="534">
        <f t="shared" si="25"/>
        <v>2012</v>
      </c>
      <c r="BL25" s="1271">
        <f t="shared" si="40"/>
        <v>0</v>
      </c>
      <c r="BM25" s="1276">
        <f t="shared" si="41"/>
        <v>0</v>
      </c>
      <c r="BN25" s="337"/>
      <c r="BO25" s="338"/>
      <c r="BP25" s="1271">
        <v>0</v>
      </c>
      <c r="BQ25" s="1276">
        <v>0</v>
      </c>
      <c r="BR25" s="414">
        <f t="shared" si="26"/>
        <v>1</v>
      </c>
      <c r="BS25" s="413">
        <f t="shared" si="11"/>
        <v>1</v>
      </c>
      <c r="BT25" s="337"/>
      <c r="BU25" s="338"/>
      <c r="BV25" s="664">
        <f t="shared" si="47"/>
        <v>0</v>
      </c>
      <c r="BW25" s="679">
        <f t="shared" si="47"/>
        <v>0</v>
      </c>
      <c r="BX25" s="383">
        <f t="shared" si="42"/>
        <v>0</v>
      </c>
      <c r="BY25" s="386">
        <f t="shared" si="42"/>
        <v>0</v>
      </c>
      <c r="BZ25" s="534">
        <f t="shared" si="28"/>
        <v>2015</v>
      </c>
      <c r="CA25" s="664">
        <f t="shared" si="48"/>
        <v>0</v>
      </c>
      <c r="CB25" s="665">
        <f t="shared" si="48"/>
        <v>0</v>
      </c>
      <c r="CC25" s="664">
        <f t="shared" si="49"/>
        <v>0</v>
      </c>
      <c r="CD25" s="665">
        <f t="shared" si="49"/>
        <v>0</v>
      </c>
      <c r="CE25" s="337"/>
      <c r="CF25" s="338"/>
      <c r="CG25" s="383">
        <f t="shared" si="43"/>
        <v>0</v>
      </c>
      <c r="CH25" s="386">
        <f t="shared" si="43"/>
        <v>0</v>
      </c>
    </row>
    <row r="26" spans="2:86" x14ac:dyDescent="0.2">
      <c r="B26" s="276">
        <v>11</v>
      </c>
      <c r="C26" s="320">
        <f t="shared" si="29"/>
        <v>12</v>
      </c>
      <c r="D26" s="534">
        <f t="shared" si="13"/>
        <v>2014</v>
      </c>
      <c r="E26" s="337"/>
      <c r="F26" s="338"/>
      <c r="G26" s="1271">
        <v>0</v>
      </c>
      <c r="H26" s="1289">
        <v>0</v>
      </c>
      <c r="I26" s="400">
        <f t="shared" si="44"/>
        <v>0</v>
      </c>
      <c r="J26" s="401">
        <f t="shared" si="14"/>
        <v>0</v>
      </c>
      <c r="K26" s="402" cm="1">
        <f t="array" ref="K26">HE_fact_qM*INDEX(HE_MortalityLapsesCY,$C26,4)</f>
        <v>4.7264502850760529E-5</v>
      </c>
      <c r="L26" s="403" cm="1">
        <f t="array" ref="L26">HE_fact_qF*INDEX(HE_MortalityLapsesCY,$C26,5)</f>
        <v>3.8536980386819773E-5</v>
      </c>
      <c r="M26" s="404" cm="1">
        <f t="array" ref="M26">INDEX(HE_MortalityLapsesCY,$C26,5+(2*$L$7-1))</f>
        <v>8.383499514897895E-2</v>
      </c>
      <c r="N26" s="405" cm="1">
        <f t="array" ref="N26">INDEX(HE_MortalityLapsesCY,$C26,5+2*$L$7)</f>
        <v>8.383499514897895E-2</v>
      </c>
      <c r="O26" s="391">
        <f t="shared" si="30"/>
        <v>0.99997636774857468</v>
      </c>
      <c r="P26" s="1143">
        <f t="shared" si="30"/>
        <v>0.9999807315098066</v>
      </c>
      <c r="Q26" s="356">
        <f t="shared" si="15"/>
        <v>2014</v>
      </c>
      <c r="R26" s="337"/>
      <c r="S26" s="338"/>
      <c r="T26" s="664">
        <f t="shared" si="16"/>
        <v>0</v>
      </c>
      <c r="U26" s="665">
        <f t="shared" si="17"/>
        <v>0</v>
      </c>
      <c r="V26" s="337"/>
      <c r="W26" s="338"/>
      <c r="X26" s="383">
        <f t="shared" si="31"/>
        <v>0</v>
      </c>
      <c r="Y26" s="386">
        <f t="shared" si="31"/>
        <v>0</v>
      </c>
      <c r="Z26" s="534">
        <f t="shared" si="18"/>
        <v>2014</v>
      </c>
      <c r="AA26" s="664">
        <f t="shared" si="32"/>
        <v>0</v>
      </c>
      <c r="AB26" s="665">
        <f t="shared" si="32"/>
        <v>0</v>
      </c>
      <c r="AC26" s="337"/>
      <c r="AD26" s="338"/>
      <c r="AE26" s="383">
        <f t="shared" si="33"/>
        <v>0</v>
      </c>
      <c r="AF26" s="386">
        <f t="shared" si="33"/>
        <v>0</v>
      </c>
      <c r="AG26" s="534">
        <f t="shared" si="19"/>
        <v>2013</v>
      </c>
      <c r="AH26" s="1271">
        <f t="shared" si="34"/>
        <v>0</v>
      </c>
      <c r="AI26" s="1276">
        <f t="shared" si="35"/>
        <v>0</v>
      </c>
      <c r="AJ26" s="337"/>
      <c r="AK26" s="338"/>
      <c r="AL26" s="1271">
        <v>0</v>
      </c>
      <c r="AM26" s="1276">
        <v>0</v>
      </c>
      <c r="AN26" s="414">
        <f t="shared" si="20"/>
        <v>1</v>
      </c>
      <c r="AO26" s="413">
        <f t="shared" si="3"/>
        <v>1</v>
      </c>
      <c r="AP26" s="337"/>
      <c r="AQ26" s="338"/>
      <c r="AR26" s="664">
        <f t="shared" si="45"/>
        <v>0</v>
      </c>
      <c r="AS26" s="679">
        <f t="shared" si="45"/>
        <v>0</v>
      </c>
      <c r="AT26" s="383">
        <f t="shared" si="36"/>
        <v>0</v>
      </c>
      <c r="AU26" s="386">
        <f t="shared" si="4"/>
        <v>0</v>
      </c>
      <c r="AV26" s="534">
        <f t="shared" si="22"/>
        <v>2012</v>
      </c>
      <c r="AW26" s="1271">
        <f t="shared" si="37"/>
        <v>0</v>
      </c>
      <c r="AX26" s="1276">
        <f t="shared" si="38"/>
        <v>0</v>
      </c>
      <c r="AY26" s="337"/>
      <c r="AZ26" s="338"/>
      <c r="BA26" s="1271">
        <v>0</v>
      </c>
      <c r="BB26" s="1276">
        <v>0</v>
      </c>
      <c r="BC26" s="414">
        <f t="shared" si="23"/>
        <v>1</v>
      </c>
      <c r="BD26" s="413">
        <f t="shared" si="7"/>
        <v>1</v>
      </c>
      <c r="BE26" s="337"/>
      <c r="BF26" s="338"/>
      <c r="BG26" s="664">
        <f t="shared" si="46"/>
        <v>0</v>
      </c>
      <c r="BH26" s="679">
        <f t="shared" si="46"/>
        <v>0</v>
      </c>
      <c r="BI26" s="383">
        <f t="shared" si="39"/>
        <v>0</v>
      </c>
      <c r="BJ26" s="386">
        <f t="shared" si="39"/>
        <v>0</v>
      </c>
      <c r="BK26" s="534">
        <f t="shared" si="25"/>
        <v>2011</v>
      </c>
      <c r="BL26" s="1271">
        <f t="shared" si="40"/>
        <v>0</v>
      </c>
      <c r="BM26" s="1276">
        <f t="shared" si="41"/>
        <v>0</v>
      </c>
      <c r="BN26" s="337"/>
      <c r="BO26" s="338"/>
      <c r="BP26" s="1271">
        <v>0</v>
      </c>
      <c r="BQ26" s="1276">
        <v>0</v>
      </c>
      <c r="BR26" s="414">
        <f t="shared" si="26"/>
        <v>1</v>
      </c>
      <c r="BS26" s="413">
        <f t="shared" si="11"/>
        <v>1</v>
      </c>
      <c r="BT26" s="337"/>
      <c r="BU26" s="338"/>
      <c r="BV26" s="664">
        <f t="shared" si="47"/>
        <v>0</v>
      </c>
      <c r="BW26" s="679">
        <f t="shared" si="47"/>
        <v>0</v>
      </c>
      <c r="BX26" s="383">
        <f t="shared" si="42"/>
        <v>0</v>
      </c>
      <c r="BY26" s="386">
        <f t="shared" si="42"/>
        <v>0</v>
      </c>
      <c r="BZ26" s="534">
        <f t="shared" si="28"/>
        <v>2014</v>
      </c>
      <c r="CA26" s="664">
        <f t="shared" si="48"/>
        <v>0</v>
      </c>
      <c r="CB26" s="665">
        <f t="shared" si="48"/>
        <v>0</v>
      </c>
      <c r="CC26" s="664">
        <f t="shared" si="49"/>
        <v>0</v>
      </c>
      <c r="CD26" s="665">
        <f t="shared" si="49"/>
        <v>0</v>
      </c>
      <c r="CE26" s="337"/>
      <c r="CF26" s="338"/>
      <c r="CG26" s="383">
        <f t="shared" si="43"/>
        <v>0</v>
      </c>
      <c r="CH26" s="386">
        <f t="shared" si="43"/>
        <v>0</v>
      </c>
    </row>
    <row r="27" spans="2:86" x14ac:dyDescent="0.2">
      <c r="B27" s="276">
        <v>12</v>
      </c>
      <c r="C27" s="320">
        <f t="shared" si="29"/>
        <v>13</v>
      </c>
      <c r="D27" s="534">
        <f t="shared" si="13"/>
        <v>2013</v>
      </c>
      <c r="E27" s="337"/>
      <c r="F27" s="338"/>
      <c r="G27" s="1271">
        <v>0</v>
      </c>
      <c r="H27" s="1289">
        <v>0</v>
      </c>
      <c r="I27" s="400">
        <f t="shared" si="44"/>
        <v>0</v>
      </c>
      <c r="J27" s="401">
        <f t="shared" si="14"/>
        <v>0</v>
      </c>
      <c r="K27" s="402" cm="1">
        <f t="array" ref="K27">HE_fact_qM*INDEX(HE_MortalityLapsesCY,$C27,4)</f>
        <v>5.2462292664888296E-5</v>
      </c>
      <c r="L27" s="403" cm="1">
        <f t="array" ref="L27">HE_fact_qF*INDEX(HE_MortalityLapsesCY,$C27,5)</f>
        <v>4.2598295676815376E-5</v>
      </c>
      <c r="M27" s="404" cm="1">
        <f t="array" ref="M27">INDEX(HE_MortalityLapsesCY,$C27,5+(2*$L$7-1))</f>
        <v>8.2987200135627701E-2</v>
      </c>
      <c r="N27" s="405" cm="1">
        <f t="array" ref="N27">INDEX(HE_MortalityLapsesCY,$C27,5+2*$L$7)</f>
        <v>8.2987200135627701E-2</v>
      </c>
      <c r="O27" s="391">
        <f t="shared" si="30"/>
        <v>0.99997376885366762</v>
      </c>
      <c r="P27" s="1143">
        <f t="shared" si="30"/>
        <v>0.99997870085216167</v>
      </c>
      <c r="Q27" s="356">
        <f t="shared" si="15"/>
        <v>2013</v>
      </c>
      <c r="R27" s="337"/>
      <c r="S27" s="338"/>
      <c r="T27" s="664">
        <f t="shared" si="16"/>
        <v>0</v>
      </c>
      <c r="U27" s="665">
        <f t="shared" si="17"/>
        <v>0</v>
      </c>
      <c r="V27" s="337"/>
      <c r="W27" s="338"/>
      <c r="X27" s="383">
        <f t="shared" si="31"/>
        <v>0</v>
      </c>
      <c r="Y27" s="386">
        <f t="shared" si="31"/>
        <v>0</v>
      </c>
      <c r="Z27" s="534">
        <f t="shared" si="18"/>
        <v>2013</v>
      </c>
      <c r="AA27" s="664">
        <f t="shared" si="32"/>
        <v>0</v>
      </c>
      <c r="AB27" s="665">
        <f t="shared" si="32"/>
        <v>0</v>
      </c>
      <c r="AC27" s="337"/>
      <c r="AD27" s="338"/>
      <c r="AE27" s="383">
        <f t="shared" si="33"/>
        <v>0</v>
      </c>
      <c r="AF27" s="386">
        <f t="shared" si="33"/>
        <v>0</v>
      </c>
      <c r="AG27" s="534">
        <f t="shared" si="19"/>
        <v>2012</v>
      </c>
      <c r="AH27" s="1271">
        <f t="shared" si="34"/>
        <v>0</v>
      </c>
      <c r="AI27" s="1276">
        <f t="shared" si="35"/>
        <v>0</v>
      </c>
      <c r="AJ27" s="337"/>
      <c r="AK27" s="338"/>
      <c r="AL27" s="1271">
        <v>0</v>
      </c>
      <c r="AM27" s="1276">
        <v>0</v>
      </c>
      <c r="AN27" s="414">
        <f t="shared" si="20"/>
        <v>1</v>
      </c>
      <c r="AO27" s="413">
        <f t="shared" si="3"/>
        <v>1</v>
      </c>
      <c r="AP27" s="337"/>
      <c r="AQ27" s="338"/>
      <c r="AR27" s="664">
        <f t="shared" si="45"/>
        <v>0</v>
      </c>
      <c r="AS27" s="679">
        <f t="shared" si="45"/>
        <v>0</v>
      </c>
      <c r="AT27" s="383">
        <f t="shared" si="36"/>
        <v>0</v>
      </c>
      <c r="AU27" s="386">
        <f t="shared" si="4"/>
        <v>0</v>
      </c>
      <c r="AV27" s="534">
        <f t="shared" si="22"/>
        <v>2011</v>
      </c>
      <c r="AW27" s="1271">
        <f t="shared" si="37"/>
        <v>0</v>
      </c>
      <c r="AX27" s="1276">
        <f t="shared" si="38"/>
        <v>0</v>
      </c>
      <c r="AY27" s="337"/>
      <c r="AZ27" s="338"/>
      <c r="BA27" s="1271">
        <v>0</v>
      </c>
      <c r="BB27" s="1276">
        <v>0</v>
      </c>
      <c r="BC27" s="414">
        <f t="shared" si="23"/>
        <v>1</v>
      </c>
      <c r="BD27" s="413">
        <f t="shared" si="7"/>
        <v>1</v>
      </c>
      <c r="BE27" s="337"/>
      <c r="BF27" s="338"/>
      <c r="BG27" s="664">
        <f t="shared" si="46"/>
        <v>0</v>
      </c>
      <c r="BH27" s="679">
        <f t="shared" si="46"/>
        <v>0</v>
      </c>
      <c r="BI27" s="383">
        <f t="shared" si="39"/>
        <v>0</v>
      </c>
      <c r="BJ27" s="386">
        <f t="shared" si="39"/>
        <v>0</v>
      </c>
      <c r="BK27" s="534">
        <f t="shared" si="25"/>
        <v>2010</v>
      </c>
      <c r="BL27" s="1271">
        <f t="shared" si="40"/>
        <v>0</v>
      </c>
      <c r="BM27" s="1276">
        <f t="shared" si="41"/>
        <v>0</v>
      </c>
      <c r="BN27" s="337"/>
      <c r="BO27" s="338"/>
      <c r="BP27" s="1271">
        <v>0</v>
      </c>
      <c r="BQ27" s="1276">
        <v>0</v>
      </c>
      <c r="BR27" s="414">
        <f t="shared" si="26"/>
        <v>1</v>
      </c>
      <c r="BS27" s="413">
        <f t="shared" si="11"/>
        <v>1</v>
      </c>
      <c r="BT27" s="337"/>
      <c r="BU27" s="338"/>
      <c r="BV27" s="664">
        <f t="shared" si="47"/>
        <v>0</v>
      </c>
      <c r="BW27" s="679">
        <f t="shared" si="47"/>
        <v>0</v>
      </c>
      <c r="BX27" s="383">
        <f t="shared" si="42"/>
        <v>0</v>
      </c>
      <c r="BY27" s="386">
        <f t="shared" si="42"/>
        <v>0</v>
      </c>
      <c r="BZ27" s="534">
        <f t="shared" si="28"/>
        <v>2013</v>
      </c>
      <c r="CA27" s="664">
        <f t="shared" si="48"/>
        <v>0</v>
      </c>
      <c r="CB27" s="665">
        <f t="shared" si="48"/>
        <v>0</v>
      </c>
      <c r="CC27" s="664">
        <f t="shared" si="49"/>
        <v>0</v>
      </c>
      <c r="CD27" s="665">
        <f t="shared" si="49"/>
        <v>0</v>
      </c>
      <c r="CE27" s="337"/>
      <c r="CF27" s="338"/>
      <c r="CG27" s="383">
        <f t="shared" si="43"/>
        <v>0</v>
      </c>
      <c r="CH27" s="386">
        <f t="shared" si="43"/>
        <v>0</v>
      </c>
    </row>
    <row r="28" spans="2:86" x14ac:dyDescent="0.2">
      <c r="B28" s="276">
        <v>13</v>
      </c>
      <c r="C28" s="320">
        <f t="shared" si="29"/>
        <v>14</v>
      </c>
      <c r="D28" s="534">
        <f t="shared" si="13"/>
        <v>2012</v>
      </c>
      <c r="E28" s="337"/>
      <c r="F28" s="338"/>
      <c r="G28" s="1271">
        <v>0</v>
      </c>
      <c r="H28" s="1289">
        <v>0</v>
      </c>
      <c r="I28" s="400">
        <f t="shared" si="44"/>
        <v>0</v>
      </c>
      <c r="J28" s="401">
        <f t="shared" si="14"/>
        <v>0</v>
      </c>
      <c r="K28" s="402" cm="1">
        <f t="array" ref="K28">HE_fact_qM*INDEX(HE_MortalityLapsesCY,$C28,4)</f>
        <v>6.434884118501791E-5</v>
      </c>
      <c r="L28" s="403" cm="1">
        <f t="array" ref="L28">HE_fact_qF*INDEX(HE_MortalityLapsesCY,$C28,5)</f>
        <v>5.2002248369203935E-5</v>
      </c>
      <c r="M28" s="404" cm="1">
        <f t="array" ref="M28">INDEX(HE_MortalityLapsesCY,$C28,5+(2*$L$7-1))</f>
        <v>8.3598776234781624E-2</v>
      </c>
      <c r="N28" s="405" cm="1">
        <f t="array" ref="N28">INDEX(HE_MortalityLapsesCY,$C28,5+2*$L$7)</f>
        <v>8.3598776234781624E-2</v>
      </c>
      <c r="O28" s="391">
        <f t="shared" si="30"/>
        <v>0.99996782557940755</v>
      </c>
      <c r="P28" s="1143">
        <f t="shared" si="30"/>
        <v>0.9999739988758154</v>
      </c>
      <c r="Q28" s="356">
        <f t="shared" si="15"/>
        <v>2012</v>
      </c>
      <c r="R28" s="337"/>
      <c r="S28" s="338"/>
      <c r="T28" s="664">
        <f t="shared" si="16"/>
        <v>0</v>
      </c>
      <c r="U28" s="665">
        <f t="shared" si="17"/>
        <v>0</v>
      </c>
      <c r="V28" s="337"/>
      <c r="W28" s="338"/>
      <c r="X28" s="383">
        <f t="shared" si="31"/>
        <v>0</v>
      </c>
      <c r="Y28" s="386">
        <f t="shared" si="31"/>
        <v>0</v>
      </c>
      <c r="Z28" s="534">
        <f t="shared" si="18"/>
        <v>2012</v>
      </c>
      <c r="AA28" s="664">
        <f t="shared" si="32"/>
        <v>0</v>
      </c>
      <c r="AB28" s="665">
        <f t="shared" si="32"/>
        <v>0</v>
      </c>
      <c r="AC28" s="337"/>
      <c r="AD28" s="338"/>
      <c r="AE28" s="383">
        <f t="shared" si="33"/>
        <v>0</v>
      </c>
      <c r="AF28" s="386">
        <f t="shared" si="33"/>
        <v>0</v>
      </c>
      <c r="AG28" s="534">
        <f t="shared" si="19"/>
        <v>2011</v>
      </c>
      <c r="AH28" s="1271">
        <f t="shared" si="34"/>
        <v>0</v>
      </c>
      <c r="AI28" s="1276">
        <f t="shared" si="35"/>
        <v>0</v>
      </c>
      <c r="AJ28" s="337"/>
      <c r="AK28" s="338"/>
      <c r="AL28" s="1271">
        <v>0</v>
      </c>
      <c r="AM28" s="1276">
        <v>0</v>
      </c>
      <c r="AN28" s="414">
        <f t="shared" si="20"/>
        <v>1</v>
      </c>
      <c r="AO28" s="413">
        <f t="shared" si="3"/>
        <v>1</v>
      </c>
      <c r="AP28" s="337"/>
      <c r="AQ28" s="338"/>
      <c r="AR28" s="664">
        <f t="shared" si="45"/>
        <v>0</v>
      </c>
      <c r="AS28" s="679">
        <f t="shared" si="45"/>
        <v>0</v>
      </c>
      <c r="AT28" s="383">
        <f t="shared" si="36"/>
        <v>0</v>
      </c>
      <c r="AU28" s="386">
        <f t="shared" si="4"/>
        <v>0</v>
      </c>
      <c r="AV28" s="534">
        <f t="shared" si="22"/>
        <v>2010</v>
      </c>
      <c r="AW28" s="1271">
        <f t="shared" si="37"/>
        <v>0</v>
      </c>
      <c r="AX28" s="1276">
        <f t="shared" si="38"/>
        <v>0</v>
      </c>
      <c r="AY28" s="337"/>
      <c r="AZ28" s="338"/>
      <c r="BA28" s="1271">
        <v>0</v>
      </c>
      <c r="BB28" s="1276">
        <v>0</v>
      </c>
      <c r="BC28" s="414">
        <f t="shared" si="23"/>
        <v>1</v>
      </c>
      <c r="BD28" s="413">
        <f t="shared" si="7"/>
        <v>1</v>
      </c>
      <c r="BE28" s="337"/>
      <c r="BF28" s="338"/>
      <c r="BG28" s="664">
        <f t="shared" si="46"/>
        <v>0</v>
      </c>
      <c r="BH28" s="679">
        <f t="shared" si="46"/>
        <v>0</v>
      </c>
      <c r="BI28" s="383">
        <f t="shared" si="39"/>
        <v>0</v>
      </c>
      <c r="BJ28" s="386">
        <f t="shared" si="39"/>
        <v>0</v>
      </c>
      <c r="BK28" s="534">
        <f t="shared" si="25"/>
        <v>2009</v>
      </c>
      <c r="BL28" s="1271">
        <f t="shared" si="40"/>
        <v>0</v>
      </c>
      <c r="BM28" s="1276">
        <f t="shared" si="41"/>
        <v>0</v>
      </c>
      <c r="BN28" s="337"/>
      <c r="BO28" s="338"/>
      <c r="BP28" s="1271">
        <v>0</v>
      </c>
      <c r="BQ28" s="1276">
        <v>0</v>
      </c>
      <c r="BR28" s="414">
        <f t="shared" si="26"/>
        <v>1</v>
      </c>
      <c r="BS28" s="413">
        <f t="shared" si="11"/>
        <v>1</v>
      </c>
      <c r="BT28" s="337"/>
      <c r="BU28" s="338"/>
      <c r="BV28" s="664">
        <f t="shared" si="47"/>
        <v>0</v>
      </c>
      <c r="BW28" s="679">
        <f t="shared" si="47"/>
        <v>0</v>
      </c>
      <c r="BX28" s="383">
        <f t="shared" si="42"/>
        <v>0</v>
      </c>
      <c r="BY28" s="386">
        <f t="shared" si="42"/>
        <v>0</v>
      </c>
      <c r="BZ28" s="534">
        <f t="shared" si="28"/>
        <v>2012</v>
      </c>
      <c r="CA28" s="664">
        <f t="shared" si="48"/>
        <v>0</v>
      </c>
      <c r="CB28" s="665">
        <f t="shared" si="48"/>
        <v>0</v>
      </c>
      <c r="CC28" s="664">
        <f t="shared" si="49"/>
        <v>0</v>
      </c>
      <c r="CD28" s="665">
        <f t="shared" si="49"/>
        <v>0</v>
      </c>
      <c r="CE28" s="337"/>
      <c r="CF28" s="338"/>
      <c r="CG28" s="383">
        <f t="shared" si="43"/>
        <v>0</v>
      </c>
      <c r="CH28" s="386">
        <f t="shared" si="43"/>
        <v>0</v>
      </c>
    </row>
    <row r="29" spans="2:86" x14ac:dyDescent="0.2">
      <c r="B29" s="276">
        <v>14</v>
      </c>
      <c r="C29" s="320">
        <f t="shared" si="29"/>
        <v>15</v>
      </c>
      <c r="D29" s="534">
        <f t="shared" si="13"/>
        <v>2011</v>
      </c>
      <c r="E29" s="337"/>
      <c r="F29" s="338"/>
      <c r="G29" s="1271">
        <v>0</v>
      </c>
      <c r="H29" s="1289">
        <v>0</v>
      </c>
      <c r="I29" s="400">
        <f t="shared" si="44"/>
        <v>0</v>
      </c>
      <c r="J29" s="401">
        <f t="shared" si="14"/>
        <v>0</v>
      </c>
      <c r="K29" s="402" cm="1">
        <f t="array" ref="K29">HE_fact_qM*INDEX(HE_MortalityLapsesCY,$C29,4)</f>
        <v>8.6493770862673905E-5</v>
      </c>
      <c r="L29" s="403" cm="1">
        <f t="array" ref="L29">HE_fact_qF*INDEX(HE_MortalityLapsesCY,$C29,5)</f>
        <v>6.860087065415477E-5</v>
      </c>
      <c r="M29" s="404" cm="1">
        <f t="array" ref="M29">INDEX(HE_MortalityLapsesCY,$C29,5+(2*$L$7-1))</f>
        <v>8.4424902252471665E-2</v>
      </c>
      <c r="N29" s="405" cm="1">
        <f t="array" ref="N29">INDEX(HE_MortalityLapsesCY,$C29,5+2*$L$7)</f>
        <v>8.4424902252471665E-2</v>
      </c>
      <c r="O29" s="391">
        <f t="shared" si="30"/>
        <v>0.99995675311456866</v>
      </c>
      <c r="P29" s="1143">
        <f t="shared" si="30"/>
        <v>0.99996569956467285</v>
      </c>
      <c r="Q29" s="356">
        <f t="shared" si="15"/>
        <v>2011</v>
      </c>
      <c r="R29" s="337"/>
      <c r="S29" s="338"/>
      <c r="T29" s="664">
        <f t="shared" si="16"/>
        <v>0</v>
      </c>
      <c r="U29" s="665">
        <f t="shared" si="17"/>
        <v>0</v>
      </c>
      <c r="V29" s="337"/>
      <c r="W29" s="338"/>
      <c r="X29" s="383">
        <f t="shared" si="31"/>
        <v>0</v>
      </c>
      <c r="Y29" s="386">
        <f t="shared" si="31"/>
        <v>0</v>
      </c>
      <c r="Z29" s="534">
        <f t="shared" si="18"/>
        <v>2011</v>
      </c>
      <c r="AA29" s="664">
        <f t="shared" si="32"/>
        <v>0</v>
      </c>
      <c r="AB29" s="665">
        <f t="shared" si="32"/>
        <v>0</v>
      </c>
      <c r="AC29" s="337"/>
      <c r="AD29" s="338"/>
      <c r="AE29" s="383">
        <f t="shared" si="33"/>
        <v>0</v>
      </c>
      <c r="AF29" s="386">
        <f t="shared" si="33"/>
        <v>0</v>
      </c>
      <c r="AG29" s="534">
        <f t="shared" si="19"/>
        <v>2010</v>
      </c>
      <c r="AH29" s="1271">
        <f t="shared" si="34"/>
        <v>0</v>
      </c>
      <c r="AI29" s="1276">
        <f t="shared" si="35"/>
        <v>0</v>
      </c>
      <c r="AJ29" s="337"/>
      <c r="AK29" s="338"/>
      <c r="AL29" s="1271">
        <v>0</v>
      </c>
      <c r="AM29" s="1276">
        <v>0</v>
      </c>
      <c r="AN29" s="414">
        <f t="shared" si="20"/>
        <v>1</v>
      </c>
      <c r="AO29" s="413">
        <f t="shared" si="3"/>
        <v>1</v>
      </c>
      <c r="AP29" s="337"/>
      <c r="AQ29" s="338"/>
      <c r="AR29" s="664">
        <f t="shared" si="45"/>
        <v>0</v>
      </c>
      <c r="AS29" s="679">
        <f t="shared" si="45"/>
        <v>0</v>
      </c>
      <c r="AT29" s="383">
        <f t="shared" si="36"/>
        <v>0</v>
      </c>
      <c r="AU29" s="386">
        <f t="shared" si="4"/>
        <v>0</v>
      </c>
      <c r="AV29" s="534">
        <f t="shared" si="22"/>
        <v>2009</v>
      </c>
      <c r="AW29" s="1271">
        <f t="shared" si="37"/>
        <v>0</v>
      </c>
      <c r="AX29" s="1276">
        <f t="shared" si="38"/>
        <v>0</v>
      </c>
      <c r="AY29" s="337"/>
      <c r="AZ29" s="338"/>
      <c r="BA29" s="1271">
        <v>0</v>
      </c>
      <c r="BB29" s="1276">
        <v>0</v>
      </c>
      <c r="BC29" s="414">
        <f t="shared" si="23"/>
        <v>1</v>
      </c>
      <c r="BD29" s="413">
        <f t="shared" si="7"/>
        <v>1</v>
      </c>
      <c r="BE29" s="337"/>
      <c r="BF29" s="338"/>
      <c r="BG29" s="664">
        <f t="shared" si="46"/>
        <v>0</v>
      </c>
      <c r="BH29" s="679">
        <f t="shared" si="46"/>
        <v>0</v>
      </c>
      <c r="BI29" s="383">
        <f t="shared" si="39"/>
        <v>0</v>
      </c>
      <c r="BJ29" s="386">
        <f t="shared" si="39"/>
        <v>0</v>
      </c>
      <c r="BK29" s="534">
        <f t="shared" si="25"/>
        <v>2008</v>
      </c>
      <c r="BL29" s="1271">
        <f t="shared" si="40"/>
        <v>0</v>
      </c>
      <c r="BM29" s="1276">
        <f t="shared" si="41"/>
        <v>0</v>
      </c>
      <c r="BN29" s="337"/>
      <c r="BO29" s="338"/>
      <c r="BP29" s="1271">
        <v>0</v>
      </c>
      <c r="BQ29" s="1276">
        <v>0</v>
      </c>
      <c r="BR29" s="414">
        <f t="shared" si="26"/>
        <v>1</v>
      </c>
      <c r="BS29" s="413">
        <f t="shared" si="11"/>
        <v>1</v>
      </c>
      <c r="BT29" s="337"/>
      <c r="BU29" s="338"/>
      <c r="BV29" s="664">
        <f t="shared" si="47"/>
        <v>0</v>
      </c>
      <c r="BW29" s="679">
        <f t="shared" si="47"/>
        <v>0</v>
      </c>
      <c r="BX29" s="383">
        <f t="shared" si="42"/>
        <v>0</v>
      </c>
      <c r="BY29" s="386">
        <f t="shared" si="42"/>
        <v>0</v>
      </c>
      <c r="BZ29" s="534">
        <f t="shared" si="28"/>
        <v>2011</v>
      </c>
      <c r="CA29" s="664">
        <f t="shared" si="48"/>
        <v>0</v>
      </c>
      <c r="CB29" s="665">
        <f t="shared" si="48"/>
        <v>0</v>
      </c>
      <c r="CC29" s="664">
        <f t="shared" si="49"/>
        <v>0</v>
      </c>
      <c r="CD29" s="665">
        <f t="shared" si="49"/>
        <v>0</v>
      </c>
      <c r="CE29" s="337"/>
      <c r="CF29" s="338"/>
      <c r="CG29" s="383">
        <f t="shared" si="43"/>
        <v>0</v>
      </c>
      <c r="CH29" s="386">
        <f t="shared" si="43"/>
        <v>0</v>
      </c>
    </row>
    <row r="30" spans="2:86" x14ac:dyDescent="0.2">
      <c r="B30" s="276">
        <v>15</v>
      </c>
      <c r="C30" s="320">
        <f t="shared" si="29"/>
        <v>16</v>
      </c>
      <c r="D30" s="534">
        <f t="shared" si="13"/>
        <v>2010</v>
      </c>
      <c r="E30" s="337"/>
      <c r="F30" s="338"/>
      <c r="G30" s="1271">
        <v>0</v>
      </c>
      <c r="H30" s="1289">
        <v>0</v>
      </c>
      <c r="I30" s="400">
        <f t="shared" si="44"/>
        <v>0</v>
      </c>
      <c r="J30" s="401">
        <f t="shared" si="14"/>
        <v>0</v>
      </c>
      <c r="K30" s="402" cm="1">
        <f t="array" ref="K30">HE_fact_qM*INDEX(HE_MortalityLapsesCY,$C30,4)</f>
        <v>1.2184140002530063E-4</v>
      </c>
      <c r="L30" s="403" cm="1">
        <f t="array" ref="L30">HE_fact_qF*INDEX(HE_MortalityLapsesCY,$C30,5)</f>
        <v>9.1516912245254999E-5</v>
      </c>
      <c r="M30" s="404" cm="1">
        <f t="array" ref="M30">INDEX(HE_MortalityLapsesCY,$C30,5+(2*$L$7-1))</f>
        <v>9.9241816320318768E-2</v>
      </c>
      <c r="N30" s="405" cm="1">
        <f t="array" ref="N30">INDEX(HE_MortalityLapsesCY,$C30,5+2*$L$7)</f>
        <v>9.9241816320318768E-2</v>
      </c>
      <c r="O30" s="391">
        <f t="shared" si="30"/>
        <v>0.99993907929998738</v>
      </c>
      <c r="P30" s="1143">
        <f t="shared" si="30"/>
        <v>0.99995424154387735</v>
      </c>
      <c r="Q30" s="356">
        <f t="shared" si="15"/>
        <v>2010</v>
      </c>
      <c r="R30" s="337"/>
      <c r="S30" s="338"/>
      <c r="T30" s="664">
        <f t="shared" si="16"/>
        <v>0</v>
      </c>
      <c r="U30" s="665">
        <f t="shared" si="17"/>
        <v>0</v>
      </c>
      <c r="V30" s="337"/>
      <c r="W30" s="338"/>
      <c r="X30" s="383">
        <f t="shared" si="31"/>
        <v>0</v>
      </c>
      <c r="Y30" s="386">
        <f t="shared" si="31"/>
        <v>0</v>
      </c>
      <c r="Z30" s="534">
        <f t="shared" si="18"/>
        <v>2010</v>
      </c>
      <c r="AA30" s="664">
        <f t="shared" si="32"/>
        <v>0</v>
      </c>
      <c r="AB30" s="665">
        <f t="shared" si="32"/>
        <v>0</v>
      </c>
      <c r="AC30" s="337"/>
      <c r="AD30" s="338"/>
      <c r="AE30" s="383">
        <f t="shared" si="33"/>
        <v>0</v>
      </c>
      <c r="AF30" s="386">
        <f t="shared" si="33"/>
        <v>0</v>
      </c>
      <c r="AG30" s="534">
        <f t="shared" si="19"/>
        <v>2009</v>
      </c>
      <c r="AH30" s="1271">
        <f t="shared" si="34"/>
        <v>0</v>
      </c>
      <c r="AI30" s="1276">
        <f t="shared" si="35"/>
        <v>0</v>
      </c>
      <c r="AJ30" s="337"/>
      <c r="AK30" s="338"/>
      <c r="AL30" s="1271">
        <v>0</v>
      </c>
      <c r="AM30" s="1276">
        <v>0</v>
      </c>
      <c r="AN30" s="414">
        <f t="shared" si="20"/>
        <v>1</v>
      </c>
      <c r="AO30" s="413">
        <f t="shared" si="3"/>
        <v>1</v>
      </c>
      <c r="AP30" s="337"/>
      <c r="AQ30" s="338"/>
      <c r="AR30" s="664">
        <f t="shared" si="45"/>
        <v>0</v>
      </c>
      <c r="AS30" s="679">
        <f t="shared" si="45"/>
        <v>0</v>
      </c>
      <c r="AT30" s="383">
        <f t="shared" si="36"/>
        <v>0</v>
      </c>
      <c r="AU30" s="386">
        <f t="shared" si="4"/>
        <v>0</v>
      </c>
      <c r="AV30" s="534">
        <f t="shared" si="22"/>
        <v>2008</v>
      </c>
      <c r="AW30" s="1271">
        <f t="shared" si="37"/>
        <v>0</v>
      </c>
      <c r="AX30" s="1276">
        <f t="shared" si="38"/>
        <v>0</v>
      </c>
      <c r="AY30" s="337"/>
      <c r="AZ30" s="338"/>
      <c r="BA30" s="1271">
        <v>0</v>
      </c>
      <c r="BB30" s="1276">
        <v>0</v>
      </c>
      <c r="BC30" s="414">
        <f t="shared" si="23"/>
        <v>1</v>
      </c>
      <c r="BD30" s="413">
        <f t="shared" si="7"/>
        <v>1</v>
      </c>
      <c r="BE30" s="337"/>
      <c r="BF30" s="338"/>
      <c r="BG30" s="664">
        <f t="shared" si="46"/>
        <v>0</v>
      </c>
      <c r="BH30" s="679">
        <f t="shared" si="46"/>
        <v>0</v>
      </c>
      <c r="BI30" s="383">
        <f t="shared" si="39"/>
        <v>0</v>
      </c>
      <c r="BJ30" s="386">
        <f t="shared" si="39"/>
        <v>0</v>
      </c>
      <c r="BK30" s="534">
        <f t="shared" si="25"/>
        <v>2007</v>
      </c>
      <c r="BL30" s="1271">
        <f t="shared" si="40"/>
        <v>0</v>
      </c>
      <c r="BM30" s="1276">
        <f t="shared" si="41"/>
        <v>0</v>
      </c>
      <c r="BN30" s="337"/>
      <c r="BO30" s="338"/>
      <c r="BP30" s="1271">
        <v>0</v>
      </c>
      <c r="BQ30" s="1276">
        <v>0</v>
      </c>
      <c r="BR30" s="414">
        <f t="shared" si="26"/>
        <v>1</v>
      </c>
      <c r="BS30" s="413">
        <f t="shared" si="11"/>
        <v>1</v>
      </c>
      <c r="BT30" s="337"/>
      <c r="BU30" s="338"/>
      <c r="BV30" s="664">
        <f t="shared" si="47"/>
        <v>0</v>
      </c>
      <c r="BW30" s="679">
        <f t="shared" si="47"/>
        <v>0</v>
      </c>
      <c r="BX30" s="383">
        <f t="shared" si="42"/>
        <v>0</v>
      </c>
      <c r="BY30" s="386">
        <f t="shared" si="42"/>
        <v>0</v>
      </c>
      <c r="BZ30" s="534">
        <f t="shared" si="28"/>
        <v>2010</v>
      </c>
      <c r="CA30" s="664">
        <f t="shared" si="48"/>
        <v>0</v>
      </c>
      <c r="CB30" s="665">
        <f t="shared" si="48"/>
        <v>0</v>
      </c>
      <c r="CC30" s="664">
        <f t="shared" si="49"/>
        <v>0</v>
      </c>
      <c r="CD30" s="665">
        <f t="shared" si="49"/>
        <v>0</v>
      </c>
      <c r="CE30" s="337"/>
      <c r="CF30" s="338"/>
      <c r="CG30" s="383">
        <f t="shared" si="43"/>
        <v>0</v>
      </c>
      <c r="CH30" s="386">
        <f t="shared" si="43"/>
        <v>0</v>
      </c>
    </row>
    <row r="31" spans="2:86" x14ac:dyDescent="0.2">
      <c r="B31" s="276">
        <v>16</v>
      </c>
      <c r="C31" s="320">
        <f t="shared" si="29"/>
        <v>17</v>
      </c>
      <c r="D31" s="534">
        <f t="shared" si="13"/>
        <v>2009</v>
      </c>
      <c r="E31" s="337"/>
      <c r="F31" s="338"/>
      <c r="G31" s="1271">
        <v>0</v>
      </c>
      <c r="H31" s="1289">
        <v>0</v>
      </c>
      <c r="I31" s="400">
        <f t="shared" si="44"/>
        <v>0</v>
      </c>
      <c r="J31" s="401">
        <f t="shared" si="14"/>
        <v>0</v>
      </c>
      <c r="K31" s="402" cm="1">
        <f t="array" ref="K31">HE_fact_qM*INDEX(HE_MortalityLapsesCY,$C31,4)</f>
        <v>1.6923911233646899E-4</v>
      </c>
      <c r="L31" s="403" cm="1">
        <f t="array" ref="L31">HE_fact_qF*INDEX(HE_MortalityLapsesCY,$C31,5)</f>
        <v>1.1474496106672563E-4</v>
      </c>
      <c r="M31" s="404" cm="1">
        <f t="array" ref="M31">INDEX(HE_MortalityLapsesCY,$C31,5+(2*$L$7-1))</f>
        <v>8.8354662874748191E-2</v>
      </c>
      <c r="N31" s="405" cm="1">
        <f t="array" ref="N31">INDEX(HE_MortalityLapsesCY,$C31,5+2*$L$7)</f>
        <v>8.8354662874748191E-2</v>
      </c>
      <c r="O31" s="391">
        <f t="shared" si="30"/>
        <v>0.99991538044383177</v>
      </c>
      <c r="P31" s="1143">
        <f t="shared" si="30"/>
        <v>0.99994262751946672</v>
      </c>
      <c r="Q31" s="356">
        <f t="shared" si="15"/>
        <v>2009</v>
      </c>
      <c r="R31" s="337"/>
      <c r="S31" s="338"/>
      <c r="T31" s="664">
        <f t="shared" si="16"/>
        <v>0</v>
      </c>
      <c r="U31" s="665">
        <f t="shared" si="17"/>
        <v>0</v>
      </c>
      <c r="V31" s="337"/>
      <c r="W31" s="338"/>
      <c r="X31" s="383">
        <f t="shared" si="31"/>
        <v>0</v>
      </c>
      <c r="Y31" s="386">
        <f t="shared" si="31"/>
        <v>0</v>
      </c>
      <c r="Z31" s="534">
        <f t="shared" si="18"/>
        <v>2009</v>
      </c>
      <c r="AA31" s="664">
        <f t="shared" si="32"/>
        <v>0</v>
      </c>
      <c r="AB31" s="665">
        <f t="shared" si="32"/>
        <v>0</v>
      </c>
      <c r="AC31" s="337"/>
      <c r="AD31" s="338"/>
      <c r="AE31" s="383">
        <f t="shared" si="33"/>
        <v>0</v>
      </c>
      <c r="AF31" s="386">
        <f t="shared" si="33"/>
        <v>0</v>
      </c>
      <c r="AG31" s="534">
        <f t="shared" si="19"/>
        <v>2008</v>
      </c>
      <c r="AH31" s="1271">
        <f t="shared" si="34"/>
        <v>0</v>
      </c>
      <c r="AI31" s="1276">
        <f t="shared" si="35"/>
        <v>0</v>
      </c>
      <c r="AJ31" s="337"/>
      <c r="AK31" s="338"/>
      <c r="AL31" s="1271">
        <v>0</v>
      </c>
      <c r="AM31" s="1276">
        <v>0</v>
      </c>
      <c r="AN31" s="414">
        <f t="shared" si="20"/>
        <v>1</v>
      </c>
      <c r="AO31" s="413">
        <f t="shared" si="3"/>
        <v>1</v>
      </c>
      <c r="AP31" s="337"/>
      <c r="AQ31" s="338"/>
      <c r="AR31" s="664">
        <f t="shared" si="45"/>
        <v>0</v>
      </c>
      <c r="AS31" s="679">
        <f t="shared" si="45"/>
        <v>0</v>
      </c>
      <c r="AT31" s="383">
        <f t="shared" si="36"/>
        <v>0</v>
      </c>
      <c r="AU31" s="386">
        <f t="shared" si="4"/>
        <v>0</v>
      </c>
      <c r="AV31" s="534">
        <f t="shared" si="22"/>
        <v>2007</v>
      </c>
      <c r="AW31" s="1271">
        <f t="shared" si="37"/>
        <v>0</v>
      </c>
      <c r="AX31" s="1276">
        <f t="shared" si="38"/>
        <v>0</v>
      </c>
      <c r="AY31" s="337"/>
      <c r="AZ31" s="338"/>
      <c r="BA31" s="1271">
        <v>0</v>
      </c>
      <c r="BB31" s="1276">
        <v>0</v>
      </c>
      <c r="BC31" s="414">
        <f t="shared" si="23"/>
        <v>1</v>
      </c>
      <c r="BD31" s="413">
        <f t="shared" si="7"/>
        <v>1</v>
      </c>
      <c r="BE31" s="337"/>
      <c r="BF31" s="338"/>
      <c r="BG31" s="664">
        <f t="shared" si="46"/>
        <v>0</v>
      </c>
      <c r="BH31" s="679">
        <f t="shared" si="46"/>
        <v>0</v>
      </c>
      <c r="BI31" s="383">
        <f t="shared" si="39"/>
        <v>0</v>
      </c>
      <c r="BJ31" s="386">
        <f t="shared" si="39"/>
        <v>0</v>
      </c>
      <c r="BK31" s="534">
        <f t="shared" si="25"/>
        <v>2006</v>
      </c>
      <c r="BL31" s="1271">
        <f t="shared" si="40"/>
        <v>0</v>
      </c>
      <c r="BM31" s="1276">
        <f t="shared" si="41"/>
        <v>0</v>
      </c>
      <c r="BN31" s="337"/>
      <c r="BO31" s="338"/>
      <c r="BP31" s="1271">
        <v>0</v>
      </c>
      <c r="BQ31" s="1276">
        <v>0</v>
      </c>
      <c r="BR31" s="414">
        <f t="shared" si="26"/>
        <v>1</v>
      </c>
      <c r="BS31" s="413">
        <f t="shared" si="11"/>
        <v>1</v>
      </c>
      <c r="BT31" s="337"/>
      <c r="BU31" s="338"/>
      <c r="BV31" s="664">
        <f t="shared" si="47"/>
        <v>0</v>
      </c>
      <c r="BW31" s="679">
        <f t="shared" si="47"/>
        <v>0</v>
      </c>
      <c r="BX31" s="383">
        <f t="shared" si="42"/>
        <v>0</v>
      </c>
      <c r="BY31" s="386">
        <f t="shared" si="42"/>
        <v>0</v>
      </c>
      <c r="BZ31" s="534">
        <f t="shared" si="28"/>
        <v>2009</v>
      </c>
      <c r="CA31" s="664">
        <f t="shared" si="48"/>
        <v>0</v>
      </c>
      <c r="CB31" s="665">
        <f t="shared" si="48"/>
        <v>0</v>
      </c>
      <c r="CC31" s="664">
        <f t="shared" si="49"/>
        <v>0</v>
      </c>
      <c r="CD31" s="665">
        <f t="shared" si="49"/>
        <v>0</v>
      </c>
      <c r="CE31" s="337"/>
      <c r="CF31" s="338"/>
      <c r="CG31" s="383">
        <f t="shared" si="43"/>
        <v>0</v>
      </c>
      <c r="CH31" s="386">
        <f t="shared" si="43"/>
        <v>0</v>
      </c>
    </row>
    <row r="32" spans="2:86" x14ac:dyDescent="0.2">
      <c r="B32" s="276">
        <v>17</v>
      </c>
      <c r="C32" s="320">
        <f t="shared" si="29"/>
        <v>18</v>
      </c>
      <c r="D32" s="534">
        <f t="shared" si="13"/>
        <v>2008</v>
      </c>
      <c r="E32" s="337"/>
      <c r="F32" s="338"/>
      <c r="G32" s="1271">
        <v>0</v>
      </c>
      <c r="H32" s="1289">
        <v>0</v>
      </c>
      <c r="I32" s="400">
        <f t="shared" si="44"/>
        <v>0</v>
      </c>
      <c r="J32" s="401">
        <f t="shared" si="14"/>
        <v>0</v>
      </c>
      <c r="K32" s="402" cm="1">
        <f t="array" ref="K32">HE_fact_qM*INDEX(HE_MortalityLapsesCY,$C32,4)</f>
        <v>2.2342065385035111E-4</v>
      </c>
      <c r="L32" s="403" cm="1">
        <f t="array" ref="L32">HE_fact_qF*INDEX(HE_MortalityLapsesCY,$C32,5)</f>
        <v>1.3155866024865378E-4</v>
      </c>
      <c r="M32" s="404" cm="1">
        <f t="array" ref="M32">INDEX(HE_MortalityLapsesCY,$C32,5+(2*$L$7-1))</f>
        <v>8.975206091498332E-2</v>
      </c>
      <c r="N32" s="405" cm="1">
        <f t="array" ref="N32">INDEX(HE_MortalityLapsesCY,$C32,5+2*$L$7)</f>
        <v>8.975206091498332E-2</v>
      </c>
      <c r="O32" s="391">
        <f t="shared" si="30"/>
        <v>0.99988828967307475</v>
      </c>
      <c r="P32" s="1143">
        <f t="shared" si="30"/>
        <v>0.9999342206698757</v>
      </c>
      <c r="Q32" s="356">
        <f t="shared" si="15"/>
        <v>2008</v>
      </c>
      <c r="R32" s="337"/>
      <c r="S32" s="338"/>
      <c r="T32" s="664">
        <f t="shared" si="16"/>
        <v>0</v>
      </c>
      <c r="U32" s="665">
        <f t="shared" si="17"/>
        <v>0</v>
      </c>
      <c r="V32" s="337"/>
      <c r="W32" s="338"/>
      <c r="X32" s="383">
        <f t="shared" si="31"/>
        <v>0</v>
      </c>
      <c r="Y32" s="386">
        <f t="shared" si="31"/>
        <v>0</v>
      </c>
      <c r="Z32" s="534">
        <f t="shared" si="18"/>
        <v>2008</v>
      </c>
      <c r="AA32" s="664">
        <f t="shared" si="32"/>
        <v>0</v>
      </c>
      <c r="AB32" s="665">
        <f t="shared" si="32"/>
        <v>0</v>
      </c>
      <c r="AC32" s="337"/>
      <c r="AD32" s="338"/>
      <c r="AE32" s="383">
        <f t="shared" si="33"/>
        <v>0</v>
      </c>
      <c r="AF32" s="386">
        <f t="shared" si="33"/>
        <v>0</v>
      </c>
      <c r="AG32" s="534">
        <f t="shared" si="19"/>
        <v>2007</v>
      </c>
      <c r="AH32" s="1271">
        <f t="shared" si="34"/>
        <v>0</v>
      </c>
      <c r="AI32" s="1276">
        <f t="shared" si="35"/>
        <v>0</v>
      </c>
      <c r="AJ32" s="337"/>
      <c r="AK32" s="338"/>
      <c r="AL32" s="1271">
        <v>0</v>
      </c>
      <c r="AM32" s="1276">
        <v>0</v>
      </c>
      <c r="AN32" s="414">
        <f t="shared" si="20"/>
        <v>1</v>
      </c>
      <c r="AO32" s="413">
        <f t="shared" si="3"/>
        <v>1</v>
      </c>
      <c r="AP32" s="337"/>
      <c r="AQ32" s="338"/>
      <c r="AR32" s="664">
        <f t="shared" si="45"/>
        <v>0</v>
      </c>
      <c r="AS32" s="679">
        <f t="shared" si="45"/>
        <v>0</v>
      </c>
      <c r="AT32" s="383">
        <f t="shared" si="36"/>
        <v>0</v>
      </c>
      <c r="AU32" s="386">
        <f t="shared" si="4"/>
        <v>0</v>
      </c>
      <c r="AV32" s="534">
        <f t="shared" si="22"/>
        <v>2006</v>
      </c>
      <c r="AW32" s="1271">
        <f t="shared" si="37"/>
        <v>0</v>
      </c>
      <c r="AX32" s="1276">
        <f t="shared" si="38"/>
        <v>0</v>
      </c>
      <c r="AY32" s="337"/>
      <c r="AZ32" s="338"/>
      <c r="BA32" s="1271">
        <v>0</v>
      </c>
      <c r="BB32" s="1276">
        <v>0</v>
      </c>
      <c r="BC32" s="414">
        <f t="shared" si="23"/>
        <v>1</v>
      </c>
      <c r="BD32" s="413">
        <f t="shared" si="7"/>
        <v>1</v>
      </c>
      <c r="BE32" s="337"/>
      <c r="BF32" s="338"/>
      <c r="BG32" s="664">
        <f t="shared" si="46"/>
        <v>0</v>
      </c>
      <c r="BH32" s="679">
        <f t="shared" si="46"/>
        <v>0</v>
      </c>
      <c r="BI32" s="383">
        <f t="shared" si="39"/>
        <v>0</v>
      </c>
      <c r="BJ32" s="386">
        <f t="shared" si="39"/>
        <v>0</v>
      </c>
      <c r="BK32" s="534">
        <f t="shared" si="25"/>
        <v>2005</v>
      </c>
      <c r="BL32" s="1271">
        <f t="shared" si="40"/>
        <v>0</v>
      </c>
      <c r="BM32" s="1276">
        <f t="shared" si="41"/>
        <v>0</v>
      </c>
      <c r="BN32" s="337"/>
      <c r="BO32" s="338"/>
      <c r="BP32" s="1271">
        <v>0</v>
      </c>
      <c r="BQ32" s="1276">
        <v>0</v>
      </c>
      <c r="BR32" s="414">
        <f t="shared" si="26"/>
        <v>1</v>
      </c>
      <c r="BS32" s="413">
        <f t="shared" si="11"/>
        <v>1</v>
      </c>
      <c r="BT32" s="337"/>
      <c r="BU32" s="338"/>
      <c r="BV32" s="664">
        <f t="shared" si="47"/>
        <v>0</v>
      </c>
      <c r="BW32" s="679">
        <f t="shared" si="47"/>
        <v>0</v>
      </c>
      <c r="BX32" s="383">
        <f t="shared" si="42"/>
        <v>0</v>
      </c>
      <c r="BY32" s="386">
        <f t="shared" si="42"/>
        <v>0</v>
      </c>
      <c r="BZ32" s="534">
        <f t="shared" si="28"/>
        <v>2008</v>
      </c>
      <c r="CA32" s="664">
        <f t="shared" si="48"/>
        <v>0</v>
      </c>
      <c r="CB32" s="665">
        <f t="shared" si="48"/>
        <v>0</v>
      </c>
      <c r="CC32" s="664">
        <f t="shared" si="49"/>
        <v>0</v>
      </c>
      <c r="CD32" s="665">
        <f t="shared" si="49"/>
        <v>0</v>
      </c>
      <c r="CE32" s="337"/>
      <c r="CF32" s="338"/>
      <c r="CG32" s="383">
        <f t="shared" si="43"/>
        <v>0</v>
      </c>
      <c r="CH32" s="386">
        <f t="shared" si="43"/>
        <v>0</v>
      </c>
    </row>
    <row r="33" spans="2:86" ht="13.5" thickBot="1" x14ac:dyDescent="0.25">
      <c r="B33" s="313">
        <v>18</v>
      </c>
      <c r="C33" s="321">
        <f t="shared" si="29"/>
        <v>19</v>
      </c>
      <c r="D33" s="535">
        <f t="shared" si="13"/>
        <v>2007</v>
      </c>
      <c r="E33" s="341"/>
      <c r="F33" s="340"/>
      <c r="G33" s="1277">
        <v>0</v>
      </c>
      <c r="H33" s="1290">
        <v>0</v>
      </c>
      <c r="I33" s="406">
        <f t="shared" si="44"/>
        <v>0</v>
      </c>
      <c r="J33" s="407">
        <f t="shared" si="14"/>
        <v>0</v>
      </c>
      <c r="K33" s="408" cm="1">
        <f t="array" ref="K33">HE_fact_qM*INDEX(HE_MortalityLapsesCY,$C33,4)</f>
        <v>2.7844777875045765E-4</v>
      </c>
      <c r="L33" s="409" cm="1">
        <f t="array" ref="L33">HE_fact_qF*INDEX(HE_MortalityLapsesCY,$C33,5)</f>
        <v>1.4022216618046247E-4</v>
      </c>
      <c r="M33" s="410" cm="1">
        <f t="array" ref="M33">INDEX(HE_MortalityLapsesCY,$C33,5+(2*$L$7-1))</f>
        <v>0.16824266447202674</v>
      </c>
      <c r="N33" s="411" cm="1">
        <f t="array" ref="N33">INDEX(HE_MortalityLapsesCY,$C33,5+2*$L$7)</f>
        <v>0.16824266447202674</v>
      </c>
      <c r="O33" s="392">
        <f t="shared" si="30"/>
        <v>0.99986077611062485</v>
      </c>
      <c r="P33" s="1144">
        <f t="shared" si="30"/>
        <v>0.9999298889169097</v>
      </c>
      <c r="Q33" s="313">
        <f t="shared" si="15"/>
        <v>2007</v>
      </c>
      <c r="R33" s="341"/>
      <c r="S33" s="340"/>
      <c r="T33" s="666">
        <f t="shared" si="16"/>
        <v>0</v>
      </c>
      <c r="U33" s="667">
        <f t="shared" si="17"/>
        <v>0</v>
      </c>
      <c r="V33" s="341"/>
      <c r="W33" s="340"/>
      <c r="X33" s="384">
        <f t="shared" si="31"/>
        <v>0</v>
      </c>
      <c r="Y33" s="387">
        <f t="shared" si="31"/>
        <v>0</v>
      </c>
      <c r="Z33" s="535">
        <f t="shared" si="18"/>
        <v>2007</v>
      </c>
      <c r="AA33" s="666">
        <f t="shared" si="32"/>
        <v>0</v>
      </c>
      <c r="AB33" s="667">
        <f t="shared" si="32"/>
        <v>0</v>
      </c>
      <c r="AC33" s="341"/>
      <c r="AD33" s="340"/>
      <c r="AE33" s="384">
        <f t="shared" si="33"/>
        <v>0</v>
      </c>
      <c r="AF33" s="387">
        <f t="shared" si="33"/>
        <v>0</v>
      </c>
      <c r="AG33" s="535">
        <f t="shared" si="19"/>
        <v>2006</v>
      </c>
      <c r="AH33" s="1277">
        <f t="shared" si="34"/>
        <v>0</v>
      </c>
      <c r="AI33" s="1278">
        <f t="shared" si="35"/>
        <v>0</v>
      </c>
      <c r="AJ33" s="341"/>
      <c r="AK33" s="340"/>
      <c r="AL33" s="1277">
        <v>0</v>
      </c>
      <c r="AM33" s="1278">
        <v>0</v>
      </c>
      <c r="AN33" s="415">
        <f t="shared" si="20"/>
        <v>1</v>
      </c>
      <c r="AO33" s="416">
        <f t="shared" si="3"/>
        <v>1</v>
      </c>
      <c r="AP33" s="341"/>
      <c r="AQ33" s="340"/>
      <c r="AR33" s="666">
        <f t="shared" si="45"/>
        <v>0</v>
      </c>
      <c r="AS33" s="680">
        <f t="shared" si="45"/>
        <v>0</v>
      </c>
      <c r="AT33" s="384">
        <f t="shared" si="36"/>
        <v>0</v>
      </c>
      <c r="AU33" s="387">
        <f t="shared" si="4"/>
        <v>0</v>
      </c>
      <c r="AV33" s="535">
        <f t="shared" si="22"/>
        <v>2005</v>
      </c>
      <c r="AW33" s="1277">
        <f t="shared" si="37"/>
        <v>0</v>
      </c>
      <c r="AX33" s="1278">
        <f t="shared" si="38"/>
        <v>0</v>
      </c>
      <c r="AY33" s="341"/>
      <c r="AZ33" s="340"/>
      <c r="BA33" s="1277">
        <v>0</v>
      </c>
      <c r="BB33" s="1278">
        <v>0</v>
      </c>
      <c r="BC33" s="415">
        <f t="shared" si="23"/>
        <v>1</v>
      </c>
      <c r="BD33" s="416">
        <f t="shared" si="7"/>
        <v>1</v>
      </c>
      <c r="BE33" s="341"/>
      <c r="BF33" s="340"/>
      <c r="BG33" s="666">
        <f t="shared" si="46"/>
        <v>0</v>
      </c>
      <c r="BH33" s="680">
        <f t="shared" si="46"/>
        <v>0</v>
      </c>
      <c r="BI33" s="384">
        <f t="shared" si="39"/>
        <v>0</v>
      </c>
      <c r="BJ33" s="387">
        <f t="shared" si="39"/>
        <v>0</v>
      </c>
      <c r="BK33" s="535">
        <f t="shared" si="25"/>
        <v>2004</v>
      </c>
      <c r="BL33" s="1277">
        <f t="shared" si="40"/>
        <v>0</v>
      </c>
      <c r="BM33" s="1278">
        <f t="shared" si="41"/>
        <v>0</v>
      </c>
      <c r="BN33" s="341"/>
      <c r="BO33" s="340"/>
      <c r="BP33" s="1277">
        <v>0</v>
      </c>
      <c r="BQ33" s="1278">
        <v>0</v>
      </c>
      <c r="BR33" s="415">
        <f t="shared" si="26"/>
        <v>1</v>
      </c>
      <c r="BS33" s="416">
        <f t="shared" si="11"/>
        <v>1</v>
      </c>
      <c r="BT33" s="341"/>
      <c r="BU33" s="340"/>
      <c r="BV33" s="666">
        <f t="shared" si="47"/>
        <v>0</v>
      </c>
      <c r="BW33" s="680">
        <f t="shared" si="47"/>
        <v>0</v>
      </c>
      <c r="BX33" s="384">
        <f t="shared" si="42"/>
        <v>0</v>
      </c>
      <c r="BY33" s="387">
        <f t="shared" si="42"/>
        <v>0</v>
      </c>
      <c r="BZ33" s="535">
        <f t="shared" si="28"/>
        <v>2007</v>
      </c>
      <c r="CA33" s="666">
        <f t="shared" si="48"/>
        <v>0</v>
      </c>
      <c r="CB33" s="667">
        <f t="shared" si="48"/>
        <v>0</v>
      </c>
      <c r="CC33" s="666">
        <f t="shared" si="49"/>
        <v>0</v>
      </c>
      <c r="CD33" s="667">
        <f t="shared" si="49"/>
        <v>0</v>
      </c>
      <c r="CE33" s="341"/>
      <c r="CF33" s="340"/>
      <c r="CG33" s="384">
        <f t="shared" si="43"/>
        <v>0</v>
      </c>
      <c r="CH33" s="387">
        <f t="shared" si="43"/>
        <v>0</v>
      </c>
    </row>
    <row r="34" spans="2:86" ht="13.5" thickTop="1" x14ac:dyDescent="0.2">
      <c r="B34" s="312">
        <v>19</v>
      </c>
      <c r="C34" s="322">
        <f t="shared" si="29"/>
        <v>20</v>
      </c>
      <c r="D34" s="533">
        <f t="shared" si="13"/>
        <v>2006</v>
      </c>
      <c r="E34" s="337"/>
      <c r="F34" s="339"/>
      <c r="G34" s="1271">
        <v>0</v>
      </c>
      <c r="H34" s="1289">
        <v>0</v>
      </c>
      <c r="I34" s="394">
        <f t="shared" si="44"/>
        <v>0</v>
      </c>
      <c r="J34" s="395">
        <f t="shared" si="14"/>
        <v>0</v>
      </c>
      <c r="K34" s="396" cm="1">
        <f t="array" ref="K34">HE_fact_qM*INDEX(HE_MortalityLapsesCY,$C34,4)</f>
        <v>3.2802629562132465E-4</v>
      </c>
      <c r="L34" s="397" cm="1">
        <f t="array" ref="L34">HE_fact_qF*INDEX(HE_MortalityLapsesCY,$C34,5)</f>
        <v>1.4277375089997844E-4</v>
      </c>
      <c r="M34" s="398" cm="1">
        <f t="array" ref="M34">INDEX(HE_MortalityLapsesCY,$C34,5+(2*$L$7-1))</f>
        <v>0.11507105536015613</v>
      </c>
      <c r="N34" s="399" cm="1">
        <f t="array" ref="N34">INDEX(HE_MortalityLapsesCY,$C34,5+2*$L$7)</f>
        <v>0.11507105536015613</v>
      </c>
      <c r="O34" s="390">
        <f t="shared" si="30"/>
        <v>0.99983598685218933</v>
      </c>
      <c r="P34" s="1142">
        <f t="shared" si="30"/>
        <v>0.99992861312454995</v>
      </c>
      <c r="Q34" s="1139">
        <f t="shared" si="15"/>
        <v>2006</v>
      </c>
      <c r="R34" s="337"/>
      <c r="S34" s="339"/>
      <c r="T34" s="668">
        <f t="shared" si="16"/>
        <v>0</v>
      </c>
      <c r="U34" s="669">
        <f t="shared" si="17"/>
        <v>0</v>
      </c>
      <c r="V34" s="337"/>
      <c r="W34" s="339"/>
      <c r="X34" s="382">
        <f t="shared" si="31"/>
        <v>0</v>
      </c>
      <c r="Y34" s="385">
        <f t="shared" si="31"/>
        <v>0</v>
      </c>
      <c r="Z34" s="533">
        <f t="shared" si="18"/>
        <v>2006</v>
      </c>
      <c r="AA34" s="668">
        <f t="shared" si="32"/>
        <v>0</v>
      </c>
      <c r="AB34" s="669">
        <f t="shared" si="32"/>
        <v>0</v>
      </c>
      <c r="AC34" s="337"/>
      <c r="AD34" s="339"/>
      <c r="AE34" s="382">
        <f t="shared" si="33"/>
        <v>0</v>
      </c>
      <c r="AF34" s="385">
        <f t="shared" si="33"/>
        <v>0</v>
      </c>
      <c r="AG34" s="533">
        <f t="shared" si="19"/>
        <v>2005</v>
      </c>
      <c r="AH34" s="1271">
        <f t="shared" si="34"/>
        <v>0</v>
      </c>
      <c r="AI34" s="1272">
        <f t="shared" si="35"/>
        <v>0</v>
      </c>
      <c r="AJ34" s="337"/>
      <c r="AK34" s="339"/>
      <c r="AL34" s="1271">
        <v>0</v>
      </c>
      <c r="AM34" s="1272">
        <v>0</v>
      </c>
      <c r="AN34" s="412">
        <f t="shared" si="20"/>
        <v>1</v>
      </c>
      <c r="AO34" s="417">
        <f t="shared" si="3"/>
        <v>1</v>
      </c>
      <c r="AP34" s="337"/>
      <c r="AQ34" s="339"/>
      <c r="AR34" s="668">
        <f t="shared" si="45"/>
        <v>0</v>
      </c>
      <c r="AS34" s="681">
        <f t="shared" si="45"/>
        <v>0</v>
      </c>
      <c r="AT34" s="382">
        <f t="shared" si="36"/>
        <v>0</v>
      </c>
      <c r="AU34" s="385">
        <f t="shared" si="4"/>
        <v>0</v>
      </c>
      <c r="AV34" s="533">
        <f t="shared" si="22"/>
        <v>2004</v>
      </c>
      <c r="AW34" s="1271">
        <f t="shared" si="37"/>
        <v>0</v>
      </c>
      <c r="AX34" s="1272">
        <f t="shared" si="38"/>
        <v>0</v>
      </c>
      <c r="AY34" s="337"/>
      <c r="AZ34" s="339"/>
      <c r="BA34" s="1271">
        <v>0</v>
      </c>
      <c r="BB34" s="1272">
        <v>0</v>
      </c>
      <c r="BC34" s="412">
        <f t="shared" si="23"/>
        <v>1</v>
      </c>
      <c r="BD34" s="417">
        <f t="shared" si="7"/>
        <v>1</v>
      </c>
      <c r="BE34" s="337"/>
      <c r="BF34" s="339"/>
      <c r="BG34" s="668">
        <f t="shared" si="46"/>
        <v>0</v>
      </c>
      <c r="BH34" s="681">
        <f t="shared" si="46"/>
        <v>0</v>
      </c>
      <c r="BI34" s="382">
        <f t="shared" si="39"/>
        <v>0</v>
      </c>
      <c r="BJ34" s="385">
        <f t="shared" si="39"/>
        <v>0</v>
      </c>
      <c r="BK34" s="533">
        <f t="shared" si="25"/>
        <v>2003</v>
      </c>
      <c r="BL34" s="1271">
        <f t="shared" si="40"/>
        <v>0</v>
      </c>
      <c r="BM34" s="1272">
        <f t="shared" si="41"/>
        <v>0</v>
      </c>
      <c r="BN34" s="337"/>
      <c r="BO34" s="339"/>
      <c r="BP34" s="1271">
        <v>0</v>
      </c>
      <c r="BQ34" s="1272">
        <v>0</v>
      </c>
      <c r="BR34" s="412">
        <f t="shared" si="26"/>
        <v>1</v>
      </c>
      <c r="BS34" s="417">
        <f t="shared" si="11"/>
        <v>1</v>
      </c>
      <c r="BT34" s="337"/>
      <c r="BU34" s="339"/>
      <c r="BV34" s="668">
        <f t="shared" si="47"/>
        <v>0</v>
      </c>
      <c r="BW34" s="681">
        <f t="shared" si="47"/>
        <v>0</v>
      </c>
      <c r="BX34" s="382">
        <f t="shared" si="42"/>
        <v>0</v>
      </c>
      <c r="BY34" s="385">
        <f t="shared" si="42"/>
        <v>0</v>
      </c>
      <c r="BZ34" s="533">
        <f t="shared" si="28"/>
        <v>2006</v>
      </c>
      <c r="CA34" s="668">
        <f t="shared" si="48"/>
        <v>0</v>
      </c>
      <c r="CB34" s="669">
        <f t="shared" si="48"/>
        <v>0</v>
      </c>
      <c r="CC34" s="668">
        <f t="shared" si="49"/>
        <v>0</v>
      </c>
      <c r="CD34" s="669">
        <f t="shared" si="49"/>
        <v>0</v>
      </c>
      <c r="CE34" s="337"/>
      <c r="CF34" s="339"/>
      <c r="CG34" s="382">
        <f t="shared" si="43"/>
        <v>0</v>
      </c>
      <c r="CH34" s="385">
        <f t="shared" si="43"/>
        <v>0</v>
      </c>
    </row>
    <row r="35" spans="2:86" x14ac:dyDescent="0.2">
      <c r="B35" s="276">
        <v>20</v>
      </c>
      <c r="C35" s="320">
        <f t="shared" si="29"/>
        <v>21</v>
      </c>
      <c r="D35" s="534">
        <f t="shared" si="13"/>
        <v>2005</v>
      </c>
      <c r="E35" s="337"/>
      <c r="F35" s="338"/>
      <c r="G35" s="1271">
        <v>0</v>
      </c>
      <c r="H35" s="1289">
        <v>0</v>
      </c>
      <c r="I35" s="400">
        <f t="shared" si="44"/>
        <v>0</v>
      </c>
      <c r="J35" s="401">
        <f t="shared" si="14"/>
        <v>0</v>
      </c>
      <c r="K35" s="402" cm="1">
        <f t="array" ref="K35">HE_fact_qM*INDEX(HE_MortalityLapsesCY,$C35,4)</f>
        <v>3.6518962431725802E-4</v>
      </c>
      <c r="L35" s="403" cm="1">
        <f t="array" ref="L35">HE_fact_qF*INDEX(HE_MortalityLapsesCY,$C35,5)</f>
        <v>1.4245419912863597E-4</v>
      </c>
      <c r="M35" s="404" cm="1">
        <f t="array" ref="M35">INDEX(HE_MortalityLapsesCY,$C35,5+(2*$L$7-1))</f>
        <v>0.11453774462005942</v>
      </c>
      <c r="N35" s="405" cm="1">
        <f t="array" ref="N35">INDEX(HE_MortalityLapsesCY,$C35,5+2*$L$7)</f>
        <v>0.11453774462005942</v>
      </c>
      <c r="O35" s="391">
        <f t="shared" si="30"/>
        <v>0.99981740518784135</v>
      </c>
      <c r="P35" s="1143">
        <f t="shared" si="30"/>
        <v>0.99992877290043569</v>
      </c>
      <c r="Q35" s="356">
        <f t="shared" si="15"/>
        <v>2005</v>
      </c>
      <c r="R35" s="337"/>
      <c r="S35" s="338"/>
      <c r="T35" s="664">
        <f t="shared" si="16"/>
        <v>0</v>
      </c>
      <c r="U35" s="665">
        <f t="shared" si="17"/>
        <v>0</v>
      </c>
      <c r="V35" s="337"/>
      <c r="W35" s="338"/>
      <c r="X35" s="383">
        <f t="shared" si="31"/>
        <v>0</v>
      </c>
      <c r="Y35" s="386">
        <f t="shared" si="31"/>
        <v>0</v>
      </c>
      <c r="Z35" s="534">
        <f t="shared" si="18"/>
        <v>2005</v>
      </c>
      <c r="AA35" s="664">
        <f t="shared" si="32"/>
        <v>0</v>
      </c>
      <c r="AB35" s="665">
        <f t="shared" si="32"/>
        <v>0</v>
      </c>
      <c r="AC35" s="337"/>
      <c r="AD35" s="338"/>
      <c r="AE35" s="383">
        <f t="shared" si="33"/>
        <v>0</v>
      </c>
      <c r="AF35" s="386">
        <f t="shared" si="33"/>
        <v>0</v>
      </c>
      <c r="AG35" s="534">
        <f t="shared" si="19"/>
        <v>2004</v>
      </c>
      <c r="AH35" s="1271">
        <f t="shared" si="34"/>
        <v>0</v>
      </c>
      <c r="AI35" s="1276">
        <f t="shared" si="35"/>
        <v>0</v>
      </c>
      <c r="AJ35" s="337"/>
      <c r="AK35" s="338"/>
      <c r="AL35" s="1271">
        <v>0</v>
      </c>
      <c r="AM35" s="1276">
        <v>0</v>
      </c>
      <c r="AN35" s="414">
        <f t="shared" si="20"/>
        <v>1</v>
      </c>
      <c r="AO35" s="413">
        <f t="shared" si="3"/>
        <v>1</v>
      </c>
      <c r="AP35" s="337"/>
      <c r="AQ35" s="338"/>
      <c r="AR35" s="664">
        <f t="shared" si="45"/>
        <v>0</v>
      </c>
      <c r="AS35" s="679">
        <f t="shared" si="45"/>
        <v>0</v>
      </c>
      <c r="AT35" s="383">
        <f t="shared" si="36"/>
        <v>0</v>
      </c>
      <c r="AU35" s="386">
        <f t="shared" si="4"/>
        <v>0</v>
      </c>
      <c r="AV35" s="534">
        <f t="shared" si="22"/>
        <v>2003</v>
      </c>
      <c r="AW35" s="1271">
        <f t="shared" si="37"/>
        <v>0</v>
      </c>
      <c r="AX35" s="1276">
        <f t="shared" si="38"/>
        <v>0</v>
      </c>
      <c r="AY35" s="337"/>
      <c r="AZ35" s="338"/>
      <c r="BA35" s="1271">
        <v>0</v>
      </c>
      <c r="BB35" s="1276">
        <v>0</v>
      </c>
      <c r="BC35" s="414">
        <f t="shared" si="23"/>
        <v>1</v>
      </c>
      <c r="BD35" s="413">
        <f t="shared" si="7"/>
        <v>1</v>
      </c>
      <c r="BE35" s="337"/>
      <c r="BF35" s="338"/>
      <c r="BG35" s="664">
        <f t="shared" si="46"/>
        <v>0</v>
      </c>
      <c r="BH35" s="679">
        <f t="shared" si="46"/>
        <v>0</v>
      </c>
      <c r="BI35" s="383">
        <f t="shared" si="39"/>
        <v>0</v>
      </c>
      <c r="BJ35" s="386">
        <f t="shared" si="39"/>
        <v>0</v>
      </c>
      <c r="BK35" s="534">
        <f t="shared" si="25"/>
        <v>2002</v>
      </c>
      <c r="BL35" s="1271">
        <f t="shared" si="40"/>
        <v>0</v>
      </c>
      <c r="BM35" s="1276">
        <f t="shared" si="41"/>
        <v>0</v>
      </c>
      <c r="BN35" s="337"/>
      <c r="BO35" s="338"/>
      <c r="BP35" s="1271">
        <v>0</v>
      </c>
      <c r="BQ35" s="1276">
        <v>0</v>
      </c>
      <c r="BR35" s="414">
        <f t="shared" si="26"/>
        <v>1</v>
      </c>
      <c r="BS35" s="413">
        <f t="shared" si="11"/>
        <v>1</v>
      </c>
      <c r="BT35" s="337"/>
      <c r="BU35" s="338"/>
      <c r="BV35" s="664">
        <f t="shared" si="47"/>
        <v>0</v>
      </c>
      <c r="BW35" s="679">
        <f t="shared" si="47"/>
        <v>0</v>
      </c>
      <c r="BX35" s="383">
        <f t="shared" si="42"/>
        <v>0</v>
      </c>
      <c r="BY35" s="386">
        <f t="shared" si="42"/>
        <v>0</v>
      </c>
      <c r="BZ35" s="534">
        <f t="shared" si="28"/>
        <v>2005</v>
      </c>
      <c r="CA35" s="664">
        <f t="shared" si="48"/>
        <v>0</v>
      </c>
      <c r="CB35" s="665">
        <f t="shared" si="48"/>
        <v>0</v>
      </c>
      <c r="CC35" s="664">
        <f t="shared" si="49"/>
        <v>0</v>
      </c>
      <c r="CD35" s="665">
        <f t="shared" si="49"/>
        <v>0</v>
      </c>
      <c r="CE35" s="337"/>
      <c r="CF35" s="338"/>
      <c r="CG35" s="383">
        <f t="shared" si="43"/>
        <v>0</v>
      </c>
      <c r="CH35" s="386">
        <f t="shared" si="43"/>
        <v>0</v>
      </c>
    </row>
    <row r="36" spans="2:86" x14ac:dyDescent="0.2">
      <c r="B36" s="276">
        <v>21</v>
      </c>
      <c r="C36" s="320">
        <f t="shared" si="29"/>
        <v>22</v>
      </c>
      <c r="D36" s="534">
        <f t="shared" si="13"/>
        <v>2004</v>
      </c>
      <c r="E36" s="337"/>
      <c r="F36" s="338"/>
      <c r="G36" s="1271">
        <v>0</v>
      </c>
      <c r="H36" s="1289">
        <v>0</v>
      </c>
      <c r="I36" s="400">
        <f t="shared" si="44"/>
        <v>0</v>
      </c>
      <c r="J36" s="401">
        <f t="shared" si="14"/>
        <v>0</v>
      </c>
      <c r="K36" s="402" cm="1">
        <f t="array" ref="K36">HE_fact_qM*INDEX(HE_MortalityLapsesCY,$C36,4)</f>
        <v>3.8623538380294935E-4</v>
      </c>
      <c r="L36" s="403" cm="1">
        <f t="array" ref="L36">HE_fact_qF*INDEX(HE_MortalityLapsesCY,$C36,5)</f>
        <v>1.4155435598801834E-4</v>
      </c>
      <c r="M36" s="404" cm="1">
        <f t="array" ref="M36">INDEX(HE_MortalityLapsesCY,$C36,5+(2*$L$7-1))</f>
        <v>9.0034212016047652E-2</v>
      </c>
      <c r="N36" s="405" cm="1">
        <f t="array" ref="N36">INDEX(HE_MortalityLapsesCY,$C36,5+2*$L$7)</f>
        <v>9.0034212016047652E-2</v>
      </c>
      <c r="O36" s="391">
        <f t="shared" si="30"/>
        <v>0.99980688230809855</v>
      </c>
      <c r="P36" s="1143">
        <f t="shared" si="30"/>
        <v>0.99992922282200603</v>
      </c>
      <c r="Q36" s="356">
        <f t="shared" si="15"/>
        <v>2004</v>
      </c>
      <c r="R36" s="337"/>
      <c r="S36" s="338"/>
      <c r="T36" s="664">
        <f t="shared" si="16"/>
        <v>0</v>
      </c>
      <c r="U36" s="665">
        <f t="shared" si="17"/>
        <v>0</v>
      </c>
      <c r="V36" s="337"/>
      <c r="W36" s="338"/>
      <c r="X36" s="383">
        <f t="shared" si="31"/>
        <v>0</v>
      </c>
      <c r="Y36" s="386">
        <f t="shared" si="31"/>
        <v>0</v>
      </c>
      <c r="Z36" s="534">
        <f t="shared" si="18"/>
        <v>2004</v>
      </c>
      <c r="AA36" s="664">
        <f t="shared" si="32"/>
        <v>0</v>
      </c>
      <c r="AB36" s="665">
        <f t="shared" si="32"/>
        <v>0</v>
      </c>
      <c r="AC36" s="337"/>
      <c r="AD36" s="338"/>
      <c r="AE36" s="383">
        <f t="shared" si="33"/>
        <v>0</v>
      </c>
      <c r="AF36" s="386">
        <f t="shared" si="33"/>
        <v>0</v>
      </c>
      <c r="AG36" s="534">
        <f t="shared" si="19"/>
        <v>2003</v>
      </c>
      <c r="AH36" s="1271">
        <f t="shared" si="34"/>
        <v>0</v>
      </c>
      <c r="AI36" s="1276">
        <f t="shared" si="35"/>
        <v>0</v>
      </c>
      <c r="AJ36" s="337"/>
      <c r="AK36" s="338"/>
      <c r="AL36" s="1271">
        <v>0</v>
      </c>
      <c r="AM36" s="1276">
        <v>0</v>
      </c>
      <c r="AN36" s="414">
        <f t="shared" si="20"/>
        <v>1</v>
      </c>
      <c r="AO36" s="413">
        <f t="shared" si="3"/>
        <v>1</v>
      </c>
      <c r="AP36" s="337"/>
      <c r="AQ36" s="338"/>
      <c r="AR36" s="664">
        <f t="shared" si="45"/>
        <v>0</v>
      </c>
      <c r="AS36" s="679">
        <f t="shared" si="45"/>
        <v>0</v>
      </c>
      <c r="AT36" s="383">
        <f t="shared" si="36"/>
        <v>0</v>
      </c>
      <c r="AU36" s="386">
        <f t="shared" si="4"/>
        <v>0</v>
      </c>
      <c r="AV36" s="534">
        <f t="shared" si="22"/>
        <v>2002</v>
      </c>
      <c r="AW36" s="1271">
        <f t="shared" si="37"/>
        <v>0</v>
      </c>
      <c r="AX36" s="1276">
        <f t="shared" si="38"/>
        <v>0</v>
      </c>
      <c r="AY36" s="337"/>
      <c r="AZ36" s="338"/>
      <c r="BA36" s="1271">
        <v>0</v>
      </c>
      <c r="BB36" s="1276">
        <v>0</v>
      </c>
      <c r="BC36" s="414">
        <f t="shared" si="23"/>
        <v>1</v>
      </c>
      <c r="BD36" s="413">
        <f t="shared" si="7"/>
        <v>1</v>
      </c>
      <c r="BE36" s="337"/>
      <c r="BF36" s="338"/>
      <c r="BG36" s="664">
        <f t="shared" si="46"/>
        <v>0</v>
      </c>
      <c r="BH36" s="679">
        <f t="shared" si="46"/>
        <v>0</v>
      </c>
      <c r="BI36" s="383">
        <f t="shared" si="39"/>
        <v>0</v>
      </c>
      <c r="BJ36" s="386">
        <f t="shared" si="39"/>
        <v>0</v>
      </c>
      <c r="BK36" s="534">
        <f t="shared" si="25"/>
        <v>2001</v>
      </c>
      <c r="BL36" s="1271">
        <f t="shared" si="40"/>
        <v>0</v>
      </c>
      <c r="BM36" s="1276">
        <f t="shared" si="41"/>
        <v>0</v>
      </c>
      <c r="BN36" s="337"/>
      <c r="BO36" s="338"/>
      <c r="BP36" s="1271">
        <v>0</v>
      </c>
      <c r="BQ36" s="1276">
        <v>0</v>
      </c>
      <c r="BR36" s="414">
        <f t="shared" si="26"/>
        <v>1</v>
      </c>
      <c r="BS36" s="413">
        <f t="shared" si="11"/>
        <v>1</v>
      </c>
      <c r="BT36" s="337"/>
      <c r="BU36" s="338"/>
      <c r="BV36" s="664">
        <f t="shared" si="47"/>
        <v>0</v>
      </c>
      <c r="BW36" s="679">
        <f t="shared" si="47"/>
        <v>0</v>
      </c>
      <c r="BX36" s="383">
        <f t="shared" si="42"/>
        <v>0</v>
      </c>
      <c r="BY36" s="386">
        <f t="shared" si="42"/>
        <v>0</v>
      </c>
      <c r="BZ36" s="534">
        <f t="shared" si="28"/>
        <v>2004</v>
      </c>
      <c r="CA36" s="664">
        <f t="shared" si="48"/>
        <v>0</v>
      </c>
      <c r="CB36" s="665">
        <f t="shared" si="48"/>
        <v>0</v>
      </c>
      <c r="CC36" s="664">
        <f t="shared" si="49"/>
        <v>0</v>
      </c>
      <c r="CD36" s="665">
        <f t="shared" si="49"/>
        <v>0</v>
      </c>
      <c r="CE36" s="337"/>
      <c r="CF36" s="338"/>
      <c r="CG36" s="383">
        <f t="shared" si="43"/>
        <v>0</v>
      </c>
      <c r="CH36" s="386">
        <f t="shared" si="43"/>
        <v>0</v>
      </c>
    </row>
    <row r="37" spans="2:86" x14ac:dyDescent="0.2">
      <c r="B37" s="276">
        <v>22</v>
      </c>
      <c r="C37" s="320">
        <f t="shared" si="29"/>
        <v>23</v>
      </c>
      <c r="D37" s="534">
        <f t="shared" si="13"/>
        <v>2003</v>
      </c>
      <c r="E37" s="337"/>
      <c r="F37" s="338"/>
      <c r="G37" s="1271">
        <v>0</v>
      </c>
      <c r="H37" s="1289">
        <v>0</v>
      </c>
      <c r="I37" s="400">
        <f t="shared" si="44"/>
        <v>0</v>
      </c>
      <c r="J37" s="401">
        <f t="shared" si="14"/>
        <v>0</v>
      </c>
      <c r="K37" s="402" cm="1">
        <f t="array" ref="K37">HE_fact_qM*INDEX(HE_MortalityLapsesCY,$C37,4)</f>
        <v>3.9343455068789813E-4</v>
      </c>
      <c r="L37" s="403" cm="1">
        <f t="array" ref="L37">HE_fact_qF*INDEX(HE_MortalityLapsesCY,$C37,5)</f>
        <v>1.4106107469539841E-4</v>
      </c>
      <c r="M37" s="404" cm="1">
        <f t="array" ref="M37">INDEX(HE_MortalityLapsesCY,$C37,5+(2*$L$7-1))</f>
        <v>8.703802213947362E-2</v>
      </c>
      <c r="N37" s="405" cm="1">
        <f t="array" ref="N37">INDEX(HE_MortalityLapsesCY,$C37,5+2*$L$7)</f>
        <v>8.703802213947362E-2</v>
      </c>
      <c r="O37" s="391">
        <f t="shared" si="30"/>
        <v>0.99980328272465613</v>
      </c>
      <c r="P37" s="1143">
        <f t="shared" si="30"/>
        <v>0.99992946946265238</v>
      </c>
      <c r="Q37" s="356">
        <f t="shared" si="15"/>
        <v>2003</v>
      </c>
      <c r="R37" s="337"/>
      <c r="S37" s="338"/>
      <c r="T37" s="664">
        <f t="shared" si="16"/>
        <v>0</v>
      </c>
      <c r="U37" s="665">
        <f t="shared" si="17"/>
        <v>0</v>
      </c>
      <c r="V37" s="337"/>
      <c r="W37" s="338"/>
      <c r="X37" s="383">
        <f t="shared" si="31"/>
        <v>0</v>
      </c>
      <c r="Y37" s="386">
        <f t="shared" si="31"/>
        <v>0</v>
      </c>
      <c r="Z37" s="534">
        <f t="shared" si="18"/>
        <v>2003</v>
      </c>
      <c r="AA37" s="664">
        <f t="shared" si="32"/>
        <v>0</v>
      </c>
      <c r="AB37" s="665">
        <f t="shared" si="32"/>
        <v>0</v>
      </c>
      <c r="AC37" s="337"/>
      <c r="AD37" s="338"/>
      <c r="AE37" s="383">
        <f t="shared" si="33"/>
        <v>0</v>
      </c>
      <c r="AF37" s="386">
        <f t="shared" si="33"/>
        <v>0</v>
      </c>
      <c r="AG37" s="534">
        <f t="shared" si="19"/>
        <v>2002</v>
      </c>
      <c r="AH37" s="1271">
        <f t="shared" si="34"/>
        <v>0</v>
      </c>
      <c r="AI37" s="1276">
        <f t="shared" si="35"/>
        <v>0</v>
      </c>
      <c r="AJ37" s="337"/>
      <c r="AK37" s="338"/>
      <c r="AL37" s="1271">
        <v>0</v>
      </c>
      <c r="AM37" s="1276">
        <v>0</v>
      </c>
      <c r="AN37" s="414">
        <f t="shared" si="20"/>
        <v>1</v>
      </c>
      <c r="AO37" s="413">
        <f t="shared" si="3"/>
        <v>1</v>
      </c>
      <c r="AP37" s="337"/>
      <c r="AQ37" s="338"/>
      <c r="AR37" s="664">
        <f t="shared" si="45"/>
        <v>0</v>
      </c>
      <c r="AS37" s="679">
        <f t="shared" si="45"/>
        <v>0</v>
      </c>
      <c r="AT37" s="383">
        <f t="shared" si="36"/>
        <v>0</v>
      </c>
      <c r="AU37" s="386">
        <f t="shared" si="4"/>
        <v>0</v>
      </c>
      <c r="AV37" s="534">
        <f t="shared" si="22"/>
        <v>2001</v>
      </c>
      <c r="AW37" s="1271">
        <f t="shared" si="37"/>
        <v>0</v>
      </c>
      <c r="AX37" s="1276">
        <f t="shared" si="38"/>
        <v>0</v>
      </c>
      <c r="AY37" s="337"/>
      <c r="AZ37" s="338"/>
      <c r="BA37" s="1271">
        <v>0</v>
      </c>
      <c r="BB37" s="1276">
        <v>0</v>
      </c>
      <c r="BC37" s="414">
        <f t="shared" si="23"/>
        <v>1</v>
      </c>
      <c r="BD37" s="413">
        <f t="shared" si="7"/>
        <v>1</v>
      </c>
      <c r="BE37" s="337"/>
      <c r="BF37" s="338"/>
      <c r="BG37" s="664">
        <f t="shared" si="46"/>
        <v>0</v>
      </c>
      <c r="BH37" s="679">
        <f t="shared" si="46"/>
        <v>0</v>
      </c>
      <c r="BI37" s="383">
        <f t="shared" si="39"/>
        <v>0</v>
      </c>
      <c r="BJ37" s="386">
        <f t="shared" si="39"/>
        <v>0</v>
      </c>
      <c r="BK37" s="534">
        <f t="shared" si="25"/>
        <v>2000</v>
      </c>
      <c r="BL37" s="1271">
        <f t="shared" si="40"/>
        <v>0</v>
      </c>
      <c r="BM37" s="1276">
        <f t="shared" si="41"/>
        <v>0</v>
      </c>
      <c r="BN37" s="337"/>
      <c r="BO37" s="338"/>
      <c r="BP37" s="1271">
        <v>0</v>
      </c>
      <c r="BQ37" s="1276">
        <v>0</v>
      </c>
      <c r="BR37" s="414">
        <f t="shared" si="26"/>
        <v>1</v>
      </c>
      <c r="BS37" s="413">
        <f t="shared" si="11"/>
        <v>1</v>
      </c>
      <c r="BT37" s="337"/>
      <c r="BU37" s="338"/>
      <c r="BV37" s="664">
        <f t="shared" si="47"/>
        <v>0</v>
      </c>
      <c r="BW37" s="679">
        <f t="shared" si="47"/>
        <v>0</v>
      </c>
      <c r="BX37" s="383">
        <f t="shared" si="42"/>
        <v>0</v>
      </c>
      <c r="BY37" s="386">
        <f t="shared" si="42"/>
        <v>0</v>
      </c>
      <c r="BZ37" s="534">
        <f t="shared" si="28"/>
        <v>2003</v>
      </c>
      <c r="CA37" s="664">
        <f t="shared" si="48"/>
        <v>0</v>
      </c>
      <c r="CB37" s="665">
        <f t="shared" si="48"/>
        <v>0</v>
      </c>
      <c r="CC37" s="664">
        <f t="shared" si="49"/>
        <v>0</v>
      </c>
      <c r="CD37" s="665">
        <f t="shared" si="49"/>
        <v>0</v>
      </c>
      <c r="CE37" s="337"/>
      <c r="CF37" s="338"/>
      <c r="CG37" s="383">
        <f t="shared" si="43"/>
        <v>0</v>
      </c>
      <c r="CH37" s="386">
        <f t="shared" si="43"/>
        <v>0</v>
      </c>
    </row>
    <row r="38" spans="2:86" x14ac:dyDescent="0.2">
      <c r="B38" s="276">
        <v>23</v>
      </c>
      <c r="C38" s="320">
        <f t="shared" si="29"/>
        <v>24</v>
      </c>
      <c r="D38" s="534">
        <f t="shared" si="13"/>
        <v>2002</v>
      </c>
      <c r="E38" s="337"/>
      <c r="F38" s="338"/>
      <c r="G38" s="1271">
        <v>0</v>
      </c>
      <c r="H38" s="1289">
        <v>0</v>
      </c>
      <c r="I38" s="400">
        <f t="shared" si="44"/>
        <v>0</v>
      </c>
      <c r="J38" s="401">
        <f t="shared" si="14"/>
        <v>0</v>
      </c>
      <c r="K38" s="402" cm="1">
        <f t="array" ref="K38">HE_fact_qM*INDEX(HE_MortalityLapsesCY,$C38,4)</f>
        <v>3.9241907852367435E-4</v>
      </c>
      <c r="L38" s="403" cm="1">
        <f t="array" ref="L38">HE_fact_qF*INDEX(HE_MortalityLapsesCY,$C38,5)</f>
        <v>1.415331484617658E-4</v>
      </c>
      <c r="M38" s="404" cm="1">
        <f t="array" ref="M38">INDEX(HE_MortalityLapsesCY,$C38,5+(2*$L$7-1))</f>
        <v>8.7659683188553911E-2</v>
      </c>
      <c r="N38" s="405" cm="1">
        <f t="array" ref="N38">INDEX(HE_MortalityLapsesCY,$C38,5+2*$L$7)</f>
        <v>8.7659683188553911E-2</v>
      </c>
      <c r="O38" s="391">
        <f t="shared" si="30"/>
        <v>0.9998037904607382</v>
      </c>
      <c r="P38" s="1143">
        <f t="shared" si="30"/>
        <v>0.99992923342576912</v>
      </c>
      <c r="Q38" s="356">
        <f t="shared" si="15"/>
        <v>2002</v>
      </c>
      <c r="R38" s="337"/>
      <c r="S38" s="338"/>
      <c r="T38" s="664">
        <f t="shared" si="16"/>
        <v>0</v>
      </c>
      <c r="U38" s="665">
        <f t="shared" si="17"/>
        <v>0</v>
      </c>
      <c r="V38" s="337"/>
      <c r="W38" s="338"/>
      <c r="X38" s="383">
        <f t="shared" si="31"/>
        <v>0</v>
      </c>
      <c r="Y38" s="386">
        <f t="shared" si="31"/>
        <v>0</v>
      </c>
      <c r="Z38" s="534">
        <f t="shared" si="18"/>
        <v>2002</v>
      </c>
      <c r="AA38" s="664">
        <f t="shared" si="32"/>
        <v>0</v>
      </c>
      <c r="AB38" s="665">
        <f t="shared" si="32"/>
        <v>0</v>
      </c>
      <c r="AC38" s="337"/>
      <c r="AD38" s="338"/>
      <c r="AE38" s="383">
        <f t="shared" si="33"/>
        <v>0</v>
      </c>
      <c r="AF38" s="386">
        <f t="shared" si="33"/>
        <v>0</v>
      </c>
      <c r="AG38" s="534">
        <f t="shared" si="19"/>
        <v>2001</v>
      </c>
      <c r="AH38" s="1271">
        <f t="shared" si="34"/>
        <v>0</v>
      </c>
      <c r="AI38" s="1276">
        <f t="shared" si="35"/>
        <v>0</v>
      </c>
      <c r="AJ38" s="337"/>
      <c r="AK38" s="338"/>
      <c r="AL38" s="1271">
        <v>0</v>
      </c>
      <c r="AM38" s="1276">
        <v>0</v>
      </c>
      <c r="AN38" s="414">
        <f t="shared" si="20"/>
        <v>1</v>
      </c>
      <c r="AO38" s="413">
        <f t="shared" si="3"/>
        <v>1</v>
      </c>
      <c r="AP38" s="337"/>
      <c r="AQ38" s="338"/>
      <c r="AR38" s="664">
        <f t="shared" si="45"/>
        <v>0</v>
      </c>
      <c r="AS38" s="679">
        <f t="shared" si="45"/>
        <v>0</v>
      </c>
      <c r="AT38" s="383">
        <f t="shared" si="36"/>
        <v>0</v>
      </c>
      <c r="AU38" s="386">
        <f t="shared" si="4"/>
        <v>0</v>
      </c>
      <c r="AV38" s="534">
        <f t="shared" si="22"/>
        <v>2000</v>
      </c>
      <c r="AW38" s="1271">
        <f t="shared" si="37"/>
        <v>0</v>
      </c>
      <c r="AX38" s="1276">
        <f t="shared" si="38"/>
        <v>0</v>
      </c>
      <c r="AY38" s="337"/>
      <c r="AZ38" s="338"/>
      <c r="BA38" s="1271">
        <v>0</v>
      </c>
      <c r="BB38" s="1276">
        <v>0</v>
      </c>
      <c r="BC38" s="414">
        <f t="shared" si="23"/>
        <v>1</v>
      </c>
      <c r="BD38" s="413">
        <f t="shared" si="7"/>
        <v>1</v>
      </c>
      <c r="BE38" s="337"/>
      <c r="BF38" s="338"/>
      <c r="BG38" s="664">
        <f t="shared" si="46"/>
        <v>0</v>
      </c>
      <c r="BH38" s="679">
        <f t="shared" si="46"/>
        <v>0</v>
      </c>
      <c r="BI38" s="383">
        <f t="shared" si="39"/>
        <v>0</v>
      </c>
      <c r="BJ38" s="386">
        <f t="shared" si="39"/>
        <v>0</v>
      </c>
      <c r="BK38" s="534">
        <f t="shared" si="25"/>
        <v>1999</v>
      </c>
      <c r="BL38" s="1271">
        <f t="shared" si="40"/>
        <v>0</v>
      </c>
      <c r="BM38" s="1276">
        <f t="shared" si="41"/>
        <v>0</v>
      </c>
      <c r="BN38" s="337"/>
      <c r="BO38" s="338"/>
      <c r="BP38" s="1271">
        <v>0</v>
      </c>
      <c r="BQ38" s="1276">
        <v>0</v>
      </c>
      <c r="BR38" s="414">
        <f t="shared" si="26"/>
        <v>1</v>
      </c>
      <c r="BS38" s="413">
        <f t="shared" si="11"/>
        <v>1</v>
      </c>
      <c r="BT38" s="337"/>
      <c r="BU38" s="338"/>
      <c r="BV38" s="664">
        <f t="shared" si="47"/>
        <v>0</v>
      </c>
      <c r="BW38" s="679">
        <f t="shared" si="47"/>
        <v>0</v>
      </c>
      <c r="BX38" s="383">
        <f t="shared" si="42"/>
        <v>0</v>
      </c>
      <c r="BY38" s="386">
        <f t="shared" si="42"/>
        <v>0</v>
      </c>
      <c r="BZ38" s="534">
        <f t="shared" si="28"/>
        <v>2002</v>
      </c>
      <c r="CA38" s="664">
        <f t="shared" si="48"/>
        <v>0</v>
      </c>
      <c r="CB38" s="665">
        <f t="shared" si="48"/>
        <v>0</v>
      </c>
      <c r="CC38" s="664">
        <f t="shared" si="49"/>
        <v>0</v>
      </c>
      <c r="CD38" s="665">
        <f t="shared" si="49"/>
        <v>0</v>
      </c>
      <c r="CE38" s="337"/>
      <c r="CF38" s="338"/>
      <c r="CG38" s="383">
        <f t="shared" si="43"/>
        <v>0</v>
      </c>
      <c r="CH38" s="386">
        <f t="shared" si="43"/>
        <v>0</v>
      </c>
    </row>
    <row r="39" spans="2:86" x14ac:dyDescent="0.2">
      <c r="B39" s="276">
        <v>24</v>
      </c>
      <c r="C39" s="320">
        <f t="shared" si="29"/>
        <v>25</v>
      </c>
      <c r="D39" s="534">
        <f t="shared" si="13"/>
        <v>2001</v>
      </c>
      <c r="E39" s="337"/>
      <c r="F39" s="338"/>
      <c r="G39" s="1271">
        <v>0</v>
      </c>
      <c r="H39" s="1289">
        <v>0</v>
      </c>
      <c r="I39" s="400">
        <f t="shared" si="44"/>
        <v>0</v>
      </c>
      <c r="J39" s="401">
        <f t="shared" si="14"/>
        <v>0</v>
      </c>
      <c r="K39" s="402" cm="1">
        <f t="array" ref="K39">HE_fact_qM*INDEX(HE_MortalityLapsesCY,$C39,4)</f>
        <v>3.8908501366273339E-4</v>
      </c>
      <c r="L39" s="403" cm="1">
        <f t="array" ref="L39">HE_fact_qF*INDEX(HE_MortalityLapsesCY,$C39,5)</f>
        <v>1.4323014787260028E-4</v>
      </c>
      <c r="M39" s="404" cm="1">
        <f t="array" ref="M39">INDEX(HE_MortalityLapsesCY,$C39,5+(2*$L$7-1))</f>
        <v>8.6622362012987009E-2</v>
      </c>
      <c r="N39" s="405" cm="1">
        <f t="array" ref="N39">INDEX(HE_MortalityLapsesCY,$C39,5+2*$L$7)</f>
        <v>8.6622362012987009E-2</v>
      </c>
      <c r="O39" s="391">
        <f t="shared" si="30"/>
        <v>0.99980545749316863</v>
      </c>
      <c r="P39" s="1143">
        <f t="shared" si="30"/>
        <v>0.99992838492606362</v>
      </c>
      <c r="Q39" s="356">
        <f t="shared" si="15"/>
        <v>2001</v>
      </c>
      <c r="R39" s="337"/>
      <c r="S39" s="338"/>
      <c r="T39" s="664">
        <f t="shared" si="16"/>
        <v>0</v>
      </c>
      <c r="U39" s="665">
        <f t="shared" si="17"/>
        <v>0</v>
      </c>
      <c r="V39" s="337"/>
      <c r="W39" s="338"/>
      <c r="X39" s="383">
        <f t="shared" si="31"/>
        <v>0</v>
      </c>
      <c r="Y39" s="386">
        <f t="shared" si="31"/>
        <v>0</v>
      </c>
      <c r="Z39" s="534">
        <f t="shared" si="18"/>
        <v>2001</v>
      </c>
      <c r="AA39" s="664">
        <f t="shared" si="32"/>
        <v>0</v>
      </c>
      <c r="AB39" s="665">
        <f t="shared" si="32"/>
        <v>0</v>
      </c>
      <c r="AC39" s="337"/>
      <c r="AD39" s="338"/>
      <c r="AE39" s="383">
        <f t="shared" si="33"/>
        <v>0</v>
      </c>
      <c r="AF39" s="386">
        <f t="shared" si="33"/>
        <v>0</v>
      </c>
      <c r="AG39" s="534">
        <f t="shared" si="19"/>
        <v>2000</v>
      </c>
      <c r="AH39" s="1271">
        <f t="shared" si="34"/>
        <v>0</v>
      </c>
      <c r="AI39" s="1276">
        <f t="shared" si="35"/>
        <v>0</v>
      </c>
      <c r="AJ39" s="337"/>
      <c r="AK39" s="338"/>
      <c r="AL39" s="1271">
        <v>0</v>
      </c>
      <c r="AM39" s="1276">
        <v>0</v>
      </c>
      <c r="AN39" s="414">
        <f t="shared" si="20"/>
        <v>1</v>
      </c>
      <c r="AO39" s="413">
        <f t="shared" si="3"/>
        <v>1</v>
      </c>
      <c r="AP39" s="337"/>
      <c r="AQ39" s="338"/>
      <c r="AR39" s="664">
        <f t="shared" si="45"/>
        <v>0</v>
      </c>
      <c r="AS39" s="679">
        <f t="shared" si="45"/>
        <v>0</v>
      </c>
      <c r="AT39" s="383">
        <f t="shared" si="36"/>
        <v>0</v>
      </c>
      <c r="AU39" s="386">
        <f t="shared" si="4"/>
        <v>0</v>
      </c>
      <c r="AV39" s="534">
        <f t="shared" si="22"/>
        <v>1999</v>
      </c>
      <c r="AW39" s="1271">
        <f t="shared" si="37"/>
        <v>0</v>
      </c>
      <c r="AX39" s="1276">
        <f t="shared" si="38"/>
        <v>0</v>
      </c>
      <c r="AY39" s="337"/>
      <c r="AZ39" s="338"/>
      <c r="BA39" s="1271">
        <v>0</v>
      </c>
      <c r="BB39" s="1276">
        <v>0</v>
      </c>
      <c r="BC39" s="414">
        <f t="shared" si="23"/>
        <v>1</v>
      </c>
      <c r="BD39" s="413">
        <f t="shared" si="7"/>
        <v>1</v>
      </c>
      <c r="BE39" s="337"/>
      <c r="BF39" s="338"/>
      <c r="BG39" s="664">
        <f t="shared" si="46"/>
        <v>0</v>
      </c>
      <c r="BH39" s="679">
        <f t="shared" si="46"/>
        <v>0</v>
      </c>
      <c r="BI39" s="383">
        <f t="shared" si="39"/>
        <v>0</v>
      </c>
      <c r="BJ39" s="386">
        <f t="shared" si="39"/>
        <v>0</v>
      </c>
      <c r="BK39" s="534">
        <f t="shared" si="25"/>
        <v>1998</v>
      </c>
      <c r="BL39" s="1271">
        <f t="shared" si="40"/>
        <v>0</v>
      </c>
      <c r="BM39" s="1276">
        <f t="shared" si="41"/>
        <v>0</v>
      </c>
      <c r="BN39" s="337"/>
      <c r="BO39" s="338"/>
      <c r="BP39" s="1271">
        <v>0</v>
      </c>
      <c r="BQ39" s="1276">
        <v>0</v>
      </c>
      <c r="BR39" s="414">
        <f t="shared" si="26"/>
        <v>1</v>
      </c>
      <c r="BS39" s="413">
        <f t="shared" si="11"/>
        <v>1</v>
      </c>
      <c r="BT39" s="337"/>
      <c r="BU39" s="338"/>
      <c r="BV39" s="664">
        <f t="shared" si="47"/>
        <v>0</v>
      </c>
      <c r="BW39" s="679">
        <f t="shared" si="47"/>
        <v>0</v>
      </c>
      <c r="BX39" s="383">
        <f t="shared" si="42"/>
        <v>0</v>
      </c>
      <c r="BY39" s="386">
        <f t="shared" si="42"/>
        <v>0</v>
      </c>
      <c r="BZ39" s="534">
        <f t="shared" si="28"/>
        <v>2001</v>
      </c>
      <c r="CA39" s="664">
        <f t="shared" si="48"/>
        <v>0</v>
      </c>
      <c r="CB39" s="665">
        <f t="shared" si="48"/>
        <v>0</v>
      </c>
      <c r="CC39" s="664">
        <f t="shared" si="49"/>
        <v>0</v>
      </c>
      <c r="CD39" s="665">
        <f t="shared" si="49"/>
        <v>0</v>
      </c>
      <c r="CE39" s="337"/>
      <c r="CF39" s="338"/>
      <c r="CG39" s="383">
        <f t="shared" si="43"/>
        <v>0</v>
      </c>
      <c r="CH39" s="386">
        <f t="shared" si="43"/>
        <v>0</v>
      </c>
    </row>
    <row r="40" spans="2:86" ht="13.5" thickBot="1" x14ac:dyDescent="0.25">
      <c r="B40" s="313">
        <v>25</v>
      </c>
      <c r="C40" s="321">
        <f t="shared" si="29"/>
        <v>26</v>
      </c>
      <c r="D40" s="535">
        <f t="shared" si="13"/>
        <v>2000</v>
      </c>
      <c r="E40" s="341"/>
      <c r="F40" s="340"/>
      <c r="G40" s="1277">
        <v>0</v>
      </c>
      <c r="H40" s="1290">
        <v>0</v>
      </c>
      <c r="I40" s="406">
        <f t="shared" si="44"/>
        <v>0</v>
      </c>
      <c r="J40" s="407">
        <f t="shared" si="14"/>
        <v>0</v>
      </c>
      <c r="K40" s="408" cm="1">
        <f t="array" ref="K40">HE_fact_qM*INDEX(HE_MortalityLapsesCY,$C40,4)</f>
        <v>3.8660609510017318E-4</v>
      </c>
      <c r="L40" s="409" cm="1">
        <f t="array" ref="L40">HE_fact_qF*INDEX(HE_MortalityLapsesCY,$C40,5)</f>
        <v>1.4612363143529349E-4</v>
      </c>
      <c r="M40" s="410" cm="1">
        <f t="array" ref="M40">INDEX(HE_MortalityLapsesCY,$C40,5+(2*$L$7-1))</f>
        <v>0.16490632001378733</v>
      </c>
      <c r="N40" s="411" cm="1">
        <f t="array" ref="N40">INDEX(HE_MortalityLapsesCY,$C40,5+2*$L$7)</f>
        <v>0.16490632001378733</v>
      </c>
      <c r="O40" s="392">
        <f t="shared" si="30"/>
        <v>0.99980669695244995</v>
      </c>
      <c r="P40" s="1144">
        <f t="shared" si="30"/>
        <v>0.99992693818428235</v>
      </c>
      <c r="Q40" s="313">
        <f t="shared" si="15"/>
        <v>2000</v>
      </c>
      <c r="R40" s="341"/>
      <c r="S40" s="340"/>
      <c r="T40" s="666">
        <f t="shared" si="16"/>
        <v>0</v>
      </c>
      <c r="U40" s="667">
        <f t="shared" si="17"/>
        <v>0</v>
      </c>
      <c r="V40" s="341"/>
      <c r="W40" s="340"/>
      <c r="X40" s="384">
        <f t="shared" si="31"/>
        <v>0</v>
      </c>
      <c r="Y40" s="387">
        <f t="shared" si="31"/>
        <v>0</v>
      </c>
      <c r="Z40" s="535">
        <f t="shared" si="18"/>
        <v>2000</v>
      </c>
      <c r="AA40" s="666">
        <f t="shared" si="32"/>
        <v>0</v>
      </c>
      <c r="AB40" s="667">
        <f t="shared" si="32"/>
        <v>0</v>
      </c>
      <c r="AC40" s="341"/>
      <c r="AD40" s="340"/>
      <c r="AE40" s="384">
        <f t="shared" si="33"/>
        <v>0</v>
      </c>
      <c r="AF40" s="387">
        <f t="shared" si="33"/>
        <v>0</v>
      </c>
      <c r="AG40" s="535">
        <f t="shared" si="19"/>
        <v>1999</v>
      </c>
      <c r="AH40" s="1277">
        <f t="shared" si="34"/>
        <v>0</v>
      </c>
      <c r="AI40" s="1278">
        <f t="shared" si="35"/>
        <v>0</v>
      </c>
      <c r="AJ40" s="341"/>
      <c r="AK40" s="340"/>
      <c r="AL40" s="1277">
        <v>0</v>
      </c>
      <c r="AM40" s="1278">
        <v>0</v>
      </c>
      <c r="AN40" s="415">
        <f t="shared" si="20"/>
        <v>1</v>
      </c>
      <c r="AO40" s="416">
        <f t="shared" si="3"/>
        <v>1</v>
      </c>
      <c r="AP40" s="341"/>
      <c r="AQ40" s="340"/>
      <c r="AR40" s="666">
        <f t="shared" si="45"/>
        <v>0</v>
      </c>
      <c r="AS40" s="680">
        <f t="shared" si="45"/>
        <v>0</v>
      </c>
      <c r="AT40" s="384">
        <f t="shared" si="36"/>
        <v>0</v>
      </c>
      <c r="AU40" s="387">
        <f t="shared" si="4"/>
        <v>0</v>
      </c>
      <c r="AV40" s="535">
        <f t="shared" si="22"/>
        <v>1998</v>
      </c>
      <c r="AW40" s="1277">
        <f t="shared" si="37"/>
        <v>0</v>
      </c>
      <c r="AX40" s="1278">
        <f t="shared" si="38"/>
        <v>0</v>
      </c>
      <c r="AY40" s="341"/>
      <c r="AZ40" s="340"/>
      <c r="BA40" s="1277">
        <v>0</v>
      </c>
      <c r="BB40" s="1278">
        <v>0</v>
      </c>
      <c r="BC40" s="415">
        <f t="shared" si="23"/>
        <v>1</v>
      </c>
      <c r="BD40" s="416">
        <f t="shared" si="7"/>
        <v>1</v>
      </c>
      <c r="BE40" s="341"/>
      <c r="BF40" s="340"/>
      <c r="BG40" s="666">
        <f t="shared" si="46"/>
        <v>0</v>
      </c>
      <c r="BH40" s="680">
        <f t="shared" si="46"/>
        <v>0</v>
      </c>
      <c r="BI40" s="384">
        <f t="shared" si="39"/>
        <v>0</v>
      </c>
      <c r="BJ40" s="387">
        <f t="shared" si="39"/>
        <v>0</v>
      </c>
      <c r="BK40" s="535">
        <f t="shared" si="25"/>
        <v>1997</v>
      </c>
      <c r="BL40" s="1277">
        <f t="shared" si="40"/>
        <v>0</v>
      </c>
      <c r="BM40" s="1278">
        <f t="shared" si="41"/>
        <v>0</v>
      </c>
      <c r="BN40" s="341"/>
      <c r="BO40" s="340"/>
      <c r="BP40" s="1277">
        <v>0</v>
      </c>
      <c r="BQ40" s="1278">
        <v>0</v>
      </c>
      <c r="BR40" s="415">
        <f t="shared" si="26"/>
        <v>1</v>
      </c>
      <c r="BS40" s="416">
        <f t="shared" si="11"/>
        <v>1</v>
      </c>
      <c r="BT40" s="341"/>
      <c r="BU40" s="340"/>
      <c r="BV40" s="666">
        <f t="shared" si="47"/>
        <v>0</v>
      </c>
      <c r="BW40" s="680">
        <f t="shared" si="47"/>
        <v>0</v>
      </c>
      <c r="BX40" s="384">
        <f t="shared" si="42"/>
        <v>0</v>
      </c>
      <c r="BY40" s="387">
        <f t="shared" si="42"/>
        <v>0</v>
      </c>
      <c r="BZ40" s="535">
        <f t="shared" si="28"/>
        <v>2000</v>
      </c>
      <c r="CA40" s="666">
        <f t="shared" si="48"/>
        <v>0</v>
      </c>
      <c r="CB40" s="667">
        <f t="shared" si="48"/>
        <v>0</v>
      </c>
      <c r="CC40" s="666">
        <f t="shared" si="49"/>
        <v>0</v>
      </c>
      <c r="CD40" s="667">
        <f t="shared" si="49"/>
        <v>0</v>
      </c>
      <c r="CE40" s="341"/>
      <c r="CF40" s="340"/>
      <c r="CG40" s="384">
        <f t="shared" si="43"/>
        <v>0</v>
      </c>
      <c r="CH40" s="387">
        <f t="shared" si="43"/>
        <v>0</v>
      </c>
    </row>
    <row r="41" spans="2:86" ht="13.5" thickTop="1" x14ac:dyDescent="0.2">
      <c r="B41" s="312">
        <v>26</v>
      </c>
      <c r="C41" s="322">
        <f t="shared" si="29"/>
        <v>27</v>
      </c>
      <c r="D41" s="533">
        <f t="shared" si="13"/>
        <v>1999</v>
      </c>
      <c r="E41" s="337"/>
      <c r="F41" s="338"/>
      <c r="G41" s="1271">
        <v>0</v>
      </c>
      <c r="H41" s="1289">
        <v>0</v>
      </c>
      <c r="I41" s="394">
        <f t="shared" si="44"/>
        <v>0</v>
      </c>
      <c r="J41" s="395">
        <f t="shared" si="14"/>
        <v>0</v>
      </c>
      <c r="K41" s="396" cm="1">
        <f t="array" ref="K41">HE_fact_qM*INDEX(HE_MortalityLapsesCY,$C41,4)</f>
        <v>3.8551567505001216E-4</v>
      </c>
      <c r="L41" s="397" cm="1">
        <f t="array" ref="L41">HE_fact_qF*INDEX(HE_MortalityLapsesCY,$C41,5)</f>
        <v>1.5011038811133556E-4</v>
      </c>
      <c r="M41" s="398" cm="1">
        <f t="array" ref="M41">INDEX(HE_MortalityLapsesCY,$C41,5+(2*$L$7-1))</f>
        <v>0.10878930939297785</v>
      </c>
      <c r="N41" s="399" cm="1">
        <f t="array" ref="N41">INDEX(HE_MortalityLapsesCY,$C41,5+2*$L$7)</f>
        <v>0.10878930939297785</v>
      </c>
      <c r="O41" s="390">
        <f t="shared" si="30"/>
        <v>0.99980724216247507</v>
      </c>
      <c r="P41" s="1142">
        <f t="shared" si="30"/>
        <v>0.9999249448059444</v>
      </c>
      <c r="Q41" s="1139">
        <f t="shared" si="15"/>
        <v>1999</v>
      </c>
      <c r="R41" s="337"/>
      <c r="S41" s="338"/>
      <c r="T41" s="668">
        <f t="shared" si="16"/>
        <v>0</v>
      </c>
      <c r="U41" s="669">
        <f t="shared" si="17"/>
        <v>0</v>
      </c>
      <c r="V41" s="337"/>
      <c r="W41" s="338"/>
      <c r="X41" s="382">
        <f t="shared" si="31"/>
        <v>0</v>
      </c>
      <c r="Y41" s="385">
        <f t="shared" si="31"/>
        <v>0</v>
      </c>
      <c r="Z41" s="533">
        <f t="shared" si="18"/>
        <v>1999</v>
      </c>
      <c r="AA41" s="668">
        <f t="shared" si="32"/>
        <v>0</v>
      </c>
      <c r="AB41" s="669">
        <f t="shared" si="32"/>
        <v>0</v>
      </c>
      <c r="AC41" s="337"/>
      <c r="AD41" s="338"/>
      <c r="AE41" s="382">
        <f t="shared" si="33"/>
        <v>0</v>
      </c>
      <c r="AF41" s="385">
        <f t="shared" si="33"/>
        <v>0</v>
      </c>
      <c r="AG41" s="533">
        <f t="shared" si="19"/>
        <v>1998</v>
      </c>
      <c r="AH41" s="1271">
        <f t="shared" si="34"/>
        <v>0</v>
      </c>
      <c r="AI41" s="1276">
        <f t="shared" si="35"/>
        <v>0</v>
      </c>
      <c r="AJ41" s="337"/>
      <c r="AK41" s="338"/>
      <c r="AL41" s="1271">
        <v>0</v>
      </c>
      <c r="AM41" s="1276">
        <v>0</v>
      </c>
      <c r="AN41" s="412">
        <f t="shared" si="20"/>
        <v>1</v>
      </c>
      <c r="AO41" s="417">
        <f t="shared" si="3"/>
        <v>1</v>
      </c>
      <c r="AP41" s="337"/>
      <c r="AQ41" s="338"/>
      <c r="AR41" s="668">
        <f t="shared" si="45"/>
        <v>0</v>
      </c>
      <c r="AS41" s="681">
        <f t="shared" si="45"/>
        <v>0</v>
      </c>
      <c r="AT41" s="382">
        <f t="shared" si="36"/>
        <v>0</v>
      </c>
      <c r="AU41" s="385">
        <f t="shared" si="4"/>
        <v>0</v>
      </c>
      <c r="AV41" s="533">
        <f t="shared" si="22"/>
        <v>1997</v>
      </c>
      <c r="AW41" s="1271">
        <f t="shared" si="37"/>
        <v>0</v>
      </c>
      <c r="AX41" s="1276">
        <f t="shared" si="38"/>
        <v>0</v>
      </c>
      <c r="AY41" s="337"/>
      <c r="AZ41" s="338"/>
      <c r="BA41" s="1271">
        <v>0</v>
      </c>
      <c r="BB41" s="1276">
        <v>0</v>
      </c>
      <c r="BC41" s="412">
        <f t="shared" si="23"/>
        <v>1</v>
      </c>
      <c r="BD41" s="417">
        <f t="shared" si="7"/>
        <v>1</v>
      </c>
      <c r="BE41" s="337"/>
      <c r="BF41" s="338"/>
      <c r="BG41" s="668">
        <f t="shared" si="46"/>
        <v>0</v>
      </c>
      <c r="BH41" s="681">
        <f t="shared" si="46"/>
        <v>0</v>
      </c>
      <c r="BI41" s="382">
        <f t="shared" si="39"/>
        <v>0</v>
      </c>
      <c r="BJ41" s="385">
        <f t="shared" si="39"/>
        <v>0</v>
      </c>
      <c r="BK41" s="533">
        <f t="shared" si="25"/>
        <v>1996</v>
      </c>
      <c r="BL41" s="1271">
        <f t="shared" si="40"/>
        <v>0</v>
      </c>
      <c r="BM41" s="1276">
        <f t="shared" si="41"/>
        <v>0</v>
      </c>
      <c r="BN41" s="337"/>
      <c r="BO41" s="338"/>
      <c r="BP41" s="1271">
        <v>0</v>
      </c>
      <c r="BQ41" s="1276">
        <v>0</v>
      </c>
      <c r="BR41" s="412">
        <f t="shared" si="26"/>
        <v>1</v>
      </c>
      <c r="BS41" s="417">
        <f t="shared" si="11"/>
        <v>1</v>
      </c>
      <c r="BT41" s="337"/>
      <c r="BU41" s="338"/>
      <c r="BV41" s="668">
        <f t="shared" si="47"/>
        <v>0</v>
      </c>
      <c r="BW41" s="681">
        <f t="shared" si="47"/>
        <v>0</v>
      </c>
      <c r="BX41" s="382">
        <f t="shared" si="42"/>
        <v>0</v>
      </c>
      <c r="BY41" s="385">
        <f t="shared" si="42"/>
        <v>0</v>
      </c>
      <c r="BZ41" s="533">
        <f t="shared" si="28"/>
        <v>1999</v>
      </c>
      <c r="CA41" s="668">
        <f t="shared" si="48"/>
        <v>0</v>
      </c>
      <c r="CB41" s="669">
        <f t="shared" si="48"/>
        <v>0</v>
      </c>
      <c r="CC41" s="668">
        <f t="shared" si="49"/>
        <v>0</v>
      </c>
      <c r="CD41" s="669">
        <f t="shared" si="49"/>
        <v>0</v>
      </c>
      <c r="CE41" s="337"/>
      <c r="CF41" s="338"/>
      <c r="CG41" s="382">
        <f t="shared" si="43"/>
        <v>0</v>
      </c>
      <c r="CH41" s="385">
        <f t="shared" si="43"/>
        <v>0</v>
      </c>
    </row>
    <row r="42" spans="2:86" x14ac:dyDescent="0.2">
      <c r="B42" s="276">
        <v>27</v>
      </c>
      <c r="C42" s="320">
        <f t="shared" si="29"/>
        <v>28</v>
      </c>
      <c r="D42" s="534">
        <f t="shared" si="13"/>
        <v>1998</v>
      </c>
      <c r="E42" s="337"/>
      <c r="F42" s="338"/>
      <c r="G42" s="1271">
        <v>0</v>
      </c>
      <c r="H42" s="1289">
        <v>0</v>
      </c>
      <c r="I42" s="400">
        <f t="shared" si="44"/>
        <v>0</v>
      </c>
      <c r="J42" s="401">
        <f t="shared" si="14"/>
        <v>0</v>
      </c>
      <c r="K42" s="402" cm="1">
        <f t="array" ref="K42">HE_fact_qM*INDEX(HE_MortalityLapsesCY,$C42,4)</f>
        <v>3.859277809007444E-4</v>
      </c>
      <c r="L42" s="403" cm="1">
        <f t="array" ref="L42">HE_fact_qF*INDEX(HE_MortalityLapsesCY,$C42,5)</f>
        <v>1.5519624930028969E-4</v>
      </c>
      <c r="M42" s="404" cm="1">
        <f t="array" ref="M42">INDEX(HE_MortalityLapsesCY,$C42,5+(2*$L$7-1))</f>
        <v>0.10242713411471839</v>
      </c>
      <c r="N42" s="405" cm="1">
        <f t="array" ref="N42">INDEX(HE_MortalityLapsesCY,$C42,5+2*$L$7)</f>
        <v>0.10242713411471839</v>
      </c>
      <c r="O42" s="391">
        <f t="shared" si="30"/>
        <v>0.99980703610954968</v>
      </c>
      <c r="P42" s="1143">
        <f t="shared" si="30"/>
        <v>0.99992240187534986</v>
      </c>
      <c r="Q42" s="356">
        <f t="shared" si="15"/>
        <v>1998</v>
      </c>
      <c r="R42" s="337"/>
      <c r="S42" s="338"/>
      <c r="T42" s="664">
        <f t="shared" si="16"/>
        <v>0</v>
      </c>
      <c r="U42" s="665">
        <f t="shared" si="17"/>
        <v>0</v>
      </c>
      <c r="V42" s="337"/>
      <c r="W42" s="338"/>
      <c r="X42" s="383">
        <f t="shared" si="31"/>
        <v>0</v>
      </c>
      <c r="Y42" s="386">
        <f t="shared" si="31"/>
        <v>0</v>
      </c>
      <c r="Z42" s="534">
        <f t="shared" si="18"/>
        <v>1998</v>
      </c>
      <c r="AA42" s="664">
        <f t="shared" si="32"/>
        <v>0</v>
      </c>
      <c r="AB42" s="665">
        <f t="shared" si="32"/>
        <v>0</v>
      </c>
      <c r="AC42" s="337"/>
      <c r="AD42" s="338"/>
      <c r="AE42" s="383">
        <f t="shared" si="33"/>
        <v>0</v>
      </c>
      <c r="AF42" s="386">
        <f t="shared" si="33"/>
        <v>0</v>
      </c>
      <c r="AG42" s="534">
        <f t="shared" si="19"/>
        <v>1997</v>
      </c>
      <c r="AH42" s="1271">
        <f t="shared" si="34"/>
        <v>0</v>
      </c>
      <c r="AI42" s="1276">
        <f t="shared" si="35"/>
        <v>0</v>
      </c>
      <c r="AJ42" s="337"/>
      <c r="AK42" s="338"/>
      <c r="AL42" s="1271">
        <v>0</v>
      </c>
      <c r="AM42" s="1276">
        <v>0</v>
      </c>
      <c r="AN42" s="414">
        <f t="shared" si="20"/>
        <v>1</v>
      </c>
      <c r="AO42" s="413">
        <f t="shared" si="3"/>
        <v>1</v>
      </c>
      <c r="AP42" s="337"/>
      <c r="AQ42" s="338"/>
      <c r="AR42" s="664">
        <f t="shared" si="45"/>
        <v>0</v>
      </c>
      <c r="AS42" s="679">
        <f t="shared" si="45"/>
        <v>0</v>
      </c>
      <c r="AT42" s="383">
        <f t="shared" si="36"/>
        <v>0</v>
      </c>
      <c r="AU42" s="386">
        <f t="shared" si="4"/>
        <v>0</v>
      </c>
      <c r="AV42" s="534">
        <f t="shared" si="22"/>
        <v>1996</v>
      </c>
      <c r="AW42" s="1271">
        <f t="shared" si="37"/>
        <v>0</v>
      </c>
      <c r="AX42" s="1276">
        <f t="shared" si="38"/>
        <v>0</v>
      </c>
      <c r="AY42" s="337"/>
      <c r="AZ42" s="338"/>
      <c r="BA42" s="1271">
        <v>0</v>
      </c>
      <c r="BB42" s="1276">
        <v>0</v>
      </c>
      <c r="BC42" s="414">
        <f t="shared" si="23"/>
        <v>1</v>
      </c>
      <c r="BD42" s="413">
        <f t="shared" si="7"/>
        <v>1</v>
      </c>
      <c r="BE42" s="337"/>
      <c r="BF42" s="338"/>
      <c r="BG42" s="664">
        <f t="shared" si="46"/>
        <v>0</v>
      </c>
      <c r="BH42" s="679">
        <f t="shared" si="46"/>
        <v>0</v>
      </c>
      <c r="BI42" s="383">
        <f t="shared" si="39"/>
        <v>0</v>
      </c>
      <c r="BJ42" s="386">
        <f t="shared" si="39"/>
        <v>0</v>
      </c>
      <c r="BK42" s="534">
        <f t="shared" si="25"/>
        <v>1995</v>
      </c>
      <c r="BL42" s="1271">
        <f t="shared" si="40"/>
        <v>0</v>
      </c>
      <c r="BM42" s="1276">
        <f t="shared" si="41"/>
        <v>0</v>
      </c>
      <c r="BN42" s="337"/>
      <c r="BO42" s="338"/>
      <c r="BP42" s="1271">
        <v>0</v>
      </c>
      <c r="BQ42" s="1276">
        <v>0</v>
      </c>
      <c r="BR42" s="414">
        <f t="shared" si="26"/>
        <v>1</v>
      </c>
      <c r="BS42" s="413">
        <f t="shared" si="11"/>
        <v>1</v>
      </c>
      <c r="BT42" s="337"/>
      <c r="BU42" s="338"/>
      <c r="BV42" s="664">
        <f t="shared" si="47"/>
        <v>0</v>
      </c>
      <c r="BW42" s="679">
        <f t="shared" si="47"/>
        <v>0</v>
      </c>
      <c r="BX42" s="383">
        <f t="shared" si="42"/>
        <v>0</v>
      </c>
      <c r="BY42" s="386">
        <f t="shared" si="42"/>
        <v>0</v>
      </c>
      <c r="BZ42" s="534">
        <f t="shared" si="28"/>
        <v>1998</v>
      </c>
      <c r="CA42" s="664">
        <f t="shared" si="48"/>
        <v>0</v>
      </c>
      <c r="CB42" s="665">
        <f t="shared" si="48"/>
        <v>0</v>
      </c>
      <c r="CC42" s="664">
        <f t="shared" si="49"/>
        <v>0</v>
      </c>
      <c r="CD42" s="665">
        <f t="shared" si="49"/>
        <v>0</v>
      </c>
      <c r="CE42" s="337"/>
      <c r="CF42" s="338"/>
      <c r="CG42" s="383">
        <f t="shared" si="43"/>
        <v>0</v>
      </c>
      <c r="CH42" s="386">
        <f t="shared" si="43"/>
        <v>0</v>
      </c>
    </row>
    <row r="43" spans="2:86" x14ac:dyDescent="0.2">
      <c r="B43" s="276">
        <v>28</v>
      </c>
      <c r="C43" s="320">
        <f t="shared" si="29"/>
        <v>29</v>
      </c>
      <c r="D43" s="534">
        <f t="shared" si="13"/>
        <v>1997</v>
      </c>
      <c r="E43" s="337"/>
      <c r="F43" s="338"/>
      <c r="G43" s="1271">
        <v>0</v>
      </c>
      <c r="H43" s="1289">
        <v>0</v>
      </c>
      <c r="I43" s="400">
        <f t="shared" si="44"/>
        <v>0</v>
      </c>
      <c r="J43" s="401">
        <f t="shared" si="14"/>
        <v>0</v>
      </c>
      <c r="K43" s="402" cm="1">
        <f t="array" ref="K43">HE_fact_qM*INDEX(HE_MortalityLapsesCY,$C43,4)</f>
        <v>3.880310366606604E-4</v>
      </c>
      <c r="L43" s="403" cm="1">
        <f t="array" ref="L43">HE_fact_qF*INDEX(HE_MortalityLapsesCY,$C43,5)</f>
        <v>1.6148071017934012E-4</v>
      </c>
      <c r="M43" s="404" cm="1">
        <f t="array" ref="M43">INDEX(HE_MortalityLapsesCY,$C43,5+(2*$L$7-1))</f>
        <v>9.8398344700743351E-2</v>
      </c>
      <c r="N43" s="405" cm="1">
        <f t="array" ref="N43">INDEX(HE_MortalityLapsesCY,$C43,5+2*$L$7)</f>
        <v>9.8398344700743351E-2</v>
      </c>
      <c r="O43" s="391">
        <f t="shared" si="30"/>
        <v>0.99980598448166969</v>
      </c>
      <c r="P43" s="1143">
        <f t="shared" si="30"/>
        <v>0.99991925964491035</v>
      </c>
      <c r="Q43" s="356">
        <f t="shared" si="15"/>
        <v>1997</v>
      </c>
      <c r="R43" s="337"/>
      <c r="S43" s="338"/>
      <c r="T43" s="664">
        <f t="shared" si="16"/>
        <v>0</v>
      </c>
      <c r="U43" s="665">
        <f t="shared" si="17"/>
        <v>0</v>
      </c>
      <c r="V43" s="337"/>
      <c r="W43" s="338"/>
      <c r="X43" s="383">
        <f t="shared" si="31"/>
        <v>0</v>
      </c>
      <c r="Y43" s="386">
        <f t="shared" si="31"/>
        <v>0</v>
      </c>
      <c r="Z43" s="534">
        <f t="shared" si="18"/>
        <v>1997</v>
      </c>
      <c r="AA43" s="664">
        <f t="shared" si="32"/>
        <v>0</v>
      </c>
      <c r="AB43" s="665">
        <f t="shared" si="32"/>
        <v>0</v>
      </c>
      <c r="AC43" s="337"/>
      <c r="AD43" s="338"/>
      <c r="AE43" s="383">
        <f t="shared" si="33"/>
        <v>0</v>
      </c>
      <c r="AF43" s="386">
        <f t="shared" si="33"/>
        <v>0</v>
      </c>
      <c r="AG43" s="534">
        <f t="shared" si="19"/>
        <v>1996</v>
      </c>
      <c r="AH43" s="1271">
        <f t="shared" si="34"/>
        <v>0</v>
      </c>
      <c r="AI43" s="1276">
        <f t="shared" si="35"/>
        <v>0</v>
      </c>
      <c r="AJ43" s="337"/>
      <c r="AK43" s="338"/>
      <c r="AL43" s="1271">
        <v>0</v>
      </c>
      <c r="AM43" s="1276">
        <v>0</v>
      </c>
      <c r="AN43" s="414">
        <f t="shared" si="20"/>
        <v>1</v>
      </c>
      <c r="AO43" s="413">
        <f t="shared" si="3"/>
        <v>1</v>
      </c>
      <c r="AP43" s="337"/>
      <c r="AQ43" s="338"/>
      <c r="AR43" s="664">
        <f t="shared" si="45"/>
        <v>0</v>
      </c>
      <c r="AS43" s="679">
        <f t="shared" si="45"/>
        <v>0</v>
      </c>
      <c r="AT43" s="383">
        <f t="shared" si="36"/>
        <v>0</v>
      </c>
      <c r="AU43" s="386">
        <f t="shared" si="4"/>
        <v>0</v>
      </c>
      <c r="AV43" s="534">
        <f t="shared" si="22"/>
        <v>1995</v>
      </c>
      <c r="AW43" s="1271">
        <f t="shared" si="37"/>
        <v>0</v>
      </c>
      <c r="AX43" s="1276">
        <f t="shared" si="38"/>
        <v>0</v>
      </c>
      <c r="AY43" s="337"/>
      <c r="AZ43" s="338"/>
      <c r="BA43" s="1271">
        <v>0</v>
      </c>
      <c r="BB43" s="1276">
        <v>0</v>
      </c>
      <c r="BC43" s="414">
        <f t="shared" si="23"/>
        <v>1</v>
      </c>
      <c r="BD43" s="413">
        <f t="shared" si="7"/>
        <v>1</v>
      </c>
      <c r="BE43" s="337"/>
      <c r="BF43" s="338"/>
      <c r="BG43" s="664">
        <f t="shared" si="46"/>
        <v>0</v>
      </c>
      <c r="BH43" s="679">
        <f t="shared" si="46"/>
        <v>0</v>
      </c>
      <c r="BI43" s="383">
        <f t="shared" si="39"/>
        <v>0</v>
      </c>
      <c r="BJ43" s="386">
        <f t="shared" si="39"/>
        <v>0</v>
      </c>
      <c r="BK43" s="534">
        <f t="shared" si="25"/>
        <v>1994</v>
      </c>
      <c r="BL43" s="1271">
        <f t="shared" si="40"/>
        <v>0</v>
      </c>
      <c r="BM43" s="1276">
        <f t="shared" si="41"/>
        <v>0</v>
      </c>
      <c r="BN43" s="337"/>
      <c r="BO43" s="338"/>
      <c r="BP43" s="1271">
        <v>0</v>
      </c>
      <c r="BQ43" s="1276">
        <v>0</v>
      </c>
      <c r="BR43" s="414">
        <f t="shared" si="26"/>
        <v>1</v>
      </c>
      <c r="BS43" s="413">
        <f t="shared" si="11"/>
        <v>1</v>
      </c>
      <c r="BT43" s="337"/>
      <c r="BU43" s="338"/>
      <c r="BV43" s="664">
        <f t="shared" si="47"/>
        <v>0</v>
      </c>
      <c r="BW43" s="679">
        <f t="shared" si="47"/>
        <v>0</v>
      </c>
      <c r="BX43" s="383">
        <f t="shared" si="42"/>
        <v>0</v>
      </c>
      <c r="BY43" s="386">
        <f t="shared" si="42"/>
        <v>0</v>
      </c>
      <c r="BZ43" s="534">
        <f t="shared" si="28"/>
        <v>1997</v>
      </c>
      <c r="CA43" s="664">
        <f t="shared" si="48"/>
        <v>0</v>
      </c>
      <c r="CB43" s="665">
        <f t="shared" si="48"/>
        <v>0</v>
      </c>
      <c r="CC43" s="664">
        <f t="shared" si="49"/>
        <v>0</v>
      </c>
      <c r="CD43" s="665">
        <f t="shared" si="49"/>
        <v>0</v>
      </c>
      <c r="CE43" s="337"/>
      <c r="CF43" s="338"/>
      <c r="CG43" s="383">
        <f t="shared" si="43"/>
        <v>0</v>
      </c>
      <c r="CH43" s="386">
        <f t="shared" si="43"/>
        <v>0</v>
      </c>
    </row>
    <row r="44" spans="2:86" x14ac:dyDescent="0.2">
      <c r="B44" s="276">
        <v>29</v>
      </c>
      <c r="C44" s="320">
        <f t="shared" si="29"/>
        <v>30</v>
      </c>
      <c r="D44" s="534">
        <f t="shared" si="13"/>
        <v>1996</v>
      </c>
      <c r="E44" s="337"/>
      <c r="F44" s="338"/>
      <c r="G44" s="1271">
        <v>0</v>
      </c>
      <c r="H44" s="1289">
        <v>0</v>
      </c>
      <c r="I44" s="400">
        <f t="shared" si="44"/>
        <v>0</v>
      </c>
      <c r="J44" s="401">
        <f t="shared" si="14"/>
        <v>0</v>
      </c>
      <c r="K44" s="402" cm="1">
        <f t="array" ref="K44">HE_fact_qM*INDEX(HE_MortalityLapsesCY,$C44,4)</f>
        <v>3.9205742254131462E-4</v>
      </c>
      <c r="L44" s="403" cm="1">
        <f t="array" ref="L44">HE_fact_qF*INDEX(HE_MortalityLapsesCY,$C44,5)</f>
        <v>1.69112580015714E-4</v>
      </c>
      <c r="M44" s="404" cm="1">
        <f t="array" ref="M44">INDEX(HE_MortalityLapsesCY,$C44,5+(2*$L$7-1))</f>
        <v>9.8356993944207285E-2</v>
      </c>
      <c r="N44" s="405" cm="1">
        <f t="array" ref="N44">INDEX(HE_MortalityLapsesCY,$C44,5+2*$L$7)</f>
        <v>9.8356993944207285E-2</v>
      </c>
      <c r="O44" s="391">
        <f t="shared" si="30"/>
        <v>0.99980397128872933</v>
      </c>
      <c r="P44" s="1143">
        <f t="shared" si="30"/>
        <v>0.99991544370999219</v>
      </c>
      <c r="Q44" s="356">
        <f t="shared" si="15"/>
        <v>1996</v>
      </c>
      <c r="R44" s="337"/>
      <c r="S44" s="338"/>
      <c r="T44" s="664">
        <f t="shared" si="16"/>
        <v>0</v>
      </c>
      <c r="U44" s="665">
        <f t="shared" si="17"/>
        <v>0</v>
      </c>
      <c r="V44" s="337"/>
      <c r="W44" s="338"/>
      <c r="X44" s="383">
        <f t="shared" si="31"/>
        <v>0</v>
      </c>
      <c r="Y44" s="386">
        <f t="shared" si="31"/>
        <v>0</v>
      </c>
      <c r="Z44" s="534">
        <f t="shared" si="18"/>
        <v>1996</v>
      </c>
      <c r="AA44" s="664">
        <f t="shared" si="32"/>
        <v>0</v>
      </c>
      <c r="AB44" s="665">
        <f t="shared" si="32"/>
        <v>0</v>
      </c>
      <c r="AC44" s="337"/>
      <c r="AD44" s="338"/>
      <c r="AE44" s="383">
        <f t="shared" si="33"/>
        <v>0</v>
      </c>
      <c r="AF44" s="386">
        <f t="shared" si="33"/>
        <v>0</v>
      </c>
      <c r="AG44" s="534">
        <f t="shared" si="19"/>
        <v>1995</v>
      </c>
      <c r="AH44" s="1271">
        <f t="shared" si="34"/>
        <v>0</v>
      </c>
      <c r="AI44" s="1276">
        <f t="shared" si="35"/>
        <v>0</v>
      </c>
      <c r="AJ44" s="337"/>
      <c r="AK44" s="338"/>
      <c r="AL44" s="1271">
        <v>0</v>
      </c>
      <c r="AM44" s="1276">
        <v>0</v>
      </c>
      <c r="AN44" s="414">
        <f t="shared" si="20"/>
        <v>1</v>
      </c>
      <c r="AO44" s="413">
        <f t="shared" si="3"/>
        <v>1</v>
      </c>
      <c r="AP44" s="337"/>
      <c r="AQ44" s="338"/>
      <c r="AR44" s="664">
        <f t="shared" si="45"/>
        <v>0</v>
      </c>
      <c r="AS44" s="679">
        <f t="shared" si="45"/>
        <v>0</v>
      </c>
      <c r="AT44" s="383">
        <f t="shared" si="36"/>
        <v>0</v>
      </c>
      <c r="AU44" s="386">
        <f t="shared" si="4"/>
        <v>0</v>
      </c>
      <c r="AV44" s="534">
        <f t="shared" si="22"/>
        <v>1994</v>
      </c>
      <c r="AW44" s="1271">
        <f t="shared" si="37"/>
        <v>0</v>
      </c>
      <c r="AX44" s="1276">
        <f t="shared" si="38"/>
        <v>0</v>
      </c>
      <c r="AY44" s="337"/>
      <c r="AZ44" s="338"/>
      <c r="BA44" s="1271">
        <v>0</v>
      </c>
      <c r="BB44" s="1276">
        <v>0</v>
      </c>
      <c r="BC44" s="414">
        <f t="shared" si="23"/>
        <v>1</v>
      </c>
      <c r="BD44" s="413">
        <f t="shared" si="7"/>
        <v>1</v>
      </c>
      <c r="BE44" s="337"/>
      <c r="BF44" s="338"/>
      <c r="BG44" s="664">
        <f t="shared" si="46"/>
        <v>0</v>
      </c>
      <c r="BH44" s="679">
        <f t="shared" si="46"/>
        <v>0</v>
      </c>
      <c r="BI44" s="383">
        <f t="shared" si="39"/>
        <v>0</v>
      </c>
      <c r="BJ44" s="386">
        <f t="shared" si="39"/>
        <v>0</v>
      </c>
      <c r="BK44" s="534">
        <f t="shared" si="25"/>
        <v>1993</v>
      </c>
      <c r="BL44" s="1271">
        <f t="shared" si="40"/>
        <v>0</v>
      </c>
      <c r="BM44" s="1276">
        <f t="shared" si="41"/>
        <v>0</v>
      </c>
      <c r="BN44" s="337"/>
      <c r="BO44" s="338"/>
      <c r="BP44" s="1271">
        <v>0</v>
      </c>
      <c r="BQ44" s="1276">
        <v>0</v>
      </c>
      <c r="BR44" s="414">
        <f t="shared" si="26"/>
        <v>1</v>
      </c>
      <c r="BS44" s="413">
        <f t="shared" si="11"/>
        <v>1</v>
      </c>
      <c r="BT44" s="337"/>
      <c r="BU44" s="338"/>
      <c r="BV44" s="664">
        <f t="shared" si="47"/>
        <v>0</v>
      </c>
      <c r="BW44" s="679">
        <f t="shared" si="47"/>
        <v>0</v>
      </c>
      <c r="BX44" s="383">
        <f t="shared" si="42"/>
        <v>0</v>
      </c>
      <c r="BY44" s="386">
        <f t="shared" si="42"/>
        <v>0</v>
      </c>
      <c r="BZ44" s="534">
        <f t="shared" si="28"/>
        <v>1996</v>
      </c>
      <c r="CA44" s="664">
        <f t="shared" si="48"/>
        <v>0</v>
      </c>
      <c r="CB44" s="665">
        <f t="shared" si="48"/>
        <v>0</v>
      </c>
      <c r="CC44" s="664">
        <f t="shared" si="49"/>
        <v>0</v>
      </c>
      <c r="CD44" s="665">
        <f t="shared" si="49"/>
        <v>0</v>
      </c>
      <c r="CE44" s="337"/>
      <c r="CF44" s="338"/>
      <c r="CG44" s="383">
        <f t="shared" si="43"/>
        <v>0</v>
      </c>
      <c r="CH44" s="386">
        <f t="shared" si="43"/>
        <v>0</v>
      </c>
    </row>
    <row r="45" spans="2:86" ht="13.5" thickBot="1" x14ac:dyDescent="0.25">
      <c r="B45" s="313">
        <v>30</v>
      </c>
      <c r="C45" s="321">
        <f t="shared" si="29"/>
        <v>31</v>
      </c>
      <c r="D45" s="535">
        <f t="shared" si="13"/>
        <v>1995</v>
      </c>
      <c r="E45" s="341"/>
      <c r="F45" s="340"/>
      <c r="G45" s="1277">
        <v>0</v>
      </c>
      <c r="H45" s="1290">
        <v>0</v>
      </c>
      <c r="I45" s="406">
        <f t="shared" si="44"/>
        <v>0</v>
      </c>
      <c r="J45" s="407">
        <f t="shared" si="14"/>
        <v>0</v>
      </c>
      <c r="K45" s="408" cm="1">
        <f t="array" ref="K45">HE_fact_qM*INDEX(HE_MortalityLapsesCY,$C45,4)</f>
        <v>3.9826255753237745E-4</v>
      </c>
      <c r="L45" s="409" cm="1">
        <f t="array" ref="L45">HE_fact_qF*INDEX(HE_MortalityLapsesCY,$C45,5)</f>
        <v>1.7825435706710717E-4</v>
      </c>
      <c r="M45" s="410" cm="1">
        <f t="array" ref="M45">INDEX(HE_MortalityLapsesCY,$C45,5+(2*$L$7-1))</f>
        <v>0.1117839292579777</v>
      </c>
      <c r="N45" s="411" cm="1">
        <f t="array" ref="N45">INDEX(HE_MortalityLapsesCY,$C45,5+2*$L$7)</f>
        <v>0.1117839292579777</v>
      </c>
      <c r="O45" s="392">
        <f t="shared" si="30"/>
        <v>0.99980086872123386</v>
      </c>
      <c r="P45" s="1144">
        <f t="shared" si="30"/>
        <v>0.99991087282146651</v>
      </c>
      <c r="Q45" s="313">
        <f t="shared" si="15"/>
        <v>1995</v>
      </c>
      <c r="R45" s="341"/>
      <c r="S45" s="340"/>
      <c r="T45" s="666">
        <f t="shared" si="16"/>
        <v>0</v>
      </c>
      <c r="U45" s="667">
        <f t="shared" si="17"/>
        <v>0</v>
      </c>
      <c r="V45" s="341"/>
      <c r="W45" s="340"/>
      <c r="X45" s="384">
        <f t="shared" si="31"/>
        <v>0</v>
      </c>
      <c r="Y45" s="387">
        <f t="shared" si="31"/>
        <v>0</v>
      </c>
      <c r="Z45" s="535">
        <f t="shared" si="18"/>
        <v>1995</v>
      </c>
      <c r="AA45" s="666">
        <f t="shared" si="32"/>
        <v>0</v>
      </c>
      <c r="AB45" s="667">
        <f t="shared" si="32"/>
        <v>0</v>
      </c>
      <c r="AC45" s="341"/>
      <c r="AD45" s="340"/>
      <c r="AE45" s="384">
        <f t="shared" si="33"/>
        <v>0</v>
      </c>
      <c r="AF45" s="387">
        <f t="shared" si="33"/>
        <v>0</v>
      </c>
      <c r="AG45" s="535">
        <f t="shared" si="19"/>
        <v>1994</v>
      </c>
      <c r="AH45" s="1277">
        <f t="shared" si="34"/>
        <v>0</v>
      </c>
      <c r="AI45" s="1278">
        <f t="shared" si="35"/>
        <v>0</v>
      </c>
      <c r="AJ45" s="341"/>
      <c r="AK45" s="340"/>
      <c r="AL45" s="1277">
        <v>0</v>
      </c>
      <c r="AM45" s="1278">
        <v>0</v>
      </c>
      <c r="AN45" s="415">
        <f t="shared" si="20"/>
        <v>1</v>
      </c>
      <c r="AO45" s="416">
        <f t="shared" si="3"/>
        <v>1</v>
      </c>
      <c r="AP45" s="341"/>
      <c r="AQ45" s="340"/>
      <c r="AR45" s="666">
        <f t="shared" si="45"/>
        <v>0</v>
      </c>
      <c r="AS45" s="680">
        <f t="shared" si="45"/>
        <v>0</v>
      </c>
      <c r="AT45" s="384">
        <f t="shared" si="36"/>
        <v>0</v>
      </c>
      <c r="AU45" s="387">
        <f t="shared" si="4"/>
        <v>0</v>
      </c>
      <c r="AV45" s="535">
        <f t="shared" si="22"/>
        <v>1993</v>
      </c>
      <c r="AW45" s="1277">
        <f t="shared" si="37"/>
        <v>0</v>
      </c>
      <c r="AX45" s="1278">
        <f t="shared" si="38"/>
        <v>0</v>
      </c>
      <c r="AY45" s="341"/>
      <c r="AZ45" s="340"/>
      <c r="BA45" s="1277">
        <v>0</v>
      </c>
      <c r="BB45" s="1278">
        <v>0</v>
      </c>
      <c r="BC45" s="415">
        <f t="shared" si="23"/>
        <v>1</v>
      </c>
      <c r="BD45" s="416">
        <f t="shared" si="7"/>
        <v>1</v>
      </c>
      <c r="BE45" s="341"/>
      <c r="BF45" s="340"/>
      <c r="BG45" s="666">
        <f t="shared" si="46"/>
        <v>0</v>
      </c>
      <c r="BH45" s="680">
        <f t="shared" si="46"/>
        <v>0</v>
      </c>
      <c r="BI45" s="384">
        <f t="shared" si="39"/>
        <v>0</v>
      </c>
      <c r="BJ45" s="387">
        <f t="shared" si="39"/>
        <v>0</v>
      </c>
      <c r="BK45" s="535">
        <f t="shared" si="25"/>
        <v>1992</v>
      </c>
      <c r="BL45" s="1277">
        <f t="shared" si="40"/>
        <v>0</v>
      </c>
      <c r="BM45" s="1278">
        <f t="shared" si="41"/>
        <v>0</v>
      </c>
      <c r="BN45" s="341"/>
      <c r="BO45" s="340"/>
      <c r="BP45" s="1277">
        <v>0</v>
      </c>
      <c r="BQ45" s="1278">
        <v>0</v>
      </c>
      <c r="BR45" s="415">
        <f t="shared" si="26"/>
        <v>1</v>
      </c>
      <c r="BS45" s="416">
        <f t="shared" si="11"/>
        <v>1</v>
      </c>
      <c r="BT45" s="341"/>
      <c r="BU45" s="340"/>
      <c r="BV45" s="666">
        <f t="shared" si="47"/>
        <v>0</v>
      </c>
      <c r="BW45" s="680">
        <f t="shared" si="47"/>
        <v>0</v>
      </c>
      <c r="BX45" s="384">
        <f t="shared" si="42"/>
        <v>0</v>
      </c>
      <c r="BY45" s="387">
        <f t="shared" si="42"/>
        <v>0</v>
      </c>
      <c r="BZ45" s="535">
        <f t="shared" si="28"/>
        <v>1995</v>
      </c>
      <c r="CA45" s="666">
        <f t="shared" si="48"/>
        <v>0</v>
      </c>
      <c r="CB45" s="667">
        <f t="shared" si="48"/>
        <v>0</v>
      </c>
      <c r="CC45" s="666">
        <f t="shared" si="49"/>
        <v>0</v>
      </c>
      <c r="CD45" s="667">
        <f t="shared" si="49"/>
        <v>0</v>
      </c>
      <c r="CE45" s="341"/>
      <c r="CF45" s="340"/>
      <c r="CG45" s="384">
        <f t="shared" si="43"/>
        <v>0</v>
      </c>
      <c r="CH45" s="387">
        <f t="shared" si="43"/>
        <v>0</v>
      </c>
    </row>
    <row r="46" spans="2:86" ht="13.5" thickTop="1" x14ac:dyDescent="0.2">
      <c r="B46" s="314">
        <v>31</v>
      </c>
      <c r="C46" s="320">
        <f t="shared" si="29"/>
        <v>32</v>
      </c>
      <c r="D46" s="536">
        <f t="shared" si="13"/>
        <v>1994</v>
      </c>
      <c r="E46" s="337"/>
      <c r="F46" s="338"/>
      <c r="G46" s="1271">
        <v>0</v>
      </c>
      <c r="H46" s="1289">
        <v>0</v>
      </c>
      <c r="I46" s="400">
        <f t="shared" si="44"/>
        <v>0</v>
      </c>
      <c r="J46" s="401">
        <f t="shared" si="14"/>
        <v>0</v>
      </c>
      <c r="K46" s="402" cm="1">
        <f t="array" ref="K46">HE_fact_qM*INDEX(HE_MortalityLapsesCY,$C46,4)</f>
        <v>4.0691588841656074E-4</v>
      </c>
      <c r="L46" s="403" cm="1">
        <f t="array" ref="L46">HE_fact_qF*INDEX(HE_MortalityLapsesCY,$C46,5)</f>
        <v>1.8905360341842865E-4</v>
      </c>
      <c r="M46" s="404" cm="1">
        <f t="array" ref="M46">INDEX(HE_MortalityLapsesCY,$C46,5+(2*$L$7-1))</f>
        <v>8.8368473185227114E-2</v>
      </c>
      <c r="N46" s="405" cm="1">
        <f t="array" ref="N46">INDEX(HE_MortalityLapsesCY,$C46,5+2*$L$7)</f>
        <v>8.8368473185227114E-2</v>
      </c>
      <c r="O46" s="391">
        <f t="shared" si="30"/>
        <v>0.99979654205579171</v>
      </c>
      <c r="P46" s="1143">
        <f t="shared" si="30"/>
        <v>0.99990547319829082</v>
      </c>
      <c r="Q46" s="314">
        <f t="shared" si="15"/>
        <v>1994</v>
      </c>
      <c r="R46" s="337"/>
      <c r="S46" s="338"/>
      <c r="T46" s="664">
        <f t="shared" si="16"/>
        <v>0</v>
      </c>
      <c r="U46" s="665">
        <f t="shared" si="17"/>
        <v>0</v>
      </c>
      <c r="V46" s="337"/>
      <c r="W46" s="338"/>
      <c r="X46" s="383">
        <f t="shared" si="31"/>
        <v>0</v>
      </c>
      <c r="Y46" s="386">
        <f t="shared" si="31"/>
        <v>0</v>
      </c>
      <c r="Z46" s="536">
        <f t="shared" si="18"/>
        <v>1994</v>
      </c>
      <c r="AA46" s="664">
        <f t="shared" si="32"/>
        <v>0</v>
      </c>
      <c r="AB46" s="665">
        <f t="shared" si="32"/>
        <v>0</v>
      </c>
      <c r="AC46" s="337"/>
      <c r="AD46" s="338"/>
      <c r="AE46" s="383">
        <f t="shared" si="33"/>
        <v>0</v>
      </c>
      <c r="AF46" s="386">
        <f t="shared" si="33"/>
        <v>0</v>
      </c>
      <c r="AG46" s="536">
        <f t="shared" si="19"/>
        <v>1993</v>
      </c>
      <c r="AH46" s="1271">
        <f t="shared" si="34"/>
        <v>0</v>
      </c>
      <c r="AI46" s="1276">
        <f t="shared" si="35"/>
        <v>0</v>
      </c>
      <c r="AJ46" s="337"/>
      <c r="AK46" s="338"/>
      <c r="AL46" s="1271">
        <v>0</v>
      </c>
      <c r="AM46" s="1276">
        <v>0</v>
      </c>
      <c r="AN46" s="414">
        <f t="shared" si="20"/>
        <v>1</v>
      </c>
      <c r="AO46" s="413">
        <f t="shared" si="3"/>
        <v>1</v>
      </c>
      <c r="AP46" s="337"/>
      <c r="AQ46" s="338"/>
      <c r="AR46" s="664">
        <f t="shared" si="45"/>
        <v>0</v>
      </c>
      <c r="AS46" s="679">
        <f t="shared" si="45"/>
        <v>0</v>
      </c>
      <c r="AT46" s="383">
        <f t="shared" si="36"/>
        <v>0</v>
      </c>
      <c r="AU46" s="386">
        <f t="shared" si="4"/>
        <v>0</v>
      </c>
      <c r="AV46" s="536">
        <f t="shared" si="22"/>
        <v>1992</v>
      </c>
      <c r="AW46" s="1271">
        <f t="shared" si="37"/>
        <v>0</v>
      </c>
      <c r="AX46" s="1276">
        <f t="shared" si="38"/>
        <v>0</v>
      </c>
      <c r="AY46" s="337"/>
      <c r="AZ46" s="338"/>
      <c r="BA46" s="1271">
        <v>0</v>
      </c>
      <c r="BB46" s="1276">
        <v>0</v>
      </c>
      <c r="BC46" s="414">
        <f t="shared" si="23"/>
        <v>1</v>
      </c>
      <c r="BD46" s="413">
        <f t="shared" si="7"/>
        <v>1</v>
      </c>
      <c r="BE46" s="337"/>
      <c r="BF46" s="338"/>
      <c r="BG46" s="664">
        <f t="shared" si="46"/>
        <v>0</v>
      </c>
      <c r="BH46" s="679">
        <f t="shared" si="46"/>
        <v>0</v>
      </c>
      <c r="BI46" s="383">
        <f t="shared" si="39"/>
        <v>0</v>
      </c>
      <c r="BJ46" s="386">
        <f t="shared" si="39"/>
        <v>0</v>
      </c>
      <c r="BK46" s="536">
        <f t="shared" si="25"/>
        <v>1991</v>
      </c>
      <c r="BL46" s="1271">
        <f t="shared" si="40"/>
        <v>0</v>
      </c>
      <c r="BM46" s="1276">
        <f t="shared" si="41"/>
        <v>0</v>
      </c>
      <c r="BN46" s="337"/>
      <c r="BO46" s="338"/>
      <c r="BP46" s="1271">
        <v>0</v>
      </c>
      <c r="BQ46" s="1276">
        <v>0</v>
      </c>
      <c r="BR46" s="414">
        <f t="shared" si="26"/>
        <v>1</v>
      </c>
      <c r="BS46" s="413">
        <f t="shared" si="11"/>
        <v>1</v>
      </c>
      <c r="BT46" s="337"/>
      <c r="BU46" s="338"/>
      <c r="BV46" s="664">
        <f t="shared" si="47"/>
        <v>0</v>
      </c>
      <c r="BW46" s="679">
        <f t="shared" si="47"/>
        <v>0</v>
      </c>
      <c r="BX46" s="383">
        <f t="shared" si="42"/>
        <v>0</v>
      </c>
      <c r="BY46" s="386">
        <f t="shared" si="42"/>
        <v>0</v>
      </c>
      <c r="BZ46" s="536">
        <f t="shared" si="28"/>
        <v>1994</v>
      </c>
      <c r="CA46" s="664">
        <f t="shared" si="48"/>
        <v>0</v>
      </c>
      <c r="CB46" s="665">
        <f t="shared" si="48"/>
        <v>0</v>
      </c>
      <c r="CC46" s="664">
        <f t="shared" si="49"/>
        <v>0</v>
      </c>
      <c r="CD46" s="665">
        <f t="shared" si="49"/>
        <v>0</v>
      </c>
      <c r="CE46" s="337"/>
      <c r="CF46" s="338"/>
      <c r="CG46" s="383">
        <f t="shared" si="43"/>
        <v>0</v>
      </c>
      <c r="CH46" s="386">
        <f t="shared" si="43"/>
        <v>0</v>
      </c>
    </row>
    <row r="47" spans="2:86" x14ac:dyDescent="0.2">
      <c r="B47" s="312">
        <v>32</v>
      </c>
      <c r="C47" s="322">
        <f t="shared" si="29"/>
        <v>33</v>
      </c>
      <c r="D47" s="533">
        <f t="shared" si="13"/>
        <v>1993</v>
      </c>
      <c r="E47" s="337"/>
      <c r="F47" s="338"/>
      <c r="G47" s="1271">
        <v>0</v>
      </c>
      <c r="H47" s="1289">
        <v>0</v>
      </c>
      <c r="I47" s="394">
        <f t="shared" si="44"/>
        <v>0</v>
      </c>
      <c r="J47" s="395">
        <f t="shared" si="14"/>
        <v>0</v>
      </c>
      <c r="K47" s="396" cm="1">
        <f t="array" ref="K47">HE_fact_qM*INDEX(HE_MortalityLapsesCY,$C47,4)</f>
        <v>4.1829998078071349E-4</v>
      </c>
      <c r="L47" s="397" cm="1">
        <f t="array" ref="L47">HE_fact_qF*INDEX(HE_MortalityLapsesCY,$C47,5)</f>
        <v>2.0162157570399652E-4</v>
      </c>
      <c r="M47" s="398" cm="1">
        <f t="array" ref="M47">INDEX(HE_MortalityLapsesCY,$C47,5+(2*$L$7-1))</f>
        <v>8.9385982859351204E-2</v>
      </c>
      <c r="N47" s="399" cm="1">
        <f t="array" ref="N47">INDEX(HE_MortalityLapsesCY,$C47,5+2*$L$7)</f>
        <v>8.9385982859351204E-2</v>
      </c>
      <c r="O47" s="390">
        <f t="shared" si="30"/>
        <v>0.99979085000960966</v>
      </c>
      <c r="P47" s="1142">
        <f t="shared" si="30"/>
        <v>0.99989918921214804</v>
      </c>
      <c r="Q47" s="1139">
        <f t="shared" si="15"/>
        <v>1993</v>
      </c>
      <c r="R47" s="337"/>
      <c r="S47" s="338"/>
      <c r="T47" s="668">
        <f t="shared" si="16"/>
        <v>0</v>
      </c>
      <c r="U47" s="669">
        <f t="shared" si="17"/>
        <v>0</v>
      </c>
      <c r="V47" s="337"/>
      <c r="W47" s="338"/>
      <c r="X47" s="382">
        <f t="shared" si="31"/>
        <v>0</v>
      </c>
      <c r="Y47" s="385">
        <f t="shared" si="31"/>
        <v>0</v>
      </c>
      <c r="Z47" s="533">
        <f t="shared" si="18"/>
        <v>1993</v>
      </c>
      <c r="AA47" s="668">
        <f t="shared" si="32"/>
        <v>0</v>
      </c>
      <c r="AB47" s="669">
        <f t="shared" si="32"/>
        <v>0</v>
      </c>
      <c r="AC47" s="337"/>
      <c r="AD47" s="338"/>
      <c r="AE47" s="382">
        <f t="shared" si="33"/>
        <v>0</v>
      </c>
      <c r="AF47" s="385">
        <f t="shared" si="33"/>
        <v>0</v>
      </c>
      <c r="AG47" s="533">
        <f t="shared" si="19"/>
        <v>1992</v>
      </c>
      <c r="AH47" s="1271">
        <f t="shared" si="34"/>
        <v>0</v>
      </c>
      <c r="AI47" s="1276">
        <f t="shared" si="35"/>
        <v>0</v>
      </c>
      <c r="AJ47" s="337"/>
      <c r="AK47" s="338"/>
      <c r="AL47" s="1271">
        <v>0</v>
      </c>
      <c r="AM47" s="1276">
        <v>0</v>
      </c>
      <c r="AN47" s="412">
        <f t="shared" si="20"/>
        <v>1</v>
      </c>
      <c r="AO47" s="417">
        <f t="shared" si="3"/>
        <v>1</v>
      </c>
      <c r="AP47" s="337"/>
      <c r="AQ47" s="338"/>
      <c r="AR47" s="668">
        <f t="shared" si="45"/>
        <v>0</v>
      </c>
      <c r="AS47" s="681">
        <f t="shared" si="45"/>
        <v>0</v>
      </c>
      <c r="AT47" s="382">
        <f t="shared" si="36"/>
        <v>0</v>
      </c>
      <c r="AU47" s="385">
        <f t="shared" si="4"/>
        <v>0</v>
      </c>
      <c r="AV47" s="533">
        <f t="shared" si="22"/>
        <v>1991</v>
      </c>
      <c r="AW47" s="1271">
        <f t="shared" si="37"/>
        <v>0</v>
      </c>
      <c r="AX47" s="1276">
        <f t="shared" si="38"/>
        <v>0</v>
      </c>
      <c r="AY47" s="337"/>
      <c r="AZ47" s="338"/>
      <c r="BA47" s="1271">
        <v>0</v>
      </c>
      <c r="BB47" s="1276">
        <v>0</v>
      </c>
      <c r="BC47" s="412">
        <f t="shared" si="23"/>
        <v>1</v>
      </c>
      <c r="BD47" s="417">
        <f t="shared" si="7"/>
        <v>1</v>
      </c>
      <c r="BE47" s="337"/>
      <c r="BF47" s="338"/>
      <c r="BG47" s="668">
        <f t="shared" si="46"/>
        <v>0</v>
      </c>
      <c r="BH47" s="681">
        <f t="shared" si="46"/>
        <v>0</v>
      </c>
      <c r="BI47" s="382">
        <f t="shared" si="39"/>
        <v>0</v>
      </c>
      <c r="BJ47" s="385">
        <f t="shared" si="39"/>
        <v>0</v>
      </c>
      <c r="BK47" s="533">
        <f t="shared" si="25"/>
        <v>1990</v>
      </c>
      <c r="BL47" s="1271">
        <f t="shared" si="40"/>
        <v>0</v>
      </c>
      <c r="BM47" s="1276">
        <f t="shared" si="41"/>
        <v>0</v>
      </c>
      <c r="BN47" s="337"/>
      <c r="BO47" s="338"/>
      <c r="BP47" s="1271">
        <v>0</v>
      </c>
      <c r="BQ47" s="1276">
        <v>0</v>
      </c>
      <c r="BR47" s="412">
        <f t="shared" si="26"/>
        <v>1</v>
      </c>
      <c r="BS47" s="417">
        <f t="shared" si="11"/>
        <v>1</v>
      </c>
      <c r="BT47" s="337"/>
      <c r="BU47" s="338"/>
      <c r="BV47" s="668">
        <f t="shared" si="47"/>
        <v>0</v>
      </c>
      <c r="BW47" s="681">
        <f t="shared" si="47"/>
        <v>0</v>
      </c>
      <c r="BX47" s="382">
        <f t="shared" si="42"/>
        <v>0</v>
      </c>
      <c r="BY47" s="385">
        <f t="shared" si="42"/>
        <v>0</v>
      </c>
      <c r="BZ47" s="533">
        <f t="shared" si="28"/>
        <v>1993</v>
      </c>
      <c r="CA47" s="668">
        <f t="shared" si="48"/>
        <v>0</v>
      </c>
      <c r="CB47" s="669">
        <f t="shared" si="48"/>
        <v>0</v>
      </c>
      <c r="CC47" s="668">
        <f t="shared" si="49"/>
        <v>0</v>
      </c>
      <c r="CD47" s="669">
        <f t="shared" si="49"/>
        <v>0</v>
      </c>
      <c r="CE47" s="337"/>
      <c r="CF47" s="338"/>
      <c r="CG47" s="382">
        <f t="shared" si="43"/>
        <v>0</v>
      </c>
      <c r="CH47" s="385">
        <f t="shared" si="43"/>
        <v>0</v>
      </c>
    </row>
    <row r="48" spans="2:86" x14ac:dyDescent="0.2">
      <c r="B48" s="276">
        <v>33</v>
      </c>
      <c r="C48" s="320">
        <f t="shared" si="29"/>
        <v>34</v>
      </c>
      <c r="D48" s="534">
        <f t="shared" si="13"/>
        <v>1992</v>
      </c>
      <c r="E48" s="337"/>
      <c r="F48" s="338"/>
      <c r="G48" s="1271">
        <v>0</v>
      </c>
      <c r="H48" s="1289">
        <v>0</v>
      </c>
      <c r="I48" s="400">
        <f t="shared" si="44"/>
        <v>0</v>
      </c>
      <c r="J48" s="401">
        <f t="shared" si="14"/>
        <v>0</v>
      </c>
      <c r="K48" s="402" cm="1">
        <f t="array" ref="K48">HE_fact_qM*INDEX(HE_MortalityLapsesCY,$C48,4)</f>
        <v>4.3271915243619602E-4</v>
      </c>
      <c r="L48" s="403" cm="1">
        <f t="array" ref="L48">HE_fact_qF*INDEX(HE_MortalityLapsesCY,$C48,5)</f>
        <v>2.1602195742548592E-4</v>
      </c>
      <c r="M48" s="404" cm="1">
        <f t="array" ref="M48">INDEX(HE_MortalityLapsesCY,$C48,5+(2*$L$7-1))</f>
        <v>8.5264682644192777E-2</v>
      </c>
      <c r="N48" s="405" cm="1">
        <f t="array" ref="N48">INDEX(HE_MortalityLapsesCY,$C48,5+2*$L$7)</f>
        <v>8.5264682644192777E-2</v>
      </c>
      <c r="O48" s="391">
        <f t="shared" si="30"/>
        <v>0.99978364042378187</v>
      </c>
      <c r="P48" s="1143">
        <f t="shared" si="30"/>
        <v>0.99989198902128718</v>
      </c>
      <c r="Q48" s="356">
        <f t="shared" si="15"/>
        <v>1992</v>
      </c>
      <c r="R48" s="337"/>
      <c r="S48" s="338"/>
      <c r="T48" s="664">
        <f t="shared" si="16"/>
        <v>0</v>
      </c>
      <c r="U48" s="665">
        <f t="shared" si="17"/>
        <v>0</v>
      </c>
      <c r="V48" s="337"/>
      <c r="W48" s="338"/>
      <c r="X48" s="383">
        <f t="shared" si="31"/>
        <v>0</v>
      </c>
      <c r="Y48" s="386">
        <f t="shared" si="31"/>
        <v>0</v>
      </c>
      <c r="Z48" s="534">
        <f t="shared" si="18"/>
        <v>1992</v>
      </c>
      <c r="AA48" s="664">
        <f t="shared" si="32"/>
        <v>0</v>
      </c>
      <c r="AB48" s="665">
        <f t="shared" si="32"/>
        <v>0</v>
      </c>
      <c r="AC48" s="337"/>
      <c r="AD48" s="338"/>
      <c r="AE48" s="383">
        <f t="shared" si="33"/>
        <v>0</v>
      </c>
      <c r="AF48" s="386">
        <f t="shared" si="33"/>
        <v>0</v>
      </c>
      <c r="AG48" s="534">
        <f t="shared" si="19"/>
        <v>1991</v>
      </c>
      <c r="AH48" s="1271">
        <f t="shared" si="34"/>
        <v>0</v>
      </c>
      <c r="AI48" s="1276">
        <f t="shared" si="35"/>
        <v>0</v>
      </c>
      <c r="AJ48" s="337"/>
      <c r="AK48" s="338"/>
      <c r="AL48" s="1271">
        <v>0</v>
      </c>
      <c r="AM48" s="1276">
        <v>0</v>
      </c>
      <c r="AN48" s="414">
        <f t="shared" si="20"/>
        <v>1</v>
      </c>
      <c r="AO48" s="413">
        <f t="shared" si="3"/>
        <v>1</v>
      </c>
      <c r="AP48" s="337"/>
      <c r="AQ48" s="338"/>
      <c r="AR48" s="664">
        <f t="shared" si="45"/>
        <v>0</v>
      </c>
      <c r="AS48" s="679">
        <f t="shared" si="45"/>
        <v>0</v>
      </c>
      <c r="AT48" s="383">
        <f t="shared" si="36"/>
        <v>0</v>
      </c>
      <c r="AU48" s="386">
        <f t="shared" si="4"/>
        <v>0</v>
      </c>
      <c r="AV48" s="534">
        <f t="shared" si="22"/>
        <v>1990</v>
      </c>
      <c r="AW48" s="1271">
        <f t="shared" si="37"/>
        <v>0</v>
      </c>
      <c r="AX48" s="1276">
        <f t="shared" si="38"/>
        <v>0</v>
      </c>
      <c r="AY48" s="337"/>
      <c r="AZ48" s="338"/>
      <c r="BA48" s="1271">
        <v>0</v>
      </c>
      <c r="BB48" s="1276">
        <v>0</v>
      </c>
      <c r="BC48" s="414">
        <f t="shared" si="23"/>
        <v>1</v>
      </c>
      <c r="BD48" s="413">
        <f t="shared" si="7"/>
        <v>1</v>
      </c>
      <c r="BE48" s="337"/>
      <c r="BF48" s="338"/>
      <c r="BG48" s="664">
        <f t="shared" si="46"/>
        <v>0</v>
      </c>
      <c r="BH48" s="679">
        <f t="shared" si="46"/>
        <v>0</v>
      </c>
      <c r="BI48" s="383">
        <f t="shared" si="39"/>
        <v>0</v>
      </c>
      <c r="BJ48" s="386">
        <f t="shared" si="39"/>
        <v>0</v>
      </c>
      <c r="BK48" s="534">
        <f t="shared" si="25"/>
        <v>1989</v>
      </c>
      <c r="BL48" s="1271">
        <f t="shared" si="40"/>
        <v>0</v>
      </c>
      <c r="BM48" s="1276">
        <f t="shared" si="41"/>
        <v>0</v>
      </c>
      <c r="BN48" s="337"/>
      <c r="BO48" s="338"/>
      <c r="BP48" s="1271">
        <v>0</v>
      </c>
      <c r="BQ48" s="1276">
        <v>0</v>
      </c>
      <c r="BR48" s="414">
        <f t="shared" si="26"/>
        <v>1</v>
      </c>
      <c r="BS48" s="413">
        <f t="shared" si="11"/>
        <v>1</v>
      </c>
      <c r="BT48" s="337"/>
      <c r="BU48" s="338"/>
      <c r="BV48" s="664">
        <f t="shared" si="47"/>
        <v>0</v>
      </c>
      <c r="BW48" s="679">
        <f t="shared" si="47"/>
        <v>0</v>
      </c>
      <c r="BX48" s="383">
        <f t="shared" si="42"/>
        <v>0</v>
      </c>
      <c r="BY48" s="386">
        <f t="shared" si="42"/>
        <v>0</v>
      </c>
      <c r="BZ48" s="534">
        <f t="shared" si="28"/>
        <v>1992</v>
      </c>
      <c r="CA48" s="664">
        <f t="shared" si="48"/>
        <v>0</v>
      </c>
      <c r="CB48" s="665">
        <f t="shared" si="48"/>
        <v>0</v>
      </c>
      <c r="CC48" s="664">
        <f t="shared" si="49"/>
        <v>0</v>
      </c>
      <c r="CD48" s="665">
        <f t="shared" si="49"/>
        <v>0</v>
      </c>
      <c r="CE48" s="337"/>
      <c r="CF48" s="338"/>
      <c r="CG48" s="383">
        <f t="shared" si="43"/>
        <v>0</v>
      </c>
      <c r="CH48" s="386">
        <f t="shared" si="43"/>
        <v>0</v>
      </c>
    </row>
    <row r="49" spans="2:86" x14ac:dyDescent="0.2">
      <c r="B49" s="276">
        <v>34</v>
      </c>
      <c r="C49" s="320">
        <f t="shared" si="29"/>
        <v>35</v>
      </c>
      <c r="D49" s="534">
        <f t="shared" si="13"/>
        <v>1991</v>
      </c>
      <c r="E49" s="337"/>
      <c r="F49" s="338"/>
      <c r="G49" s="1271">
        <v>0</v>
      </c>
      <c r="H49" s="1289">
        <v>0</v>
      </c>
      <c r="I49" s="400">
        <f t="shared" si="44"/>
        <v>0</v>
      </c>
      <c r="J49" s="401">
        <f t="shared" si="14"/>
        <v>0</v>
      </c>
      <c r="K49" s="402" cm="1">
        <f t="array" ref="K49">HE_fact_qM*INDEX(HE_MortalityLapsesCY,$C49,4)</f>
        <v>4.5050148522264821E-4</v>
      </c>
      <c r="L49" s="403" cm="1">
        <f t="array" ref="L49">HE_fact_qF*INDEX(HE_MortalityLapsesCY,$C49,5)</f>
        <v>2.3229069297018312E-4</v>
      </c>
      <c r="M49" s="404" cm="1">
        <f t="array" ref="M49">INDEX(HE_MortalityLapsesCY,$C49,5+(2*$L$7-1))</f>
        <v>8.7432849710249144E-2</v>
      </c>
      <c r="N49" s="405" cm="1">
        <f t="array" ref="N49">INDEX(HE_MortalityLapsesCY,$C49,5+2*$L$7)</f>
        <v>8.7432849710249144E-2</v>
      </c>
      <c r="O49" s="391">
        <f t="shared" si="30"/>
        <v>0.99977474925738874</v>
      </c>
      <c r="P49" s="1143">
        <f t="shared" si="30"/>
        <v>0.99988385465351493</v>
      </c>
      <c r="Q49" s="356">
        <f t="shared" si="15"/>
        <v>1991</v>
      </c>
      <c r="R49" s="337"/>
      <c r="S49" s="338"/>
      <c r="T49" s="664">
        <f t="shared" si="16"/>
        <v>0</v>
      </c>
      <c r="U49" s="665">
        <f t="shared" si="17"/>
        <v>0</v>
      </c>
      <c r="V49" s="337"/>
      <c r="W49" s="338"/>
      <c r="X49" s="383">
        <f t="shared" si="31"/>
        <v>0</v>
      </c>
      <c r="Y49" s="386">
        <f t="shared" si="31"/>
        <v>0</v>
      </c>
      <c r="Z49" s="534">
        <f t="shared" si="18"/>
        <v>1991</v>
      </c>
      <c r="AA49" s="664">
        <f t="shared" si="32"/>
        <v>0</v>
      </c>
      <c r="AB49" s="665">
        <f t="shared" si="32"/>
        <v>0</v>
      </c>
      <c r="AC49" s="337"/>
      <c r="AD49" s="338"/>
      <c r="AE49" s="383">
        <f t="shared" si="33"/>
        <v>0</v>
      </c>
      <c r="AF49" s="386">
        <f t="shared" si="33"/>
        <v>0</v>
      </c>
      <c r="AG49" s="534">
        <f t="shared" si="19"/>
        <v>1990</v>
      </c>
      <c r="AH49" s="1271">
        <f t="shared" si="34"/>
        <v>0</v>
      </c>
      <c r="AI49" s="1276">
        <f t="shared" si="35"/>
        <v>0</v>
      </c>
      <c r="AJ49" s="337"/>
      <c r="AK49" s="338"/>
      <c r="AL49" s="1271">
        <v>0</v>
      </c>
      <c r="AM49" s="1276">
        <v>0</v>
      </c>
      <c r="AN49" s="414">
        <f t="shared" si="20"/>
        <v>1</v>
      </c>
      <c r="AO49" s="413">
        <f t="shared" si="3"/>
        <v>1</v>
      </c>
      <c r="AP49" s="337"/>
      <c r="AQ49" s="338"/>
      <c r="AR49" s="664">
        <f t="shared" si="45"/>
        <v>0</v>
      </c>
      <c r="AS49" s="679">
        <f t="shared" si="45"/>
        <v>0</v>
      </c>
      <c r="AT49" s="383">
        <f t="shared" si="36"/>
        <v>0</v>
      </c>
      <c r="AU49" s="386">
        <f t="shared" si="4"/>
        <v>0</v>
      </c>
      <c r="AV49" s="534">
        <f t="shared" si="22"/>
        <v>1989</v>
      </c>
      <c r="AW49" s="1271">
        <f t="shared" si="37"/>
        <v>0</v>
      </c>
      <c r="AX49" s="1276">
        <f t="shared" si="38"/>
        <v>0</v>
      </c>
      <c r="AY49" s="337"/>
      <c r="AZ49" s="338"/>
      <c r="BA49" s="1271">
        <v>0</v>
      </c>
      <c r="BB49" s="1276">
        <v>0</v>
      </c>
      <c r="BC49" s="414">
        <f t="shared" si="23"/>
        <v>1</v>
      </c>
      <c r="BD49" s="413">
        <f t="shared" si="7"/>
        <v>1</v>
      </c>
      <c r="BE49" s="337"/>
      <c r="BF49" s="338"/>
      <c r="BG49" s="664">
        <f t="shared" si="46"/>
        <v>0</v>
      </c>
      <c r="BH49" s="679">
        <f t="shared" si="46"/>
        <v>0</v>
      </c>
      <c r="BI49" s="383">
        <f t="shared" si="39"/>
        <v>0</v>
      </c>
      <c r="BJ49" s="386">
        <f t="shared" si="39"/>
        <v>0</v>
      </c>
      <c r="BK49" s="534">
        <f t="shared" si="25"/>
        <v>1988</v>
      </c>
      <c r="BL49" s="1271">
        <f t="shared" si="40"/>
        <v>0</v>
      </c>
      <c r="BM49" s="1276">
        <f t="shared" si="41"/>
        <v>0</v>
      </c>
      <c r="BN49" s="337"/>
      <c r="BO49" s="338"/>
      <c r="BP49" s="1271">
        <v>0</v>
      </c>
      <c r="BQ49" s="1276">
        <v>0</v>
      </c>
      <c r="BR49" s="414">
        <f t="shared" si="26"/>
        <v>1</v>
      </c>
      <c r="BS49" s="413">
        <f t="shared" si="11"/>
        <v>1</v>
      </c>
      <c r="BT49" s="337"/>
      <c r="BU49" s="338"/>
      <c r="BV49" s="664">
        <f t="shared" si="47"/>
        <v>0</v>
      </c>
      <c r="BW49" s="679">
        <f t="shared" si="47"/>
        <v>0</v>
      </c>
      <c r="BX49" s="383">
        <f t="shared" si="42"/>
        <v>0</v>
      </c>
      <c r="BY49" s="386">
        <f t="shared" si="42"/>
        <v>0</v>
      </c>
      <c r="BZ49" s="534">
        <f t="shared" si="28"/>
        <v>1991</v>
      </c>
      <c r="CA49" s="664">
        <f t="shared" si="48"/>
        <v>0</v>
      </c>
      <c r="CB49" s="665">
        <f t="shared" si="48"/>
        <v>0</v>
      </c>
      <c r="CC49" s="664">
        <f t="shared" si="49"/>
        <v>0</v>
      </c>
      <c r="CD49" s="665">
        <f t="shared" si="49"/>
        <v>0</v>
      </c>
      <c r="CE49" s="337"/>
      <c r="CF49" s="338"/>
      <c r="CG49" s="383">
        <f t="shared" si="43"/>
        <v>0</v>
      </c>
      <c r="CH49" s="386">
        <f t="shared" si="43"/>
        <v>0</v>
      </c>
    </row>
    <row r="50" spans="2:86" ht="13.5" thickBot="1" x14ac:dyDescent="0.25">
      <c r="B50" s="313">
        <v>35</v>
      </c>
      <c r="C50" s="321">
        <f t="shared" si="29"/>
        <v>36</v>
      </c>
      <c r="D50" s="535">
        <f t="shared" si="13"/>
        <v>1990</v>
      </c>
      <c r="E50" s="341"/>
      <c r="F50" s="340"/>
      <c r="G50" s="1277">
        <v>0</v>
      </c>
      <c r="H50" s="1290">
        <v>0</v>
      </c>
      <c r="I50" s="406">
        <f t="shared" si="44"/>
        <v>0</v>
      </c>
      <c r="J50" s="407">
        <f t="shared" si="14"/>
        <v>0</v>
      </c>
      <c r="K50" s="408" cm="1">
        <f t="array" ref="K50">HE_fact_qM*INDEX(HE_MortalityLapsesCY,$C50,4)</f>
        <v>4.7195734160534721E-4</v>
      </c>
      <c r="L50" s="409" cm="1">
        <f t="array" ref="L50">HE_fact_qF*INDEX(HE_MortalityLapsesCY,$C50,5)</f>
        <v>2.5053178502709321E-4</v>
      </c>
      <c r="M50" s="410" cm="1">
        <f t="array" ref="M50">INDEX(HE_MortalityLapsesCY,$C50,5+(2*$L$7-1))</f>
        <v>9.4854539807433483E-2</v>
      </c>
      <c r="N50" s="411" cm="1">
        <f t="array" ref="N50">INDEX(HE_MortalityLapsesCY,$C50,5+2*$L$7)</f>
        <v>9.4854539807433483E-2</v>
      </c>
      <c r="O50" s="392">
        <f t="shared" si="30"/>
        <v>0.99976402132919739</v>
      </c>
      <c r="P50" s="1144">
        <f t="shared" si="30"/>
        <v>0.99987473410748651</v>
      </c>
      <c r="Q50" s="313">
        <f t="shared" si="15"/>
        <v>1990</v>
      </c>
      <c r="R50" s="341"/>
      <c r="S50" s="340"/>
      <c r="T50" s="666">
        <f t="shared" si="16"/>
        <v>0</v>
      </c>
      <c r="U50" s="667">
        <f t="shared" si="17"/>
        <v>0</v>
      </c>
      <c r="V50" s="341"/>
      <c r="W50" s="340"/>
      <c r="X50" s="384">
        <f t="shared" si="31"/>
        <v>0</v>
      </c>
      <c r="Y50" s="387">
        <f t="shared" si="31"/>
        <v>0</v>
      </c>
      <c r="Z50" s="535">
        <f t="shared" si="18"/>
        <v>1990</v>
      </c>
      <c r="AA50" s="666">
        <f t="shared" si="32"/>
        <v>0</v>
      </c>
      <c r="AB50" s="667">
        <f t="shared" si="32"/>
        <v>0</v>
      </c>
      <c r="AC50" s="341"/>
      <c r="AD50" s="340"/>
      <c r="AE50" s="384">
        <f t="shared" si="33"/>
        <v>0</v>
      </c>
      <c r="AF50" s="387">
        <f t="shared" si="33"/>
        <v>0</v>
      </c>
      <c r="AG50" s="535">
        <f t="shared" si="19"/>
        <v>1989</v>
      </c>
      <c r="AH50" s="1277">
        <f t="shared" si="34"/>
        <v>0</v>
      </c>
      <c r="AI50" s="1278">
        <f t="shared" si="35"/>
        <v>0</v>
      </c>
      <c r="AJ50" s="341"/>
      <c r="AK50" s="340"/>
      <c r="AL50" s="1277">
        <v>0</v>
      </c>
      <c r="AM50" s="1278">
        <v>0</v>
      </c>
      <c r="AN50" s="415">
        <f t="shared" si="20"/>
        <v>1</v>
      </c>
      <c r="AO50" s="416">
        <f t="shared" si="3"/>
        <v>1</v>
      </c>
      <c r="AP50" s="341"/>
      <c r="AQ50" s="340"/>
      <c r="AR50" s="666">
        <f t="shared" si="45"/>
        <v>0</v>
      </c>
      <c r="AS50" s="680">
        <f t="shared" si="45"/>
        <v>0</v>
      </c>
      <c r="AT50" s="384">
        <f t="shared" si="36"/>
        <v>0</v>
      </c>
      <c r="AU50" s="387">
        <f t="shared" si="4"/>
        <v>0</v>
      </c>
      <c r="AV50" s="535">
        <f t="shared" si="22"/>
        <v>1988</v>
      </c>
      <c r="AW50" s="1277">
        <f t="shared" si="37"/>
        <v>0</v>
      </c>
      <c r="AX50" s="1278">
        <f t="shared" si="38"/>
        <v>0</v>
      </c>
      <c r="AY50" s="341"/>
      <c r="AZ50" s="340"/>
      <c r="BA50" s="1277">
        <v>0</v>
      </c>
      <c r="BB50" s="1278">
        <v>0</v>
      </c>
      <c r="BC50" s="415">
        <f t="shared" si="23"/>
        <v>1</v>
      </c>
      <c r="BD50" s="416">
        <f t="shared" si="7"/>
        <v>1</v>
      </c>
      <c r="BE50" s="341"/>
      <c r="BF50" s="340"/>
      <c r="BG50" s="666">
        <f t="shared" si="46"/>
        <v>0</v>
      </c>
      <c r="BH50" s="680">
        <f t="shared" si="46"/>
        <v>0</v>
      </c>
      <c r="BI50" s="384">
        <f t="shared" si="39"/>
        <v>0</v>
      </c>
      <c r="BJ50" s="387">
        <f t="shared" si="39"/>
        <v>0</v>
      </c>
      <c r="BK50" s="535">
        <f t="shared" si="25"/>
        <v>1987</v>
      </c>
      <c r="BL50" s="1277">
        <f t="shared" si="40"/>
        <v>0</v>
      </c>
      <c r="BM50" s="1278">
        <f t="shared" si="41"/>
        <v>0</v>
      </c>
      <c r="BN50" s="341"/>
      <c r="BO50" s="340"/>
      <c r="BP50" s="1277">
        <v>0</v>
      </c>
      <c r="BQ50" s="1278">
        <v>0</v>
      </c>
      <c r="BR50" s="415">
        <f t="shared" si="26"/>
        <v>1</v>
      </c>
      <c r="BS50" s="416">
        <f t="shared" si="11"/>
        <v>1</v>
      </c>
      <c r="BT50" s="341"/>
      <c r="BU50" s="340"/>
      <c r="BV50" s="666">
        <f t="shared" si="47"/>
        <v>0</v>
      </c>
      <c r="BW50" s="680">
        <f t="shared" si="47"/>
        <v>0</v>
      </c>
      <c r="BX50" s="384">
        <f t="shared" si="42"/>
        <v>0</v>
      </c>
      <c r="BY50" s="387">
        <f t="shared" si="42"/>
        <v>0</v>
      </c>
      <c r="BZ50" s="535">
        <f t="shared" si="28"/>
        <v>1990</v>
      </c>
      <c r="CA50" s="666">
        <f t="shared" si="48"/>
        <v>0</v>
      </c>
      <c r="CB50" s="667">
        <f t="shared" si="48"/>
        <v>0</v>
      </c>
      <c r="CC50" s="666">
        <f t="shared" si="49"/>
        <v>0</v>
      </c>
      <c r="CD50" s="667">
        <f t="shared" si="49"/>
        <v>0</v>
      </c>
      <c r="CE50" s="341"/>
      <c r="CF50" s="340"/>
      <c r="CG50" s="384">
        <f t="shared" si="43"/>
        <v>0</v>
      </c>
      <c r="CH50" s="387">
        <f t="shared" si="43"/>
        <v>0</v>
      </c>
    </row>
    <row r="51" spans="2:86" ht="13.5" thickTop="1" x14ac:dyDescent="0.2">
      <c r="B51" s="276">
        <v>36</v>
      </c>
      <c r="C51" s="320">
        <f t="shared" si="29"/>
        <v>37</v>
      </c>
      <c r="D51" s="534">
        <f t="shared" si="13"/>
        <v>1989</v>
      </c>
      <c r="E51" s="337"/>
      <c r="F51" s="338"/>
      <c r="G51" s="1271">
        <v>0</v>
      </c>
      <c r="H51" s="1289">
        <v>0</v>
      </c>
      <c r="I51" s="400">
        <f t="shared" si="44"/>
        <v>0</v>
      </c>
      <c r="J51" s="401">
        <f t="shared" si="14"/>
        <v>0</v>
      </c>
      <c r="K51" s="402" cm="1">
        <f t="array" ref="K51">HE_fact_qM*INDEX(HE_MortalityLapsesCY,$C51,4)</f>
        <v>4.9740085429067786E-4</v>
      </c>
      <c r="L51" s="403" cm="1">
        <f t="array" ref="L51">HE_fact_qF*INDEX(HE_MortalityLapsesCY,$C51,5)</f>
        <v>2.709723418535643E-4</v>
      </c>
      <c r="M51" s="404" cm="1">
        <f t="array" ref="M51">INDEX(HE_MortalityLapsesCY,$C51,5+(2*$L$7-1))</f>
        <v>7.7624186572895187E-2</v>
      </c>
      <c r="N51" s="405" cm="1">
        <f t="array" ref="N51">INDEX(HE_MortalityLapsesCY,$C51,5+2*$L$7)</f>
        <v>7.7624186572895187E-2</v>
      </c>
      <c r="O51" s="391">
        <f t="shared" si="30"/>
        <v>0.99975129957285458</v>
      </c>
      <c r="P51" s="1143">
        <f t="shared" si="30"/>
        <v>0.99986451382907315</v>
      </c>
      <c r="Q51" s="356">
        <f t="shared" si="15"/>
        <v>1989</v>
      </c>
      <c r="R51" s="337"/>
      <c r="S51" s="338"/>
      <c r="T51" s="664">
        <f t="shared" si="16"/>
        <v>0</v>
      </c>
      <c r="U51" s="665">
        <f t="shared" si="17"/>
        <v>0</v>
      </c>
      <c r="V51" s="337"/>
      <c r="W51" s="338"/>
      <c r="X51" s="383">
        <f t="shared" si="31"/>
        <v>0</v>
      </c>
      <c r="Y51" s="386">
        <f t="shared" si="31"/>
        <v>0</v>
      </c>
      <c r="Z51" s="534">
        <f t="shared" si="18"/>
        <v>1989</v>
      </c>
      <c r="AA51" s="664">
        <f t="shared" si="32"/>
        <v>0</v>
      </c>
      <c r="AB51" s="665">
        <f t="shared" si="32"/>
        <v>0</v>
      </c>
      <c r="AC51" s="337"/>
      <c r="AD51" s="338"/>
      <c r="AE51" s="383">
        <f t="shared" si="33"/>
        <v>0</v>
      </c>
      <c r="AF51" s="386">
        <f t="shared" si="33"/>
        <v>0</v>
      </c>
      <c r="AG51" s="534">
        <f t="shared" si="19"/>
        <v>1988</v>
      </c>
      <c r="AH51" s="1271">
        <f t="shared" si="34"/>
        <v>0</v>
      </c>
      <c r="AI51" s="1276">
        <f t="shared" si="35"/>
        <v>0</v>
      </c>
      <c r="AJ51" s="337"/>
      <c r="AK51" s="338"/>
      <c r="AL51" s="1271">
        <v>0</v>
      </c>
      <c r="AM51" s="1276">
        <v>0</v>
      </c>
      <c r="AN51" s="414">
        <f t="shared" si="20"/>
        <v>1</v>
      </c>
      <c r="AO51" s="413">
        <f t="shared" si="3"/>
        <v>1</v>
      </c>
      <c r="AP51" s="337"/>
      <c r="AQ51" s="338"/>
      <c r="AR51" s="664">
        <f t="shared" si="45"/>
        <v>0</v>
      </c>
      <c r="AS51" s="679">
        <f t="shared" si="45"/>
        <v>0</v>
      </c>
      <c r="AT51" s="383">
        <f t="shared" si="36"/>
        <v>0</v>
      </c>
      <c r="AU51" s="386">
        <f t="shared" si="4"/>
        <v>0</v>
      </c>
      <c r="AV51" s="534">
        <f t="shared" si="22"/>
        <v>1987</v>
      </c>
      <c r="AW51" s="1271">
        <f t="shared" si="37"/>
        <v>0</v>
      </c>
      <c r="AX51" s="1276">
        <f t="shared" si="38"/>
        <v>0</v>
      </c>
      <c r="AY51" s="337"/>
      <c r="AZ51" s="338"/>
      <c r="BA51" s="1271">
        <v>0</v>
      </c>
      <c r="BB51" s="1276">
        <v>0</v>
      </c>
      <c r="BC51" s="414">
        <f t="shared" si="23"/>
        <v>1</v>
      </c>
      <c r="BD51" s="413">
        <f t="shared" si="7"/>
        <v>1</v>
      </c>
      <c r="BE51" s="337"/>
      <c r="BF51" s="338"/>
      <c r="BG51" s="664">
        <f t="shared" si="46"/>
        <v>0</v>
      </c>
      <c r="BH51" s="679">
        <f t="shared" si="46"/>
        <v>0</v>
      </c>
      <c r="BI51" s="383">
        <f t="shared" si="39"/>
        <v>0</v>
      </c>
      <c r="BJ51" s="386">
        <f t="shared" si="39"/>
        <v>0</v>
      </c>
      <c r="BK51" s="534">
        <f t="shared" si="25"/>
        <v>1986</v>
      </c>
      <c r="BL51" s="1271">
        <f t="shared" si="40"/>
        <v>0</v>
      </c>
      <c r="BM51" s="1276">
        <f t="shared" si="41"/>
        <v>0</v>
      </c>
      <c r="BN51" s="337"/>
      <c r="BO51" s="338"/>
      <c r="BP51" s="1271">
        <v>0</v>
      </c>
      <c r="BQ51" s="1276">
        <v>0</v>
      </c>
      <c r="BR51" s="414">
        <f t="shared" si="26"/>
        <v>1</v>
      </c>
      <c r="BS51" s="413">
        <f t="shared" si="11"/>
        <v>1</v>
      </c>
      <c r="BT51" s="337"/>
      <c r="BU51" s="338"/>
      <c r="BV51" s="664">
        <f t="shared" si="47"/>
        <v>0</v>
      </c>
      <c r="BW51" s="679">
        <f t="shared" si="47"/>
        <v>0</v>
      </c>
      <c r="BX51" s="383">
        <f t="shared" si="42"/>
        <v>0</v>
      </c>
      <c r="BY51" s="386">
        <f t="shared" si="42"/>
        <v>0</v>
      </c>
      <c r="BZ51" s="534">
        <f t="shared" si="28"/>
        <v>1989</v>
      </c>
      <c r="CA51" s="664">
        <f t="shared" si="48"/>
        <v>0</v>
      </c>
      <c r="CB51" s="665">
        <f t="shared" si="48"/>
        <v>0</v>
      </c>
      <c r="CC51" s="664">
        <f t="shared" si="49"/>
        <v>0</v>
      </c>
      <c r="CD51" s="665">
        <f t="shared" si="49"/>
        <v>0</v>
      </c>
      <c r="CE51" s="337"/>
      <c r="CF51" s="338"/>
      <c r="CG51" s="383">
        <f t="shared" si="43"/>
        <v>0</v>
      </c>
      <c r="CH51" s="386">
        <f t="shared" si="43"/>
        <v>0</v>
      </c>
    </row>
    <row r="52" spans="2:86" x14ac:dyDescent="0.2">
      <c r="B52" s="276">
        <v>37</v>
      </c>
      <c r="C52" s="320">
        <f t="shared" si="29"/>
        <v>38</v>
      </c>
      <c r="D52" s="534">
        <f t="shared" si="13"/>
        <v>1988</v>
      </c>
      <c r="E52" s="337"/>
      <c r="F52" s="338"/>
      <c r="G52" s="1271">
        <v>0</v>
      </c>
      <c r="H52" s="1289">
        <v>0</v>
      </c>
      <c r="I52" s="400">
        <f t="shared" si="44"/>
        <v>0</v>
      </c>
      <c r="J52" s="401">
        <f t="shared" si="14"/>
        <v>0</v>
      </c>
      <c r="K52" s="402" cm="1">
        <f t="array" ref="K52">HE_fact_qM*INDEX(HE_MortalityLapsesCY,$C52,4)</f>
        <v>5.2722531395606414E-4</v>
      </c>
      <c r="L52" s="403" cm="1">
        <f t="array" ref="L52">HE_fact_qF*INDEX(HE_MortalityLapsesCY,$C52,5)</f>
        <v>2.93925371018905E-4</v>
      </c>
      <c r="M52" s="404" cm="1">
        <f t="array" ref="M52">INDEX(HE_MortalityLapsesCY,$C52,5+(2*$L$7-1))</f>
        <v>7.554211187932118E-2</v>
      </c>
      <c r="N52" s="405" cm="1">
        <f t="array" ref="N52">INDEX(HE_MortalityLapsesCY,$C52,5+2*$L$7)</f>
        <v>7.554211187932118E-2</v>
      </c>
      <c r="O52" s="391">
        <f t="shared" si="30"/>
        <v>0.99973638734302195</v>
      </c>
      <c r="P52" s="1143">
        <f t="shared" si="30"/>
        <v>0.99985303731449049</v>
      </c>
      <c r="Q52" s="356">
        <f t="shared" si="15"/>
        <v>1988</v>
      </c>
      <c r="R52" s="337"/>
      <c r="S52" s="338"/>
      <c r="T52" s="664">
        <f t="shared" si="16"/>
        <v>0</v>
      </c>
      <c r="U52" s="665">
        <f t="shared" si="17"/>
        <v>0</v>
      </c>
      <c r="V52" s="337"/>
      <c r="W52" s="338"/>
      <c r="X52" s="383">
        <f t="shared" si="31"/>
        <v>0</v>
      </c>
      <c r="Y52" s="386">
        <f t="shared" si="31"/>
        <v>0</v>
      </c>
      <c r="Z52" s="534">
        <f t="shared" si="18"/>
        <v>1988</v>
      </c>
      <c r="AA52" s="664">
        <f t="shared" si="32"/>
        <v>0</v>
      </c>
      <c r="AB52" s="665">
        <f t="shared" si="32"/>
        <v>0</v>
      </c>
      <c r="AC52" s="337"/>
      <c r="AD52" s="338"/>
      <c r="AE52" s="383">
        <f t="shared" si="33"/>
        <v>0</v>
      </c>
      <c r="AF52" s="386">
        <f t="shared" si="33"/>
        <v>0</v>
      </c>
      <c r="AG52" s="534">
        <f t="shared" si="19"/>
        <v>1987</v>
      </c>
      <c r="AH52" s="1271">
        <f t="shared" si="34"/>
        <v>0</v>
      </c>
      <c r="AI52" s="1276">
        <f t="shared" si="35"/>
        <v>0</v>
      </c>
      <c r="AJ52" s="337"/>
      <c r="AK52" s="338"/>
      <c r="AL52" s="1271">
        <v>0</v>
      </c>
      <c r="AM52" s="1276">
        <v>0</v>
      </c>
      <c r="AN52" s="414">
        <f t="shared" si="20"/>
        <v>1</v>
      </c>
      <c r="AO52" s="413">
        <f t="shared" si="3"/>
        <v>1</v>
      </c>
      <c r="AP52" s="337"/>
      <c r="AQ52" s="338"/>
      <c r="AR52" s="664">
        <f t="shared" si="45"/>
        <v>0</v>
      </c>
      <c r="AS52" s="679">
        <f t="shared" si="45"/>
        <v>0</v>
      </c>
      <c r="AT52" s="383">
        <f t="shared" si="36"/>
        <v>0</v>
      </c>
      <c r="AU52" s="386">
        <f t="shared" si="4"/>
        <v>0</v>
      </c>
      <c r="AV52" s="534">
        <f t="shared" si="22"/>
        <v>1986</v>
      </c>
      <c r="AW52" s="1271">
        <f t="shared" si="37"/>
        <v>0</v>
      </c>
      <c r="AX52" s="1276">
        <f t="shared" si="38"/>
        <v>0</v>
      </c>
      <c r="AY52" s="337"/>
      <c r="AZ52" s="338"/>
      <c r="BA52" s="1271">
        <v>0</v>
      </c>
      <c r="BB52" s="1276">
        <v>0</v>
      </c>
      <c r="BC52" s="414">
        <f t="shared" si="23"/>
        <v>1</v>
      </c>
      <c r="BD52" s="413">
        <f t="shared" si="7"/>
        <v>1</v>
      </c>
      <c r="BE52" s="337"/>
      <c r="BF52" s="338"/>
      <c r="BG52" s="664">
        <f t="shared" si="46"/>
        <v>0</v>
      </c>
      <c r="BH52" s="679">
        <f t="shared" si="46"/>
        <v>0</v>
      </c>
      <c r="BI52" s="383">
        <f t="shared" si="39"/>
        <v>0</v>
      </c>
      <c r="BJ52" s="386">
        <f t="shared" si="39"/>
        <v>0</v>
      </c>
      <c r="BK52" s="534">
        <f t="shared" si="25"/>
        <v>1985</v>
      </c>
      <c r="BL52" s="1271">
        <f t="shared" si="40"/>
        <v>0</v>
      </c>
      <c r="BM52" s="1276">
        <f t="shared" si="41"/>
        <v>0</v>
      </c>
      <c r="BN52" s="337"/>
      <c r="BO52" s="338"/>
      <c r="BP52" s="1271">
        <v>0</v>
      </c>
      <c r="BQ52" s="1276">
        <v>0</v>
      </c>
      <c r="BR52" s="414">
        <f t="shared" si="26"/>
        <v>1</v>
      </c>
      <c r="BS52" s="413">
        <f t="shared" si="11"/>
        <v>1</v>
      </c>
      <c r="BT52" s="337"/>
      <c r="BU52" s="338"/>
      <c r="BV52" s="664">
        <f t="shared" si="47"/>
        <v>0</v>
      </c>
      <c r="BW52" s="679">
        <f t="shared" si="47"/>
        <v>0</v>
      </c>
      <c r="BX52" s="383">
        <f t="shared" si="42"/>
        <v>0</v>
      </c>
      <c r="BY52" s="386">
        <f t="shared" si="42"/>
        <v>0</v>
      </c>
      <c r="BZ52" s="534">
        <f t="shared" si="28"/>
        <v>1988</v>
      </c>
      <c r="CA52" s="664">
        <f t="shared" si="48"/>
        <v>0</v>
      </c>
      <c r="CB52" s="665">
        <f t="shared" si="48"/>
        <v>0</v>
      </c>
      <c r="CC52" s="664">
        <f t="shared" si="49"/>
        <v>0</v>
      </c>
      <c r="CD52" s="665">
        <f t="shared" si="49"/>
        <v>0</v>
      </c>
      <c r="CE52" s="337"/>
      <c r="CF52" s="338"/>
      <c r="CG52" s="383">
        <f t="shared" si="43"/>
        <v>0</v>
      </c>
      <c r="CH52" s="386">
        <f t="shared" si="43"/>
        <v>0</v>
      </c>
    </row>
    <row r="53" spans="2:86" x14ac:dyDescent="0.2">
      <c r="B53" s="276">
        <v>38</v>
      </c>
      <c r="C53" s="320">
        <f t="shared" si="29"/>
        <v>39</v>
      </c>
      <c r="D53" s="534">
        <f t="shared" si="13"/>
        <v>1987</v>
      </c>
      <c r="E53" s="337"/>
      <c r="F53" s="338"/>
      <c r="G53" s="1271">
        <v>0</v>
      </c>
      <c r="H53" s="1289">
        <v>0</v>
      </c>
      <c r="I53" s="400">
        <f t="shared" si="44"/>
        <v>0</v>
      </c>
      <c r="J53" s="401">
        <f t="shared" si="14"/>
        <v>0</v>
      </c>
      <c r="K53" s="402" cm="1">
        <f t="array" ref="K53">HE_fact_qM*INDEX(HE_MortalityLapsesCY,$C53,4)</f>
        <v>5.6192082569310421E-4</v>
      </c>
      <c r="L53" s="403" cm="1">
        <f t="array" ref="L53">HE_fact_qF*INDEX(HE_MortalityLapsesCY,$C53,5)</f>
        <v>3.1976249702578004E-4</v>
      </c>
      <c r="M53" s="404" cm="1">
        <f t="array" ref="M53">INDEX(HE_MortalityLapsesCY,$C53,5+(2*$L$7-1))</f>
        <v>7.2683038090169544E-2</v>
      </c>
      <c r="N53" s="405" cm="1">
        <f t="array" ref="N53">INDEX(HE_MortalityLapsesCY,$C53,5+2*$L$7)</f>
        <v>7.2683038090169544E-2</v>
      </c>
      <c r="O53" s="391">
        <f t="shared" si="30"/>
        <v>0.99971903958715347</v>
      </c>
      <c r="P53" s="1143">
        <f t="shared" si="30"/>
        <v>0.99984011875148715</v>
      </c>
      <c r="Q53" s="356">
        <f t="shared" si="15"/>
        <v>1987</v>
      </c>
      <c r="R53" s="337"/>
      <c r="S53" s="338"/>
      <c r="T53" s="664">
        <f t="shared" si="16"/>
        <v>0</v>
      </c>
      <c r="U53" s="665">
        <f t="shared" si="17"/>
        <v>0</v>
      </c>
      <c r="V53" s="337"/>
      <c r="W53" s="338"/>
      <c r="X53" s="383">
        <f t="shared" si="31"/>
        <v>0</v>
      </c>
      <c r="Y53" s="386">
        <f t="shared" si="31"/>
        <v>0</v>
      </c>
      <c r="Z53" s="534">
        <f t="shared" si="18"/>
        <v>1987</v>
      </c>
      <c r="AA53" s="664">
        <f t="shared" si="32"/>
        <v>0</v>
      </c>
      <c r="AB53" s="665">
        <f t="shared" si="32"/>
        <v>0</v>
      </c>
      <c r="AC53" s="337"/>
      <c r="AD53" s="338"/>
      <c r="AE53" s="383">
        <f t="shared" si="33"/>
        <v>0</v>
      </c>
      <c r="AF53" s="386">
        <f t="shared" si="33"/>
        <v>0</v>
      </c>
      <c r="AG53" s="534">
        <f t="shared" si="19"/>
        <v>1986</v>
      </c>
      <c r="AH53" s="1271">
        <f t="shared" si="34"/>
        <v>0</v>
      </c>
      <c r="AI53" s="1276">
        <f t="shared" si="35"/>
        <v>0</v>
      </c>
      <c r="AJ53" s="337"/>
      <c r="AK53" s="338"/>
      <c r="AL53" s="1271">
        <v>0</v>
      </c>
      <c r="AM53" s="1276">
        <v>0</v>
      </c>
      <c r="AN53" s="414">
        <f t="shared" si="20"/>
        <v>1</v>
      </c>
      <c r="AO53" s="413">
        <f t="shared" si="3"/>
        <v>1</v>
      </c>
      <c r="AP53" s="337"/>
      <c r="AQ53" s="338"/>
      <c r="AR53" s="664">
        <f t="shared" si="45"/>
        <v>0</v>
      </c>
      <c r="AS53" s="679">
        <f t="shared" si="45"/>
        <v>0</v>
      </c>
      <c r="AT53" s="383">
        <f t="shared" si="36"/>
        <v>0</v>
      </c>
      <c r="AU53" s="386">
        <f t="shared" si="4"/>
        <v>0</v>
      </c>
      <c r="AV53" s="534">
        <f t="shared" si="22"/>
        <v>1985</v>
      </c>
      <c r="AW53" s="1271">
        <f t="shared" si="37"/>
        <v>0</v>
      </c>
      <c r="AX53" s="1276">
        <f t="shared" si="38"/>
        <v>0</v>
      </c>
      <c r="AY53" s="337"/>
      <c r="AZ53" s="338"/>
      <c r="BA53" s="1271">
        <v>0</v>
      </c>
      <c r="BB53" s="1276">
        <v>0</v>
      </c>
      <c r="BC53" s="414">
        <f t="shared" si="23"/>
        <v>1</v>
      </c>
      <c r="BD53" s="413">
        <f t="shared" si="7"/>
        <v>1</v>
      </c>
      <c r="BE53" s="337"/>
      <c r="BF53" s="338"/>
      <c r="BG53" s="664">
        <f t="shared" si="46"/>
        <v>0</v>
      </c>
      <c r="BH53" s="679">
        <f t="shared" si="46"/>
        <v>0</v>
      </c>
      <c r="BI53" s="383">
        <f t="shared" si="39"/>
        <v>0</v>
      </c>
      <c r="BJ53" s="386">
        <f t="shared" si="39"/>
        <v>0</v>
      </c>
      <c r="BK53" s="534">
        <f t="shared" si="25"/>
        <v>1984</v>
      </c>
      <c r="BL53" s="1271">
        <f t="shared" si="40"/>
        <v>0</v>
      </c>
      <c r="BM53" s="1276">
        <f t="shared" si="41"/>
        <v>0</v>
      </c>
      <c r="BN53" s="337"/>
      <c r="BO53" s="338"/>
      <c r="BP53" s="1271">
        <v>0</v>
      </c>
      <c r="BQ53" s="1276">
        <v>0</v>
      </c>
      <c r="BR53" s="414">
        <f t="shared" si="26"/>
        <v>1</v>
      </c>
      <c r="BS53" s="413">
        <f t="shared" si="11"/>
        <v>1</v>
      </c>
      <c r="BT53" s="337"/>
      <c r="BU53" s="338"/>
      <c r="BV53" s="664">
        <f t="shared" si="47"/>
        <v>0</v>
      </c>
      <c r="BW53" s="679">
        <f t="shared" si="47"/>
        <v>0</v>
      </c>
      <c r="BX53" s="383">
        <f t="shared" si="42"/>
        <v>0</v>
      </c>
      <c r="BY53" s="386">
        <f t="shared" si="42"/>
        <v>0</v>
      </c>
      <c r="BZ53" s="534">
        <f t="shared" si="28"/>
        <v>1987</v>
      </c>
      <c r="CA53" s="664">
        <f t="shared" si="48"/>
        <v>0</v>
      </c>
      <c r="CB53" s="665">
        <f t="shared" si="48"/>
        <v>0</v>
      </c>
      <c r="CC53" s="664">
        <f t="shared" si="49"/>
        <v>0</v>
      </c>
      <c r="CD53" s="665">
        <f t="shared" si="49"/>
        <v>0</v>
      </c>
      <c r="CE53" s="337"/>
      <c r="CF53" s="338"/>
      <c r="CG53" s="383">
        <f t="shared" si="43"/>
        <v>0</v>
      </c>
      <c r="CH53" s="386">
        <f t="shared" si="43"/>
        <v>0</v>
      </c>
    </row>
    <row r="54" spans="2:86" x14ac:dyDescent="0.2">
      <c r="B54" s="276">
        <v>39</v>
      </c>
      <c r="C54" s="320">
        <f t="shared" si="29"/>
        <v>40</v>
      </c>
      <c r="D54" s="534">
        <f t="shared" si="13"/>
        <v>1986</v>
      </c>
      <c r="E54" s="337"/>
      <c r="F54" s="338"/>
      <c r="G54" s="1271">
        <v>0</v>
      </c>
      <c r="H54" s="1289">
        <v>0</v>
      </c>
      <c r="I54" s="400">
        <f t="shared" si="44"/>
        <v>0</v>
      </c>
      <c r="J54" s="401">
        <f t="shared" si="14"/>
        <v>0</v>
      </c>
      <c r="K54" s="402" cm="1">
        <f t="array" ref="K54">HE_fact_qM*INDEX(HE_MortalityLapsesCY,$C54,4)</f>
        <v>6.0207636689223664E-4</v>
      </c>
      <c r="L54" s="403" cm="1">
        <f t="array" ref="L54">HE_fact_qF*INDEX(HE_MortalityLapsesCY,$C54,5)</f>
        <v>3.4889657134818319E-4</v>
      </c>
      <c r="M54" s="404" cm="1">
        <f t="array" ref="M54">INDEX(HE_MortalityLapsesCY,$C54,5+(2*$L$7-1))</f>
        <v>6.7702980472764643E-2</v>
      </c>
      <c r="N54" s="405" cm="1">
        <f t="array" ref="N54">INDEX(HE_MortalityLapsesCY,$C54,5+2*$L$7)</f>
        <v>6.7702980472764643E-2</v>
      </c>
      <c r="O54" s="391">
        <f t="shared" si="30"/>
        <v>0.99969896181655393</v>
      </c>
      <c r="P54" s="1143">
        <f t="shared" si="30"/>
        <v>0.99982555171432597</v>
      </c>
      <c r="Q54" s="356">
        <f t="shared" si="15"/>
        <v>1986</v>
      </c>
      <c r="R54" s="337"/>
      <c r="S54" s="338"/>
      <c r="T54" s="664">
        <f t="shared" si="16"/>
        <v>0</v>
      </c>
      <c r="U54" s="665">
        <f t="shared" si="17"/>
        <v>0</v>
      </c>
      <c r="V54" s="337"/>
      <c r="W54" s="338"/>
      <c r="X54" s="383">
        <f t="shared" si="31"/>
        <v>0</v>
      </c>
      <c r="Y54" s="386">
        <f t="shared" si="31"/>
        <v>0</v>
      </c>
      <c r="Z54" s="534">
        <f t="shared" si="18"/>
        <v>1986</v>
      </c>
      <c r="AA54" s="664">
        <f t="shared" si="32"/>
        <v>0</v>
      </c>
      <c r="AB54" s="665">
        <f t="shared" si="32"/>
        <v>0</v>
      </c>
      <c r="AC54" s="337"/>
      <c r="AD54" s="338"/>
      <c r="AE54" s="383">
        <f t="shared" si="33"/>
        <v>0</v>
      </c>
      <c r="AF54" s="386">
        <f t="shared" si="33"/>
        <v>0</v>
      </c>
      <c r="AG54" s="534">
        <f t="shared" si="19"/>
        <v>1985</v>
      </c>
      <c r="AH54" s="1271">
        <f t="shared" si="34"/>
        <v>0</v>
      </c>
      <c r="AI54" s="1276">
        <f t="shared" si="35"/>
        <v>0</v>
      </c>
      <c r="AJ54" s="337"/>
      <c r="AK54" s="338"/>
      <c r="AL54" s="1271">
        <v>0</v>
      </c>
      <c r="AM54" s="1276">
        <v>0</v>
      </c>
      <c r="AN54" s="414">
        <f t="shared" si="20"/>
        <v>1</v>
      </c>
      <c r="AO54" s="413">
        <f t="shared" si="3"/>
        <v>1</v>
      </c>
      <c r="AP54" s="337"/>
      <c r="AQ54" s="338"/>
      <c r="AR54" s="664">
        <f t="shared" si="45"/>
        <v>0</v>
      </c>
      <c r="AS54" s="679">
        <f t="shared" si="45"/>
        <v>0</v>
      </c>
      <c r="AT54" s="383">
        <f t="shared" si="36"/>
        <v>0</v>
      </c>
      <c r="AU54" s="386">
        <f t="shared" si="4"/>
        <v>0</v>
      </c>
      <c r="AV54" s="534">
        <f t="shared" si="22"/>
        <v>1984</v>
      </c>
      <c r="AW54" s="1271">
        <f t="shared" si="37"/>
        <v>0</v>
      </c>
      <c r="AX54" s="1276">
        <f t="shared" si="38"/>
        <v>0</v>
      </c>
      <c r="AY54" s="337"/>
      <c r="AZ54" s="338"/>
      <c r="BA54" s="1271">
        <v>0</v>
      </c>
      <c r="BB54" s="1276">
        <v>0</v>
      </c>
      <c r="BC54" s="414">
        <f t="shared" si="23"/>
        <v>1</v>
      </c>
      <c r="BD54" s="413">
        <f t="shared" si="7"/>
        <v>1</v>
      </c>
      <c r="BE54" s="337"/>
      <c r="BF54" s="338"/>
      <c r="BG54" s="664">
        <f t="shared" si="46"/>
        <v>0</v>
      </c>
      <c r="BH54" s="679">
        <f t="shared" si="46"/>
        <v>0</v>
      </c>
      <c r="BI54" s="383">
        <f t="shared" si="39"/>
        <v>0</v>
      </c>
      <c r="BJ54" s="386">
        <f t="shared" si="39"/>
        <v>0</v>
      </c>
      <c r="BK54" s="534">
        <f t="shared" si="25"/>
        <v>1983</v>
      </c>
      <c r="BL54" s="1271">
        <f t="shared" si="40"/>
        <v>0</v>
      </c>
      <c r="BM54" s="1276">
        <f t="shared" si="41"/>
        <v>0</v>
      </c>
      <c r="BN54" s="337"/>
      <c r="BO54" s="338"/>
      <c r="BP54" s="1271">
        <v>0</v>
      </c>
      <c r="BQ54" s="1276">
        <v>0</v>
      </c>
      <c r="BR54" s="414">
        <f t="shared" si="26"/>
        <v>1</v>
      </c>
      <c r="BS54" s="413">
        <f t="shared" si="11"/>
        <v>1</v>
      </c>
      <c r="BT54" s="337"/>
      <c r="BU54" s="338"/>
      <c r="BV54" s="664">
        <f t="shared" si="47"/>
        <v>0</v>
      </c>
      <c r="BW54" s="679">
        <f t="shared" si="47"/>
        <v>0</v>
      </c>
      <c r="BX54" s="383">
        <f t="shared" si="42"/>
        <v>0</v>
      </c>
      <c r="BY54" s="386">
        <f t="shared" si="42"/>
        <v>0</v>
      </c>
      <c r="BZ54" s="534">
        <f t="shared" si="28"/>
        <v>1986</v>
      </c>
      <c r="CA54" s="664">
        <f t="shared" si="48"/>
        <v>0</v>
      </c>
      <c r="CB54" s="665">
        <f t="shared" si="48"/>
        <v>0</v>
      </c>
      <c r="CC54" s="664">
        <f t="shared" si="49"/>
        <v>0</v>
      </c>
      <c r="CD54" s="665">
        <f t="shared" si="49"/>
        <v>0</v>
      </c>
      <c r="CE54" s="337"/>
      <c r="CF54" s="338"/>
      <c r="CG54" s="383">
        <f t="shared" si="43"/>
        <v>0</v>
      </c>
      <c r="CH54" s="386">
        <f t="shared" si="43"/>
        <v>0</v>
      </c>
    </row>
    <row r="55" spans="2:86" ht="13.5" thickBot="1" x14ac:dyDescent="0.25">
      <c r="B55" s="313">
        <v>40</v>
      </c>
      <c r="C55" s="321">
        <f t="shared" si="29"/>
        <v>41</v>
      </c>
      <c r="D55" s="535">
        <f t="shared" si="13"/>
        <v>1985</v>
      </c>
      <c r="E55" s="341"/>
      <c r="F55" s="340"/>
      <c r="G55" s="1277">
        <v>0</v>
      </c>
      <c r="H55" s="1290">
        <v>0</v>
      </c>
      <c r="I55" s="406">
        <f t="shared" si="44"/>
        <v>0</v>
      </c>
      <c r="J55" s="407">
        <f t="shared" si="14"/>
        <v>0</v>
      </c>
      <c r="K55" s="408" cm="1">
        <f t="array" ref="K55">HE_fact_qM*INDEX(HE_MortalityLapsesCY,$C55,4)</f>
        <v>6.483838403991758E-4</v>
      </c>
      <c r="L55" s="409" cm="1">
        <f t="array" ref="L55">HE_fact_qF*INDEX(HE_MortalityLapsesCY,$C55,5)</f>
        <v>3.8176338053392118E-4</v>
      </c>
      <c r="M55" s="410" cm="1">
        <f t="array" ref="M55">INDEX(HE_MortalityLapsesCY,$C55,5+(2*$L$7-1))</f>
        <v>7.7455662269878753E-2</v>
      </c>
      <c r="N55" s="411" cm="1">
        <f t="array" ref="N55">INDEX(HE_MortalityLapsesCY,$C55,5+2*$L$7)</f>
        <v>7.7455662269878753E-2</v>
      </c>
      <c r="O55" s="392">
        <f t="shared" si="30"/>
        <v>0.99967580807980039</v>
      </c>
      <c r="P55" s="1144">
        <f t="shared" si="30"/>
        <v>0.99980911830973307</v>
      </c>
      <c r="Q55" s="313">
        <f t="shared" si="15"/>
        <v>1985</v>
      </c>
      <c r="R55" s="341"/>
      <c r="S55" s="340"/>
      <c r="T55" s="666">
        <f t="shared" si="16"/>
        <v>0</v>
      </c>
      <c r="U55" s="667">
        <f t="shared" si="17"/>
        <v>0</v>
      </c>
      <c r="V55" s="341"/>
      <c r="W55" s="340"/>
      <c r="X55" s="384">
        <f t="shared" si="31"/>
        <v>0</v>
      </c>
      <c r="Y55" s="387">
        <f t="shared" si="31"/>
        <v>0</v>
      </c>
      <c r="Z55" s="535">
        <f t="shared" si="18"/>
        <v>1985</v>
      </c>
      <c r="AA55" s="666">
        <f t="shared" si="32"/>
        <v>0</v>
      </c>
      <c r="AB55" s="667">
        <f t="shared" si="32"/>
        <v>0</v>
      </c>
      <c r="AC55" s="341"/>
      <c r="AD55" s="340"/>
      <c r="AE55" s="384">
        <f t="shared" si="33"/>
        <v>0</v>
      </c>
      <c r="AF55" s="387">
        <f t="shared" si="33"/>
        <v>0</v>
      </c>
      <c r="AG55" s="535">
        <f t="shared" si="19"/>
        <v>1984</v>
      </c>
      <c r="AH55" s="1277">
        <f t="shared" si="34"/>
        <v>0</v>
      </c>
      <c r="AI55" s="1278">
        <f t="shared" si="35"/>
        <v>0</v>
      </c>
      <c r="AJ55" s="341"/>
      <c r="AK55" s="340"/>
      <c r="AL55" s="1277">
        <v>0</v>
      </c>
      <c r="AM55" s="1278">
        <v>0</v>
      </c>
      <c r="AN55" s="415">
        <f t="shared" si="20"/>
        <v>1</v>
      </c>
      <c r="AO55" s="416">
        <f t="shared" si="3"/>
        <v>1</v>
      </c>
      <c r="AP55" s="341"/>
      <c r="AQ55" s="340"/>
      <c r="AR55" s="666">
        <f t="shared" si="45"/>
        <v>0</v>
      </c>
      <c r="AS55" s="680">
        <f t="shared" si="45"/>
        <v>0</v>
      </c>
      <c r="AT55" s="384">
        <f t="shared" si="36"/>
        <v>0</v>
      </c>
      <c r="AU55" s="387">
        <f t="shared" si="4"/>
        <v>0</v>
      </c>
      <c r="AV55" s="535">
        <f t="shared" si="22"/>
        <v>1983</v>
      </c>
      <c r="AW55" s="1277">
        <f t="shared" si="37"/>
        <v>0</v>
      </c>
      <c r="AX55" s="1278">
        <f t="shared" si="38"/>
        <v>0</v>
      </c>
      <c r="AY55" s="341"/>
      <c r="AZ55" s="340"/>
      <c r="BA55" s="1277">
        <v>0</v>
      </c>
      <c r="BB55" s="1278">
        <v>0</v>
      </c>
      <c r="BC55" s="415">
        <f t="shared" si="23"/>
        <v>1</v>
      </c>
      <c r="BD55" s="416">
        <f t="shared" si="7"/>
        <v>1</v>
      </c>
      <c r="BE55" s="341"/>
      <c r="BF55" s="340"/>
      <c r="BG55" s="666">
        <f t="shared" si="46"/>
        <v>0</v>
      </c>
      <c r="BH55" s="680">
        <f t="shared" si="46"/>
        <v>0</v>
      </c>
      <c r="BI55" s="384">
        <f t="shared" si="39"/>
        <v>0</v>
      </c>
      <c r="BJ55" s="387">
        <f t="shared" si="39"/>
        <v>0</v>
      </c>
      <c r="BK55" s="535">
        <f t="shared" si="25"/>
        <v>1982</v>
      </c>
      <c r="BL55" s="1277">
        <f t="shared" si="40"/>
        <v>0</v>
      </c>
      <c r="BM55" s="1278">
        <f t="shared" si="41"/>
        <v>0</v>
      </c>
      <c r="BN55" s="341"/>
      <c r="BO55" s="340"/>
      <c r="BP55" s="1277">
        <v>0</v>
      </c>
      <c r="BQ55" s="1278">
        <v>0</v>
      </c>
      <c r="BR55" s="415">
        <f t="shared" si="26"/>
        <v>1</v>
      </c>
      <c r="BS55" s="416">
        <f t="shared" si="11"/>
        <v>1</v>
      </c>
      <c r="BT55" s="341"/>
      <c r="BU55" s="340"/>
      <c r="BV55" s="666">
        <f t="shared" si="47"/>
        <v>0</v>
      </c>
      <c r="BW55" s="680">
        <f t="shared" si="47"/>
        <v>0</v>
      </c>
      <c r="BX55" s="384">
        <f t="shared" si="42"/>
        <v>0</v>
      </c>
      <c r="BY55" s="387">
        <f t="shared" si="42"/>
        <v>0</v>
      </c>
      <c r="BZ55" s="535">
        <f t="shared" si="28"/>
        <v>1985</v>
      </c>
      <c r="CA55" s="666">
        <f t="shared" si="48"/>
        <v>0</v>
      </c>
      <c r="CB55" s="667">
        <f t="shared" si="48"/>
        <v>0</v>
      </c>
      <c r="CC55" s="666">
        <f t="shared" si="49"/>
        <v>0</v>
      </c>
      <c r="CD55" s="667">
        <f t="shared" si="49"/>
        <v>0</v>
      </c>
      <c r="CE55" s="341"/>
      <c r="CF55" s="340"/>
      <c r="CG55" s="384">
        <f t="shared" si="43"/>
        <v>0</v>
      </c>
      <c r="CH55" s="387">
        <f t="shared" si="43"/>
        <v>0</v>
      </c>
    </row>
    <row r="56" spans="2:86" ht="13.5" thickTop="1" x14ac:dyDescent="0.2">
      <c r="B56" s="276">
        <v>41</v>
      </c>
      <c r="C56" s="320">
        <f t="shared" si="29"/>
        <v>42</v>
      </c>
      <c r="D56" s="534">
        <f t="shared" si="13"/>
        <v>1984</v>
      </c>
      <c r="E56" s="337"/>
      <c r="F56" s="338"/>
      <c r="G56" s="1271">
        <v>0</v>
      </c>
      <c r="H56" s="1289">
        <v>0</v>
      </c>
      <c r="I56" s="400">
        <f t="shared" si="44"/>
        <v>0</v>
      </c>
      <c r="J56" s="401">
        <f t="shared" si="14"/>
        <v>0</v>
      </c>
      <c r="K56" s="402" cm="1">
        <f t="array" ref="K56">HE_fact_qM*INDEX(HE_MortalityLapsesCY,$C56,4)</f>
        <v>7.0164399009144281E-4</v>
      </c>
      <c r="L56" s="403" cm="1">
        <f t="array" ref="L56">HE_fact_qF*INDEX(HE_MortalityLapsesCY,$C56,5)</f>
        <v>4.1880330692779908E-4</v>
      </c>
      <c r="M56" s="404" cm="1">
        <f t="array" ref="M56">INDEX(HE_MortalityLapsesCY,$C56,5+(2*$L$7-1))</f>
        <v>6.0488837233507384E-2</v>
      </c>
      <c r="N56" s="405" cm="1">
        <f t="array" ref="N56">INDEX(HE_MortalityLapsesCY,$C56,5+2*$L$7)</f>
        <v>6.0488837233507384E-2</v>
      </c>
      <c r="O56" s="391">
        <f t="shared" si="30"/>
        <v>0.99964917800495434</v>
      </c>
      <c r="P56" s="1143">
        <f t="shared" si="30"/>
        <v>0.99979059834653605</v>
      </c>
      <c r="Q56" s="356">
        <f t="shared" si="15"/>
        <v>1984</v>
      </c>
      <c r="R56" s="337"/>
      <c r="S56" s="338"/>
      <c r="T56" s="664">
        <f t="shared" si="16"/>
        <v>0</v>
      </c>
      <c r="U56" s="665">
        <f t="shared" si="17"/>
        <v>0</v>
      </c>
      <c r="V56" s="337"/>
      <c r="W56" s="338"/>
      <c r="X56" s="383">
        <f t="shared" si="31"/>
        <v>0</v>
      </c>
      <c r="Y56" s="386">
        <f t="shared" si="31"/>
        <v>0</v>
      </c>
      <c r="Z56" s="534">
        <f t="shared" si="18"/>
        <v>1984</v>
      </c>
      <c r="AA56" s="664">
        <f t="shared" si="32"/>
        <v>0</v>
      </c>
      <c r="AB56" s="665">
        <f t="shared" si="32"/>
        <v>0</v>
      </c>
      <c r="AC56" s="337"/>
      <c r="AD56" s="338"/>
      <c r="AE56" s="383">
        <f t="shared" si="33"/>
        <v>0</v>
      </c>
      <c r="AF56" s="386">
        <f t="shared" si="33"/>
        <v>0</v>
      </c>
      <c r="AG56" s="534">
        <f t="shared" si="19"/>
        <v>1983</v>
      </c>
      <c r="AH56" s="1271">
        <f t="shared" si="34"/>
        <v>0</v>
      </c>
      <c r="AI56" s="1276">
        <f t="shared" si="35"/>
        <v>0</v>
      </c>
      <c r="AJ56" s="337"/>
      <c r="AK56" s="338"/>
      <c r="AL56" s="1271">
        <v>0</v>
      </c>
      <c r="AM56" s="1276">
        <v>0</v>
      </c>
      <c r="AN56" s="414">
        <f t="shared" si="20"/>
        <v>1</v>
      </c>
      <c r="AO56" s="413">
        <f t="shared" si="3"/>
        <v>1</v>
      </c>
      <c r="AP56" s="337"/>
      <c r="AQ56" s="338"/>
      <c r="AR56" s="664">
        <f t="shared" si="45"/>
        <v>0</v>
      </c>
      <c r="AS56" s="679">
        <f t="shared" si="45"/>
        <v>0</v>
      </c>
      <c r="AT56" s="383">
        <f t="shared" si="36"/>
        <v>0</v>
      </c>
      <c r="AU56" s="386">
        <f t="shared" si="4"/>
        <v>0</v>
      </c>
      <c r="AV56" s="534">
        <f t="shared" si="22"/>
        <v>1982</v>
      </c>
      <c r="AW56" s="1271">
        <f t="shared" si="37"/>
        <v>0</v>
      </c>
      <c r="AX56" s="1276">
        <f t="shared" si="38"/>
        <v>0</v>
      </c>
      <c r="AY56" s="337"/>
      <c r="AZ56" s="338"/>
      <c r="BA56" s="1271">
        <v>0</v>
      </c>
      <c r="BB56" s="1276">
        <v>0</v>
      </c>
      <c r="BC56" s="414">
        <f t="shared" si="23"/>
        <v>1</v>
      </c>
      <c r="BD56" s="413">
        <f t="shared" si="7"/>
        <v>1</v>
      </c>
      <c r="BE56" s="337"/>
      <c r="BF56" s="338"/>
      <c r="BG56" s="664">
        <f t="shared" si="46"/>
        <v>0</v>
      </c>
      <c r="BH56" s="679">
        <f t="shared" si="46"/>
        <v>0</v>
      </c>
      <c r="BI56" s="383">
        <f t="shared" si="39"/>
        <v>0</v>
      </c>
      <c r="BJ56" s="386">
        <f t="shared" si="39"/>
        <v>0</v>
      </c>
      <c r="BK56" s="534">
        <f t="shared" si="25"/>
        <v>1981</v>
      </c>
      <c r="BL56" s="1271">
        <f t="shared" si="40"/>
        <v>0</v>
      </c>
      <c r="BM56" s="1276">
        <f t="shared" si="41"/>
        <v>0</v>
      </c>
      <c r="BN56" s="337"/>
      <c r="BO56" s="338"/>
      <c r="BP56" s="1271">
        <v>0</v>
      </c>
      <c r="BQ56" s="1276">
        <v>0</v>
      </c>
      <c r="BR56" s="414">
        <f t="shared" si="26"/>
        <v>1</v>
      </c>
      <c r="BS56" s="413">
        <f t="shared" si="11"/>
        <v>1</v>
      </c>
      <c r="BT56" s="337"/>
      <c r="BU56" s="338"/>
      <c r="BV56" s="664">
        <f t="shared" si="47"/>
        <v>0</v>
      </c>
      <c r="BW56" s="679">
        <f t="shared" si="47"/>
        <v>0</v>
      </c>
      <c r="BX56" s="383">
        <f t="shared" si="42"/>
        <v>0</v>
      </c>
      <c r="BY56" s="386">
        <f t="shared" si="42"/>
        <v>0</v>
      </c>
      <c r="BZ56" s="534">
        <f t="shared" si="28"/>
        <v>1984</v>
      </c>
      <c r="CA56" s="664">
        <f t="shared" si="48"/>
        <v>0</v>
      </c>
      <c r="CB56" s="665">
        <f t="shared" si="48"/>
        <v>0</v>
      </c>
      <c r="CC56" s="664">
        <f t="shared" si="49"/>
        <v>0</v>
      </c>
      <c r="CD56" s="665">
        <f t="shared" si="49"/>
        <v>0</v>
      </c>
      <c r="CE56" s="337"/>
      <c r="CF56" s="338"/>
      <c r="CG56" s="383">
        <f t="shared" si="43"/>
        <v>0</v>
      </c>
      <c r="CH56" s="386">
        <f t="shared" si="43"/>
        <v>0</v>
      </c>
    </row>
    <row r="57" spans="2:86" x14ac:dyDescent="0.2">
      <c r="B57" s="276">
        <v>42</v>
      </c>
      <c r="C57" s="320">
        <f t="shared" si="29"/>
        <v>43</v>
      </c>
      <c r="D57" s="534">
        <f t="shared" si="13"/>
        <v>1983</v>
      </c>
      <c r="E57" s="337"/>
      <c r="F57" s="338"/>
      <c r="G57" s="1271">
        <v>0</v>
      </c>
      <c r="H57" s="1289">
        <v>0</v>
      </c>
      <c r="I57" s="400">
        <f t="shared" si="44"/>
        <v>0</v>
      </c>
      <c r="J57" s="401">
        <f t="shared" si="14"/>
        <v>0</v>
      </c>
      <c r="K57" s="402" cm="1">
        <f t="array" ref="K57">HE_fact_qM*INDEX(HE_MortalityLapsesCY,$C57,4)</f>
        <v>7.6277437136785045E-4</v>
      </c>
      <c r="L57" s="403" cm="1">
        <f t="array" ref="L57">HE_fact_qF*INDEX(HE_MortalityLapsesCY,$C57,5)</f>
        <v>4.6044525985398569E-4</v>
      </c>
      <c r="M57" s="404" cm="1">
        <f t="array" ref="M57">INDEX(HE_MortalityLapsesCY,$C57,5+(2*$L$7-1))</f>
        <v>6.1059985222005779E-2</v>
      </c>
      <c r="N57" s="405" cm="1">
        <f t="array" ref="N57">INDEX(HE_MortalityLapsesCY,$C57,5+2*$L$7)</f>
        <v>6.1059985222005779E-2</v>
      </c>
      <c r="O57" s="391">
        <f t="shared" si="30"/>
        <v>0.99961861281431608</v>
      </c>
      <c r="P57" s="1143">
        <f t="shared" si="30"/>
        <v>0.999769777370073</v>
      </c>
      <c r="Q57" s="356">
        <f t="shared" si="15"/>
        <v>1983</v>
      </c>
      <c r="R57" s="337"/>
      <c r="S57" s="338"/>
      <c r="T57" s="664">
        <f t="shared" si="16"/>
        <v>0</v>
      </c>
      <c r="U57" s="665">
        <f t="shared" si="17"/>
        <v>0</v>
      </c>
      <c r="V57" s="337"/>
      <c r="W57" s="338"/>
      <c r="X57" s="383">
        <f t="shared" si="31"/>
        <v>0</v>
      </c>
      <c r="Y57" s="386">
        <f t="shared" si="31"/>
        <v>0</v>
      </c>
      <c r="Z57" s="534">
        <f t="shared" si="18"/>
        <v>1983</v>
      </c>
      <c r="AA57" s="664">
        <f t="shared" si="32"/>
        <v>0</v>
      </c>
      <c r="AB57" s="665">
        <f t="shared" si="32"/>
        <v>0</v>
      </c>
      <c r="AC57" s="337"/>
      <c r="AD57" s="338"/>
      <c r="AE57" s="383">
        <f t="shared" si="33"/>
        <v>0</v>
      </c>
      <c r="AF57" s="386">
        <f t="shared" si="33"/>
        <v>0</v>
      </c>
      <c r="AG57" s="534">
        <f t="shared" si="19"/>
        <v>1982</v>
      </c>
      <c r="AH57" s="1271">
        <f t="shared" si="34"/>
        <v>0</v>
      </c>
      <c r="AI57" s="1276">
        <f t="shared" si="35"/>
        <v>0</v>
      </c>
      <c r="AJ57" s="337"/>
      <c r="AK57" s="338"/>
      <c r="AL57" s="1271">
        <v>0</v>
      </c>
      <c r="AM57" s="1276">
        <v>0</v>
      </c>
      <c r="AN57" s="414">
        <f t="shared" si="20"/>
        <v>1</v>
      </c>
      <c r="AO57" s="413">
        <f t="shared" si="3"/>
        <v>1</v>
      </c>
      <c r="AP57" s="337"/>
      <c r="AQ57" s="338"/>
      <c r="AR57" s="664">
        <f t="shared" si="45"/>
        <v>0</v>
      </c>
      <c r="AS57" s="679">
        <f t="shared" si="45"/>
        <v>0</v>
      </c>
      <c r="AT57" s="383">
        <f t="shared" si="36"/>
        <v>0</v>
      </c>
      <c r="AU57" s="386">
        <f t="shared" si="4"/>
        <v>0</v>
      </c>
      <c r="AV57" s="534">
        <f t="shared" si="22"/>
        <v>1981</v>
      </c>
      <c r="AW57" s="1271">
        <f t="shared" si="37"/>
        <v>0</v>
      </c>
      <c r="AX57" s="1276">
        <f t="shared" si="38"/>
        <v>0</v>
      </c>
      <c r="AY57" s="337"/>
      <c r="AZ57" s="338"/>
      <c r="BA57" s="1271">
        <v>0</v>
      </c>
      <c r="BB57" s="1276">
        <v>0</v>
      </c>
      <c r="BC57" s="414">
        <f t="shared" si="23"/>
        <v>1</v>
      </c>
      <c r="BD57" s="413">
        <f t="shared" si="7"/>
        <v>1</v>
      </c>
      <c r="BE57" s="337"/>
      <c r="BF57" s="338"/>
      <c r="BG57" s="664">
        <f t="shared" si="46"/>
        <v>0</v>
      </c>
      <c r="BH57" s="679">
        <f t="shared" si="46"/>
        <v>0</v>
      </c>
      <c r="BI57" s="383">
        <f t="shared" si="39"/>
        <v>0</v>
      </c>
      <c r="BJ57" s="386">
        <f t="shared" si="39"/>
        <v>0</v>
      </c>
      <c r="BK57" s="534">
        <f t="shared" si="25"/>
        <v>1980</v>
      </c>
      <c r="BL57" s="1271">
        <f t="shared" si="40"/>
        <v>0</v>
      </c>
      <c r="BM57" s="1276">
        <f t="shared" si="41"/>
        <v>0</v>
      </c>
      <c r="BN57" s="337"/>
      <c r="BO57" s="338"/>
      <c r="BP57" s="1271">
        <v>0</v>
      </c>
      <c r="BQ57" s="1276">
        <v>0</v>
      </c>
      <c r="BR57" s="414">
        <f t="shared" si="26"/>
        <v>1</v>
      </c>
      <c r="BS57" s="413">
        <f t="shared" si="11"/>
        <v>1</v>
      </c>
      <c r="BT57" s="337"/>
      <c r="BU57" s="338"/>
      <c r="BV57" s="664">
        <f t="shared" si="47"/>
        <v>0</v>
      </c>
      <c r="BW57" s="679">
        <f t="shared" si="47"/>
        <v>0</v>
      </c>
      <c r="BX57" s="383">
        <f t="shared" si="42"/>
        <v>0</v>
      </c>
      <c r="BY57" s="386">
        <f t="shared" si="42"/>
        <v>0</v>
      </c>
      <c r="BZ57" s="534">
        <f t="shared" si="28"/>
        <v>1983</v>
      </c>
      <c r="CA57" s="664">
        <f t="shared" si="48"/>
        <v>0</v>
      </c>
      <c r="CB57" s="665">
        <f t="shared" si="48"/>
        <v>0</v>
      </c>
      <c r="CC57" s="664">
        <f t="shared" si="49"/>
        <v>0</v>
      </c>
      <c r="CD57" s="665">
        <f t="shared" si="49"/>
        <v>0</v>
      </c>
      <c r="CE57" s="337"/>
      <c r="CF57" s="338"/>
      <c r="CG57" s="383">
        <f t="shared" si="43"/>
        <v>0</v>
      </c>
      <c r="CH57" s="386">
        <f t="shared" si="43"/>
        <v>0</v>
      </c>
    </row>
    <row r="58" spans="2:86" x14ac:dyDescent="0.2">
      <c r="B58" s="276">
        <v>43</v>
      </c>
      <c r="C58" s="320">
        <f t="shared" si="29"/>
        <v>44</v>
      </c>
      <c r="D58" s="534">
        <f t="shared" si="13"/>
        <v>1982</v>
      </c>
      <c r="E58" s="337"/>
      <c r="F58" s="338"/>
      <c r="G58" s="1271">
        <v>0</v>
      </c>
      <c r="H58" s="1289">
        <v>0</v>
      </c>
      <c r="I58" s="400">
        <f t="shared" si="44"/>
        <v>0</v>
      </c>
      <c r="J58" s="401">
        <f t="shared" si="14"/>
        <v>0</v>
      </c>
      <c r="K58" s="402" cm="1">
        <f t="array" ref="K58">HE_fact_qM*INDEX(HE_MortalityLapsesCY,$C58,4)</f>
        <v>8.3282002159396583E-4</v>
      </c>
      <c r="L58" s="403" cm="1">
        <f t="array" ref="L58">HE_fact_qF*INDEX(HE_MortalityLapsesCY,$C58,5)</f>
        <v>5.0709770241086523E-4</v>
      </c>
      <c r="M58" s="404" cm="1">
        <f t="array" ref="M58">INDEX(HE_MortalityLapsesCY,$C58,5+(2*$L$7-1))</f>
        <v>5.6986525112290728E-2</v>
      </c>
      <c r="N58" s="405" cm="1">
        <f t="array" ref="N58">INDEX(HE_MortalityLapsesCY,$C58,5+2*$L$7)</f>
        <v>5.6986525112290728E-2</v>
      </c>
      <c r="O58" s="391">
        <f t="shared" si="30"/>
        <v>0.99958358998920294</v>
      </c>
      <c r="P58" s="1143">
        <f t="shared" si="30"/>
        <v>0.99974645114879457</v>
      </c>
      <c r="Q58" s="356">
        <f t="shared" si="15"/>
        <v>1982</v>
      </c>
      <c r="R58" s="337"/>
      <c r="S58" s="338"/>
      <c r="T58" s="664">
        <f t="shared" si="16"/>
        <v>0</v>
      </c>
      <c r="U58" s="665">
        <f t="shared" si="17"/>
        <v>0</v>
      </c>
      <c r="V58" s="337"/>
      <c r="W58" s="338"/>
      <c r="X58" s="383">
        <f t="shared" si="31"/>
        <v>0</v>
      </c>
      <c r="Y58" s="386">
        <f t="shared" si="31"/>
        <v>0</v>
      </c>
      <c r="Z58" s="534">
        <f t="shared" si="18"/>
        <v>1982</v>
      </c>
      <c r="AA58" s="664">
        <f t="shared" si="32"/>
        <v>0</v>
      </c>
      <c r="AB58" s="665">
        <f t="shared" si="32"/>
        <v>0</v>
      </c>
      <c r="AC58" s="337"/>
      <c r="AD58" s="338"/>
      <c r="AE58" s="383">
        <f t="shared" si="33"/>
        <v>0</v>
      </c>
      <c r="AF58" s="386">
        <f t="shared" si="33"/>
        <v>0</v>
      </c>
      <c r="AG58" s="534">
        <f t="shared" si="19"/>
        <v>1981</v>
      </c>
      <c r="AH58" s="1271">
        <f t="shared" si="34"/>
        <v>0</v>
      </c>
      <c r="AI58" s="1276">
        <f t="shared" si="35"/>
        <v>0</v>
      </c>
      <c r="AJ58" s="337"/>
      <c r="AK58" s="338"/>
      <c r="AL58" s="1271">
        <v>0</v>
      </c>
      <c r="AM58" s="1276">
        <v>0</v>
      </c>
      <c r="AN58" s="414">
        <f t="shared" si="20"/>
        <v>1</v>
      </c>
      <c r="AO58" s="413">
        <f t="shared" si="3"/>
        <v>1</v>
      </c>
      <c r="AP58" s="337"/>
      <c r="AQ58" s="338"/>
      <c r="AR58" s="664">
        <f t="shared" si="45"/>
        <v>0</v>
      </c>
      <c r="AS58" s="679">
        <f t="shared" si="45"/>
        <v>0</v>
      </c>
      <c r="AT58" s="383">
        <f t="shared" si="36"/>
        <v>0</v>
      </c>
      <c r="AU58" s="386">
        <f t="shared" si="4"/>
        <v>0</v>
      </c>
      <c r="AV58" s="534">
        <f t="shared" si="22"/>
        <v>1980</v>
      </c>
      <c r="AW58" s="1271">
        <f t="shared" si="37"/>
        <v>0</v>
      </c>
      <c r="AX58" s="1276">
        <f t="shared" si="38"/>
        <v>0</v>
      </c>
      <c r="AY58" s="337"/>
      <c r="AZ58" s="338"/>
      <c r="BA58" s="1271">
        <v>0</v>
      </c>
      <c r="BB58" s="1276">
        <v>0</v>
      </c>
      <c r="BC58" s="414">
        <f t="shared" si="23"/>
        <v>1</v>
      </c>
      <c r="BD58" s="413">
        <f t="shared" si="7"/>
        <v>1</v>
      </c>
      <c r="BE58" s="337"/>
      <c r="BF58" s="338"/>
      <c r="BG58" s="664">
        <f t="shared" si="46"/>
        <v>0</v>
      </c>
      <c r="BH58" s="679">
        <f t="shared" si="46"/>
        <v>0</v>
      </c>
      <c r="BI58" s="383">
        <f t="shared" si="39"/>
        <v>0</v>
      </c>
      <c r="BJ58" s="386">
        <f t="shared" si="39"/>
        <v>0</v>
      </c>
      <c r="BK58" s="534">
        <f t="shared" si="25"/>
        <v>1979</v>
      </c>
      <c r="BL58" s="1271">
        <f t="shared" si="40"/>
        <v>0</v>
      </c>
      <c r="BM58" s="1276">
        <f t="shared" si="41"/>
        <v>0</v>
      </c>
      <c r="BN58" s="337"/>
      <c r="BO58" s="338"/>
      <c r="BP58" s="1271">
        <v>0</v>
      </c>
      <c r="BQ58" s="1276">
        <v>0</v>
      </c>
      <c r="BR58" s="414">
        <f t="shared" si="26"/>
        <v>1</v>
      </c>
      <c r="BS58" s="413">
        <f t="shared" si="11"/>
        <v>1</v>
      </c>
      <c r="BT58" s="337"/>
      <c r="BU58" s="338"/>
      <c r="BV58" s="664">
        <f t="shared" si="47"/>
        <v>0</v>
      </c>
      <c r="BW58" s="679">
        <f t="shared" si="47"/>
        <v>0</v>
      </c>
      <c r="BX58" s="383">
        <f t="shared" si="42"/>
        <v>0</v>
      </c>
      <c r="BY58" s="386">
        <f t="shared" si="42"/>
        <v>0</v>
      </c>
      <c r="BZ58" s="534">
        <f t="shared" si="28"/>
        <v>1982</v>
      </c>
      <c r="CA58" s="664">
        <f t="shared" si="48"/>
        <v>0</v>
      </c>
      <c r="CB58" s="665">
        <f t="shared" si="48"/>
        <v>0</v>
      </c>
      <c r="CC58" s="664">
        <f t="shared" si="49"/>
        <v>0</v>
      </c>
      <c r="CD58" s="665">
        <f t="shared" si="49"/>
        <v>0</v>
      </c>
      <c r="CE58" s="337"/>
      <c r="CF58" s="338"/>
      <c r="CG58" s="383">
        <f t="shared" si="43"/>
        <v>0</v>
      </c>
      <c r="CH58" s="386">
        <f t="shared" si="43"/>
        <v>0</v>
      </c>
    </row>
    <row r="59" spans="2:86" x14ac:dyDescent="0.2">
      <c r="B59" s="276">
        <v>44</v>
      </c>
      <c r="C59" s="320">
        <f t="shared" si="29"/>
        <v>45</v>
      </c>
      <c r="D59" s="534">
        <f t="shared" si="13"/>
        <v>1981</v>
      </c>
      <c r="E59" s="337"/>
      <c r="F59" s="338"/>
      <c r="G59" s="1271">
        <v>0</v>
      </c>
      <c r="H59" s="1289">
        <v>0</v>
      </c>
      <c r="I59" s="400">
        <f t="shared" si="44"/>
        <v>0</v>
      </c>
      <c r="J59" s="401">
        <f t="shared" si="14"/>
        <v>0</v>
      </c>
      <c r="K59" s="402" cm="1">
        <f t="array" ref="K59">HE_fact_qM*INDEX(HE_MortalityLapsesCY,$C59,4)</f>
        <v>9.1295480441800085E-4</v>
      </c>
      <c r="L59" s="403" cm="1">
        <f t="array" ref="L59">HE_fact_qF*INDEX(HE_MortalityLapsesCY,$C59,5)</f>
        <v>5.5916566184354213E-4</v>
      </c>
      <c r="M59" s="404" cm="1">
        <f t="array" ref="M59">INDEX(HE_MortalityLapsesCY,$C59,5+(2*$L$7-1))</f>
        <v>5.4229005695790825E-2</v>
      </c>
      <c r="N59" s="405" cm="1">
        <f t="array" ref="N59">INDEX(HE_MortalityLapsesCY,$C59,5+2*$L$7)</f>
        <v>5.4229005695790825E-2</v>
      </c>
      <c r="O59" s="391">
        <f t="shared" si="30"/>
        <v>0.999543522597791</v>
      </c>
      <c r="P59" s="1143">
        <f t="shared" si="30"/>
        <v>0.99972041716907822</v>
      </c>
      <c r="Q59" s="356">
        <f t="shared" si="15"/>
        <v>1981</v>
      </c>
      <c r="R59" s="337"/>
      <c r="S59" s="338"/>
      <c r="T59" s="664">
        <f t="shared" si="16"/>
        <v>0</v>
      </c>
      <c r="U59" s="665">
        <f t="shared" si="17"/>
        <v>0</v>
      </c>
      <c r="V59" s="337"/>
      <c r="W59" s="338"/>
      <c r="X59" s="383">
        <f t="shared" si="31"/>
        <v>0</v>
      </c>
      <c r="Y59" s="386">
        <f t="shared" si="31"/>
        <v>0</v>
      </c>
      <c r="Z59" s="534">
        <f t="shared" si="18"/>
        <v>1981</v>
      </c>
      <c r="AA59" s="664">
        <f t="shared" si="32"/>
        <v>0</v>
      </c>
      <c r="AB59" s="665">
        <f t="shared" si="32"/>
        <v>0</v>
      </c>
      <c r="AC59" s="337"/>
      <c r="AD59" s="338"/>
      <c r="AE59" s="383">
        <f t="shared" si="33"/>
        <v>0</v>
      </c>
      <c r="AF59" s="386">
        <f t="shared" si="33"/>
        <v>0</v>
      </c>
      <c r="AG59" s="534">
        <f t="shared" si="19"/>
        <v>1980</v>
      </c>
      <c r="AH59" s="1271">
        <f t="shared" si="34"/>
        <v>0</v>
      </c>
      <c r="AI59" s="1276">
        <f t="shared" si="35"/>
        <v>0</v>
      </c>
      <c r="AJ59" s="337"/>
      <c r="AK59" s="338"/>
      <c r="AL59" s="1271">
        <v>0</v>
      </c>
      <c r="AM59" s="1276">
        <v>0</v>
      </c>
      <c r="AN59" s="414">
        <f t="shared" si="20"/>
        <v>1</v>
      </c>
      <c r="AO59" s="413">
        <f t="shared" si="3"/>
        <v>1</v>
      </c>
      <c r="AP59" s="337"/>
      <c r="AQ59" s="338"/>
      <c r="AR59" s="664">
        <f t="shared" si="45"/>
        <v>0</v>
      </c>
      <c r="AS59" s="679">
        <f t="shared" si="45"/>
        <v>0</v>
      </c>
      <c r="AT59" s="383">
        <f t="shared" si="36"/>
        <v>0</v>
      </c>
      <c r="AU59" s="386">
        <f t="shared" si="4"/>
        <v>0</v>
      </c>
      <c r="AV59" s="534">
        <f t="shared" si="22"/>
        <v>1979</v>
      </c>
      <c r="AW59" s="1271">
        <f t="shared" si="37"/>
        <v>0</v>
      </c>
      <c r="AX59" s="1276">
        <f t="shared" si="38"/>
        <v>0</v>
      </c>
      <c r="AY59" s="337"/>
      <c r="AZ59" s="338"/>
      <c r="BA59" s="1271">
        <v>0</v>
      </c>
      <c r="BB59" s="1276">
        <v>0</v>
      </c>
      <c r="BC59" s="414">
        <f t="shared" si="23"/>
        <v>1</v>
      </c>
      <c r="BD59" s="413">
        <f t="shared" si="7"/>
        <v>1</v>
      </c>
      <c r="BE59" s="337"/>
      <c r="BF59" s="338"/>
      <c r="BG59" s="664">
        <f t="shared" si="46"/>
        <v>0</v>
      </c>
      <c r="BH59" s="679">
        <f t="shared" si="46"/>
        <v>0</v>
      </c>
      <c r="BI59" s="383">
        <f t="shared" si="39"/>
        <v>0</v>
      </c>
      <c r="BJ59" s="386">
        <f t="shared" si="39"/>
        <v>0</v>
      </c>
      <c r="BK59" s="534">
        <f t="shared" si="25"/>
        <v>1978</v>
      </c>
      <c r="BL59" s="1271">
        <f t="shared" si="40"/>
        <v>0</v>
      </c>
      <c r="BM59" s="1276">
        <f t="shared" si="41"/>
        <v>0</v>
      </c>
      <c r="BN59" s="337"/>
      <c r="BO59" s="338"/>
      <c r="BP59" s="1271">
        <v>0</v>
      </c>
      <c r="BQ59" s="1276">
        <v>0</v>
      </c>
      <c r="BR59" s="414">
        <f t="shared" si="26"/>
        <v>1</v>
      </c>
      <c r="BS59" s="413">
        <f t="shared" si="11"/>
        <v>1</v>
      </c>
      <c r="BT59" s="337"/>
      <c r="BU59" s="338"/>
      <c r="BV59" s="664">
        <f t="shared" si="47"/>
        <v>0</v>
      </c>
      <c r="BW59" s="679">
        <f t="shared" si="47"/>
        <v>0</v>
      </c>
      <c r="BX59" s="383">
        <f t="shared" si="42"/>
        <v>0</v>
      </c>
      <c r="BY59" s="386">
        <f t="shared" si="42"/>
        <v>0</v>
      </c>
      <c r="BZ59" s="534">
        <f t="shared" si="28"/>
        <v>1981</v>
      </c>
      <c r="CA59" s="664">
        <f t="shared" si="48"/>
        <v>0</v>
      </c>
      <c r="CB59" s="665">
        <f t="shared" si="48"/>
        <v>0</v>
      </c>
      <c r="CC59" s="664">
        <f t="shared" si="49"/>
        <v>0</v>
      </c>
      <c r="CD59" s="665">
        <f t="shared" si="49"/>
        <v>0</v>
      </c>
      <c r="CE59" s="337"/>
      <c r="CF59" s="338"/>
      <c r="CG59" s="383">
        <f t="shared" si="43"/>
        <v>0</v>
      </c>
      <c r="CH59" s="386">
        <f t="shared" si="43"/>
        <v>0</v>
      </c>
    </row>
    <row r="60" spans="2:86" ht="13.5" thickBot="1" x14ac:dyDescent="0.25">
      <c r="B60" s="313">
        <v>45</v>
      </c>
      <c r="C60" s="321">
        <f t="shared" si="29"/>
        <v>46</v>
      </c>
      <c r="D60" s="535">
        <f t="shared" si="13"/>
        <v>1980</v>
      </c>
      <c r="E60" s="341"/>
      <c r="F60" s="340"/>
      <c r="G60" s="1277">
        <v>0</v>
      </c>
      <c r="H60" s="1290">
        <v>0</v>
      </c>
      <c r="I60" s="406">
        <f t="shared" si="44"/>
        <v>0</v>
      </c>
      <c r="J60" s="407">
        <f t="shared" si="14"/>
        <v>0</v>
      </c>
      <c r="K60" s="408" cm="1">
        <f t="array" ref="K60">HE_fact_qM*INDEX(HE_MortalityLapsesCY,$C60,4)</f>
        <v>1.0044398485127368E-3</v>
      </c>
      <c r="L60" s="409" cm="1">
        <f t="array" ref="L60">HE_fact_qF*INDEX(HE_MortalityLapsesCY,$C60,5)</f>
        <v>6.1713141897825404E-4</v>
      </c>
      <c r="M60" s="410" cm="1">
        <f t="array" ref="M60">INDEX(HE_MortalityLapsesCY,$C60,5+(2*$L$7-1))</f>
        <v>6.2804075762675562E-2</v>
      </c>
      <c r="N60" s="411" cm="1">
        <f t="array" ref="N60">INDEX(HE_MortalityLapsesCY,$C60,5+2*$L$7)</f>
        <v>6.2804075762675562E-2</v>
      </c>
      <c r="O60" s="392">
        <f t="shared" si="30"/>
        <v>0.99949778007574364</v>
      </c>
      <c r="P60" s="1144">
        <f t="shared" si="30"/>
        <v>0.99969143429051088</v>
      </c>
      <c r="Q60" s="313">
        <f t="shared" si="15"/>
        <v>1980</v>
      </c>
      <c r="R60" s="341"/>
      <c r="S60" s="340"/>
      <c r="T60" s="666">
        <f t="shared" si="16"/>
        <v>0</v>
      </c>
      <c r="U60" s="667">
        <f t="shared" si="17"/>
        <v>0</v>
      </c>
      <c r="V60" s="341"/>
      <c r="W60" s="340"/>
      <c r="X60" s="384">
        <f t="shared" si="31"/>
        <v>0</v>
      </c>
      <c r="Y60" s="387">
        <f t="shared" si="31"/>
        <v>0</v>
      </c>
      <c r="Z60" s="535">
        <f t="shared" si="18"/>
        <v>1980</v>
      </c>
      <c r="AA60" s="666">
        <f t="shared" si="32"/>
        <v>0</v>
      </c>
      <c r="AB60" s="667">
        <f t="shared" si="32"/>
        <v>0</v>
      </c>
      <c r="AC60" s="341"/>
      <c r="AD60" s="340"/>
      <c r="AE60" s="384">
        <f t="shared" si="33"/>
        <v>0</v>
      </c>
      <c r="AF60" s="387">
        <f t="shared" si="33"/>
        <v>0</v>
      </c>
      <c r="AG60" s="535">
        <f t="shared" si="19"/>
        <v>1979</v>
      </c>
      <c r="AH60" s="1277">
        <f t="shared" si="34"/>
        <v>0</v>
      </c>
      <c r="AI60" s="1278">
        <f t="shared" si="35"/>
        <v>0</v>
      </c>
      <c r="AJ60" s="341"/>
      <c r="AK60" s="340"/>
      <c r="AL60" s="1277">
        <v>0</v>
      </c>
      <c r="AM60" s="1278">
        <v>0</v>
      </c>
      <c r="AN60" s="415">
        <f t="shared" si="20"/>
        <v>1</v>
      </c>
      <c r="AO60" s="416">
        <f t="shared" si="3"/>
        <v>1</v>
      </c>
      <c r="AP60" s="341"/>
      <c r="AQ60" s="340"/>
      <c r="AR60" s="666">
        <f t="shared" si="45"/>
        <v>0</v>
      </c>
      <c r="AS60" s="680">
        <f t="shared" si="45"/>
        <v>0</v>
      </c>
      <c r="AT60" s="384">
        <f t="shared" si="36"/>
        <v>0</v>
      </c>
      <c r="AU60" s="387">
        <f t="shared" si="4"/>
        <v>0</v>
      </c>
      <c r="AV60" s="535">
        <f t="shared" si="22"/>
        <v>1978</v>
      </c>
      <c r="AW60" s="1277">
        <f t="shared" si="37"/>
        <v>0</v>
      </c>
      <c r="AX60" s="1278">
        <f t="shared" si="38"/>
        <v>0</v>
      </c>
      <c r="AY60" s="341"/>
      <c r="AZ60" s="340"/>
      <c r="BA60" s="1277">
        <v>0</v>
      </c>
      <c r="BB60" s="1278">
        <v>0</v>
      </c>
      <c r="BC60" s="415">
        <f t="shared" si="23"/>
        <v>1</v>
      </c>
      <c r="BD60" s="416">
        <f t="shared" si="7"/>
        <v>1</v>
      </c>
      <c r="BE60" s="341"/>
      <c r="BF60" s="340"/>
      <c r="BG60" s="666">
        <f t="shared" si="46"/>
        <v>0</v>
      </c>
      <c r="BH60" s="680">
        <f t="shared" si="46"/>
        <v>0</v>
      </c>
      <c r="BI60" s="384">
        <f t="shared" si="39"/>
        <v>0</v>
      </c>
      <c r="BJ60" s="387">
        <f t="shared" si="39"/>
        <v>0</v>
      </c>
      <c r="BK60" s="535">
        <f t="shared" si="25"/>
        <v>1977</v>
      </c>
      <c r="BL60" s="1277">
        <f t="shared" si="40"/>
        <v>0</v>
      </c>
      <c r="BM60" s="1278">
        <f t="shared" si="41"/>
        <v>0</v>
      </c>
      <c r="BN60" s="341"/>
      <c r="BO60" s="340"/>
      <c r="BP60" s="1277">
        <v>0</v>
      </c>
      <c r="BQ60" s="1278">
        <v>0</v>
      </c>
      <c r="BR60" s="415">
        <f t="shared" si="26"/>
        <v>1</v>
      </c>
      <c r="BS60" s="416">
        <f t="shared" si="11"/>
        <v>1</v>
      </c>
      <c r="BT60" s="341"/>
      <c r="BU60" s="340"/>
      <c r="BV60" s="666">
        <f t="shared" si="47"/>
        <v>0</v>
      </c>
      <c r="BW60" s="680">
        <f t="shared" si="47"/>
        <v>0</v>
      </c>
      <c r="BX60" s="384">
        <f t="shared" si="42"/>
        <v>0</v>
      </c>
      <c r="BY60" s="387">
        <f t="shared" si="42"/>
        <v>0</v>
      </c>
      <c r="BZ60" s="535">
        <f t="shared" si="28"/>
        <v>1980</v>
      </c>
      <c r="CA60" s="666">
        <f t="shared" si="48"/>
        <v>0</v>
      </c>
      <c r="CB60" s="667">
        <f t="shared" si="48"/>
        <v>0</v>
      </c>
      <c r="CC60" s="666">
        <f t="shared" si="49"/>
        <v>0</v>
      </c>
      <c r="CD60" s="667">
        <f t="shared" si="49"/>
        <v>0</v>
      </c>
      <c r="CE60" s="341"/>
      <c r="CF60" s="340"/>
      <c r="CG60" s="384">
        <f t="shared" si="43"/>
        <v>0</v>
      </c>
      <c r="CH60" s="387">
        <f t="shared" si="43"/>
        <v>0</v>
      </c>
    </row>
    <row r="61" spans="2:86" ht="13.5" thickTop="1" x14ac:dyDescent="0.2">
      <c r="B61" s="276">
        <v>46</v>
      </c>
      <c r="C61" s="320">
        <f t="shared" si="29"/>
        <v>47</v>
      </c>
      <c r="D61" s="534">
        <f t="shared" si="13"/>
        <v>1979</v>
      </c>
      <c r="E61" s="337"/>
      <c r="F61" s="338"/>
      <c r="G61" s="1271">
        <v>0</v>
      </c>
      <c r="H61" s="1289">
        <v>0</v>
      </c>
      <c r="I61" s="400">
        <f t="shared" si="44"/>
        <v>0</v>
      </c>
      <c r="J61" s="401">
        <f t="shared" si="14"/>
        <v>0</v>
      </c>
      <c r="K61" s="402" cm="1">
        <f t="array" ref="K61">HE_fact_qM*INDEX(HE_MortalityLapsesCY,$C61,4)</f>
        <v>1.1086184961245278E-3</v>
      </c>
      <c r="L61" s="403" cm="1">
        <f t="array" ref="L61">HE_fact_qF*INDEX(HE_MortalityLapsesCY,$C61,5)</f>
        <v>6.8161405707143903E-4</v>
      </c>
      <c r="M61" s="404" cm="1">
        <f t="array" ref="M61">INDEX(HE_MortalityLapsesCY,$C61,5+(2*$L$7-1))</f>
        <v>4.9097569692637601E-2</v>
      </c>
      <c r="N61" s="405" cm="1">
        <f t="array" ref="N61">INDEX(HE_MortalityLapsesCY,$C61,5+2*$L$7)</f>
        <v>4.9097569692637601E-2</v>
      </c>
      <c r="O61" s="391">
        <f t="shared" si="30"/>
        <v>0.99944569075193779</v>
      </c>
      <c r="P61" s="1143">
        <f t="shared" si="30"/>
        <v>0.99965919297146422</v>
      </c>
      <c r="Q61" s="356">
        <f t="shared" si="15"/>
        <v>1979</v>
      </c>
      <c r="R61" s="337"/>
      <c r="S61" s="338"/>
      <c r="T61" s="664">
        <f t="shared" si="16"/>
        <v>0</v>
      </c>
      <c r="U61" s="665">
        <f t="shared" si="17"/>
        <v>0</v>
      </c>
      <c r="V61" s="337"/>
      <c r="W61" s="338"/>
      <c r="X61" s="383">
        <f t="shared" si="31"/>
        <v>0</v>
      </c>
      <c r="Y61" s="386">
        <f t="shared" si="31"/>
        <v>0</v>
      </c>
      <c r="Z61" s="534">
        <f t="shared" si="18"/>
        <v>1979</v>
      </c>
      <c r="AA61" s="664">
        <f t="shared" si="32"/>
        <v>0</v>
      </c>
      <c r="AB61" s="665">
        <f t="shared" si="32"/>
        <v>0</v>
      </c>
      <c r="AC61" s="337"/>
      <c r="AD61" s="338"/>
      <c r="AE61" s="383">
        <f t="shared" si="33"/>
        <v>0</v>
      </c>
      <c r="AF61" s="386">
        <f t="shared" si="33"/>
        <v>0</v>
      </c>
      <c r="AG61" s="534">
        <f t="shared" si="19"/>
        <v>1978</v>
      </c>
      <c r="AH61" s="1271">
        <f t="shared" si="34"/>
        <v>0</v>
      </c>
      <c r="AI61" s="1276">
        <f t="shared" si="35"/>
        <v>0</v>
      </c>
      <c r="AJ61" s="337"/>
      <c r="AK61" s="338"/>
      <c r="AL61" s="1271">
        <v>0</v>
      </c>
      <c r="AM61" s="1276">
        <v>0</v>
      </c>
      <c r="AN61" s="414">
        <f t="shared" si="20"/>
        <v>1</v>
      </c>
      <c r="AO61" s="413">
        <f t="shared" si="3"/>
        <v>1</v>
      </c>
      <c r="AP61" s="337"/>
      <c r="AQ61" s="338"/>
      <c r="AR61" s="664">
        <f t="shared" si="45"/>
        <v>0</v>
      </c>
      <c r="AS61" s="679">
        <f t="shared" si="45"/>
        <v>0</v>
      </c>
      <c r="AT61" s="383">
        <f t="shared" si="36"/>
        <v>0</v>
      </c>
      <c r="AU61" s="386">
        <f t="shared" si="4"/>
        <v>0</v>
      </c>
      <c r="AV61" s="534">
        <f t="shared" si="22"/>
        <v>1977</v>
      </c>
      <c r="AW61" s="1271">
        <f t="shared" si="37"/>
        <v>0</v>
      </c>
      <c r="AX61" s="1276">
        <f t="shared" si="38"/>
        <v>0</v>
      </c>
      <c r="AY61" s="337"/>
      <c r="AZ61" s="338"/>
      <c r="BA61" s="1271">
        <v>0</v>
      </c>
      <c r="BB61" s="1276">
        <v>0</v>
      </c>
      <c r="BC61" s="414">
        <f t="shared" si="23"/>
        <v>1</v>
      </c>
      <c r="BD61" s="413">
        <f t="shared" si="7"/>
        <v>1</v>
      </c>
      <c r="BE61" s="337"/>
      <c r="BF61" s="338"/>
      <c r="BG61" s="664">
        <f t="shared" si="46"/>
        <v>0</v>
      </c>
      <c r="BH61" s="679">
        <f t="shared" si="46"/>
        <v>0</v>
      </c>
      <c r="BI61" s="383">
        <f t="shared" si="39"/>
        <v>0</v>
      </c>
      <c r="BJ61" s="386">
        <f t="shared" si="39"/>
        <v>0</v>
      </c>
      <c r="BK61" s="534">
        <f t="shared" si="25"/>
        <v>1976</v>
      </c>
      <c r="BL61" s="1271">
        <f t="shared" si="40"/>
        <v>0</v>
      </c>
      <c r="BM61" s="1276">
        <f t="shared" si="41"/>
        <v>0</v>
      </c>
      <c r="BN61" s="337"/>
      <c r="BO61" s="338"/>
      <c r="BP61" s="1271">
        <v>0</v>
      </c>
      <c r="BQ61" s="1276">
        <v>0</v>
      </c>
      <c r="BR61" s="414">
        <f t="shared" si="26"/>
        <v>1</v>
      </c>
      <c r="BS61" s="413">
        <f t="shared" si="11"/>
        <v>1</v>
      </c>
      <c r="BT61" s="337"/>
      <c r="BU61" s="338"/>
      <c r="BV61" s="664">
        <f t="shared" si="47"/>
        <v>0</v>
      </c>
      <c r="BW61" s="679">
        <f t="shared" si="47"/>
        <v>0</v>
      </c>
      <c r="BX61" s="383">
        <f t="shared" si="42"/>
        <v>0</v>
      </c>
      <c r="BY61" s="386">
        <f t="shared" si="42"/>
        <v>0</v>
      </c>
      <c r="BZ61" s="534">
        <f t="shared" si="28"/>
        <v>1979</v>
      </c>
      <c r="CA61" s="664">
        <f t="shared" si="48"/>
        <v>0</v>
      </c>
      <c r="CB61" s="665">
        <f t="shared" si="48"/>
        <v>0</v>
      </c>
      <c r="CC61" s="664">
        <f t="shared" si="49"/>
        <v>0</v>
      </c>
      <c r="CD61" s="665">
        <f t="shared" si="49"/>
        <v>0</v>
      </c>
      <c r="CE61" s="337"/>
      <c r="CF61" s="338"/>
      <c r="CG61" s="383">
        <f t="shared" si="43"/>
        <v>0</v>
      </c>
      <c r="CH61" s="386">
        <f t="shared" si="43"/>
        <v>0</v>
      </c>
    </row>
    <row r="62" spans="2:86" x14ac:dyDescent="0.2">
      <c r="B62" s="276">
        <v>47</v>
      </c>
      <c r="C62" s="320">
        <f t="shared" si="29"/>
        <v>48</v>
      </c>
      <c r="D62" s="534">
        <f t="shared" si="13"/>
        <v>1978</v>
      </c>
      <c r="E62" s="337"/>
      <c r="F62" s="338"/>
      <c r="G62" s="1271">
        <v>0</v>
      </c>
      <c r="H62" s="1289">
        <v>0</v>
      </c>
      <c r="I62" s="400">
        <f t="shared" si="44"/>
        <v>0</v>
      </c>
      <c r="J62" s="401">
        <f t="shared" si="14"/>
        <v>0</v>
      </c>
      <c r="K62" s="402" cm="1">
        <f t="array" ref="K62">HE_fact_qM*INDEX(HE_MortalityLapsesCY,$C62,4)</f>
        <v>1.2269572756665201E-3</v>
      </c>
      <c r="L62" s="403" cm="1">
        <f t="array" ref="L62">HE_fact_qF*INDEX(HE_MortalityLapsesCY,$C62,5)</f>
        <v>7.5335542460616429E-4</v>
      </c>
      <c r="M62" s="404" cm="1">
        <f t="array" ref="M62">INDEX(HE_MortalityLapsesCY,$C62,5+(2*$L$7-1))</f>
        <v>4.8880099737758483E-2</v>
      </c>
      <c r="N62" s="405" cm="1">
        <f t="array" ref="N62">INDEX(HE_MortalityLapsesCY,$C62,5+2*$L$7)</f>
        <v>4.8880099737758483E-2</v>
      </c>
      <c r="O62" s="391">
        <f t="shared" si="30"/>
        <v>0.99938652136216666</v>
      </c>
      <c r="P62" s="1143">
        <f t="shared" si="30"/>
        <v>0.9996233222876969</v>
      </c>
      <c r="Q62" s="356">
        <f t="shared" si="15"/>
        <v>1978</v>
      </c>
      <c r="R62" s="337"/>
      <c r="S62" s="338"/>
      <c r="T62" s="664">
        <f t="shared" si="16"/>
        <v>0</v>
      </c>
      <c r="U62" s="665">
        <f t="shared" si="17"/>
        <v>0</v>
      </c>
      <c r="V62" s="337"/>
      <c r="W62" s="338"/>
      <c r="X62" s="383">
        <f t="shared" si="31"/>
        <v>0</v>
      </c>
      <c r="Y62" s="386">
        <f t="shared" si="31"/>
        <v>0</v>
      </c>
      <c r="Z62" s="534">
        <f t="shared" si="18"/>
        <v>1978</v>
      </c>
      <c r="AA62" s="664">
        <f t="shared" si="32"/>
        <v>0</v>
      </c>
      <c r="AB62" s="665">
        <f t="shared" si="32"/>
        <v>0</v>
      </c>
      <c r="AC62" s="337"/>
      <c r="AD62" s="338"/>
      <c r="AE62" s="383">
        <f t="shared" si="33"/>
        <v>0</v>
      </c>
      <c r="AF62" s="386">
        <f t="shared" si="33"/>
        <v>0</v>
      </c>
      <c r="AG62" s="534">
        <f t="shared" si="19"/>
        <v>1977</v>
      </c>
      <c r="AH62" s="1271">
        <f t="shared" si="34"/>
        <v>0</v>
      </c>
      <c r="AI62" s="1276">
        <f t="shared" si="35"/>
        <v>0</v>
      </c>
      <c r="AJ62" s="337"/>
      <c r="AK62" s="338"/>
      <c r="AL62" s="1271">
        <v>0</v>
      </c>
      <c r="AM62" s="1276">
        <v>0</v>
      </c>
      <c r="AN62" s="414">
        <f t="shared" si="20"/>
        <v>1</v>
      </c>
      <c r="AO62" s="413">
        <f t="shared" si="3"/>
        <v>1</v>
      </c>
      <c r="AP62" s="337"/>
      <c r="AQ62" s="338"/>
      <c r="AR62" s="664">
        <f t="shared" si="45"/>
        <v>0</v>
      </c>
      <c r="AS62" s="679">
        <f t="shared" si="45"/>
        <v>0</v>
      </c>
      <c r="AT62" s="383">
        <f t="shared" si="36"/>
        <v>0</v>
      </c>
      <c r="AU62" s="386">
        <f t="shared" si="4"/>
        <v>0</v>
      </c>
      <c r="AV62" s="534">
        <f t="shared" si="22"/>
        <v>1976</v>
      </c>
      <c r="AW62" s="1271">
        <f t="shared" si="37"/>
        <v>0</v>
      </c>
      <c r="AX62" s="1276">
        <f t="shared" si="38"/>
        <v>0</v>
      </c>
      <c r="AY62" s="337"/>
      <c r="AZ62" s="338"/>
      <c r="BA62" s="1271">
        <v>0</v>
      </c>
      <c r="BB62" s="1276">
        <v>0</v>
      </c>
      <c r="BC62" s="414">
        <f t="shared" si="23"/>
        <v>1</v>
      </c>
      <c r="BD62" s="413">
        <f t="shared" si="7"/>
        <v>1</v>
      </c>
      <c r="BE62" s="337"/>
      <c r="BF62" s="338"/>
      <c r="BG62" s="664">
        <f t="shared" si="46"/>
        <v>0</v>
      </c>
      <c r="BH62" s="679">
        <f t="shared" si="46"/>
        <v>0</v>
      </c>
      <c r="BI62" s="383">
        <f t="shared" si="39"/>
        <v>0</v>
      </c>
      <c r="BJ62" s="386">
        <f t="shared" si="39"/>
        <v>0</v>
      </c>
      <c r="BK62" s="534">
        <f t="shared" si="25"/>
        <v>1975</v>
      </c>
      <c r="BL62" s="1271">
        <f t="shared" si="40"/>
        <v>0</v>
      </c>
      <c r="BM62" s="1276">
        <f t="shared" si="41"/>
        <v>0</v>
      </c>
      <c r="BN62" s="337"/>
      <c r="BO62" s="338"/>
      <c r="BP62" s="1271">
        <v>0</v>
      </c>
      <c r="BQ62" s="1276">
        <v>0</v>
      </c>
      <c r="BR62" s="414">
        <f t="shared" si="26"/>
        <v>1</v>
      </c>
      <c r="BS62" s="413">
        <f t="shared" si="11"/>
        <v>1</v>
      </c>
      <c r="BT62" s="337"/>
      <c r="BU62" s="338"/>
      <c r="BV62" s="664">
        <f t="shared" si="47"/>
        <v>0</v>
      </c>
      <c r="BW62" s="679">
        <f t="shared" si="47"/>
        <v>0</v>
      </c>
      <c r="BX62" s="383">
        <f t="shared" si="42"/>
        <v>0</v>
      </c>
      <c r="BY62" s="386">
        <f t="shared" si="42"/>
        <v>0</v>
      </c>
      <c r="BZ62" s="534">
        <f t="shared" si="28"/>
        <v>1978</v>
      </c>
      <c r="CA62" s="664">
        <f t="shared" si="48"/>
        <v>0</v>
      </c>
      <c r="CB62" s="665">
        <f t="shared" si="48"/>
        <v>0</v>
      </c>
      <c r="CC62" s="664">
        <f t="shared" si="49"/>
        <v>0</v>
      </c>
      <c r="CD62" s="665">
        <f t="shared" si="49"/>
        <v>0</v>
      </c>
      <c r="CE62" s="337"/>
      <c r="CF62" s="338"/>
      <c r="CG62" s="383">
        <f t="shared" si="43"/>
        <v>0</v>
      </c>
      <c r="CH62" s="386">
        <f t="shared" si="43"/>
        <v>0</v>
      </c>
    </row>
    <row r="63" spans="2:86" x14ac:dyDescent="0.2">
      <c r="B63" s="276">
        <v>48</v>
      </c>
      <c r="C63" s="320">
        <f t="shared" si="29"/>
        <v>49</v>
      </c>
      <c r="D63" s="534">
        <f t="shared" si="13"/>
        <v>1977</v>
      </c>
      <c r="E63" s="337"/>
      <c r="F63" s="338"/>
      <c r="G63" s="1271">
        <v>0</v>
      </c>
      <c r="H63" s="1289">
        <v>0</v>
      </c>
      <c r="I63" s="400">
        <f t="shared" si="44"/>
        <v>0</v>
      </c>
      <c r="J63" s="401">
        <f t="shared" si="14"/>
        <v>0</v>
      </c>
      <c r="K63" s="402" cm="1">
        <f t="array" ref="K63">HE_fact_qM*INDEX(HE_MortalityLapsesCY,$C63,4)</f>
        <v>1.3610496668483418E-3</v>
      </c>
      <c r="L63" s="403" cm="1">
        <f t="array" ref="L63">HE_fact_qF*INDEX(HE_MortalityLapsesCY,$C63,5)</f>
        <v>8.3319879686123797E-4</v>
      </c>
      <c r="M63" s="404" cm="1">
        <f t="array" ref="M63">INDEX(HE_MortalityLapsesCY,$C63,5+(2*$L$7-1))</f>
        <v>4.6031285810932084E-2</v>
      </c>
      <c r="N63" s="405" cm="1">
        <f t="array" ref="N63">INDEX(HE_MortalityLapsesCY,$C63,5+2*$L$7)</f>
        <v>4.6031285810932084E-2</v>
      </c>
      <c r="O63" s="391">
        <f t="shared" si="30"/>
        <v>0.99931947516657582</v>
      </c>
      <c r="P63" s="1143">
        <f t="shared" si="30"/>
        <v>0.99958340060156936</v>
      </c>
      <c r="Q63" s="356">
        <f t="shared" si="15"/>
        <v>1977</v>
      </c>
      <c r="R63" s="337"/>
      <c r="S63" s="338"/>
      <c r="T63" s="664">
        <f t="shared" si="16"/>
        <v>0</v>
      </c>
      <c r="U63" s="665">
        <f t="shared" si="17"/>
        <v>0</v>
      </c>
      <c r="V63" s="337"/>
      <c r="W63" s="338"/>
      <c r="X63" s="383">
        <f t="shared" si="31"/>
        <v>0</v>
      </c>
      <c r="Y63" s="386">
        <f t="shared" si="31"/>
        <v>0</v>
      </c>
      <c r="Z63" s="534">
        <f t="shared" si="18"/>
        <v>1977</v>
      </c>
      <c r="AA63" s="664">
        <f t="shared" si="32"/>
        <v>0</v>
      </c>
      <c r="AB63" s="665">
        <f t="shared" si="32"/>
        <v>0</v>
      </c>
      <c r="AC63" s="337"/>
      <c r="AD63" s="338"/>
      <c r="AE63" s="383">
        <f t="shared" si="33"/>
        <v>0</v>
      </c>
      <c r="AF63" s="386">
        <f t="shared" si="33"/>
        <v>0</v>
      </c>
      <c r="AG63" s="534">
        <f t="shared" si="19"/>
        <v>1976</v>
      </c>
      <c r="AH63" s="1271">
        <f t="shared" si="34"/>
        <v>0</v>
      </c>
      <c r="AI63" s="1276">
        <f t="shared" si="35"/>
        <v>0</v>
      </c>
      <c r="AJ63" s="337"/>
      <c r="AK63" s="338"/>
      <c r="AL63" s="1271">
        <v>0</v>
      </c>
      <c r="AM63" s="1276">
        <v>0</v>
      </c>
      <c r="AN63" s="414">
        <f t="shared" si="20"/>
        <v>1</v>
      </c>
      <c r="AO63" s="413">
        <f t="shared" si="3"/>
        <v>1</v>
      </c>
      <c r="AP63" s="337"/>
      <c r="AQ63" s="338"/>
      <c r="AR63" s="664">
        <f t="shared" si="45"/>
        <v>0</v>
      </c>
      <c r="AS63" s="679">
        <f t="shared" si="45"/>
        <v>0</v>
      </c>
      <c r="AT63" s="383">
        <f t="shared" si="36"/>
        <v>0</v>
      </c>
      <c r="AU63" s="386">
        <f t="shared" si="4"/>
        <v>0</v>
      </c>
      <c r="AV63" s="534">
        <f t="shared" si="22"/>
        <v>1975</v>
      </c>
      <c r="AW63" s="1271">
        <f t="shared" si="37"/>
        <v>0</v>
      </c>
      <c r="AX63" s="1276">
        <f t="shared" si="38"/>
        <v>0</v>
      </c>
      <c r="AY63" s="337"/>
      <c r="AZ63" s="338"/>
      <c r="BA63" s="1271">
        <v>0</v>
      </c>
      <c r="BB63" s="1276">
        <v>0</v>
      </c>
      <c r="BC63" s="414">
        <f t="shared" si="23"/>
        <v>1</v>
      </c>
      <c r="BD63" s="413">
        <f t="shared" si="7"/>
        <v>1</v>
      </c>
      <c r="BE63" s="337"/>
      <c r="BF63" s="338"/>
      <c r="BG63" s="664">
        <f t="shared" si="46"/>
        <v>0</v>
      </c>
      <c r="BH63" s="679">
        <f t="shared" si="46"/>
        <v>0</v>
      </c>
      <c r="BI63" s="383">
        <f t="shared" si="39"/>
        <v>0</v>
      </c>
      <c r="BJ63" s="386">
        <f t="shared" si="39"/>
        <v>0</v>
      </c>
      <c r="BK63" s="534">
        <f t="shared" si="25"/>
        <v>1974</v>
      </c>
      <c r="BL63" s="1271">
        <f t="shared" si="40"/>
        <v>0</v>
      </c>
      <c r="BM63" s="1276">
        <f t="shared" si="41"/>
        <v>0</v>
      </c>
      <c r="BN63" s="337"/>
      <c r="BO63" s="338"/>
      <c r="BP63" s="1271">
        <v>0</v>
      </c>
      <c r="BQ63" s="1276">
        <v>0</v>
      </c>
      <c r="BR63" s="414">
        <f t="shared" si="26"/>
        <v>1</v>
      </c>
      <c r="BS63" s="413">
        <f t="shared" si="11"/>
        <v>1</v>
      </c>
      <c r="BT63" s="337"/>
      <c r="BU63" s="338"/>
      <c r="BV63" s="664">
        <f t="shared" si="47"/>
        <v>0</v>
      </c>
      <c r="BW63" s="679">
        <f t="shared" si="47"/>
        <v>0</v>
      </c>
      <c r="BX63" s="383">
        <f t="shared" si="42"/>
        <v>0</v>
      </c>
      <c r="BY63" s="386">
        <f t="shared" si="42"/>
        <v>0</v>
      </c>
      <c r="BZ63" s="534">
        <f t="shared" si="28"/>
        <v>1977</v>
      </c>
      <c r="CA63" s="664">
        <f t="shared" si="48"/>
        <v>0</v>
      </c>
      <c r="CB63" s="665">
        <f t="shared" si="48"/>
        <v>0</v>
      </c>
      <c r="CC63" s="664">
        <f t="shared" si="49"/>
        <v>0</v>
      </c>
      <c r="CD63" s="665">
        <f t="shared" si="49"/>
        <v>0</v>
      </c>
      <c r="CE63" s="337"/>
      <c r="CF63" s="338"/>
      <c r="CG63" s="383">
        <f t="shared" si="43"/>
        <v>0</v>
      </c>
      <c r="CH63" s="386">
        <f t="shared" si="43"/>
        <v>0</v>
      </c>
    </row>
    <row r="64" spans="2:86" x14ac:dyDescent="0.2">
      <c r="B64" s="276">
        <v>49</v>
      </c>
      <c r="C64" s="320">
        <f t="shared" si="29"/>
        <v>50</v>
      </c>
      <c r="D64" s="534">
        <f t="shared" si="13"/>
        <v>1976</v>
      </c>
      <c r="E64" s="337"/>
      <c r="F64" s="338"/>
      <c r="G64" s="1271">
        <v>0</v>
      </c>
      <c r="H64" s="1289">
        <v>0</v>
      </c>
      <c r="I64" s="400">
        <f t="shared" si="44"/>
        <v>0</v>
      </c>
      <c r="J64" s="401">
        <f t="shared" si="14"/>
        <v>0</v>
      </c>
      <c r="K64" s="402" cm="1">
        <f t="array" ref="K64">HE_fact_qM*INDEX(HE_MortalityLapsesCY,$C64,4)</f>
        <v>1.5126015294605513E-3</v>
      </c>
      <c r="L64" s="403" cm="1">
        <f t="array" ref="L64">HE_fact_qF*INDEX(HE_MortalityLapsesCY,$C64,5)</f>
        <v>9.220642895767673E-4</v>
      </c>
      <c r="M64" s="404" cm="1">
        <f t="array" ref="M64">INDEX(HE_MortalityLapsesCY,$C64,5+(2*$L$7-1))</f>
        <v>4.6338237062572653E-2</v>
      </c>
      <c r="N64" s="405" cm="1">
        <f t="array" ref="N64">INDEX(HE_MortalityLapsesCY,$C64,5+2*$L$7)</f>
        <v>4.6338237062572653E-2</v>
      </c>
      <c r="O64" s="391">
        <f t="shared" si="30"/>
        <v>0.99924369923526979</v>
      </c>
      <c r="P64" s="1143">
        <f t="shared" si="30"/>
        <v>0.99953896785521157</v>
      </c>
      <c r="Q64" s="356">
        <f t="shared" si="15"/>
        <v>1976</v>
      </c>
      <c r="R64" s="337"/>
      <c r="S64" s="338"/>
      <c r="T64" s="664">
        <f t="shared" si="16"/>
        <v>0</v>
      </c>
      <c r="U64" s="665">
        <f t="shared" si="17"/>
        <v>0</v>
      </c>
      <c r="V64" s="337"/>
      <c r="W64" s="338"/>
      <c r="X64" s="383">
        <f t="shared" si="31"/>
        <v>0</v>
      </c>
      <c r="Y64" s="386">
        <f t="shared" si="31"/>
        <v>0</v>
      </c>
      <c r="Z64" s="534">
        <f t="shared" si="18"/>
        <v>1976</v>
      </c>
      <c r="AA64" s="664">
        <f t="shared" si="32"/>
        <v>0</v>
      </c>
      <c r="AB64" s="665">
        <f t="shared" si="32"/>
        <v>0</v>
      </c>
      <c r="AC64" s="337"/>
      <c r="AD64" s="338"/>
      <c r="AE64" s="383">
        <f t="shared" si="33"/>
        <v>0</v>
      </c>
      <c r="AF64" s="386">
        <f t="shared" si="33"/>
        <v>0</v>
      </c>
      <c r="AG64" s="534">
        <f t="shared" si="19"/>
        <v>1975</v>
      </c>
      <c r="AH64" s="1271">
        <f t="shared" si="34"/>
        <v>0</v>
      </c>
      <c r="AI64" s="1276">
        <f t="shared" si="35"/>
        <v>0</v>
      </c>
      <c r="AJ64" s="337"/>
      <c r="AK64" s="338"/>
      <c r="AL64" s="1271">
        <v>0</v>
      </c>
      <c r="AM64" s="1276">
        <v>0</v>
      </c>
      <c r="AN64" s="414">
        <f t="shared" si="20"/>
        <v>1</v>
      </c>
      <c r="AO64" s="413">
        <f t="shared" si="3"/>
        <v>1</v>
      </c>
      <c r="AP64" s="337"/>
      <c r="AQ64" s="338"/>
      <c r="AR64" s="664">
        <f t="shared" si="45"/>
        <v>0</v>
      </c>
      <c r="AS64" s="679">
        <f t="shared" si="45"/>
        <v>0</v>
      </c>
      <c r="AT64" s="383">
        <f t="shared" si="36"/>
        <v>0</v>
      </c>
      <c r="AU64" s="386">
        <f t="shared" si="4"/>
        <v>0</v>
      </c>
      <c r="AV64" s="534">
        <f t="shared" si="22"/>
        <v>1974</v>
      </c>
      <c r="AW64" s="1271">
        <f t="shared" si="37"/>
        <v>0</v>
      </c>
      <c r="AX64" s="1276">
        <f t="shared" si="38"/>
        <v>0</v>
      </c>
      <c r="AY64" s="337"/>
      <c r="AZ64" s="338"/>
      <c r="BA64" s="1271">
        <v>0</v>
      </c>
      <c r="BB64" s="1276">
        <v>0</v>
      </c>
      <c r="BC64" s="414">
        <f t="shared" si="23"/>
        <v>1</v>
      </c>
      <c r="BD64" s="413">
        <f t="shared" si="7"/>
        <v>1</v>
      </c>
      <c r="BE64" s="337"/>
      <c r="BF64" s="338"/>
      <c r="BG64" s="664">
        <f t="shared" si="46"/>
        <v>0</v>
      </c>
      <c r="BH64" s="679">
        <f t="shared" si="46"/>
        <v>0</v>
      </c>
      <c r="BI64" s="383">
        <f t="shared" si="39"/>
        <v>0</v>
      </c>
      <c r="BJ64" s="386">
        <f t="shared" si="39"/>
        <v>0</v>
      </c>
      <c r="BK64" s="534">
        <f t="shared" si="25"/>
        <v>1973</v>
      </c>
      <c r="BL64" s="1271">
        <f t="shared" si="40"/>
        <v>0</v>
      </c>
      <c r="BM64" s="1276">
        <f t="shared" si="41"/>
        <v>0</v>
      </c>
      <c r="BN64" s="337"/>
      <c r="BO64" s="338"/>
      <c r="BP64" s="1271">
        <v>0</v>
      </c>
      <c r="BQ64" s="1276">
        <v>0</v>
      </c>
      <c r="BR64" s="414">
        <f t="shared" si="26"/>
        <v>1</v>
      </c>
      <c r="BS64" s="413">
        <f t="shared" si="11"/>
        <v>1</v>
      </c>
      <c r="BT64" s="337"/>
      <c r="BU64" s="338"/>
      <c r="BV64" s="664">
        <f t="shared" si="47"/>
        <v>0</v>
      </c>
      <c r="BW64" s="679">
        <f t="shared" si="47"/>
        <v>0</v>
      </c>
      <c r="BX64" s="383">
        <f t="shared" si="42"/>
        <v>0</v>
      </c>
      <c r="BY64" s="386">
        <f t="shared" si="42"/>
        <v>0</v>
      </c>
      <c r="BZ64" s="534">
        <f t="shared" si="28"/>
        <v>1976</v>
      </c>
      <c r="CA64" s="664">
        <f t="shared" si="48"/>
        <v>0</v>
      </c>
      <c r="CB64" s="665">
        <f t="shared" si="48"/>
        <v>0</v>
      </c>
      <c r="CC64" s="664">
        <f t="shared" si="49"/>
        <v>0</v>
      </c>
      <c r="CD64" s="665">
        <f t="shared" si="49"/>
        <v>0</v>
      </c>
      <c r="CE64" s="337"/>
      <c r="CF64" s="338"/>
      <c r="CG64" s="383">
        <f t="shared" si="43"/>
        <v>0</v>
      </c>
      <c r="CH64" s="386">
        <f t="shared" si="43"/>
        <v>0</v>
      </c>
    </row>
    <row r="65" spans="2:86" ht="13.5" thickBot="1" x14ac:dyDescent="0.25">
      <c r="B65" s="313">
        <v>50</v>
      </c>
      <c r="C65" s="321">
        <f t="shared" si="29"/>
        <v>51</v>
      </c>
      <c r="D65" s="535">
        <f t="shared" si="13"/>
        <v>1975</v>
      </c>
      <c r="E65" s="341"/>
      <c r="F65" s="340"/>
      <c r="G65" s="1277">
        <v>0</v>
      </c>
      <c r="H65" s="1290">
        <v>0</v>
      </c>
      <c r="I65" s="406">
        <f t="shared" si="44"/>
        <v>0</v>
      </c>
      <c r="J65" s="407">
        <f t="shared" si="14"/>
        <v>0</v>
      </c>
      <c r="K65" s="408" cm="1">
        <f t="array" ref="K65">HE_fact_qM*INDEX(HE_MortalityLapsesCY,$C65,4)</f>
        <v>1.6834085467818814E-3</v>
      </c>
      <c r="L65" s="409" cm="1">
        <f t="array" ref="L65">HE_fact_qF*INDEX(HE_MortalityLapsesCY,$C65,5)</f>
        <v>1.0209127114600609E-3</v>
      </c>
      <c r="M65" s="410" cm="1">
        <f t="array" ref="M65">INDEX(HE_MortalityLapsesCY,$C65,5+(2*$L$7-1))</f>
        <v>5.256671380200563E-2</v>
      </c>
      <c r="N65" s="411" cm="1">
        <f t="array" ref="N65">INDEX(HE_MortalityLapsesCY,$C65,5+2*$L$7)</f>
        <v>5.256671380200563E-2</v>
      </c>
      <c r="O65" s="392">
        <f t="shared" si="30"/>
        <v>0.99915829572660908</v>
      </c>
      <c r="P65" s="1144">
        <f t="shared" si="30"/>
        <v>0.9994895436442699</v>
      </c>
      <c r="Q65" s="313">
        <f t="shared" si="15"/>
        <v>1975</v>
      </c>
      <c r="R65" s="341"/>
      <c r="S65" s="340"/>
      <c r="T65" s="666">
        <f t="shared" si="16"/>
        <v>0</v>
      </c>
      <c r="U65" s="667">
        <f t="shared" si="17"/>
        <v>0</v>
      </c>
      <c r="V65" s="341"/>
      <c r="W65" s="340"/>
      <c r="X65" s="384">
        <f t="shared" si="31"/>
        <v>0</v>
      </c>
      <c r="Y65" s="387">
        <f t="shared" si="31"/>
        <v>0</v>
      </c>
      <c r="Z65" s="535">
        <f t="shared" si="18"/>
        <v>1975</v>
      </c>
      <c r="AA65" s="666">
        <f t="shared" si="32"/>
        <v>0</v>
      </c>
      <c r="AB65" s="667">
        <f t="shared" si="32"/>
        <v>0</v>
      </c>
      <c r="AC65" s="341"/>
      <c r="AD65" s="340"/>
      <c r="AE65" s="384">
        <f t="shared" si="33"/>
        <v>0</v>
      </c>
      <c r="AF65" s="387">
        <f t="shared" si="33"/>
        <v>0</v>
      </c>
      <c r="AG65" s="535">
        <f t="shared" si="19"/>
        <v>1974</v>
      </c>
      <c r="AH65" s="1277">
        <f t="shared" si="34"/>
        <v>0</v>
      </c>
      <c r="AI65" s="1278">
        <f t="shared" si="35"/>
        <v>0</v>
      </c>
      <c r="AJ65" s="341"/>
      <c r="AK65" s="340"/>
      <c r="AL65" s="1277">
        <v>0</v>
      </c>
      <c r="AM65" s="1278">
        <v>0</v>
      </c>
      <c r="AN65" s="415">
        <f t="shared" si="20"/>
        <v>1</v>
      </c>
      <c r="AO65" s="416">
        <f t="shared" si="3"/>
        <v>1</v>
      </c>
      <c r="AP65" s="341"/>
      <c r="AQ65" s="340"/>
      <c r="AR65" s="666">
        <f t="shared" si="45"/>
        <v>0</v>
      </c>
      <c r="AS65" s="680">
        <f t="shared" si="45"/>
        <v>0</v>
      </c>
      <c r="AT65" s="384">
        <f t="shared" si="36"/>
        <v>0</v>
      </c>
      <c r="AU65" s="387">
        <f t="shared" si="4"/>
        <v>0</v>
      </c>
      <c r="AV65" s="535">
        <f t="shared" si="22"/>
        <v>1973</v>
      </c>
      <c r="AW65" s="1277">
        <f t="shared" si="37"/>
        <v>0</v>
      </c>
      <c r="AX65" s="1278">
        <f t="shared" si="38"/>
        <v>0</v>
      </c>
      <c r="AY65" s="341"/>
      <c r="AZ65" s="340"/>
      <c r="BA65" s="1277">
        <v>0</v>
      </c>
      <c r="BB65" s="1278">
        <v>0</v>
      </c>
      <c r="BC65" s="415">
        <f t="shared" si="23"/>
        <v>1</v>
      </c>
      <c r="BD65" s="416">
        <f t="shared" si="7"/>
        <v>1</v>
      </c>
      <c r="BE65" s="341"/>
      <c r="BF65" s="340"/>
      <c r="BG65" s="666">
        <f t="shared" si="46"/>
        <v>0</v>
      </c>
      <c r="BH65" s="680">
        <f t="shared" si="46"/>
        <v>0</v>
      </c>
      <c r="BI65" s="384">
        <f t="shared" si="39"/>
        <v>0</v>
      </c>
      <c r="BJ65" s="387">
        <f t="shared" si="39"/>
        <v>0</v>
      </c>
      <c r="BK65" s="535">
        <f t="shared" si="25"/>
        <v>1972</v>
      </c>
      <c r="BL65" s="1277">
        <f t="shared" si="40"/>
        <v>0</v>
      </c>
      <c r="BM65" s="1278">
        <f t="shared" si="41"/>
        <v>0</v>
      </c>
      <c r="BN65" s="341"/>
      <c r="BO65" s="340"/>
      <c r="BP65" s="1277">
        <v>0</v>
      </c>
      <c r="BQ65" s="1278">
        <v>0</v>
      </c>
      <c r="BR65" s="415">
        <f t="shared" si="26"/>
        <v>1</v>
      </c>
      <c r="BS65" s="416">
        <f t="shared" si="11"/>
        <v>1</v>
      </c>
      <c r="BT65" s="341"/>
      <c r="BU65" s="340"/>
      <c r="BV65" s="666">
        <f t="shared" si="47"/>
        <v>0</v>
      </c>
      <c r="BW65" s="680">
        <f t="shared" si="47"/>
        <v>0</v>
      </c>
      <c r="BX65" s="384">
        <f t="shared" si="42"/>
        <v>0</v>
      </c>
      <c r="BY65" s="387">
        <f t="shared" si="42"/>
        <v>0</v>
      </c>
      <c r="BZ65" s="535">
        <f t="shared" si="28"/>
        <v>1975</v>
      </c>
      <c r="CA65" s="666">
        <f t="shared" si="48"/>
        <v>0</v>
      </c>
      <c r="CB65" s="667">
        <f t="shared" si="48"/>
        <v>0</v>
      </c>
      <c r="CC65" s="666">
        <f t="shared" si="49"/>
        <v>0</v>
      </c>
      <c r="CD65" s="667">
        <f t="shared" si="49"/>
        <v>0</v>
      </c>
      <c r="CE65" s="341"/>
      <c r="CF65" s="340"/>
      <c r="CG65" s="384">
        <f t="shared" si="43"/>
        <v>0</v>
      </c>
      <c r="CH65" s="387">
        <f t="shared" si="43"/>
        <v>0</v>
      </c>
    </row>
    <row r="66" spans="2:86" ht="13.5" thickTop="1" x14ac:dyDescent="0.2">
      <c r="B66" s="276">
        <v>51</v>
      </c>
      <c r="C66" s="320">
        <f t="shared" si="29"/>
        <v>52</v>
      </c>
      <c r="D66" s="534">
        <f t="shared" si="13"/>
        <v>1974</v>
      </c>
      <c r="E66" s="337"/>
      <c r="F66" s="338"/>
      <c r="G66" s="1271">
        <v>0</v>
      </c>
      <c r="H66" s="1289">
        <v>0</v>
      </c>
      <c r="I66" s="400">
        <f t="shared" si="44"/>
        <v>0</v>
      </c>
      <c r="J66" s="401">
        <f t="shared" si="14"/>
        <v>0</v>
      </c>
      <c r="K66" s="402" cm="1">
        <f t="array" ref="K66">HE_fact_qM*INDEX(HE_MortalityLapsesCY,$C66,4)</f>
        <v>1.8753242849328046E-3</v>
      </c>
      <c r="L66" s="403" cm="1">
        <f t="array" ref="L66">HE_fact_qF*INDEX(HE_MortalityLapsesCY,$C66,5)</f>
        <v>1.1306982676561777E-3</v>
      </c>
      <c r="M66" s="404" cm="1">
        <f t="array" ref="M66">INDEX(HE_MortalityLapsesCY,$C66,5+(2*$L$7-1))</f>
        <v>4.01763966874343E-2</v>
      </c>
      <c r="N66" s="405" cm="1">
        <f t="array" ref="N66">INDEX(HE_MortalityLapsesCY,$C66,5+2*$L$7)</f>
        <v>4.01763966874343E-2</v>
      </c>
      <c r="O66" s="391">
        <f t="shared" si="30"/>
        <v>0.99906233785753362</v>
      </c>
      <c r="P66" s="1143">
        <f t="shared" si="30"/>
        <v>0.99943465086617189</v>
      </c>
      <c r="Q66" s="356">
        <f t="shared" si="15"/>
        <v>1974</v>
      </c>
      <c r="R66" s="337"/>
      <c r="S66" s="338"/>
      <c r="T66" s="664">
        <f t="shared" si="16"/>
        <v>0</v>
      </c>
      <c r="U66" s="665">
        <f t="shared" si="17"/>
        <v>0</v>
      </c>
      <c r="V66" s="337"/>
      <c r="W66" s="338"/>
      <c r="X66" s="383">
        <f t="shared" si="31"/>
        <v>0</v>
      </c>
      <c r="Y66" s="386">
        <f t="shared" si="31"/>
        <v>0</v>
      </c>
      <c r="Z66" s="534">
        <f t="shared" si="18"/>
        <v>1974</v>
      </c>
      <c r="AA66" s="664">
        <f t="shared" si="32"/>
        <v>0</v>
      </c>
      <c r="AB66" s="665">
        <f t="shared" si="32"/>
        <v>0</v>
      </c>
      <c r="AC66" s="337"/>
      <c r="AD66" s="338"/>
      <c r="AE66" s="383">
        <f t="shared" si="33"/>
        <v>0</v>
      </c>
      <c r="AF66" s="386">
        <f t="shared" si="33"/>
        <v>0</v>
      </c>
      <c r="AG66" s="534">
        <f t="shared" si="19"/>
        <v>1973</v>
      </c>
      <c r="AH66" s="1271">
        <f t="shared" si="34"/>
        <v>0</v>
      </c>
      <c r="AI66" s="1276">
        <f t="shared" si="35"/>
        <v>0</v>
      </c>
      <c r="AJ66" s="337"/>
      <c r="AK66" s="338"/>
      <c r="AL66" s="1271">
        <v>0</v>
      </c>
      <c r="AM66" s="1276">
        <v>0</v>
      </c>
      <c r="AN66" s="414">
        <f t="shared" si="20"/>
        <v>1</v>
      </c>
      <c r="AO66" s="413">
        <f t="shared" si="3"/>
        <v>1</v>
      </c>
      <c r="AP66" s="337"/>
      <c r="AQ66" s="338"/>
      <c r="AR66" s="664">
        <f t="shared" si="45"/>
        <v>0</v>
      </c>
      <c r="AS66" s="679">
        <f t="shared" si="45"/>
        <v>0</v>
      </c>
      <c r="AT66" s="383">
        <f t="shared" si="36"/>
        <v>0</v>
      </c>
      <c r="AU66" s="386">
        <f t="shared" si="4"/>
        <v>0</v>
      </c>
      <c r="AV66" s="534">
        <f t="shared" si="22"/>
        <v>1972</v>
      </c>
      <c r="AW66" s="1271">
        <f t="shared" si="37"/>
        <v>0</v>
      </c>
      <c r="AX66" s="1276">
        <f t="shared" si="38"/>
        <v>0</v>
      </c>
      <c r="AY66" s="337"/>
      <c r="AZ66" s="338"/>
      <c r="BA66" s="1271">
        <v>0</v>
      </c>
      <c r="BB66" s="1276">
        <v>0</v>
      </c>
      <c r="BC66" s="414">
        <f t="shared" si="23"/>
        <v>1</v>
      </c>
      <c r="BD66" s="413">
        <f t="shared" si="7"/>
        <v>1</v>
      </c>
      <c r="BE66" s="337"/>
      <c r="BF66" s="338"/>
      <c r="BG66" s="664">
        <f t="shared" si="46"/>
        <v>0</v>
      </c>
      <c r="BH66" s="679">
        <f t="shared" si="46"/>
        <v>0</v>
      </c>
      <c r="BI66" s="383">
        <f t="shared" si="39"/>
        <v>0</v>
      </c>
      <c r="BJ66" s="386">
        <f t="shared" si="39"/>
        <v>0</v>
      </c>
      <c r="BK66" s="534">
        <f t="shared" si="25"/>
        <v>1971</v>
      </c>
      <c r="BL66" s="1271">
        <f t="shared" si="40"/>
        <v>0</v>
      </c>
      <c r="BM66" s="1276">
        <f t="shared" si="41"/>
        <v>0</v>
      </c>
      <c r="BN66" s="337"/>
      <c r="BO66" s="338"/>
      <c r="BP66" s="1271">
        <v>0</v>
      </c>
      <c r="BQ66" s="1276">
        <v>0</v>
      </c>
      <c r="BR66" s="414">
        <f t="shared" si="26"/>
        <v>1</v>
      </c>
      <c r="BS66" s="413">
        <f t="shared" si="11"/>
        <v>1</v>
      </c>
      <c r="BT66" s="337"/>
      <c r="BU66" s="338"/>
      <c r="BV66" s="664">
        <f t="shared" si="47"/>
        <v>0</v>
      </c>
      <c r="BW66" s="679">
        <f t="shared" si="47"/>
        <v>0</v>
      </c>
      <c r="BX66" s="383">
        <f t="shared" si="42"/>
        <v>0</v>
      </c>
      <c r="BY66" s="386">
        <f t="shared" si="42"/>
        <v>0</v>
      </c>
      <c r="BZ66" s="534">
        <f t="shared" si="28"/>
        <v>1974</v>
      </c>
      <c r="CA66" s="664">
        <f t="shared" si="48"/>
        <v>0</v>
      </c>
      <c r="CB66" s="665">
        <f t="shared" si="48"/>
        <v>0</v>
      </c>
      <c r="CC66" s="664">
        <f t="shared" si="49"/>
        <v>0</v>
      </c>
      <c r="CD66" s="665">
        <f t="shared" si="49"/>
        <v>0</v>
      </c>
      <c r="CE66" s="337"/>
      <c r="CF66" s="338"/>
      <c r="CG66" s="383">
        <f t="shared" si="43"/>
        <v>0</v>
      </c>
      <c r="CH66" s="386">
        <f t="shared" si="43"/>
        <v>0</v>
      </c>
    </row>
    <row r="67" spans="2:86" x14ac:dyDescent="0.2">
      <c r="B67" s="276">
        <v>52</v>
      </c>
      <c r="C67" s="320">
        <f t="shared" si="29"/>
        <v>53</v>
      </c>
      <c r="D67" s="534">
        <f t="shared" si="13"/>
        <v>1973</v>
      </c>
      <c r="E67" s="337"/>
      <c r="F67" s="338"/>
      <c r="G67" s="1271">
        <v>0</v>
      </c>
      <c r="H67" s="1289">
        <v>0</v>
      </c>
      <c r="I67" s="400">
        <f t="shared" si="44"/>
        <v>0</v>
      </c>
      <c r="J67" s="401">
        <f t="shared" si="14"/>
        <v>0</v>
      </c>
      <c r="K67" s="402" cm="1">
        <f t="array" ref="K67">HE_fact_qM*INDEX(HE_MortalityLapsesCY,$C67,4)</f>
        <v>2.0902178020710794E-3</v>
      </c>
      <c r="L67" s="403" cm="1">
        <f t="array" ref="L67">HE_fact_qF*INDEX(HE_MortalityLapsesCY,$C67,5)</f>
        <v>1.2523139654878309E-3</v>
      </c>
      <c r="M67" s="404" cm="1">
        <f t="array" ref="M67">INDEX(HE_MortalityLapsesCY,$C67,5+(2*$L$7-1))</f>
        <v>3.8809979346958429E-2</v>
      </c>
      <c r="N67" s="405" cm="1">
        <f t="array" ref="N67">INDEX(HE_MortalityLapsesCY,$C67,5+2*$L$7)</f>
        <v>3.8809979346958429E-2</v>
      </c>
      <c r="O67" s="391">
        <f t="shared" si="30"/>
        <v>0.99895489109896451</v>
      </c>
      <c r="P67" s="1143">
        <f t="shared" si="30"/>
        <v>0.99937384301725607</v>
      </c>
      <c r="Q67" s="356">
        <f t="shared" si="15"/>
        <v>1973</v>
      </c>
      <c r="R67" s="337"/>
      <c r="S67" s="338"/>
      <c r="T67" s="664">
        <f t="shared" si="16"/>
        <v>0</v>
      </c>
      <c r="U67" s="665">
        <f t="shared" si="17"/>
        <v>0</v>
      </c>
      <c r="V67" s="337"/>
      <c r="W67" s="338"/>
      <c r="X67" s="383">
        <f t="shared" si="31"/>
        <v>0</v>
      </c>
      <c r="Y67" s="386">
        <f t="shared" si="31"/>
        <v>0</v>
      </c>
      <c r="Z67" s="534">
        <f t="shared" si="18"/>
        <v>1973</v>
      </c>
      <c r="AA67" s="664">
        <f t="shared" si="32"/>
        <v>0</v>
      </c>
      <c r="AB67" s="665">
        <f t="shared" si="32"/>
        <v>0</v>
      </c>
      <c r="AC67" s="337"/>
      <c r="AD67" s="338"/>
      <c r="AE67" s="383">
        <f t="shared" si="33"/>
        <v>0</v>
      </c>
      <c r="AF67" s="386">
        <f t="shared" si="33"/>
        <v>0</v>
      </c>
      <c r="AG67" s="534">
        <f t="shared" si="19"/>
        <v>1972</v>
      </c>
      <c r="AH67" s="1271">
        <f t="shared" si="34"/>
        <v>0</v>
      </c>
      <c r="AI67" s="1276">
        <f t="shared" si="35"/>
        <v>0</v>
      </c>
      <c r="AJ67" s="337"/>
      <c r="AK67" s="338"/>
      <c r="AL67" s="1271">
        <v>0</v>
      </c>
      <c r="AM67" s="1276">
        <v>0</v>
      </c>
      <c r="AN67" s="414">
        <f t="shared" si="20"/>
        <v>1</v>
      </c>
      <c r="AO67" s="413">
        <f t="shared" si="3"/>
        <v>1</v>
      </c>
      <c r="AP67" s="337"/>
      <c r="AQ67" s="338"/>
      <c r="AR67" s="664">
        <f t="shared" si="45"/>
        <v>0</v>
      </c>
      <c r="AS67" s="679">
        <f t="shared" si="45"/>
        <v>0</v>
      </c>
      <c r="AT67" s="383">
        <f t="shared" si="36"/>
        <v>0</v>
      </c>
      <c r="AU67" s="386">
        <f t="shared" si="4"/>
        <v>0</v>
      </c>
      <c r="AV67" s="534">
        <f t="shared" si="22"/>
        <v>1971</v>
      </c>
      <c r="AW67" s="1271">
        <f t="shared" si="37"/>
        <v>0</v>
      </c>
      <c r="AX67" s="1276">
        <f t="shared" si="38"/>
        <v>0</v>
      </c>
      <c r="AY67" s="337"/>
      <c r="AZ67" s="338"/>
      <c r="BA67" s="1271">
        <v>0</v>
      </c>
      <c r="BB67" s="1276">
        <v>0</v>
      </c>
      <c r="BC67" s="414">
        <f t="shared" si="23"/>
        <v>1</v>
      </c>
      <c r="BD67" s="413">
        <f t="shared" si="7"/>
        <v>1</v>
      </c>
      <c r="BE67" s="337"/>
      <c r="BF67" s="338"/>
      <c r="BG67" s="664">
        <f t="shared" si="46"/>
        <v>0</v>
      </c>
      <c r="BH67" s="679">
        <f t="shared" si="46"/>
        <v>0</v>
      </c>
      <c r="BI67" s="383">
        <f t="shared" si="39"/>
        <v>0</v>
      </c>
      <c r="BJ67" s="386">
        <f t="shared" si="39"/>
        <v>0</v>
      </c>
      <c r="BK67" s="534">
        <f t="shared" si="25"/>
        <v>1970</v>
      </c>
      <c r="BL67" s="1271">
        <f t="shared" si="40"/>
        <v>0</v>
      </c>
      <c r="BM67" s="1276">
        <f t="shared" si="41"/>
        <v>0</v>
      </c>
      <c r="BN67" s="337"/>
      <c r="BO67" s="338"/>
      <c r="BP67" s="1271">
        <v>0</v>
      </c>
      <c r="BQ67" s="1276">
        <v>0</v>
      </c>
      <c r="BR67" s="414">
        <f t="shared" si="26"/>
        <v>1</v>
      </c>
      <c r="BS67" s="413">
        <f t="shared" si="11"/>
        <v>1</v>
      </c>
      <c r="BT67" s="337"/>
      <c r="BU67" s="338"/>
      <c r="BV67" s="664">
        <f t="shared" si="47"/>
        <v>0</v>
      </c>
      <c r="BW67" s="679">
        <f t="shared" si="47"/>
        <v>0</v>
      </c>
      <c r="BX67" s="383">
        <f t="shared" si="42"/>
        <v>0</v>
      </c>
      <c r="BY67" s="386">
        <f t="shared" si="42"/>
        <v>0</v>
      </c>
      <c r="BZ67" s="534">
        <f t="shared" si="28"/>
        <v>1973</v>
      </c>
      <c r="CA67" s="664">
        <f t="shared" si="48"/>
        <v>0</v>
      </c>
      <c r="CB67" s="665">
        <f t="shared" si="48"/>
        <v>0</v>
      </c>
      <c r="CC67" s="664">
        <f t="shared" si="49"/>
        <v>0</v>
      </c>
      <c r="CD67" s="665">
        <f t="shared" si="49"/>
        <v>0</v>
      </c>
      <c r="CE67" s="337"/>
      <c r="CF67" s="338"/>
      <c r="CG67" s="383">
        <f t="shared" si="43"/>
        <v>0</v>
      </c>
      <c r="CH67" s="386">
        <f t="shared" si="43"/>
        <v>0</v>
      </c>
    </row>
    <row r="68" spans="2:86" x14ac:dyDescent="0.2">
      <c r="B68" s="276">
        <v>53</v>
      </c>
      <c r="C68" s="320">
        <f t="shared" si="29"/>
        <v>54</v>
      </c>
      <c r="D68" s="534">
        <f t="shared" si="13"/>
        <v>1972</v>
      </c>
      <c r="E68" s="337"/>
      <c r="F68" s="338"/>
      <c r="G68" s="1271">
        <v>0</v>
      </c>
      <c r="H68" s="1289">
        <v>0</v>
      </c>
      <c r="I68" s="400">
        <f t="shared" si="44"/>
        <v>0</v>
      </c>
      <c r="J68" s="401">
        <f t="shared" si="14"/>
        <v>0</v>
      </c>
      <c r="K68" s="402" cm="1">
        <f t="array" ref="K68">HE_fact_qM*INDEX(HE_MortalityLapsesCY,$C68,4)</f>
        <v>2.3299203451178333E-3</v>
      </c>
      <c r="L68" s="403" cm="1">
        <f t="array" ref="L68">HE_fact_qF*INDEX(HE_MortalityLapsesCY,$C68,5)</f>
        <v>1.3865386604347777E-3</v>
      </c>
      <c r="M68" s="404" cm="1">
        <f t="array" ref="M68">INDEX(HE_MortalityLapsesCY,$C68,5+(2*$L$7-1))</f>
        <v>3.7703095924968469E-2</v>
      </c>
      <c r="N68" s="405" cm="1">
        <f t="array" ref="N68">INDEX(HE_MortalityLapsesCY,$C68,5+2*$L$7)</f>
        <v>3.7703095924968469E-2</v>
      </c>
      <c r="O68" s="391">
        <f t="shared" si="30"/>
        <v>0.99883503982744104</v>
      </c>
      <c r="P68" s="1143">
        <f t="shared" si="30"/>
        <v>0.99930673066978259</v>
      </c>
      <c r="Q68" s="356">
        <f t="shared" si="15"/>
        <v>1972</v>
      </c>
      <c r="R68" s="337"/>
      <c r="S68" s="338"/>
      <c r="T68" s="664">
        <f t="shared" si="16"/>
        <v>0</v>
      </c>
      <c r="U68" s="665">
        <f t="shared" si="17"/>
        <v>0</v>
      </c>
      <c r="V68" s="337"/>
      <c r="W68" s="338"/>
      <c r="X68" s="383">
        <f t="shared" si="31"/>
        <v>0</v>
      </c>
      <c r="Y68" s="386">
        <f t="shared" si="31"/>
        <v>0</v>
      </c>
      <c r="Z68" s="534">
        <f t="shared" si="18"/>
        <v>1972</v>
      </c>
      <c r="AA68" s="664">
        <f t="shared" si="32"/>
        <v>0</v>
      </c>
      <c r="AB68" s="665">
        <f t="shared" si="32"/>
        <v>0</v>
      </c>
      <c r="AC68" s="337"/>
      <c r="AD68" s="338"/>
      <c r="AE68" s="383">
        <f t="shared" si="33"/>
        <v>0</v>
      </c>
      <c r="AF68" s="386">
        <f t="shared" si="33"/>
        <v>0</v>
      </c>
      <c r="AG68" s="534">
        <f t="shared" si="19"/>
        <v>1971</v>
      </c>
      <c r="AH68" s="1271">
        <f t="shared" si="34"/>
        <v>0</v>
      </c>
      <c r="AI68" s="1276">
        <f t="shared" si="35"/>
        <v>0</v>
      </c>
      <c r="AJ68" s="337"/>
      <c r="AK68" s="338"/>
      <c r="AL68" s="1271">
        <v>0</v>
      </c>
      <c r="AM68" s="1276">
        <v>0</v>
      </c>
      <c r="AN68" s="414">
        <f t="shared" si="20"/>
        <v>1</v>
      </c>
      <c r="AO68" s="413">
        <f t="shared" si="3"/>
        <v>1</v>
      </c>
      <c r="AP68" s="337"/>
      <c r="AQ68" s="338"/>
      <c r="AR68" s="664">
        <f t="shared" si="45"/>
        <v>0</v>
      </c>
      <c r="AS68" s="679">
        <f t="shared" si="45"/>
        <v>0</v>
      </c>
      <c r="AT68" s="383">
        <f t="shared" si="36"/>
        <v>0</v>
      </c>
      <c r="AU68" s="386">
        <f t="shared" si="4"/>
        <v>0</v>
      </c>
      <c r="AV68" s="534">
        <f t="shared" si="22"/>
        <v>1970</v>
      </c>
      <c r="AW68" s="1271">
        <f t="shared" si="37"/>
        <v>0</v>
      </c>
      <c r="AX68" s="1276">
        <f t="shared" si="38"/>
        <v>0</v>
      </c>
      <c r="AY68" s="337"/>
      <c r="AZ68" s="338"/>
      <c r="BA68" s="1271">
        <v>0</v>
      </c>
      <c r="BB68" s="1276">
        <v>0</v>
      </c>
      <c r="BC68" s="414">
        <f t="shared" si="23"/>
        <v>1</v>
      </c>
      <c r="BD68" s="413">
        <f t="shared" si="7"/>
        <v>1</v>
      </c>
      <c r="BE68" s="337"/>
      <c r="BF68" s="338"/>
      <c r="BG68" s="664">
        <f t="shared" si="46"/>
        <v>0</v>
      </c>
      <c r="BH68" s="679">
        <f t="shared" si="46"/>
        <v>0</v>
      </c>
      <c r="BI68" s="383">
        <f t="shared" si="39"/>
        <v>0</v>
      </c>
      <c r="BJ68" s="386">
        <f t="shared" si="39"/>
        <v>0</v>
      </c>
      <c r="BK68" s="534">
        <f t="shared" si="25"/>
        <v>1969</v>
      </c>
      <c r="BL68" s="1271">
        <f t="shared" si="40"/>
        <v>0</v>
      </c>
      <c r="BM68" s="1276">
        <f t="shared" si="41"/>
        <v>0</v>
      </c>
      <c r="BN68" s="337"/>
      <c r="BO68" s="338"/>
      <c r="BP68" s="1271">
        <v>0</v>
      </c>
      <c r="BQ68" s="1276">
        <v>0</v>
      </c>
      <c r="BR68" s="414">
        <f t="shared" si="26"/>
        <v>1</v>
      </c>
      <c r="BS68" s="413">
        <f t="shared" si="11"/>
        <v>1</v>
      </c>
      <c r="BT68" s="337"/>
      <c r="BU68" s="338"/>
      <c r="BV68" s="664">
        <f t="shared" si="47"/>
        <v>0</v>
      </c>
      <c r="BW68" s="679">
        <f t="shared" si="47"/>
        <v>0</v>
      </c>
      <c r="BX68" s="383">
        <f t="shared" si="42"/>
        <v>0</v>
      </c>
      <c r="BY68" s="386">
        <f t="shared" si="42"/>
        <v>0</v>
      </c>
      <c r="BZ68" s="534">
        <f t="shared" si="28"/>
        <v>1972</v>
      </c>
      <c r="CA68" s="664">
        <f t="shared" si="48"/>
        <v>0</v>
      </c>
      <c r="CB68" s="665">
        <f t="shared" si="48"/>
        <v>0</v>
      </c>
      <c r="CC68" s="664">
        <f t="shared" si="49"/>
        <v>0</v>
      </c>
      <c r="CD68" s="665">
        <f t="shared" si="49"/>
        <v>0</v>
      </c>
      <c r="CE68" s="337"/>
      <c r="CF68" s="338"/>
      <c r="CG68" s="383">
        <f t="shared" si="43"/>
        <v>0</v>
      </c>
      <c r="CH68" s="386">
        <f t="shared" si="43"/>
        <v>0</v>
      </c>
    </row>
    <row r="69" spans="2:86" x14ac:dyDescent="0.2">
      <c r="B69" s="276">
        <v>54</v>
      </c>
      <c r="C69" s="320">
        <f t="shared" si="29"/>
        <v>55</v>
      </c>
      <c r="D69" s="534">
        <f t="shared" si="13"/>
        <v>1971</v>
      </c>
      <c r="E69" s="337"/>
      <c r="F69" s="338"/>
      <c r="G69" s="1271">
        <v>0</v>
      </c>
      <c r="H69" s="1289">
        <v>0</v>
      </c>
      <c r="I69" s="400">
        <f t="shared" si="44"/>
        <v>0</v>
      </c>
      <c r="J69" s="401">
        <f t="shared" si="14"/>
        <v>0</v>
      </c>
      <c r="K69" s="402" cm="1">
        <f t="array" ref="K69">HE_fact_qM*INDEX(HE_MortalityLapsesCY,$C69,4)</f>
        <v>2.5962427207877432E-3</v>
      </c>
      <c r="L69" s="403" cm="1">
        <f t="array" ref="L69">HE_fact_qF*INDEX(HE_MortalityLapsesCY,$C69,5)</f>
        <v>1.5340640690372743E-3</v>
      </c>
      <c r="M69" s="404" cm="1">
        <f t="array" ref="M69">INDEX(HE_MortalityLapsesCY,$C69,5+(2*$L$7-1))</f>
        <v>3.6281067206357827E-2</v>
      </c>
      <c r="N69" s="405" cm="1">
        <f t="array" ref="N69">INDEX(HE_MortalityLapsesCY,$C69,5+2*$L$7)</f>
        <v>3.6281067206357827E-2</v>
      </c>
      <c r="O69" s="391">
        <f t="shared" si="30"/>
        <v>0.99870187863960613</v>
      </c>
      <c r="P69" s="1143">
        <f t="shared" si="30"/>
        <v>0.99923296796548144</v>
      </c>
      <c r="Q69" s="356">
        <f t="shared" si="15"/>
        <v>1971</v>
      </c>
      <c r="R69" s="337"/>
      <c r="S69" s="338"/>
      <c r="T69" s="664">
        <f t="shared" si="16"/>
        <v>0</v>
      </c>
      <c r="U69" s="665">
        <f t="shared" si="17"/>
        <v>0</v>
      </c>
      <c r="V69" s="337"/>
      <c r="W69" s="338"/>
      <c r="X69" s="383">
        <f t="shared" si="31"/>
        <v>0</v>
      </c>
      <c r="Y69" s="386">
        <f t="shared" si="31"/>
        <v>0</v>
      </c>
      <c r="Z69" s="534">
        <f t="shared" si="18"/>
        <v>1971</v>
      </c>
      <c r="AA69" s="664">
        <f t="shared" si="32"/>
        <v>0</v>
      </c>
      <c r="AB69" s="665">
        <f t="shared" si="32"/>
        <v>0</v>
      </c>
      <c r="AC69" s="337"/>
      <c r="AD69" s="338"/>
      <c r="AE69" s="383">
        <f t="shared" si="33"/>
        <v>0</v>
      </c>
      <c r="AF69" s="386">
        <f t="shared" si="33"/>
        <v>0</v>
      </c>
      <c r="AG69" s="534">
        <f t="shared" si="19"/>
        <v>1970</v>
      </c>
      <c r="AH69" s="1271">
        <f t="shared" si="34"/>
        <v>0</v>
      </c>
      <c r="AI69" s="1276">
        <f t="shared" si="35"/>
        <v>0</v>
      </c>
      <c r="AJ69" s="337"/>
      <c r="AK69" s="338"/>
      <c r="AL69" s="1271">
        <v>0</v>
      </c>
      <c r="AM69" s="1276">
        <v>0</v>
      </c>
      <c r="AN69" s="414">
        <f t="shared" si="20"/>
        <v>1</v>
      </c>
      <c r="AO69" s="413">
        <f t="shared" si="3"/>
        <v>1</v>
      </c>
      <c r="AP69" s="337"/>
      <c r="AQ69" s="338"/>
      <c r="AR69" s="664">
        <f t="shared" si="45"/>
        <v>0</v>
      </c>
      <c r="AS69" s="679">
        <f t="shared" si="45"/>
        <v>0</v>
      </c>
      <c r="AT69" s="383">
        <f t="shared" si="36"/>
        <v>0</v>
      </c>
      <c r="AU69" s="386">
        <f t="shared" si="4"/>
        <v>0</v>
      </c>
      <c r="AV69" s="534">
        <f t="shared" si="22"/>
        <v>1969</v>
      </c>
      <c r="AW69" s="1271">
        <f t="shared" si="37"/>
        <v>0</v>
      </c>
      <c r="AX69" s="1276">
        <f t="shared" si="38"/>
        <v>0</v>
      </c>
      <c r="AY69" s="337"/>
      <c r="AZ69" s="338"/>
      <c r="BA69" s="1271">
        <v>0</v>
      </c>
      <c r="BB69" s="1276">
        <v>0</v>
      </c>
      <c r="BC69" s="414">
        <f t="shared" si="23"/>
        <v>1</v>
      </c>
      <c r="BD69" s="413">
        <f t="shared" si="7"/>
        <v>1</v>
      </c>
      <c r="BE69" s="337"/>
      <c r="BF69" s="338"/>
      <c r="BG69" s="664">
        <f t="shared" si="46"/>
        <v>0</v>
      </c>
      <c r="BH69" s="679">
        <f t="shared" si="46"/>
        <v>0</v>
      </c>
      <c r="BI69" s="383">
        <f t="shared" si="39"/>
        <v>0</v>
      </c>
      <c r="BJ69" s="386">
        <f t="shared" si="39"/>
        <v>0</v>
      </c>
      <c r="BK69" s="534">
        <f t="shared" si="25"/>
        <v>1968</v>
      </c>
      <c r="BL69" s="1271">
        <f t="shared" si="40"/>
        <v>0</v>
      </c>
      <c r="BM69" s="1276">
        <f t="shared" si="41"/>
        <v>0</v>
      </c>
      <c r="BN69" s="337"/>
      <c r="BO69" s="338"/>
      <c r="BP69" s="1271">
        <v>0</v>
      </c>
      <c r="BQ69" s="1276">
        <v>0</v>
      </c>
      <c r="BR69" s="414">
        <f t="shared" si="26"/>
        <v>1</v>
      </c>
      <c r="BS69" s="413">
        <f t="shared" si="11"/>
        <v>1</v>
      </c>
      <c r="BT69" s="337"/>
      <c r="BU69" s="338"/>
      <c r="BV69" s="664">
        <f t="shared" si="47"/>
        <v>0</v>
      </c>
      <c r="BW69" s="679">
        <f t="shared" si="47"/>
        <v>0</v>
      </c>
      <c r="BX69" s="383">
        <f t="shared" si="42"/>
        <v>0</v>
      </c>
      <c r="BY69" s="386">
        <f t="shared" si="42"/>
        <v>0</v>
      </c>
      <c r="BZ69" s="534">
        <f t="shared" si="28"/>
        <v>1971</v>
      </c>
      <c r="CA69" s="664">
        <f t="shared" si="48"/>
        <v>0</v>
      </c>
      <c r="CB69" s="665">
        <f t="shared" si="48"/>
        <v>0</v>
      </c>
      <c r="CC69" s="664">
        <f t="shared" si="49"/>
        <v>0</v>
      </c>
      <c r="CD69" s="665">
        <f t="shared" si="49"/>
        <v>0</v>
      </c>
      <c r="CE69" s="337"/>
      <c r="CF69" s="338"/>
      <c r="CG69" s="383">
        <f t="shared" si="43"/>
        <v>0</v>
      </c>
      <c r="CH69" s="386">
        <f t="shared" si="43"/>
        <v>0</v>
      </c>
    </row>
    <row r="70" spans="2:86" ht="13.5" thickBot="1" x14ac:dyDescent="0.25">
      <c r="B70" s="313">
        <v>55</v>
      </c>
      <c r="C70" s="321">
        <f t="shared" si="29"/>
        <v>56</v>
      </c>
      <c r="D70" s="535">
        <f t="shared" si="13"/>
        <v>1970</v>
      </c>
      <c r="E70" s="341"/>
      <c r="F70" s="340"/>
      <c r="G70" s="1277">
        <v>0</v>
      </c>
      <c r="H70" s="1290">
        <v>0</v>
      </c>
      <c r="I70" s="406">
        <f t="shared" si="44"/>
        <v>0</v>
      </c>
      <c r="J70" s="407">
        <f t="shared" si="14"/>
        <v>0</v>
      </c>
      <c r="K70" s="408" cm="1">
        <f t="array" ref="K70">HE_fact_qM*INDEX(HE_MortalityLapsesCY,$C70,4)</f>
        <v>2.8912970439471802E-3</v>
      </c>
      <c r="L70" s="409" cm="1">
        <f t="array" ref="L70">HE_fact_qF*INDEX(HE_MortalityLapsesCY,$C70,5)</f>
        <v>1.6958063941365019E-3</v>
      </c>
      <c r="M70" s="410" cm="1">
        <f t="array" ref="M70">INDEX(HE_MortalityLapsesCY,$C70,5+(2*$L$7-1))</f>
        <v>4.3696923716991749E-2</v>
      </c>
      <c r="N70" s="411" cm="1">
        <f t="array" ref="N70">INDEX(HE_MortalityLapsesCY,$C70,5+2*$L$7)</f>
        <v>4.3696923716991749E-2</v>
      </c>
      <c r="O70" s="392">
        <f t="shared" si="30"/>
        <v>0.9985543514780264</v>
      </c>
      <c r="P70" s="1144">
        <f t="shared" si="30"/>
        <v>0.99915209680293171</v>
      </c>
      <c r="Q70" s="313">
        <f t="shared" si="15"/>
        <v>1970</v>
      </c>
      <c r="R70" s="341"/>
      <c r="S70" s="340"/>
      <c r="T70" s="666">
        <f t="shared" si="16"/>
        <v>0</v>
      </c>
      <c r="U70" s="667">
        <f t="shared" si="17"/>
        <v>0</v>
      </c>
      <c r="V70" s="341"/>
      <c r="W70" s="340"/>
      <c r="X70" s="384">
        <f t="shared" si="31"/>
        <v>0</v>
      </c>
      <c r="Y70" s="387">
        <f t="shared" si="31"/>
        <v>0</v>
      </c>
      <c r="Z70" s="535">
        <f t="shared" si="18"/>
        <v>1970</v>
      </c>
      <c r="AA70" s="666">
        <f t="shared" si="32"/>
        <v>0</v>
      </c>
      <c r="AB70" s="667">
        <f t="shared" si="32"/>
        <v>0</v>
      </c>
      <c r="AC70" s="341"/>
      <c r="AD70" s="340"/>
      <c r="AE70" s="384">
        <f t="shared" si="33"/>
        <v>0</v>
      </c>
      <c r="AF70" s="387">
        <f t="shared" si="33"/>
        <v>0</v>
      </c>
      <c r="AG70" s="535">
        <f t="shared" si="19"/>
        <v>1969</v>
      </c>
      <c r="AH70" s="1277">
        <f t="shared" si="34"/>
        <v>0</v>
      </c>
      <c r="AI70" s="1278">
        <f t="shared" si="35"/>
        <v>0</v>
      </c>
      <c r="AJ70" s="341"/>
      <c r="AK70" s="340"/>
      <c r="AL70" s="1277">
        <v>0</v>
      </c>
      <c r="AM70" s="1278">
        <v>0</v>
      </c>
      <c r="AN70" s="415">
        <f t="shared" si="20"/>
        <v>1</v>
      </c>
      <c r="AO70" s="416">
        <f t="shared" si="3"/>
        <v>1</v>
      </c>
      <c r="AP70" s="341"/>
      <c r="AQ70" s="340"/>
      <c r="AR70" s="666">
        <f t="shared" si="45"/>
        <v>0</v>
      </c>
      <c r="AS70" s="680">
        <f t="shared" si="45"/>
        <v>0</v>
      </c>
      <c r="AT70" s="384">
        <f t="shared" si="36"/>
        <v>0</v>
      </c>
      <c r="AU70" s="387">
        <f t="shared" si="4"/>
        <v>0</v>
      </c>
      <c r="AV70" s="535">
        <f t="shared" si="22"/>
        <v>1968</v>
      </c>
      <c r="AW70" s="1277">
        <f t="shared" si="37"/>
        <v>0</v>
      </c>
      <c r="AX70" s="1278">
        <f t="shared" si="38"/>
        <v>0</v>
      </c>
      <c r="AY70" s="341"/>
      <c r="AZ70" s="340"/>
      <c r="BA70" s="1277">
        <v>0</v>
      </c>
      <c r="BB70" s="1278">
        <v>0</v>
      </c>
      <c r="BC70" s="415">
        <f t="shared" si="23"/>
        <v>1</v>
      </c>
      <c r="BD70" s="416">
        <f t="shared" si="7"/>
        <v>1</v>
      </c>
      <c r="BE70" s="341"/>
      <c r="BF70" s="340"/>
      <c r="BG70" s="666">
        <f t="shared" si="46"/>
        <v>0</v>
      </c>
      <c r="BH70" s="680">
        <f t="shared" si="46"/>
        <v>0</v>
      </c>
      <c r="BI70" s="384">
        <f t="shared" si="39"/>
        <v>0</v>
      </c>
      <c r="BJ70" s="387">
        <f t="shared" si="39"/>
        <v>0</v>
      </c>
      <c r="BK70" s="535">
        <f t="shared" si="25"/>
        <v>1967</v>
      </c>
      <c r="BL70" s="1277">
        <f t="shared" si="40"/>
        <v>0</v>
      </c>
      <c r="BM70" s="1278">
        <f t="shared" si="41"/>
        <v>0</v>
      </c>
      <c r="BN70" s="341"/>
      <c r="BO70" s="340"/>
      <c r="BP70" s="1277">
        <v>0</v>
      </c>
      <c r="BQ70" s="1278">
        <v>0</v>
      </c>
      <c r="BR70" s="415">
        <f t="shared" si="26"/>
        <v>1</v>
      </c>
      <c r="BS70" s="416">
        <f t="shared" si="11"/>
        <v>1</v>
      </c>
      <c r="BT70" s="341"/>
      <c r="BU70" s="340"/>
      <c r="BV70" s="666">
        <f t="shared" si="47"/>
        <v>0</v>
      </c>
      <c r="BW70" s="680">
        <f t="shared" si="47"/>
        <v>0</v>
      </c>
      <c r="BX70" s="384">
        <f t="shared" si="42"/>
        <v>0</v>
      </c>
      <c r="BY70" s="387">
        <f t="shared" si="42"/>
        <v>0</v>
      </c>
      <c r="BZ70" s="535">
        <f t="shared" si="28"/>
        <v>1970</v>
      </c>
      <c r="CA70" s="666">
        <f t="shared" si="48"/>
        <v>0</v>
      </c>
      <c r="CB70" s="667">
        <f t="shared" si="48"/>
        <v>0</v>
      </c>
      <c r="CC70" s="666">
        <f t="shared" si="49"/>
        <v>0</v>
      </c>
      <c r="CD70" s="667">
        <f t="shared" si="49"/>
        <v>0</v>
      </c>
      <c r="CE70" s="341"/>
      <c r="CF70" s="340"/>
      <c r="CG70" s="384">
        <f t="shared" si="43"/>
        <v>0</v>
      </c>
      <c r="CH70" s="387">
        <f t="shared" si="43"/>
        <v>0</v>
      </c>
    </row>
    <row r="71" spans="2:86" ht="13.5" thickTop="1" x14ac:dyDescent="0.2">
      <c r="B71" s="276">
        <v>56</v>
      </c>
      <c r="C71" s="320">
        <f t="shared" si="29"/>
        <v>57</v>
      </c>
      <c r="D71" s="534">
        <f t="shared" si="13"/>
        <v>1969</v>
      </c>
      <c r="E71" s="337"/>
      <c r="F71" s="338"/>
      <c r="G71" s="1271">
        <v>0</v>
      </c>
      <c r="H71" s="1289">
        <v>0</v>
      </c>
      <c r="I71" s="400">
        <f t="shared" si="44"/>
        <v>0</v>
      </c>
      <c r="J71" s="401">
        <f t="shared" si="14"/>
        <v>0</v>
      </c>
      <c r="K71" s="402" cm="1">
        <f t="array" ref="K71">HE_fact_qM*INDEX(HE_MortalityLapsesCY,$C71,4)</f>
        <v>3.2176257976017772E-3</v>
      </c>
      <c r="L71" s="403" cm="1">
        <f t="array" ref="L71">HE_fact_qF*INDEX(HE_MortalityLapsesCY,$C71,5)</f>
        <v>1.8731034563806031E-3</v>
      </c>
      <c r="M71" s="404" cm="1">
        <f t="array" ref="M71">INDEX(HE_MortalityLapsesCY,$C71,5+(2*$L$7-1))</f>
        <v>3.1691264949289068E-2</v>
      </c>
      <c r="N71" s="405" cm="1">
        <f t="array" ref="N71">INDEX(HE_MortalityLapsesCY,$C71,5+2*$L$7)</f>
        <v>3.1691264949289068E-2</v>
      </c>
      <c r="O71" s="391">
        <f t="shared" si="30"/>
        <v>0.99839118710119912</v>
      </c>
      <c r="P71" s="1143">
        <f t="shared" si="30"/>
        <v>0.99906344827180971</v>
      </c>
      <c r="Q71" s="356">
        <f t="shared" si="15"/>
        <v>1969</v>
      </c>
      <c r="R71" s="337"/>
      <c r="S71" s="338"/>
      <c r="T71" s="664">
        <f t="shared" si="16"/>
        <v>0</v>
      </c>
      <c r="U71" s="665">
        <f t="shared" si="17"/>
        <v>0</v>
      </c>
      <c r="V71" s="337"/>
      <c r="W71" s="338"/>
      <c r="X71" s="383">
        <f t="shared" si="31"/>
        <v>0</v>
      </c>
      <c r="Y71" s="386">
        <f t="shared" si="31"/>
        <v>0</v>
      </c>
      <c r="Z71" s="534">
        <f t="shared" si="18"/>
        <v>1969</v>
      </c>
      <c r="AA71" s="664">
        <f t="shared" si="32"/>
        <v>0</v>
      </c>
      <c r="AB71" s="665">
        <f t="shared" si="32"/>
        <v>0</v>
      </c>
      <c r="AC71" s="337"/>
      <c r="AD71" s="338"/>
      <c r="AE71" s="383">
        <f t="shared" si="33"/>
        <v>0</v>
      </c>
      <c r="AF71" s="386">
        <f t="shared" si="33"/>
        <v>0</v>
      </c>
      <c r="AG71" s="534">
        <f t="shared" si="19"/>
        <v>1968</v>
      </c>
      <c r="AH71" s="1271">
        <f t="shared" si="34"/>
        <v>0</v>
      </c>
      <c r="AI71" s="1276">
        <f t="shared" si="35"/>
        <v>0</v>
      </c>
      <c r="AJ71" s="337"/>
      <c r="AK71" s="338"/>
      <c r="AL71" s="1271">
        <v>0</v>
      </c>
      <c r="AM71" s="1276">
        <v>0</v>
      </c>
      <c r="AN71" s="414">
        <f t="shared" si="20"/>
        <v>1</v>
      </c>
      <c r="AO71" s="413">
        <f t="shared" si="3"/>
        <v>1</v>
      </c>
      <c r="AP71" s="337"/>
      <c r="AQ71" s="338"/>
      <c r="AR71" s="664">
        <f t="shared" si="45"/>
        <v>0</v>
      </c>
      <c r="AS71" s="679">
        <f t="shared" si="45"/>
        <v>0</v>
      </c>
      <c r="AT71" s="383">
        <f t="shared" si="36"/>
        <v>0</v>
      </c>
      <c r="AU71" s="386">
        <f t="shared" si="4"/>
        <v>0</v>
      </c>
      <c r="AV71" s="534">
        <f t="shared" si="22"/>
        <v>1967</v>
      </c>
      <c r="AW71" s="1271">
        <f t="shared" si="37"/>
        <v>0</v>
      </c>
      <c r="AX71" s="1276">
        <f t="shared" si="38"/>
        <v>0</v>
      </c>
      <c r="AY71" s="337"/>
      <c r="AZ71" s="338"/>
      <c r="BA71" s="1271">
        <v>0</v>
      </c>
      <c r="BB71" s="1276">
        <v>0</v>
      </c>
      <c r="BC71" s="414">
        <f t="shared" si="23"/>
        <v>1</v>
      </c>
      <c r="BD71" s="413">
        <f t="shared" si="7"/>
        <v>1</v>
      </c>
      <c r="BE71" s="337"/>
      <c r="BF71" s="338"/>
      <c r="BG71" s="664">
        <f t="shared" si="46"/>
        <v>0</v>
      </c>
      <c r="BH71" s="679">
        <f t="shared" si="46"/>
        <v>0</v>
      </c>
      <c r="BI71" s="383">
        <f t="shared" si="39"/>
        <v>0</v>
      </c>
      <c r="BJ71" s="386">
        <f t="shared" si="39"/>
        <v>0</v>
      </c>
      <c r="BK71" s="534">
        <f t="shared" si="25"/>
        <v>1966</v>
      </c>
      <c r="BL71" s="1271">
        <f t="shared" si="40"/>
        <v>0</v>
      </c>
      <c r="BM71" s="1276">
        <f t="shared" si="41"/>
        <v>0</v>
      </c>
      <c r="BN71" s="337"/>
      <c r="BO71" s="338"/>
      <c r="BP71" s="1271">
        <v>0</v>
      </c>
      <c r="BQ71" s="1276">
        <v>0</v>
      </c>
      <c r="BR71" s="414">
        <f t="shared" si="26"/>
        <v>1</v>
      </c>
      <c r="BS71" s="413">
        <f t="shared" si="11"/>
        <v>1</v>
      </c>
      <c r="BT71" s="337"/>
      <c r="BU71" s="338"/>
      <c r="BV71" s="664">
        <f t="shared" si="47"/>
        <v>0</v>
      </c>
      <c r="BW71" s="679">
        <f t="shared" si="47"/>
        <v>0</v>
      </c>
      <c r="BX71" s="383">
        <f t="shared" si="42"/>
        <v>0</v>
      </c>
      <c r="BY71" s="386">
        <f t="shared" si="42"/>
        <v>0</v>
      </c>
      <c r="BZ71" s="534">
        <f t="shared" si="28"/>
        <v>1969</v>
      </c>
      <c r="CA71" s="664">
        <f t="shared" si="48"/>
        <v>0</v>
      </c>
      <c r="CB71" s="665">
        <f t="shared" si="48"/>
        <v>0</v>
      </c>
      <c r="CC71" s="664">
        <f t="shared" si="49"/>
        <v>0</v>
      </c>
      <c r="CD71" s="665">
        <f t="shared" si="49"/>
        <v>0</v>
      </c>
      <c r="CE71" s="337"/>
      <c r="CF71" s="338"/>
      <c r="CG71" s="383">
        <f t="shared" si="43"/>
        <v>0</v>
      </c>
      <c r="CH71" s="386">
        <f t="shared" si="43"/>
        <v>0</v>
      </c>
    </row>
    <row r="72" spans="2:86" x14ac:dyDescent="0.2">
      <c r="B72" s="276">
        <v>57</v>
      </c>
      <c r="C72" s="320">
        <f t="shared" si="29"/>
        <v>58</v>
      </c>
      <c r="D72" s="534">
        <f t="shared" si="13"/>
        <v>1968</v>
      </c>
      <c r="E72" s="337"/>
      <c r="F72" s="338"/>
      <c r="G72" s="1271">
        <v>0</v>
      </c>
      <c r="H72" s="1289">
        <v>0</v>
      </c>
      <c r="I72" s="400">
        <f t="shared" si="44"/>
        <v>0</v>
      </c>
      <c r="J72" s="401">
        <f t="shared" si="14"/>
        <v>0</v>
      </c>
      <c r="K72" s="402" cm="1">
        <f t="array" ref="K72">HE_fact_qM*INDEX(HE_MortalityLapsesCY,$C72,4)</f>
        <v>3.5779825439924751E-3</v>
      </c>
      <c r="L72" s="403" cm="1">
        <f t="array" ref="L72">HE_fact_qF*INDEX(HE_MortalityLapsesCY,$C72,5)</f>
        <v>2.0676180513843792E-3</v>
      </c>
      <c r="M72" s="404" cm="1">
        <f t="array" ref="M72">INDEX(HE_MortalityLapsesCY,$C72,5+(2*$L$7-1))</f>
        <v>3.1307505459184926E-2</v>
      </c>
      <c r="N72" s="405" cm="1">
        <f t="array" ref="N72">INDEX(HE_MortalityLapsesCY,$C72,5+2*$L$7)</f>
        <v>3.1307505459184926E-2</v>
      </c>
      <c r="O72" s="391">
        <f t="shared" si="30"/>
        <v>0.99821100872800383</v>
      </c>
      <c r="P72" s="1143">
        <f t="shared" si="30"/>
        <v>0.99896619097430783</v>
      </c>
      <c r="Q72" s="356">
        <f t="shared" si="15"/>
        <v>1968</v>
      </c>
      <c r="R72" s="337"/>
      <c r="S72" s="338"/>
      <c r="T72" s="664">
        <f t="shared" si="16"/>
        <v>0</v>
      </c>
      <c r="U72" s="665">
        <f t="shared" si="17"/>
        <v>0</v>
      </c>
      <c r="V72" s="337"/>
      <c r="W72" s="338"/>
      <c r="X72" s="383">
        <f t="shared" si="31"/>
        <v>0</v>
      </c>
      <c r="Y72" s="386">
        <f t="shared" si="31"/>
        <v>0</v>
      </c>
      <c r="Z72" s="534">
        <f t="shared" si="18"/>
        <v>1968</v>
      </c>
      <c r="AA72" s="664">
        <f t="shared" si="32"/>
        <v>0</v>
      </c>
      <c r="AB72" s="665">
        <f t="shared" si="32"/>
        <v>0</v>
      </c>
      <c r="AC72" s="337"/>
      <c r="AD72" s="338"/>
      <c r="AE72" s="383">
        <f t="shared" si="33"/>
        <v>0</v>
      </c>
      <c r="AF72" s="386">
        <f t="shared" si="33"/>
        <v>0</v>
      </c>
      <c r="AG72" s="534">
        <f t="shared" si="19"/>
        <v>1967</v>
      </c>
      <c r="AH72" s="1271">
        <f t="shared" si="34"/>
        <v>0</v>
      </c>
      <c r="AI72" s="1276">
        <f t="shared" si="35"/>
        <v>0</v>
      </c>
      <c r="AJ72" s="337"/>
      <c r="AK72" s="338"/>
      <c r="AL72" s="1271">
        <v>0</v>
      </c>
      <c r="AM72" s="1276">
        <v>0</v>
      </c>
      <c r="AN72" s="414">
        <f t="shared" si="20"/>
        <v>1</v>
      </c>
      <c r="AO72" s="413">
        <f t="shared" si="3"/>
        <v>1</v>
      </c>
      <c r="AP72" s="337"/>
      <c r="AQ72" s="338"/>
      <c r="AR72" s="664">
        <f t="shared" si="45"/>
        <v>0</v>
      </c>
      <c r="AS72" s="679">
        <f t="shared" si="45"/>
        <v>0</v>
      </c>
      <c r="AT72" s="383">
        <f t="shared" si="36"/>
        <v>0</v>
      </c>
      <c r="AU72" s="386">
        <f t="shared" si="4"/>
        <v>0</v>
      </c>
      <c r="AV72" s="534">
        <f t="shared" si="22"/>
        <v>1966</v>
      </c>
      <c r="AW72" s="1271">
        <f t="shared" si="37"/>
        <v>0</v>
      </c>
      <c r="AX72" s="1276">
        <f t="shared" si="38"/>
        <v>0</v>
      </c>
      <c r="AY72" s="337"/>
      <c r="AZ72" s="338"/>
      <c r="BA72" s="1271">
        <v>0</v>
      </c>
      <c r="BB72" s="1276">
        <v>0</v>
      </c>
      <c r="BC72" s="414">
        <f t="shared" si="23"/>
        <v>1</v>
      </c>
      <c r="BD72" s="413">
        <f t="shared" si="7"/>
        <v>1</v>
      </c>
      <c r="BE72" s="337"/>
      <c r="BF72" s="338"/>
      <c r="BG72" s="664">
        <f t="shared" si="46"/>
        <v>0</v>
      </c>
      <c r="BH72" s="679">
        <f t="shared" si="46"/>
        <v>0</v>
      </c>
      <c r="BI72" s="383">
        <f t="shared" si="39"/>
        <v>0</v>
      </c>
      <c r="BJ72" s="386">
        <f t="shared" si="39"/>
        <v>0</v>
      </c>
      <c r="BK72" s="534">
        <f t="shared" si="25"/>
        <v>1965</v>
      </c>
      <c r="BL72" s="1271">
        <f t="shared" si="40"/>
        <v>0</v>
      </c>
      <c r="BM72" s="1276">
        <f t="shared" si="41"/>
        <v>0</v>
      </c>
      <c r="BN72" s="337"/>
      <c r="BO72" s="338"/>
      <c r="BP72" s="1271">
        <v>0</v>
      </c>
      <c r="BQ72" s="1276">
        <v>0</v>
      </c>
      <c r="BR72" s="414">
        <f t="shared" si="26"/>
        <v>1</v>
      </c>
      <c r="BS72" s="413">
        <f t="shared" si="11"/>
        <v>1</v>
      </c>
      <c r="BT72" s="337"/>
      <c r="BU72" s="338"/>
      <c r="BV72" s="664">
        <f t="shared" si="47"/>
        <v>0</v>
      </c>
      <c r="BW72" s="679">
        <f t="shared" si="47"/>
        <v>0</v>
      </c>
      <c r="BX72" s="383">
        <f t="shared" si="42"/>
        <v>0</v>
      </c>
      <c r="BY72" s="386">
        <f t="shared" si="42"/>
        <v>0</v>
      </c>
      <c r="BZ72" s="534">
        <f t="shared" si="28"/>
        <v>1968</v>
      </c>
      <c r="CA72" s="664">
        <f t="shared" si="48"/>
        <v>0</v>
      </c>
      <c r="CB72" s="665">
        <f t="shared" si="48"/>
        <v>0</v>
      </c>
      <c r="CC72" s="664">
        <f t="shared" si="49"/>
        <v>0</v>
      </c>
      <c r="CD72" s="665">
        <f t="shared" si="49"/>
        <v>0</v>
      </c>
      <c r="CE72" s="337"/>
      <c r="CF72" s="338"/>
      <c r="CG72" s="383">
        <f t="shared" si="43"/>
        <v>0</v>
      </c>
      <c r="CH72" s="386">
        <f t="shared" si="43"/>
        <v>0</v>
      </c>
    </row>
    <row r="73" spans="2:86" x14ac:dyDescent="0.2">
      <c r="B73" s="276">
        <v>58</v>
      </c>
      <c r="C73" s="320">
        <f t="shared" si="29"/>
        <v>59</v>
      </c>
      <c r="D73" s="534">
        <f t="shared" si="13"/>
        <v>1967</v>
      </c>
      <c r="E73" s="337"/>
      <c r="F73" s="338"/>
      <c r="G73" s="1271">
        <v>0</v>
      </c>
      <c r="H73" s="1289">
        <v>0</v>
      </c>
      <c r="I73" s="400">
        <f t="shared" si="44"/>
        <v>0</v>
      </c>
      <c r="J73" s="401">
        <f t="shared" si="14"/>
        <v>0</v>
      </c>
      <c r="K73" s="402" cm="1">
        <f t="array" ref="K73">HE_fact_qM*INDEX(HE_MortalityLapsesCY,$C73,4)</f>
        <v>3.9752474168196642E-3</v>
      </c>
      <c r="L73" s="403" cm="1">
        <f t="array" ref="L73">HE_fact_qF*INDEX(HE_MortalityLapsesCY,$C73,5)</f>
        <v>2.2813155125135831E-3</v>
      </c>
      <c r="M73" s="404" cm="1">
        <f t="array" ref="M73">INDEX(HE_MortalityLapsesCY,$C73,5+(2*$L$7-1))</f>
        <v>3.0467805972725703E-2</v>
      </c>
      <c r="N73" s="405" cm="1">
        <f t="array" ref="N73">INDEX(HE_MortalityLapsesCY,$C73,5+2*$L$7)</f>
        <v>3.0467805972725703E-2</v>
      </c>
      <c r="O73" s="391">
        <f t="shared" si="30"/>
        <v>0.99801237629159023</v>
      </c>
      <c r="P73" s="1143">
        <f t="shared" si="30"/>
        <v>0.99885934224374329</v>
      </c>
      <c r="Q73" s="356">
        <f t="shared" si="15"/>
        <v>1967</v>
      </c>
      <c r="R73" s="337"/>
      <c r="S73" s="338"/>
      <c r="T73" s="664">
        <f t="shared" si="16"/>
        <v>0</v>
      </c>
      <c r="U73" s="665">
        <f t="shared" si="17"/>
        <v>0</v>
      </c>
      <c r="V73" s="337"/>
      <c r="W73" s="338"/>
      <c r="X73" s="383">
        <f t="shared" si="31"/>
        <v>0</v>
      </c>
      <c r="Y73" s="386">
        <f t="shared" si="31"/>
        <v>0</v>
      </c>
      <c r="Z73" s="534">
        <f t="shared" si="18"/>
        <v>1967</v>
      </c>
      <c r="AA73" s="664">
        <f t="shared" si="32"/>
        <v>0</v>
      </c>
      <c r="AB73" s="665">
        <f t="shared" si="32"/>
        <v>0</v>
      </c>
      <c r="AC73" s="337"/>
      <c r="AD73" s="338"/>
      <c r="AE73" s="383">
        <f t="shared" si="33"/>
        <v>0</v>
      </c>
      <c r="AF73" s="386">
        <f t="shared" si="33"/>
        <v>0</v>
      </c>
      <c r="AG73" s="534">
        <f t="shared" si="19"/>
        <v>1966</v>
      </c>
      <c r="AH73" s="1271">
        <f t="shared" si="34"/>
        <v>0</v>
      </c>
      <c r="AI73" s="1276">
        <f t="shared" si="35"/>
        <v>0</v>
      </c>
      <c r="AJ73" s="337"/>
      <c r="AK73" s="338"/>
      <c r="AL73" s="1271">
        <v>0</v>
      </c>
      <c r="AM73" s="1276">
        <v>0</v>
      </c>
      <c r="AN73" s="414">
        <f t="shared" si="20"/>
        <v>1</v>
      </c>
      <c r="AO73" s="413">
        <f t="shared" si="3"/>
        <v>1</v>
      </c>
      <c r="AP73" s="337"/>
      <c r="AQ73" s="338"/>
      <c r="AR73" s="664">
        <f t="shared" si="45"/>
        <v>0</v>
      </c>
      <c r="AS73" s="679">
        <f t="shared" si="45"/>
        <v>0</v>
      </c>
      <c r="AT73" s="383">
        <f t="shared" si="36"/>
        <v>0</v>
      </c>
      <c r="AU73" s="386">
        <f t="shared" si="4"/>
        <v>0</v>
      </c>
      <c r="AV73" s="534">
        <f t="shared" si="22"/>
        <v>1965</v>
      </c>
      <c r="AW73" s="1271">
        <f t="shared" si="37"/>
        <v>0</v>
      </c>
      <c r="AX73" s="1276">
        <f t="shared" si="38"/>
        <v>0</v>
      </c>
      <c r="AY73" s="337"/>
      <c r="AZ73" s="338"/>
      <c r="BA73" s="1271">
        <v>0</v>
      </c>
      <c r="BB73" s="1276">
        <v>0</v>
      </c>
      <c r="BC73" s="414">
        <f t="shared" si="23"/>
        <v>1</v>
      </c>
      <c r="BD73" s="413">
        <f t="shared" si="7"/>
        <v>1</v>
      </c>
      <c r="BE73" s="337"/>
      <c r="BF73" s="338"/>
      <c r="BG73" s="664">
        <f t="shared" si="46"/>
        <v>0</v>
      </c>
      <c r="BH73" s="679">
        <f t="shared" si="46"/>
        <v>0</v>
      </c>
      <c r="BI73" s="383">
        <f t="shared" si="39"/>
        <v>0</v>
      </c>
      <c r="BJ73" s="386">
        <f t="shared" si="39"/>
        <v>0</v>
      </c>
      <c r="BK73" s="534">
        <f t="shared" si="25"/>
        <v>1964</v>
      </c>
      <c r="BL73" s="1271">
        <f t="shared" si="40"/>
        <v>0</v>
      </c>
      <c r="BM73" s="1276">
        <f t="shared" si="41"/>
        <v>0</v>
      </c>
      <c r="BN73" s="337"/>
      <c r="BO73" s="338"/>
      <c r="BP73" s="1271">
        <v>0</v>
      </c>
      <c r="BQ73" s="1276">
        <v>0</v>
      </c>
      <c r="BR73" s="414">
        <f t="shared" si="26"/>
        <v>1</v>
      </c>
      <c r="BS73" s="413">
        <f t="shared" si="11"/>
        <v>1</v>
      </c>
      <c r="BT73" s="337"/>
      <c r="BU73" s="338"/>
      <c r="BV73" s="664">
        <f t="shared" si="47"/>
        <v>0</v>
      </c>
      <c r="BW73" s="679">
        <f t="shared" si="47"/>
        <v>0</v>
      </c>
      <c r="BX73" s="383">
        <f t="shared" si="42"/>
        <v>0</v>
      </c>
      <c r="BY73" s="386">
        <f t="shared" si="42"/>
        <v>0</v>
      </c>
      <c r="BZ73" s="534">
        <f t="shared" si="28"/>
        <v>1967</v>
      </c>
      <c r="CA73" s="664">
        <f t="shared" si="48"/>
        <v>0</v>
      </c>
      <c r="CB73" s="665">
        <f t="shared" si="48"/>
        <v>0</v>
      </c>
      <c r="CC73" s="664">
        <f t="shared" si="49"/>
        <v>0</v>
      </c>
      <c r="CD73" s="665">
        <f t="shared" si="49"/>
        <v>0</v>
      </c>
      <c r="CE73" s="337"/>
      <c r="CF73" s="338"/>
      <c r="CG73" s="383">
        <f t="shared" si="43"/>
        <v>0</v>
      </c>
      <c r="CH73" s="386">
        <f t="shared" si="43"/>
        <v>0</v>
      </c>
    </row>
    <row r="74" spans="2:86" x14ac:dyDescent="0.2">
      <c r="B74" s="276">
        <v>59</v>
      </c>
      <c r="C74" s="320">
        <f t="shared" si="29"/>
        <v>60</v>
      </c>
      <c r="D74" s="534">
        <f t="shared" si="13"/>
        <v>1966</v>
      </c>
      <c r="E74" s="337"/>
      <c r="F74" s="338"/>
      <c r="G74" s="1271">
        <v>0</v>
      </c>
      <c r="H74" s="1289">
        <v>0</v>
      </c>
      <c r="I74" s="400">
        <f t="shared" si="44"/>
        <v>0</v>
      </c>
      <c r="J74" s="401">
        <f t="shared" si="14"/>
        <v>0</v>
      </c>
      <c r="K74" s="402" cm="1">
        <f t="array" ref="K74">HE_fact_qM*INDEX(HE_MortalityLapsesCY,$C74,4)</f>
        <v>4.4124015325271394E-3</v>
      </c>
      <c r="L74" s="403" cm="1">
        <f t="array" ref="L74">HE_fact_qF*INDEX(HE_MortalityLapsesCY,$C74,5)</f>
        <v>2.5164852916719814E-3</v>
      </c>
      <c r="M74" s="404" cm="1">
        <f t="array" ref="M74">INDEX(HE_MortalityLapsesCY,$C74,5+(2*$L$7-1))</f>
        <v>2.917416392628901E-2</v>
      </c>
      <c r="N74" s="405" cm="1">
        <f t="array" ref="N74">INDEX(HE_MortalityLapsesCY,$C74,5+2*$L$7)</f>
        <v>2.917416392628901E-2</v>
      </c>
      <c r="O74" s="391">
        <f t="shared" si="30"/>
        <v>0.99779379923373646</v>
      </c>
      <c r="P74" s="1143">
        <f t="shared" si="30"/>
        <v>0.99874175735416393</v>
      </c>
      <c r="Q74" s="356">
        <f t="shared" si="15"/>
        <v>1966</v>
      </c>
      <c r="R74" s="337"/>
      <c r="S74" s="338"/>
      <c r="T74" s="664">
        <f t="shared" si="16"/>
        <v>0</v>
      </c>
      <c r="U74" s="665">
        <f t="shared" si="17"/>
        <v>0</v>
      </c>
      <c r="V74" s="337"/>
      <c r="W74" s="338"/>
      <c r="X74" s="383">
        <f t="shared" si="31"/>
        <v>0</v>
      </c>
      <c r="Y74" s="386">
        <f t="shared" si="31"/>
        <v>0</v>
      </c>
      <c r="Z74" s="534">
        <f t="shared" si="18"/>
        <v>1966</v>
      </c>
      <c r="AA74" s="664">
        <f t="shared" si="32"/>
        <v>0</v>
      </c>
      <c r="AB74" s="665">
        <f t="shared" si="32"/>
        <v>0</v>
      </c>
      <c r="AC74" s="337"/>
      <c r="AD74" s="338"/>
      <c r="AE74" s="383">
        <f t="shared" si="33"/>
        <v>0</v>
      </c>
      <c r="AF74" s="386">
        <f t="shared" si="33"/>
        <v>0</v>
      </c>
      <c r="AG74" s="534">
        <f t="shared" si="19"/>
        <v>1965</v>
      </c>
      <c r="AH74" s="1271">
        <f t="shared" si="34"/>
        <v>0</v>
      </c>
      <c r="AI74" s="1276">
        <f t="shared" si="35"/>
        <v>0</v>
      </c>
      <c r="AJ74" s="337"/>
      <c r="AK74" s="338"/>
      <c r="AL74" s="1271">
        <v>0</v>
      </c>
      <c r="AM74" s="1276">
        <v>0</v>
      </c>
      <c r="AN74" s="414">
        <f t="shared" si="20"/>
        <v>1</v>
      </c>
      <c r="AO74" s="413">
        <f t="shared" si="3"/>
        <v>1</v>
      </c>
      <c r="AP74" s="337"/>
      <c r="AQ74" s="338"/>
      <c r="AR74" s="664">
        <f t="shared" si="45"/>
        <v>0</v>
      </c>
      <c r="AS74" s="679">
        <f t="shared" si="45"/>
        <v>0</v>
      </c>
      <c r="AT74" s="383">
        <f t="shared" si="36"/>
        <v>0</v>
      </c>
      <c r="AU74" s="386">
        <f t="shared" si="4"/>
        <v>0</v>
      </c>
      <c r="AV74" s="534">
        <f t="shared" si="22"/>
        <v>1964</v>
      </c>
      <c r="AW74" s="1271">
        <f t="shared" si="37"/>
        <v>0</v>
      </c>
      <c r="AX74" s="1276">
        <f t="shared" si="38"/>
        <v>0</v>
      </c>
      <c r="AY74" s="337"/>
      <c r="AZ74" s="338"/>
      <c r="BA74" s="1271">
        <v>0</v>
      </c>
      <c r="BB74" s="1276">
        <v>0</v>
      </c>
      <c r="BC74" s="414">
        <f t="shared" si="23"/>
        <v>1</v>
      </c>
      <c r="BD74" s="413">
        <f t="shared" si="7"/>
        <v>1</v>
      </c>
      <c r="BE74" s="337"/>
      <c r="BF74" s="338"/>
      <c r="BG74" s="664">
        <f t="shared" si="46"/>
        <v>0</v>
      </c>
      <c r="BH74" s="679">
        <f t="shared" si="46"/>
        <v>0</v>
      </c>
      <c r="BI74" s="383">
        <f t="shared" si="39"/>
        <v>0</v>
      </c>
      <c r="BJ74" s="386">
        <f t="shared" si="39"/>
        <v>0</v>
      </c>
      <c r="BK74" s="534">
        <f t="shared" si="25"/>
        <v>1963</v>
      </c>
      <c r="BL74" s="1271">
        <f t="shared" si="40"/>
        <v>0</v>
      </c>
      <c r="BM74" s="1276">
        <f t="shared" si="41"/>
        <v>0</v>
      </c>
      <c r="BN74" s="337"/>
      <c r="BO74" s="338"/>
      <c r="BP74" s="1271">
        <v>0</v>
      </c>
      <c r="BQ74" s="1276">
        <v>0</v>
      </c>
      <c r="BR74" s="414">
        <f t="shared" si="26"/>
        <v>1</v>
      </c>
      <c r="BS74" s="413">
        <f t="shared" si="11"/>
        <v>1</v>
      </c>
      <c r="BT74" s="337"/>
      <c r="BU74" s="338"/>
      <c r="BV74" s="664">
        <f t="shared" si="47"/>
        <v>0</v>
      </c>
      <c r="BW74" s="679">
        <f t="shared" si="47"/>
        <v>0</v>
      </c>
      <c r="BX74" s="383">
        <f t="shared" si="42"/>
        <v>0</v>
      </c>
      <c r="BY74" s="386">
        <f t="shared" si="42"/>
        <v>0</v>
      </c>
      <c r="BZ74" s="534">
        <f t="shared" si="28"/>
        <v>1966</v>
      </c>
      <c r="CA74" s="664">
        <f t="shared" si="48"/>
        <v>0</v>
      </c>
      <c r="CB74" s="665">
        <f t="shared" si="48"/>
        <v>0</v>
      </c>
      <c r="CC74" s="664">
        <f t="shared" si="49"/>
        <v>0</v>
      </c>
      <c r="CD74" s="665">
        <f t="shared" si="49"/>
        <v>0</v>
      </c>
      <c r="CE74" s="337"/>
      <c r="CF74" s="338"/>
      <c r="CG74" s="383">
        <f t="shared" si="43"/>
        <v>0</v>
      </c>
      <c r="CH74" s="386">
        <f t="shared" si="43"/>
        <v>0</v>
      </c>
    </row>
    <row r="75" spans="2:86" ht="13.5" thickBot="1" x14ac:dyDescent="0.25">
      <c r="B75" s="313">
        <v>60</v>
      </c>
      <c r="C75" s="321">
        <f t="shared" si="29"/>
        <v>61</v>
      </c>
      <c r="D75" s="535">
        <f t="shared" si="13"/>
        <v>1965</v>
      </c>
      <c r="E75" s="341"/>
      <c r="F75" s="340"/>
      <c r="G75" s="1277">
        <v>0</v>
      </c>
      <c r="H75" s="1290">
        <v>0</v>
      </c>
      <c r="I75" s="406">
        <f t="shared" si="44"/>
        <v>0</v>
      </c>
      <c r="J75" s="407">
        <f t="shared" si="14"/>
        <v>0</v>
      </c>
      <c r="K75" s="408" cm="1">
        <f t="array" ref="K75">HE_fact_qM*INDEX(HE_MortalityLapsesCY,$C75,4)</f>
        <v>4.8924950427479581E-3</v>
      </c>
      <c r="L75" s="409" cm="1">
        <f t="array" ref="L75">HE_fact_qF*INDEX(HE_MortalityLapsesCY,$C75,5)</f>
        <v>2.7757621135481797E-3</v>
      </c>
      <c r="M75" s="410" cm="1">
        <f t="array" ref="M75">INDEX(HE_MortalityLapsesCY,$C75,5+(2*$L$7-1))</f>
        <v>3.8136910015289571E-2</v>
      </c>
      <c r="N75" s="411" cm="1">
        <f t="array" ref="N75">INDEX(HE_MortalityLapsesCY,$C75,5+2*$L$7)</f>
        <v>3.8136910015289571E-2</v>
      </c>
      <c r="O75" s="392">
        <f t="shared" si="30"/>
        <v>0.99755375247862599</v>
      </c>
      <c r="P75" s="1144">
        <f t="shared" si="30"/>
        <v>0.99861211894322599</v>
      </c>
      <c r="Q75" s="313">
        <f t="shared" si="15"/>
        <v>1965</v>
      </c>
      <c r="R75" s="341"/>
      <c r="S75" s="340"/>
      <c r="T75" s="666">
        <f t="shared" si="16"/>
        <v>0</v>
      </c>
      <c r="U75" s="667">
        <f t="shared" si="17"/>
        <v>0</v>
      </c>
      <c r="V75" s="341"/>
      <c r="W75" s="340"/>
      <c r="X75" s="384">
        <f t="shared" si="31"/>
        <v>0</v>
      </c>
      <c r="Y75" s="387">
        <f t="shared" si="31"/>
        <v>0</v>
      </c>
      <c r="Z75" s="535">
        <f t="shared" si="18"/>
        <v>1965</v>
      </c>
      <c r="AA75" s="666">
        <f t="shared" si="32"/>
        <v>0</v>
      </c>
      <c r="AB75" s="667">
        <f t="shared" si="32"/>
        <v>0</v>
      </c>
      <c r="AC75" s="341"/>
      <c r="AD75" s="340"/>
      <c r="AE75" s="384">
        <f t="shared" si="33"/>
        <v>0</v>
      </c>
      <c r="AF75" s="387">
        <f t="shared" si="33"/>
        <v>0</v>
      </c>
      <c r="AG75" s="535">
        <f t="shared" si="19"/>
        <v>1964</v>
      </c>
      <c r="AH75" s="1277">
        <f t="shared" si="34"/>
        <v>0</v>
      </c>
      <c r="AI75" s="1278">
        <f t="shared" si="35"/>
        <v>0</v>
      </c>
      <c r="AJ75" s="341"/>
      <c r="AK75" s="340"/>
      <c r="AL75" s="1277">
        <v>0</v>
      </c>
      <c r="AM75" s="1278">
        <v>0</v>
      </c>
      <c r="AN75" s="415">
        <f t="shared" si="20"/>
        <v>1</v>
      </c>
      <c r="AO75" s="416">
        <f t="shared" si="3"/>
        <v>1</v>
      </c>
      <c r="AP75" s="341"/>
      <c r="AQ75" s="340"/>
      <c r="AR75" s="666">
        <f t="shared" si="45"/>
        <v>0</v>
      </c>
      <c r="AS75" s="680">
        <f t="shared" si="45"/>
        <v>0</v>
      </c>
      <c r="AT75" s="384">
        <f t="shared" si="36"/>
        <v>0</v>
      </c>
      <c r="AU75" s="387">
        <f t="shared" si="4"/>
        <v>0</v>
      </c>
      <c r="AV75" s="535">
        <f t="shared" si="22"/>
        <v>1963</v>
      </c>
      <c r="AW75" s="1277">
        <f t="shared" si="37"/>
        <v>0</v>
      </c>
      <c r="AX75" s="1278">
        <f t="shared" si="38"/>
        <v>0</v>
      </c>
      <c r="AY75" s="341"/>
      <c r="AZ75" s="340"/>
      <c r="BA75" s="1277">
        <v>0</v>
      </c>
      <c r="BB75" s="1278">
        <v>0</v>
      </c>
      <c r="BC75" s="415">
        <f t="shared" si="23"/>
        <v>1</v>
      </c>
      <c r="BD75" s="416">
        <f t="shared" si="7"/>
        <v>1</v>
      </c>
      <c r="BE75" s="341"/>
      <c r="BF75" s="340"/>
      <c r="BG75" s="666">
        <f t="shared" si="46"/>
        <v>0</v>
      </c>
      <c r="BH75" s="680">
        <f t="shared" si="46"/>
        <v>0</v>
      </c>
      <c r="BI75" s="384">
        <f t="shared" si="39"/>
        <v>0</v>
      </c>
      <c r="BJ75" s="387">
        <f t="shared" si="39"/>
        <v>0</v>
      </c>
      <c r="BK75" s="535">
        <f t="shared" si="25"/>
        <v>1962</v>
      </c>
      <c r="BL75" s="1277">
        <f t="shared" si="40"/>
        <v>0</v>
      </c>
      <c r="BM75" s="1278">
        <f t="shared" si="41"/>
        <v>0</v>
      </c>
      <c r="BN75" s="341"/>
      <c r="BO75" s="340"/>
      <c r="BP75" s="1277">
        <v>0</v>
      </c>
      <c r="BQ75" s="1278">
        <v>0</v>
      </c>
      <c r="BR75" s="415">
        <f t="shared" si="26"/>
        <v>1</v>
      </c>
      <c r="BS75" s="416">
        <f t="shared" si="11"/>
        <v>1</v>
      </c>
      <c r="BT75" s="341"/>
      <c r="BU75" s="340"/>
      <c r="BV75" s="666">
        <f t="shared" si="47"/>
        <v>0</v>
      </c>
      <c r="BW75" s="680">
        <f t="shared" si="47"/>
        <v>0</v>
      </c>
      <c r="BX75" s="384">
        <f t="shared" si="42"/>
        <v>0</v>
      </c>
      <c r="BY75" s="387">
        <f t="shared" si="42"/>
        <v>0</v>
      </c>
      <c r="BZ75" s="535">
        <f t="shared" si="28"/>
        <v>1965</v>
      </c>
      <c r="CA75" s="666">
        <f t="shared" si="48"/>
        <v>0</v>
      </c>
      <c r="CB75" s="667">
        <f t="shared" si="48"/>
        <v>0</v>
      </c>
      <c r="CC75" s="666">
        <f t="shared" si="49"/>
        <v>0</v>
      </c>
      <c r="CD75" s="667">
        <f t="shared" si="49"/>
        <v>0</v>
      </c>
      <c r="CE75" s="341"/>
      <c r="CF75" s="340"/>
      <c r="CG75" s="384">
        <f t="shared" si="43"/>
        <v>0</v>
      </c>
      <c r="CH75" s="387">
        <f t="shared" si="43"/>
        <v>0</v>
      </c>
    </row>
    <row r="76" spans="2:86" ht="13.5" thickTop="1" x14ac:dyDescent="0.2">
      <c r="B76" s="276">
        <v>61</v>
      </c>
      <c r="C76" s="320">
        <f t="shared" si="29"/>
        <v>62</v>
      </c>
      <c r="D76" s="534">
        <f t="shared" si="13"/>
        <v>1964</v>
      </c>
      <c r="E76" s="337"/>
      <c r="F76" s="338"/>
      <c r="G76" s="1271">
        <v>0</v>
      </c>
      <c r="H76" s="1289">
        <v>0</v>
      </c>
      <c r="I76" s="400">
        <f t="shared" si="44"/>
        <v>0</v>
      </c>
      <c r="J76" s="401">
        <f t="shared" si="14"/>
        <v>0</v>
      </c>
      <c r="K76" s="402" cm="1">
        <f t="array" ref="K76">HE_fact_qM*INDEX(HE_MortalityLapsesCY,$C76,4)</f>
        <v>5.4186097024663442E-3</v>
      </c>
      <c r="L76" s="403" cm="1">
        <f t="array" ref="L76">HE_fact_qF*INDEX(HE_MortalityLapsesCY,$C76,5)</f>
        <v>3.062150527449074E-3</v>
      </c>
      <c r="M76" s="404" cm="1">
        <f t="array" ref="M76">INDEX(HE_MortalityLapsesCY,$C76,5+(2*$L$7-1))</f>
        <v>2.7610302464619964E-2</v>
      </c>
      <c r="N76" s="405" cm="1">
        <f t="array" ref="N76">INDEX(HE_MortalityLapsesCY,$C76,5+2*$L$7)</f>
        <v>2.7610302464619964E-2</v>
      </c>
      <c r="O76" s="391">
        <f t="shared" si="30"/>
        <v>0.99729069514876678</v>
      </c>
      <c r="P76" s="1143">
        <f t="shared" si="30"/>
        <v>0.99846892473627546</v>
      </c>
      <c r="Q76" s="356">
        <f t="shared" si="15"/>
        <v>1964</v>
      </c>
      <c r="R76" s="337"/>
      <c r="S76" s="338"/>
      <c r="T76" s="664">
        <f t="shared" si="16"/>
        <v>0</v>
      </c>
      <c r="U76" s="665">
        <f t="shared" si="17"/>
        <v>0</v>
      </c>
      <c r="V76" s="337"/>
      <c r="W76" s="338"/>
      <c r="X76" s="383">
        <f t="shared" si="31"/>
        <v>0</v>
      </c>
      <c r="Y76" s="386">
        <f t="shared" si="31"/>
        <v>0</v>
      </c>
      <c r="Z76" s="534">
        <f t="shared" si="18"/>
        <v>1964</v>
      </c>
      <c r="AA76" s="664">
        <f t="shared" si="32"/>
        <v>0</v>
      </c>
      <c r="AB76" s="665">
        <f t="shared" si="32"/>
        <v>0</v>
      </c>
      <c r="AC76" s="337"/>
      <c r="AD76" s="338"/>
      <c r="AE76" s="383">
        <f t="shared" si="33"/>
        <v>0</v>
      </c>
      <c r="AF76" s="386">
        <f t="shared" si="33"/>
        <v>0</v>
      </c>
      <c r="AG76" s="534">
        <f t="shared" si="19"/>
        <v>1963</v>
      </c>
      <c r="AH76" s="1271">
        <f t="shared" si="34"/>
        <v>0</v>
      </c>
      <c r="AI76" s="1276">
        <f t="shared" si="35"/>
        <v>0</v>
      </c>
      <c r="AJ76" s="337"/>
      <c r="AK76" s="338"/>
      <c r="AL76" s="1271">
        <v>0</v>
      </c>
      <c r="AM76" s="1276">
        <v>0</v>
      </c>
      <c r="AN76" s="414">
        <f t="shared" si="20"/>
        <v>1</v>
      </c>
      <c r="AO76" s="413">
        <f t="shared" si="3"/>
        <v>1</v>
      </c>
      <c r="AP76" s="337"/>
      <c r="AQ76" s="338"/>
      <c r="AR76" s="664">
        <f t="shared" si="45"/>
        <v>0</v>
      </c>
      <c r="AS76" s="679">
        <f t="shared" si="45"/>
        <v>0</v>
      </c>
      <c r="AT76" s="383">
        <f t="shared" si="36"/>
        <v>0</v>
      </c>
      <c r="AU76" s="386">
        <f t="shared" si="4"/>
        <v>0</v>
      </c>
      <c r="AV76" s="534">
        <f t="shared" si="22"/>
        <v>1962</v>
      </c>
      <c r="AW76" s="1271">
        <f t="shared" si="37"/>
        <v>0</v>
      </c>
      <c r="AX76" s="1276">
        <f t="shared" si="38"/>
        <v>0</v>
      </c>
      <c r="AY76" s="337"/>
      <c r="AZ76" s="338"/>
      <c r="BA76" s="1271">
        <v>0</v>
      </c>
      <c r="BB76" s="1276">
        <v>0</v>
      </c>
      <c r="BC76" s="414">
        <f t="shared" si="23"/>
        <v>1</v>
      </c>
      <c r="BD76" s="413">
        <f t="shared" si="7"/>
        <v>1</v>
      </c>
      <c r="BE76" s="337"/>
      <c r="BF76" s="338"/>
      <c r="BG76" s="664">
        <f t="shared" si="46"/>
        <v>0</v>
      </c>
      <c r="BH76" s="679">
        <f t="shared" si="46"/>
        <v>0</v>
      </c>
      <c r="BI76" s="383">
        <f t="shared" si="39"/>
        <v>0</v>
      </c>
      <c r="BJ76" s="386">
        <f t="shared" si="39"/>
        <v>0</v>
      </c>
      <c r="BK76" s="534">
        <f t="shared" si="25"/>
        <v>1961</v>
      </c>
      <c r="BL76" s="1271">
        <f t="shared" si="40"/>
        <v>0</v>
      </c>
      <c r="BM76" s="1276">
        <f t="shared" si="41"/>
        <v>0</v>
      </c>
      <c r="BN76" s="337"/>
      <c r="BO76" s="338"/>
      <c r="BP76" s="1271">
        <v>0</v>
      </c>
      <c r="BQ76" s="1276">
        <v>0</v>
      </c>
      <c r="BR76" s="414">
        <f t="shared" si="26"/>
        <v>1</v>
      </c>
      <c r="BS76" s="413">
        <f t="shared" si="11"/>
        <v>1</v>
      </c>
      <c r="BT76" s="337"/>
      <c r="BU76" s="338"/>
      <c r="BV76" s="664">
        <f t="shared" si="47"/>
        <v>0</v>
      </c>
      <c r="BW76" s="679">
        <f t="shared" si="47"/>
        <v>0</v>
      </c>
      <c r="BX76" s="383">
        <f t="shared" si="42"/>
        <v>0</v>
      </c>
      <c r="BY76" s="386">
        <f t="shared" si="42"/>
        <v>0</v>
      </c>
      <c r="BZ76" s="534">
        <f t="shared" si="28"/>
        <v>1964</v>
      </c>
      <c r="CA76" s="664">
        <f t="shared" si="48"/>
        <v>0</v>
      </c>
      <c r="CB76" s="665">
        <f t="shared" si="48"/>
        <v>0</v>
      </c>
      <c r="CC76" s="664">
        <f t="shared" si="49"/>
        <v>0</v>
      </c>
      <c r="CD76" s="665">
        <f t="shared" si="49"/>
        <v>0</v>
      </c>
      <c r="CE76" s="337"/>
      <c r="CF76" s="338"/>
      <c r="CG76" s="383">
        <f t="shared" si="43"/>
        <v>0</v>
      </c>
      <c r="CH76" s="386">
        <f t="shared" si="43"/>
        <v>0</v>
      </c>
    </row>
    <row r="77" spans="2:86" x14ac:dyDescent="0.2">
      <c r="B77" s="276">
        <v>62</v>
      </c>
      <c r="C77" s="320">
        <f t="shared" si="29"/>
        <v>63</v>
      </c>
      <c r="D77" s="534">
        <f t="shared" si="13"/>
        <v>1963</v>
      </c>
      <c r="E77" s="337"/>
      <c r="F77" s="338"/>
      <c r="G77" s="1271">
        <v>0</v>
      </c>
      <c r="H77" s="1289">
        <v>0</v>
      </c>
      <c r="I77" s="400">
        <f t="shared" si="44"/>
        <v>0</v>
      </c>
      <c r="J77" s="401">
        <f t="shared" si="14"/>
        <v>0</v>
      </c>
      <c r="K77" s="402" cm="1">
        <f t="array" ref="K77">HE_fact_qM*INDEX(HE_MortalityLapsesCY,$C77,4)</f>
        <v>5.9938177763390679E-3</v>
      </c>
      <c r="L77" s="403" cm="1">
        <f t="array" ref="L77">HE_fact_qF*INDEX(HE_MortalityLapsesCY,$C77,5)</f>
        <v>3.3790580021706984E-3</v>
      </c>
      <c r="M77" s="404" cm="1">
        <f t="array" ref="M77">INDEX(HE_MortalityLapsesCY,$C77,5+(2*$L$7-1))</f>
        <v>2.6974732529023448E-2</v>
      </c>
      <c r="N77" s="405" cm="1">
        <f t="array" ref="N77">INDEX(HE_MortalityLapsesCY,$C77,5+2*$L$7)</f>
        <v>2.6974732529023448E-2</v>
      </c>
      <c r="O77" s="391">
        <f t="shared" si="30"/>
        <v>0.99700309111183039</v>
      </c>
      <c r="P77" s="1143">
        <f t="shared" si="30"/>
        <v>0.99831047099891468</v>
      </c>
      <c r="Q77" s="356">
        <f t="shared" si="15"/>
        <v>1963</v>
      </c>
      <c r="R77" s="337"/>
      <c r="S77" s="338"/>
      <c r="T77" s="664">
        <f t="shared" si="16"/>
        <v>0</v>
      </c>
      <c r="U77" s="665">
        <f t="shared" si="17"/>
        <v>0</v>
      </c>
      <c r="V77" s="337"/>
      <c r="W77" s="338"/>
      <c r="X77" s="383">
        <f t="shared" si="31"/>
        <v>0</v>
      </c>
      <c r="Y77" s="386">
        <f t="shared" si="31"/>
        <v>0</v>
      </c>
      <c r="Z77" s="534">
        <f t="shared" si="18"/>
        <v>1963</v>
      </c>
      <c r="AA77" s="664">
        <f t="shared" si="32"/>
        <v>0</v>
      </c>
      <c r="AB77" s="665">
        <f t="shared" si="32"/>
        <v>0</v>
      </c>
      <c r="AC77" s="337"/>
      <c r="AD77" s="338"/>
      <c r="AE77" s="383">
        <f t="shared" si="33"/>
        <v>0</v>
      </c>
      <c r="AF77" s="386">
        <f t="shared" si="33"/>
        <v>0</v>
      </c>
      <c r="AG77" s="534">
        <f t="shared" si="19"/>
        <v>1962</v>
      </c>
      <c r="AH77" s="1271">
        <f t="shared" si="34"/>
        <v>0</v>
      </c>
      <c r="AI77" s="1276">
        <f t="shared" si="35"/>
        <v>0</v>
      </c>
      <c r="AJ77" s="337"/>
      <c r="AK77" s="338"/>
      <c r="AL77" s="1271">
        <v>0</v>
      </c>
      <c r="AM77" s="1276">
        <v>0</v>
      </c>
      <c r="AN77" s="414">
        <f t="shared" si="20"/>
        <v>1</v>
      </c>
      <c r="AO77" s="413">
        <f t="shared" si="3"/>
        <v>1</v>
      </c>
      <c r="AP77" s="337"/>
      <c r="AQ77" s="338"/>
      <c r="AR77" s="664">
        <f t="shared" si="45"/>
        <v>0</v>
      </c>
      <c r="AS77" s="679">
        <f t="shared" si="45"/>
        <v>0</v>
      </c>
      <c r="AT77" s="383">
        <f t="shared" si="36"/>
        <v>0</v>
      </c>
      <c r="AU77" s="386">
        <f t="shared" si="4"/>
        <v>0</v>
      </c>
      <c r="AV77" s="534">
        <f t="shared" si="22"/>
        <v>1961</v>
      </c>
      <c r="AW77" s="1271">
        <f t="shared" si="37"/>
        <v>0</v>
      </c>
      <c r="AX77" s="1276">
        <f t="shared" si="38"/>
        <v>0</v>
      </c>
      <c r="AY77" s="337"/>
      <c r="AZ77" s="338"/>
      <c r="BA77" s="1271">
        <v>0</v>
      </c>
      <c r="BB77" s="1276">
        <v>0</v>
      </c>
      <c r="BC77" s="414">
        <f t="shared" si="23"/>
        <v>1</v>
      </c>
      <c r="BD77" s="413">
        <f t="shared" si="7"/>
        <v>1</v>
      </c>
      <c r="BE77" s="337"/>
      <c r="BF77" s="338"/>
      <c r="BG77" s="664">
        <f t="shared" si="46"/>
        <v>0</v>
      </c>
      <c r="BH77" s="679">
        <f t="shared" si="46"/>
        <v>0</v>
      </c>
      <c r="BI77" s="383">
        <f t="shared" si="39"/>
        <v>0</v>
      </c>
      <c r="BJ77" s="386">
        <f t="shared" si="39"/>
        <v>0</v>
      </c>
      <c r="BK77" s="534">
        <f t="shared" si="25"/>
        <v>1960</v>
      </c>
      <c r="BL77" s="1271">
        <f t="shared" si="40"/>
        <v>0</v>
      </c>
      <c r="BM77" s="1276">
        <f t="shared" si="41"/>
        <v>0</v>
      </c>
      <c r="BN77" s="337"/>
      <c r="BO77" s="338"/>
      <c r="BP77" s="1271">
        <v>0</v>
      </c>
      <c r="BQ77" s="1276">
        <v>0</v>
      </c>
      <c r="BR77" s="414">
        <f t="shared" si="26"/>
        <v>1</v>
      </c>
      <c r="BS77" s="413">
        <f t="shared" si="11"/>
        <v>1</v>
      </c>
      <c r="BT77" s="337"/>
      <c r="BU77" s="338"/>
      <c r="BV77" s="664">
        <f t="shared" si="47"/>
        <v>0</v>
      </c>
      <c r="BW77" s="679">
        <f t="shared" si="47"/>
        <v>0</v>
      </c>
      <c r="BX77" s="383">
        <f t="shared" si="42"/>
        <v>0</v>
      </c>
      <c r="BY77" s="386">
        <f t="shared" si="42"/>
        <v>0</v>
      </c>
      <c r="BZ77" s="534">
        <f t="shared" si="28"/>
        <v>1963</v>
      </c>
      <c r="CA77" s="664">
        <f t="shared" si="48"/>
        <v>0</v>
      </c>
      <c r="CB77" s="665">
        <f t="shared" si="48"/>
        <v>0</v>
      </c>
      <c r="CC77" s="664">
        <f t="shared" si="49"/>
        <v>0</v>
      </c>
      <c r="CD77" s="665">
        <f t="shared" si="49"/>
        <v>0</v>
      </c>
      <c r="CE77" s="337"/>
      <c r="CF77" s="338"/>
      <c r="CG77" s="383">
        <f t="shared" si="43"/>
        <v>0</v>
      </c>
      <c r="CH77" s="386">
        <f t="shared" si="43"/>
        <v>0</v>
      </c>
    </row>
    <row r="78" spans="2:86" x14ac:dyDescent="0.2">
      <c r="B78" s="276">
        <v>63</v>
      </c>
      <c r="C78" s="320">
        <f t="shared" si="29"/>
        <v>64</v>
      </c>
      <c r="D78" s="534">
        <f t="shared" si="13"/>
        <v>1962</v>
      </c>
      <c r="E78" s="337"/>
      <c r="F78" s="338"/>
      <c r="G78" s="1271">
        <v>0</v>
      </c>
      <c r="H78" s="1289">
        <v>0</v>
      </c>
      <c r="I78" s="400">
        <f t="shared" si="44"/>
        <v>0</v>
      </c>
      <c r="J78" s="401">
        <f t="shared" si="14"/>
        <v>0</v>
      </c>
      <c r="K78" s="402" cm="1">
        <f t="array" ref="K78">HE_fact_qM*INDEX(HE_MortalityLapsesCY,$C78,4)</f>
        <v>6.6211403449488847E-3</v>
      </c>
      <c r="L78" s="403" cm="1">
        <f t="array" ref="L78">HE_fact_qF*INDEX(HE_MortalityLapsesCY,$C78,5)</f>
        <v>3.730343521498607E-3</v>
      </c>
      <c r="M78" s="404" cm="1">
        <f t="array" ref="M78">INDEX(HE_MortalityLapsesCY,$C78,5+(2*$L$7-1))</f>
        <v>2.7313632801638059E-2</v>
      </c>
      <c r="N78" s="405" cm="1">
        <f t="array" ref="N78">INDEX(HE_MortalityLapsesCY,$C78,5+2*$L$7)</f>
        <v>2.7313632801638059E-2</v>
      </c>
      <c r="O78" s="391">
        <f t="shared" si="30"/>
        <v>0.99668942982752551</v>
      </c>
      <c r="P78" s="1143">
        <f t="shared" si="30"/>
        <v>0.9981348282392507</v>
      </c>
      <c r="Q78" s="356">
        <f t="shared" si="15"/>
        <v>1962</v>
      </c>
      <c r="R78" s="337"/>
      <c r="S78" s="338"/>
      <c r="T78" s="664">
        <f t="shared" si="16"/>
        <v>0</v>
      </c>
      <c r="U78" s="665">
        <f t="shared" si="17"/>
        <v>0</v>
      </c>
      <c r="V78" s="337"/>
      <c r="W78" s="338"/>
      <c r="X78" s="383">
        <f t="shared" si="31"/>
        <v>0</v>
      </c>
      <c r="Y78" s="386">
        <f t="shared" si="31"/>
        <v>0</v>
      </c>
      <c r="Z78" s="534">
        <f t="shared" si="18"/>
        <v>1962</v>
      </c>
      <c r="AA78" s="664">
        <f t="shared" si="32"/>
        <v>0</v>
      </c>
      <c r="AB78" s="665">
        <f t="shared" si="32"/>
        <v>0</v>
      </c>
      <c r="AC78" s="337"/>
      <c r="AD78" s="338"/>
      <c r="AE78" s="383">
        <f t="shared" si="33"/>
        <v>0</v>
      </c>
      <c r="AF78" s="386">
        <f t="shared" si="33"/>
        <v>0</v>
      </c>
      <c r="AG78" s="534">
        <f t="shared" si="19"/>
        <v>1961</v>
      </c>
      <c r="AH78" s="1271">
        <f t="shared" si="34"/>
        <v>0</v>
      </c>
      <c r="AI78" s="1276">
        <f t="shared" si="35"/>
        <v>0</v>
      </c>
      <c r="AJ78" s="337"/>
      <c r="AK78" s="338"/>
      <c r="AL78" s="1271">
        <v>0</v>
      </c>
      <c r="AM78" s="1276">
        <v>0</v>
      </c>
      <c r="AN78" s="414">
        <f t="shared" si="20"/>
        <v>1</v>
      </c>
      <c r="AO78" s="413">
        <f t="shared" si="20"/>
        <v>1</v>
      </c>
      <c r="AP78" s="337"/>
      <c r="AQ78" s="338"/>
      <c r="AR78" s="664">
        <f t="shared" si="45"/>
        <v>0</v>
      </c>
      <c r="AS78" s="679">
        <f t="shared" si="45"/>
        <v>0</v>
      </c>
      <c r="AT78" s="383">
        <f t="shared" si="36"/>
        <v>0</v>
      </c>
      <c r="AU78" s="386">
        <f t="shared" si="36"/>
        <v>0</v>
      </c>
      <c r="AV78" s="534">
        <f t="shared" si="22"/>
        <v>1960</v>
      </c>
      <c r="AW78" s="1271">
        <f t="shared" si="37"/>
        <v>0</v>
      </c>
      <c r="AX78" s="1276">
        <f t="shared" si="38"/>
        <v>0</v>
      </c>
      <c r="AY78" s="337"/>
      <c r="AZ78" s="338"/>
      <c r="BA78" s="1271">
        <v>0</v>
      </c>
      <c r="BB78" s="1276">
        <v>0</v>
      </c>
      <c r="BC78" s="414">
        <f t="shared" si="23"/>
        <v>1</v>
      </c>
      <c r="BD78" s="413">
        <f t="shared" si="23"/>
        <v>1</v>
      </c>
      <c r="BE78" s="337"/>
      <c r="BF78" s="338"/>
      <c r="BG78" s="664">
        <f t="shared" si="46"/>
        <v>0</v>
      </c>
      <c r="BH78" s="679">
        <f t="shared" si="46"/>
        <v>0</v>
      </c>
      <c r="BI78" s="383">
        <f t="shared" si="39"/>
        <v>0</v>
      </c>
      <c r="BJ78" s="386">
        <f t="shared" si="39"/>
        <v>0</v>
      </c>
      <c r="BK78" s="534">
        <f t="shared" si="25"/>
        <v>1959</v>
      </c>
      <c r="BL78" s="1271">
        <f t="shared" si="40"/>
        <v>0</v>
      </c>
      <c r="BM78" s="1276">
        <f t="shared" si="41"/>
        <v>0</v>
      </c>
      <c r="BN78" s="337"/>
      <c r="BO78" s="338"/>
      <c r="BP78" s="1271">
        <v>0</v>
      </c>
      <c r="BQ78" s="1276">
        <v>0</v>
      </c>
      <c r="BR78" s="414">
        <f t="shared" si="26"/>
        <v>1</v>
      </c>
      <c r="BS78" s="413">
        <f t="shared" si="26"/>
        <v>1</v>
      </c>
      <c r="BT78" s="337"/>
      <c r="BU78" s="338"/>
      <c r="BV78" s="664">
        <f t="shared" si="47"/>
        <v>0</v>
      </c>
      <c r="BW78" s="679">
        <f t="shared" si="47"/>
        <v>0</v>
      </c>
      <c r="BX78" s="383">
        <f t="shared" si="42"/>
        <v>0</v>
      </c>
      <c r="BY78" s="386">
        <f t="shared" si="42"/>
        <v>0</v>
      </c>
      <c r="BZ78" s="534">
        <f t="shared" si="28"/>
        <v>1962</v>
      </c>
      <c r="CA78" s="664">
        <f t="shared" si="48"/>
        <v>0</v>
      </c>
      <c r="CB78" s="665">
        <f t="shared" si="48"/>
        <v>0</v>
      </c>
      <c r="CC78" s="664">
        <f t="shared" si="49"/>
        <v>0</v>
      </c>
      <c r="CD78" s="665">
        <f t="shared" si="49"/>
        <v>0</v>
      </c>
      <c r="CE78" s="337"/>
      <c r="CF78" s="338"/>
      <c r="CG78" s="383">
        <f t="shared" si="43"/>
        <v>0</v>
      </c>
      <c r="CH78" s="386">
        <f t="shared" si="43"/>
        <v>0</v>
      </c>
    </row>
    <row r="79" spans="2:86" x14ac:dyDescent="0.2">
      <c r="B79" s="276">
        <v>64</v>
      </c>
      <c r="C79" s="320">
        <f t="shared" si="29"/>
        <v>65</v>
      </c>
      <c r="D79" s="534">
        <f t="shared" ref="D79:D125" si="50">HE_CY-$B79</f>
        <v>1961</v>
      </c>
      <c r="E79" s="337"/>
      <c r="F79" s="338"/>
      <c r="G79" s="1271">
        <v>0</v>
      </c>
      <c r="H79" s="1289">
        <v>0</v>
      </c>
      <c r="I79" s="400">
        <f t="shared" si="44"/>
        <v>0</v>
      </c>
      <c r="J79" s="401">
        <f t="shared" si="44"/>
        <v>0</v>
      </c>
      <c r="K79" s="402" cm="1">
        <f t="array" ref="K79">HE_fact_qM*INDEX(HE_MortalityLapsesCY,$C79,4)</f>
        <v>7.3038165967923285E-3</v>
      </c>
      <c r="L79" s="403" cm="1">
        <f t="array" ref="L79">HE_fact_qF*INDEX(HE_MortalityLapsesCY,$C79,5)</f>
        <v>4.1203876480064867E-3</v>
      </c>
      <c r="M79" s="404" cm="1">
        <f t="array" ref="M79">INDEX(HE_MortalityLapsesCY,$C79,5+(2*$L$7-1))</f>
        <v>2.870728684523358E-2</v>
      </c>
      <c r="N79" s="405" cm="1">
        <f t="array" ref="N79">INDEX(HE_MortalityLapsesCY,$C79,5+2*$L$7)</f>
        <v>2.870728684523358E-2</v>
      </c>
      <c r="O79" s="391">
        <f t="shared" si="30"/>
        <v>0.99634809170160388</v>
      </c>
      <c r="P79" s="1143">
        <f t="shared" si="30"/>
        <v>0.99793980617599676</v>
      </c>
      <c r="Q79" s="356">
        <f t="shared" ref="Q79:Q125" si="51">HE_CY-$B79</f>
        <v>1961</v>
      </c>
      <c r="R79" s="337"/>
      <c r="S79" s="338"/>
      <c r="T79" s="664">
        <f t="shared" ref="T79:T125" si="52">IF(E79&gt;0,R79/E79,0)</f>
        <v>0</v>
      </c>
      <c r="U79" s="665">
        <f t="shared" ref="U79:U125" si="53">IF(F79&gt;0,S79/F79,0)</f>
        <v>0</v>
      </c>
      <c r="V79" s="337"/>
      <c r="W79" s="338"/>
      <c r="X79" s="383">
        <f t="shared" si="31"/>
        <v>0</v>
      </c>
      <c r="Y79" s="386">
        <f t="shared" si="31"/>
        <v>0</v>
      </c>
      <c r="Z79" s="534">
        <f t="shared" ref="Z79:Z125" si="54">HE_CY-$B79</f>
        <v>1961</v>
      </c>
      <c r="AA79" s="664">
        <f t="shared" si="32"/>
        <v>0</v>
      </c>
      <c r="AB79" s="665">
        <f t="shared" si="32"/>
        <v>0</v>
      </c>
      <c r="AC79" s="337"/>
      <c r="AD79" s="338"/>
      <c r="AE79" s="383">
        <f t="shared" si="33"/>
        <v>0</v>
      </c>
      <c r="AF79" s="386">
        <f t="shared" si="33"/>
        <v>0</v>
      </c>
      <c r="AG79" s="534">
        <f t="shared" ref="AG79:AG125" si="55">HE_PY1-$B79</f>
        <v>1960</v>
      </c>
      <c r="AH79" s="1271">
        <f t="shared" si="34"/>
        <v>0</v>
      </c>
      <c r="AI79" s="1276">
        <f t="shared" si="35"/>
        <v>0</v>
      </c>
      <c r="AJ79" s="337"/>
      <c r="AK79" s="338"/>
      <c r="AL79" s="1271">
        <v>0</v>
      </c>
      <c r="AM79" s="1276">
        <v>0</v>
      </c>
      <c r="AN79" s="414">
        <f t="shared" ref="AN79:AO125" si="56">IF(AH79&gt;0,$P$3+(1-$P$3)*(AJ79-AL79)/AH79,1)</f>
        <v>1</v>
      </c>
      <c r="AO79" s="413">
        <f t="shared" si="56"/>
        <v>1</v>
      </c>
      <c r="AP79" s="337"/>
      <c r="AQ79" s="338"/>
      <c r="AR79" s="664">
        <f t="shared" si="45"/>
        <v>0</v>
      </c>
      <c r="AS79" s="679">
        <f t="shared" si="45"/>
        <v>0</v>
      </c>
      <c r="AT79" s="383">
        <f t="shared" si="36"/>
        <v>0</v>
      </c>
      <c r="AU79" s="386">
        <f t="shared" si="36"/>
        <v>0</v>
      </c>
      <c r="AV79" s="534">
        <f t="shared" ref="AV79:AV125" si="57">HE_PY2-$B79</f>
        <v>1959</v>
      </c>
      <c r="AW79" s="1271">
        <f t="shared" si="37"/>
        <v>0</v>
      </c>
      <c r="AX79" s="1276">
        <f t="shared" si="38"/>
        <v>0</v>
      </c>
      <c r="AY79" s="337"/>
      <c r="AZ79" s="338"/>
      <c r="BA79" s="1271">
        <v>0</v>
      </c>
      <c r="BB79" s="1276">
        <v>0</v>
      </c>
      <c r="BC79" s="414">
        <f t="shared" ref="BC79:BD125" si="58">IF(AW79&gt;0,$P$3+(1-$P$3)*(AY79-BA79)/AW79,1)</f>
        <v>1</v>
      </c>
      <c r="BD79" s="413">
        <f t="shared" si="58"/>
        <v>1</v>
      </c>
      <c r="BE79" s="337"/>
      <c r="BF79" s="338"/>
      <c r="BG79" s="664">
        <f t="shared" si="46"/>
        <v>0</v>
      </c>
      <c r="BH79" s="679">
        <f t="shared" si="46"/>
        <v>0</v>
      </c>
      <c r="BI79" s="383">
        <f t="shared" si="39"/>
        <v>0</v>
      </c>
      <c r="BJ79" s="386">
        <f t="shared" si="39"/>
        <v>0</v>
      </c>
      <c r="BK79" s="534">
        <f t="shared" ref="BK79:BK125" si="59">HE_PY3-$B79</f>
        <v>1958</v>
      </c>
      <c r="BL79" s="1271">
        <f t="shared" si="40"/>
        <v>0</v>
      </c>
      <c r="BM79" s="1276">
        <f t="shared" si="41"/>
        <v>0</v>
      </c>
      <c r="BN79" s="337"/>
      <c r="BO79" s="338"/>
      <c r="BP79" s="1271">
        <v>0</v>
      </c>
      <c r="BQ79" s="1276">
        <v>0</v>
      </c>
      <c r="BR79" s="414">
        <f t="shared" ref="BR79:BS125" si="60">IF(BL79&gt;0,$P$3+(1-$P$3)*(BN79-BP79)/BL79,1)</f>
        <v>1</v>
      </c>
      <c r="BS79" s="413">
        <f t="shared" si="60"/>
        <v>1</v>
      </c>
      <c r="BT79" s="337"/>
      <c r="BU79" s="338"/>
      <c r="BV79" s="664">
        <f t="shared" si="47"/>
        <v>0</v>
      </c>
      <c r="BW79" s="679">
        <f t="shared" si="47"/>
        <v>0</v>
      </c>
      <c r="BX79" s="383">
        <f t="shared" si="42"/>
        <v>0</v>
      </c>
      <c r="BY79" s="386">
        <f t="shared" si="42"/>
        <v>0</v>
      </c>
      <c r="BZ79" s="534">
        <f t="shared" ref="BZ79:BZ125" si="61">HE_CY-$B79</f>
        <v>1961</v>
      </c>
      <c r="CA79" s="664">
        <f t="shared" si="48"/>
        <v>0</v>
      </c>
      <c r="CB79" s="665">
        <f t="shared" si="48"/>
        <v>0</v>
      </c>
      <c r="CC79" s="664">
        <f t="shared" si="49"/>
        <v>0</v>
      </c>
      <c r="CD79" s="665">
        <f t="shared" si="49"/>
        <v>0</v>
      </c>
      <c r="CE79" s="337"/>
      <c r="CF79" s="338"/>
      <c r="CG79" s="383">
        <f t="shared" si="43"/>
        <v>0</v>
      </c>
      <c r="CH79" s="386">
        <f t="shared" si="43"/>
        <v>0</v>
      </c>
    </row>
    <row r="80" spans="2:86" ht="13.5" thickBot="1" x14ac:dyDescent="0.25">
      <c r="B80" s="313">
        <v>65</v>
      </c>
      <c r="C80" s="321">
        <f t="shared" ref="C80:C125" si="62">B80+1</f>
        <v>66</v>
      </c>
      <c r="D80" s="535">
        <f t="shared" si="50"/>
        <v>1960</v>
      </c>
      <c r="E80" s="341"/>
      <c r="F80" s="340"/>
      <c r="G80" s="1277">
        <v>0</v>
      </c>
      <c r="H80" s="1290">
        <v>0</v>
      </c>
      <c r="I80" s="406">
        <f t="shared" ref="I80:J111" si="63">E80-G80</f>
        <v>0</v>
      </c>
      <c r="J80" s="407">
        <f t="shared" si="63"/>
        <v>0</v>
      </c>
      <c r="K80" s="408" cm="1">
        <f t="array" ref="K80">HE_fact_qM*INDEX(HE_MortalityLapsesCY,$C80,4)</f>
        <v>8.0467458181223226E-3</v>
      </c>
      <c r="L80" s="409" cm="1">
        <f t="array" ref="L80">HE_fact_qF*INDEX(HE_MortalityLapsesCY,$C80,5)</f>
        <v>4.5541926646075325E-3</v>
      </c>
      <c r="M80" s="410" cm="1">
        <f t="array" ref="M80">INDEX(HE_MortalityLapsesCY,$C80,5+(2*$L$7-1))</f>
        <v>3.8614323366583853E-2</v>
      </c>
      <c r="N80" s="411" cm="1">
        <f t="array" ref="N80">INDEX(HE_MortalityLapsesCY,$C80,5+2*$L$7)</f>
        <v>3.8614323366583853E-2</v>
      </c>
      <c r="O80" s="392">
        <f t="shared" ref="O80:P125" si="64">$P$3+(1-$P$3)*(1-K80)</f>
        <v>0.99597662709093882</v>
      </c>
      <c r="P80" s="1144">
        <f t="shared" si="64"/>
        <v>0.99772290366769623</v>
      </c>
      <c r="Q80" s="313">
        <f t="shared" si="51"/>
        <v>1960</v>
      </c>
      <c r="R80" s="341"/>
      <c r="S80" s="340"/>
      <c r="T80" s="666">
        <f t="shared" si="52"/>
        <v>0</v>
      </c>
      <c r="U80" s="667">
        <f t="shared" si="53"/>
        <v>0</v>
      </c>
      <c r="V80" s="341"/>
      <c r="W80" s="340"/>
      <c r="X80" s="384">
        <f t="shared" ref="X80:Y125" si="65">IF(ISBLANK(V80),T80,V80)</f>
        <v>0</v>
      </c>
      <c r="Y80" s="387">
        <f t="shared" si="65"/>
        <v>0</v>
      </c>
      <c r="Z80" s="535">
        <f t="shared" si="54"/>
        <v>1960</v>
      </c>
      <c r="AA80" s="666">
        <f t="shared" ref="AA80:AB125" si="66">$P$4*X80</f>
        <v>0</v>
      </c>
      <c r="AB80" s="667">
        <f t="shared" si="66"/>
        <v>0</v>
      </c>
      <c r="AC80" s="341"/>
      <c r="AD80" s="340"/>
      <c r="AE80" s="384">
        <f t="shared" ref="AE80:AF125" si="67">IF(ISBLANK(AC80),AA80,AC80)</f>
        <v>0</v>
      </c>
      <c r="AF80" s="387">
        <f t="shared" si="67"/>
        <v>0</v>
      </c>
      <c r="AG80" s="535">
        <f t="shared" si="55"/>
        <v>1959</v>
      </c>
      <c r="AH80" s="1277">
        <f t="shared" ref="AH80:AH125" si="68">AJ80</f>
        <v>0</v>
      </c>
      <c r="AI80" s="1278">
        <f t="shared" ref="AI80:AI125" si="69">AK80</f>
        <v>0</v>
      </c>
      <c r="AJ80" s="341"/>
      <c r="AK80" s="340"/>
      <c r="AL80" s="1277">
        <v>0</v>
      </c>
      <c r="AM80" s="1278">
        <v>0</v>
      </c>
      <c r="AN80" s="415">
        <f t="shared" si="56"/>
        <v>1</v>
      </c>
      <c r="AO80" s="416">
        <f t="shared" si="56"/>
        <v>1</v>
      </c>
      <c r="AP80" s="341"/>
      <c r="AQ80" s="340"/>
      <c r="AR80" s="666">
        <f t="shared" si="45"/>
        <v>0</v>
      </c>
      <c r="AS80" s="680">
        <f t="shared" si="45"/>
        <v>0</v>
      </c>
      <c r="AT80" s="384">
        <f t="shared" ref="AT80:AU125" si="70">AR80*$P$5</f>
        <v>0</v>
      </c>
      <c r="AU80" s="387">
        <f t="shared" si="70"/>
        <v>0</v>
      </c>
      <c r="AV80" s="535">
        <f t="shared" si="57"/>
        <v>1958</v>
      </c>
      <c r="AW80" s="1277">
        <f t="shared" ref="AW80:AW125" si="71">AY80</f>
        <v>0</v>
      </c>
      <c r="AX80" s="1278">
        <f t="shared" ref="AX80:AX125" si="72">AZ80</f>
        <v>0</v>
      </c>
      <c r="AY80" s="341"/>
      <c r="AZ80" s="340"/>
      <c r="BA80" s="1277">
        <v>0</v>
      </c>
      <c r="BB80" s="1278">
        <v>0</v>
      </c>
      <c r="BC80" s="415">
        <f t="shared" si="58"/>
        <v>1</v>
      </c>
      <c r="BD80" s="416">
        <f t="shared" si="58"/>
        <v>1</v>
      </c>
      <c r="BE80" s="341"/>
      <c r="BF80" s="340"/>
      <c r="BG80" s="666">
        <f t="shared" si="46"/>
        <v>0</v>
      </c>
      <c r="BH80" s="680">
        <f t="shared" si="46"/>
        <v>0</v>
      </c>
      <c r="BI80" s="384">
        <f t="shared" ref="BI80:BJ125" si="73">BG80*$P$6</f>
        <v>0</v>
      </c>
      <c r="BJ80" s="387">
        <f t="shared" si="73"/>
        <v>0</v>
      </c>
      <c r="BK80" s="535">
        <f t="shared" si="59"/>
        <v>1957</v>
      </c>
      <c r="BL80" s="1277">
        <f t="shared" ref="BL80:BL125" si="74">BN80</f>
        <v>0</v>
      </c>
      <c r="BM80" s="1278">
        <f t="shared" ref="BM80:BM125" si="75">BO80</f>
        <v>0</v>
      </c>
      <c r="BN80" s="341"/>
      <c r="BO80" s="340"/>
      <c r="BP80" s="1277">
        <v>0</v>
      </c>
      <c r="BQ80" s="1278">
        <v>0</v>
      </c>
      <c r="BR80" s="415">
        <f t="shared" si="60"/>
        <v>1</v>
      </c>
      <c r="BS80" s="416">
        <f t="shared" si="60"/>
        <v>1</v>
      </c>
      <c r="BT80" s="341"/>
      <c r="BU80" s="340"/>
      <c r="BV80" s="666">
        <f t="shared" si="47"/>
        <v>0</v>
      </c>
      <c r="BW80" s="680">
        <f t="shared" si="47"/>
        <v>0</v>
      </c>
      <c r="BX80" s="384">
        <f t="shared" ref="BX80:BY125" si="76">BV80*$P$7</f>
        <v>0</v>
      </c>
      <c r="BY80" s="387">
        <f t="shared" si="76"/>
        <v>0</v>
      </c>
      <c r="BZ80" s="535">
        <f t="shared" si="61"/>
        <v>1960</v>
      </c>
      <c r="CA80" s="666">
        <f t="shared" si="48"/>
        <v>0</v>
      </c>
      <c r="CB80" s="667">
        <f t="shared" si="48"/>
        <v>0</v>
      </c>
      <c r="CC80" s="666">
        <f t="shared" si="49"/>
        <v>0</v>
      </c>
      <c r="CD80" s="667">
        <f t="shared" si="49"/>
        <v>0</v>
      </c>
      <c r="CE80" s="341"/>
      <c r="CF80" s="340"/>
      <c r="CG80" s="384">
        <f t="shared" ref="CG80:CH125" si="77">IF(ISBLANK(CE80),CC80,CE80)</f>
        <v>0</v>
      </c>
      <c r="CH80" s="387">
        <f t="shared" si="77"/>
        <v>0</v>
      </c>
    </row>
    <row r="81" spans="2:86" ht="13.5" thickTop="1" x14ac:dyDescent="0.2">
      <c r="B81" s="276">
        <v>66</v>
      </c>
      <c r="C81" s="320">
        <f t="shared" si="62"/>
        <v>67</v>
      </c>
      <c r="D81" s="534">
        <f t="shared" si="50"/>
        <v>1959</v>
      </c>
      <c r="E81" s="337"/>
      <c r="F81" s="338"/>
      <c r="G81" s="1271">
        <v>0</v>
      </c>
      <c r="H81" s="1289">
        <v>0</v>
      </c>
      <c r="I81" s="400">
        <f t="shared" si="63"/>
        <v>0</v>
      </c>
      <c r="J81" s="401">
        <f t="shared" si="63"/>
        <v>0</v>
      </c>
      <c r="K81" s="402" cm="1">
        <f t="array" ref="K81">HE_fact_qM*INDEX(HE_MortalityLapsesCY,$C81,4)</f>
        <v>8.8571920334263431E-3</v>
      </c>
      <c r="L81" s="403" cm="1">
        <f t="array" ref="L81">HE_fact_qF*INDEX(HE_MortalityLapsesCY,$C81,5)</f>
        <v>5.0375340538411899E-3</v>
      </c>
      <c r="M81" s="404" cm="1">
        <f t="array" ref="M81">INDEX(HE_MortalityLapsesCY,$C81,5+(2*$L$7-1))</f>
        <v>2.5753046677397102E-2</v>
      </c>
      <c r="N81" s="405" cm="1">
        <f t="array" ref="N81">INDEX(HE_MortalityLapsesCY,$C81,5+2*$L$7)</f>
        <v>2.5753046677397102E-2</v>
      </c>
      <c r="O81" s="391">
        <f t="shared" si="64"/>
        <v>0.99557140398328681</v>
      </c>
      <c r="P81" s="1143">
        <f t="shared" si="64"/>
        <v>0.99748123297307933</v>
      </c>
      <c r="Q81" s="356">
        <f t="shared" si="51"/>
        <v>1959</v>
      </c>
      <c r="R81" s="337"/>
      <c r="S81" s="338"/>
      <c r="T81" s="664">
        <f t="shared" si="52"/>
        <v>0</v>
      </c>
      <c r="U81" s="665">
        <f t="shared" si="53"/>
        <v>0</v>
      </c>
      <c r="V81" s="337"/>
      <c r="W81" s="338"/>
      <c r="X81" s="383">
        <f t="shared" si="65"/>
        <v>0</v>
      </c>
      <c r="Y81" s="386">
        <f t="shared" si="65"/>
        <v>0</v>
      </c>
      <c r="Z81" s="534">
        <f t="shared" si="54"/>
        <v>1959</v>
      </c>
      <c r="AA81" s="664">
        <f t="shared" si="66"/>
        <v>0</v>
      </c>
      <c r="AB81" s="665">
        <f t="shared" si="66"/>
        <v>0</v>
      </c>
      <c r="AC81" s="337"/>
      <c r="AD81" s="338"/>
      <c r="AE81" s="383">
        <f t="shared" si="67"/>
        <v>0</v>
      </c>
      <c r="AF81" s="386">
        <f t="shared" si="67"/>
        <v>0</v>
      </c>
      <c r="AG81" s="534">
        <f t="shared" si="55"/>
        <v>1958</v>
      </c>
      <c r="AH81" s="1271">
        <f t="shared" si="68"/>
        <v>0</v>
      </c>
      <c r="AI81" s="1276">
        <f t="shared" si="69"/>
        <v>0</v>
      </c>
      <c r="AJ81" s="337"/>
      <c r="AK81" s="338"/>
      <c r="AL81" s="1271">
        <v>0</v>
      </c>
      <c r="AM81" s="1276">
        <v>0</v>
      </c>
      <c r="AN81" s="414">
        <f t="shared" si="56"/>
        <v>1</v>
      </c>
      <c r="AO81" s="413">
        <f t="shared" si="56"/>
        <v>1</v>
      </c>
      <c r="AP81" s="337"/>
      <c r="AQ81" s="338"/>
      <c r="AR81" s="664">
        <f t="shared" ref="AR81:AS125" si="78">IF(AH81&gt;0,AP81/(AH81*AN81),0)</f>
        <v>0</v>
      </c>
      <c r="AS81" s="679">
        <f t="shared" si="78"/>
        <v>0</v>
      </c>
      <c r="AT81" s="383">
        <f t="shared" si="70"/>
        <v>0</v>
      </c>
      <c r="AU81" s="386">
        <f t="shared" si="70"/>
        <v>0</v>
      </c>
      <c r="AV81" s="534">
        <f t="shared" si="57"/>
        <v>1957</v>
      </c>
      <c r="AW81" s="1271">
        <f t="shared" si="71"/>
        <v>0</v>
      </c>
      <c r="AX81" s="1276">
        <f t="shared" si="72"/>
        <v>0</v>
      </c>
      <c r="AY81" s="337"/>
      <c r="AZ81" s="338"/>
      <c r="BA81" s="1271">
        <v>0</v>
      </c>
      <c r="BB81" s="1276">
        <v>0</v>
      </c>
      <c r="BC81" s="414">
        <f t="shared" si="58"/>
        <v>1</v>
      </c>
      <c r="BD81" s="413">
        <f t="shared" si="58"/>
        <v>1</v>
      </c>
      <c r="BE81" s="337"/>
      <c r="BF81" s="338"/>
      <c r="BG81" s="664">
        <f t="shared" ref="BG81:BH125" si="79">IF(AW81&gt;0,BE81/(AW81*BC81),0)</f>
        <v>0</v>
      </c>
      <c r="BH81" s="679">
        <f t="shared" si="79"/>
        <v>0</v>
      </c>
      <c r="BI81" s="383">
        <f t="shared" si="73"/>
        <v>0</v>
      </c>
      <c r="BJ81" s="386">
        <f t="shared" si="73"/>
        <v>0</v>
      </c>
      <c r="BK81" s="534">
        <f t="shared" si="59"/>
        <v>1956</v>
      </c>
      <c r="BL81" s="1271">
        <f t="shared" si="74"/>
        <v>0</v>
      </c>
      <c r="BM81" s="1276">
        <f t="shared" si="75"/>
        <v>0</v>
      </c>
      <c r="BN81" s="337"/>
      <c r="BO81" s="338"/>
      <c r="BP81" s="1271">
        <v>0</v>
      </c>
      <c r="BQ81" s="1276">
        <v>0</v>
      </c>
      <c r="BR81" s="414">
        <f t="shared" si="60"/>
        <v>1</v>
      </c>
      <c r="BS81" s="413">
        <f t="shared" si="60"/>
        <v>1</v>
      </c>
      <c r="BT81" s="337"/>
      <c r="BU81" s="338"/>
      <c r="BV81" s="664">
        <f t="shared" ref="BV81:BW125" si="80">IF(BL81&gt;0,BT81/(BL81*BR81),0)</f>
        <v>0</v>
      </c>
      <c r="BW81" s="679">
        <f t="shared" si="80"/>
        <v>0</v>
      </c>
      <c r="BX81" s="383">
        <f t="shared" si="76"/>
        <v>0</v>
      </c>
      <c r="BY81" s="386">
        <f t="shared" si="76"/>
        <v>0</v>
      </c>
      <c r="BZ81" s="534">
        <f t="shared" si="61"/>
        <v>1959</v>
      </c>
      <c r="CA81" s="664">
        <f t="shared" ref="CA81:CB125" si="81">IFERROR((AH81*AN81*AT81+AW81*BC81*BI81+BL81*BR81*BX81)/(AH81*AN81+AW81*BC81+BL81*BR81),0)</f>
        <v>0</v>
      </c>
      <c r="CB81" s="665">
        <f t="shared" si="81"/>
        <v>0</v>
      </c>
      <c r="CC81" s="664">
        <f t="shared" si="49"/>
        <v>0</v>
      </c>
      <c r="CD81" s="665">
        <f t="shared" si="49"/>
        <v>0</v>
      </c>
      <c r="CE81" s="337"/>
      <c r="CF81" s="338"/>
      <c r="CG81" s="383">
        <f t="shared" si="77"/>
        <v>0</v>
      </c>
      <c r="CH81" s="386">
        <f t="shared" si="77"/>
        <v>0</v>
      </c>
    </row>
    <row r="82" spans="2:86" x14ac:dyDescent="0.2">
      <c r="B82" s="276">
        <v>67</v>
      </c>
      <c r="C82" s="320">
        <f t="shared" si="62"/>
        <v>68</v>
      </c>
      <c r="D82" s="534">
        <f t="shared" si="50"/>
        <v>1958</v>
      </c>
      <c r="E82" s="337"/>
      <c r="F82" s="338"/>
      <c r="G82" s="1271">
        <v>0</v>
      </c>
      <c r="H82" s="1289">
        <v>0</v>
      </c>
      <c r="I82" s="400">
        <f t="shared" si="63"/>
        <v>0</v>
      </c>
      <c r="J82" s="401">
        <f t="shared" si="63"/>
        <v>0</v>
      </c>
      <c r="K82" s="402" cm="1">
        <f t="array" ref="K82">HE_fact_qM*INDEX(HE_MortalityLapsesCY,$C82,4)</f>
        <v>9.7442146060294881E-3</v>
      </c>
      <c r="L82" s="403" cm="1">
        <f t="array" ref="L82">HE_fact_qF*INDEX(HE_MortalityLapsesCY,$C82,5)</f>
        <v>5.5771316310007282E-3</v>
      </c>
      <c r="M82" s="404" cm="1">
        <f t="array" ref="M82">INDEX(HE_MortalityLapsesCY,$C82,5+(2*$L$7-1))</f>
        <v>2.3376985585882533E-2</v>
      </c>
      <c r="N82" s="405" cm="1">
        <f t="array" ref="N82">INDEX(HE_MortalityLapsesCY,$C82,5+2*$L$7)</f>
        <v>2.3376985585882533E-2</v>
      </c>
      <c r="O82" s="391">
        <f t="shared" si="64"/>
        <v>0.99512789269698532</v>
      </c>
      <c r="P82" s="1143">
        <f t="shared" si="64"/>
        <v>0.99721143418449965</v>
      </c>
      <c r="Q82" s="356">
        <f t="shared" si="51"/>
        <v>1958</v>
      </c>
      <c r="R82" s="337"/>
      <c r="S82" s="338"/>
      <c r="T82" s="664">
        <f t="shared" si="52"/>
        <v>0</v>
      </c>
      <c r="U82" s="665">
        <f t="shared" si="53"/>
        <v>0</v>
      </c>
      <c r="V82" s="337"/>
      <c r="W82" s="338"/>
      <c r="X82" s="383">
        <f t="shared" si="65"/>
        <v>0</v>
      </c>
      <c r="Y82" s="386">
        <f t="shared" si="65"/>
        <v>0</v>
      </c>
      <c r="Z82" s="534">
        <f t="shared" si="54"/>
        <v>1958</v>
      </c>
      <c r="AA82" s="664">
        <f t="shared" si="66"/>
        <v>0</v>
      </c>
      <c r="AB82" s="665">
        <f t="shared" si="66"/>
        <v>0</v>
      </c>
      <c r="AC82" s="337"/>
      <c r="AD82" s="338"/>
      <c r="AE82" s="383">
        <f t="shared" si="67"/>
        <v>0</v>
      </c>
      <c r="AF82" s="386">
        <f t="shared" si="67"/>
        <v>0</v>
      </c>
      <c r="AG82" s="534">
        <f t="shared" si="55"/>
        <v>1957</v>
      </c>
      <c r="AH82" s="1271">
        <f t="shared" si="68"/>
        <v>0</v>
      </c>
      <c r="AI82" s="1276">
        <f t="shared" si="69"/>
        <v>0</v>
      </c>
      <c r="AJ82" s="337"/>
      <c r="AK82" s="338"/>
      <c r="AL82" s="1271">
        <v>0</v>
      </c>
      <c r="AM82" s="1276">
        <v>0</v>
      </c>
      <c r="AN82" s="414">
        <f t="shared" si="56"/>
        <v>1</v>
      </c>
      <c r="AO82" s="413">
        <f t="shared" si="56"/>
        <v>1</v>
      </c>
      <c r="AP82" s="337"/>
      <c r="AQ82" s="338"/>
      <c r="AR82" s="664">
        <f t="shared" si="78"/>
        <v>0</v>
      </c>
      <c r="AS82" s="679">
        <f t="shared" si="78"/>
        <v>0</v>
      </c>
      <c r="AT82" s="383">
        <f t="shared" si="70"/>
        <v>0</v>
      </c>
      <c r="AU82" s="386">
        <f t="shared" si="70"/>
        <v>0</v>
      </c>
      <c r="AV82" s="534">
        <f t="shared" si="57"/>
        <v>1956</v>
      </c>
      <c r="AW82" s="1271">
        <f t="shared" si="71"/>
        <v>0</v>
      </c>
      <c r="AX82" s="1276">
        <f t="shared" si="72"/>
        <v>0</v>
      </c>
      <c r="AY82" s="337"/>
      <c r="AZ82" s="338"/>
      <c r="BA82" s="1271">
        <v>0</v>
      </c>
      <c r="BB82" s="1276">
        <v>0</v>
      </c>
      <c r="BC82" s="414">
        <f t="shared" si="58"/>
        <v>1</v>
      </c>
      <c r="BD82" s="413">
        <f t="shared" si="58"/>
        <v>1</v>
      </c>
      <c r="BE82" s="337"/>
      <c r="BF82" s="338"/>
      <c r="BG82" s="664">
        <f t="shared" si="79"/>
        <v>0</v>
      </c>
      <c r="BH82" s="679">
        <f t="shared" si="79"/>
        <v>0</v>
      </c>
      <c r="BI82" s="383">
        <f t="shared" si="73"/>
        <v>0</v>
      </c>
      <c r="BJ82" s="386">
        <f t="shared" si="73"/>
        <v>0</v>
      </c>
      <c r="BK82" s="534">
        <f t="shared" si="59"/>
        <v>1955</v>
      </c>
      <c r="BL82" s="1271">
        <f t="shared" si="74"/>
        <v>0</v>
      </c>
      <c r="BM82" s="1276">
        <f t="shared" si="75"/>
        <v>0</v>
      </c>
      <c r="BN82" s="337"/>
      <c r="BO82" s="338"/>
      <c r="BP82" s="1271">
        <v>0</v>
      </c>
      <c r="BQ82" s="1276">
        <v>0</v>
      </c>
      <c r="BR82" s="414">
        <f t="shared" si="60"/>
        <v>1</v>
      </c>
      <c r="BS82" s="413">
        <f t="shared" si="60"/>
        <v>1</v>
      </c>
      <c r="BT82" s="337"/>
      <c r="BU82" s="338"/>
      <c r="BV82" s="664">
        <f t="shared" si="80"/>
        <v>0</v>
      </c>
      <c r="BW82" s="679">
        <f t="shared" si="80"/>
        <v>0</v>
      </c>
      <c r="BX82" s="383">
        <f t="shared" si="76"/>
        <v>0</v>
      </c>
      <c r="BY82" s="386">
        <f t="shared" si="76"/>
        <v>0</v>
      </c>
      <c r="BZ82" s="534">
        <f t="shared" si="61"/>
        <v>1958</v>
      </c>
      <c r="CA82" s="664">
        <f t="shared" si="81"/>
        <v>0</v>
      </c>
      <c r="CB82" s="665">
        <f t="shared" si="81"/>
        <v>0</v>
      </c>
      <c r="CC82" s="664">
        <f t="shared" ref="CC82:CD105" si="82">IFERROR(AVERAGE(CA81:CA83),0)</f>
        <v>0</v>
      </c>
      <c r="CD82" s="665">
        <f t="shared" si="82"/>
        <v>0</v>
      </c>
      <c r="CE82" s="337"/>
      <c r="CF82" s="338"/>
      <c r="CG82" s="383">
        <f t="shared" si="77"/>
        <v>0</v>
      </c>
      <c r="CH82" s="386">
        <f t="shared" si="77"/>
        <v>0</v>
      </c>
    </row>
    <row r="83" spans="2:86" x14ac:dyDescent="0.2">
      <c r="B83" s="276">
        <v>68</v>
      </c>
      <c r="C83" s="320">
        <f t="shared" si="62"/>
        <v>69</v>
      </c>
      <c r="D83" s="534">
        <f t="shared" si="50"/>
        <v>1957</v>
      </c>
      <c r="E83" s="337"/>
      <c r="F83" s="338"/>
      <c r="G83" s="1271">
        <v>0</v>
      </c>
      <c r="H83" s="1289">
        <v>0</v>
      </c>
      <c r="I83" s="400">
        <f t="shared" si="63"/>
        <v>0</v>
      </c>
      <c r="J83" s="401">
        <f t="shared" si="63"/>
        <v>0</v>
      </c>
      <c r="K83" s="402" cm="1">
        <f t="array" ref="K83">HE_fact_qM*INDEX(HE_MortalityLapsesCY,$C83,4)</f>
        <v>1.0718703501883161E-2</v>
      </c>
      <c r="L83" s="403" cm="1">
        <f t="array" ref="L83">HE_fact_qF*INDEX(HE_MortalityLapsesCY,$C83,5)</f>
        <v>6.1808147585797708E-3</v>
      </c>
      <c r="M83" s="404" cm="1">
        <f t="array" ref="M83">INDEX(HE_MortalityLapsesCY,$C83,5+(2*$L$7-1))</f>
        <v>2.2559887389085792E-2</v>
      </c>
      <c r="N83" s="405" cm="1">
        <f t="array" ref="N83">INDEX(HE_MortalityLapsesCY,$C83,5+2*$L$7)</f>
        <v>2.2559887389085792E-2</v>
      </c>
      <c r="O83" s="391">
        <f t="shared" si="64"/>
        <v>0.9946406482490584</v>
      </c>
      <c r="P83" s="1143">
        <f t="shared" si="64"/>
        <v>0.99690959262071011</v>
      </c>
      <c r="Q83" s="356">
        <f t="shared" si="51"/>
        <v>1957</v>
      </c>
      <c r="R83" s="337"/>
      <c r="S83" s="338"/>
      <c r="T83" s="664">
        <f t="shared" si="52"/>
        <v>0</v>
      </c>
      <c r="U83" s="665">
        <f t="shared" si="53"/>
        <v>0</v>
      </c>
      <c r="V83" s="337"/>
      <c r="W83" s="338"/>
      <c r="X83" s="383">
        <f t="shared" si="65"/>
        <v>0</v>
      </c>
      <c r="Y83" s="386">
        <f t="shared" si="65"/>
        <v>0</v>
      </c>
      <c r="Z83" s="534">
        <f t="shared" si="54"/>
        <v>1957</v>
      </c>
      <c r="AA83" s="664">
        <f t="shared" si="66"/>
        <v>0</v>
      </c>
      <c r="AB83" s="665">
        <f t="shared" si="66"/>
        <v>0</v>
      </c>
      <c r="AC83" s="337"/>
      <c r="AD83" s="338"/>
      <c r="AE83" s="383">
        <f t="shared" si="67"/>
        <v>0</v>
      </c>
      <c r="AF83" s="386">
        <f t="shared" si="67"/>
        <v>0</v>
      </c>
      <c r="AG83" s="534">
        <f t="shared" si="55"/>
        <v>1956</v>
      </c>
      <c r="AH83" s="1271">
        <f t="shared" si="68"/>
        <v>0</v>
      </c>
      <c r="AI83" s="1276">
        <f t="shared" si="69"/>
        <v>0</v>
      </c>
      <c r="AJ83" s="337"/>
      <c r="AK83" s="338"/>
      <c r="AL83" s="1271">
        <v>0</v>
      </c>
      <c r="AM83" s="1276">
        <v>0</v>
      </c>
      <c r="AN83" s="414">
        <f t="shared" si="56"/>
        <v>1</v>
      </c>
      <c r="AO83" s="413">
        <f t="shared" si="56"/>
        <v>1</v>
      </c>
      <c r="AP83" s="337"/>
      <c r="AQ83" s="338"/>
      <c r="AR83" s="664">
        <f t="shared" si="78"/>
        <v>0</v>
      </c>
      <c r="AS83" s="679">
        <f t="shared" si="78"/>
        <v>0</v>
      </c>
      <c r="AT83" s="383">
        <f t="shared" si="70"/>
        <v>0</v>
      </c>
      <c r="AU83" s="386">
        <f t="shared" si="70"/>
        <v>0</v>
      </c>
      <c r="AV83" s="534">
        <f t="shared" si="57"/>
        <v>1955</v>
      </c>
      <c r="AW83" s="1271">
        <f t="shared" si="71"/>
        <v>0</v>
      </c>
      <c r="AX83" s="1276">
        <f t="shared" si="72"/>
        <v>0</v>
      </c>
      <c r="AY83" s="337"/>
      <c r="AZ83" s="338"/>
      <c r="BA83" s="1271">
        <v>0</v>
      </c>
      <c r="BB83" s="1276">
        <v>0</v>
      </c>
      <c r="BC83" s="414">
        <f t="shared" si="58"/>
        <v>1</v>
      </c>
      <c r="BD83" s="413">
        <f t="shared" si="58"/>
        <v>1</v>
      </c>
      <c r="BE83" s="337"/>
      <c r="BF83" s="338"/>
      <c r="BG83" s="664">
        <f t="shared" si="79"/>
        <v>0</v>
      </c>
      <c r="BH83" s="679">
        <f t="shared" si="79"/>
        <v>0</v>
      </c>
      <c r="BI83" s="383">
        <f t="shared" si="73"/>
        <v>0</v>
      </c>
      <c r="BJ83" s="386">
        <f t="shared" si="73"/>
        <v>0</v>
      </c>
      <c r="BK83" s="534">
        <f t="shared" si="59"/>
        <v>1954</v>
      </c>
      <c r="BL83" s="1271">
        <f t="shared" si="74"/>
        <v>0</v>
      </c>
      <c r="BM83" s="1276">
        <f t="shared" si="75"/>
        <v>0</v>
      </c>
      <c r="BN83" s="337"/>
      <c r="BO83" s="338"/>
      <c r="BP83" s="1271">
        <v>0</v>
      </c>
      <c r="BQ83" s="1276">
        <v>0</v>
      </c>
      <c r="BR83" s="414">
        <f t="shared" si="60"/>
        <v>1</v>
      </c>
      <c r="BS83" s="413">
        <f t="shared" si="60"/>
        <v>1</v>
      </c>
      <c r="BT83" s="337"/>
      <c r="BU83" s="338"/>
      <c r="BV83" s="664">
        <f t="shared" si="80"/>
        <v>0</v>
      </c>
      <c r="BW83" s="679">
        <f t="shared" si="80"/>
        <v>0</v>
      </c>
      <c r="BX83" s="383">
        <f t="shared" si="76"/>
        <v>0</v>
      </c>
      <c r="BY83" s="386">
        <f t="shared" si="76"/>
        <v>0</v>
      </c>
      <c r="BZ83" s="534">
        <f t="shared" si="61"/>
        <v>1957</v>
      </c>
      <c r="CA83" s="664">
        <f t="shared" si="81"/>
        <v>0</v>
      </c>
      <c r="CB83" s="665">
        <f t="shared" si="81"/>
        <v>0</v>
      </c>
      <c r="CC83" s="664">
        <f t="shared" si="82"/>
        <v>0</v>
      </c>
      <c r="CD83" s="665">
        <f t="shared" si="82"/>
        <v>0</v>
      </c>
      <c r="CE83" s="337"/>
      <c r="CF83" s="338"/>
      <c r="CG83" s="383">
        <f t="shared" si="77"/>
        <v>0</v>
      </c>
      <c r="CH83" s="386">
        <f t="shared" si="77"/>
        <v>0</v>
      </c>
    </row>
    <row r="84" spans="2:86" x14ac:dyDescent="0.2">
      <c r="B84" s="276">
        <v>69</v>
      </c>
      <c r="C84" s="320">
        <f t="shared" si="62"/>
        <v>70</v>
      </c>
      <c r="D84" s="534">
        <f t="shared" si="50"/>
        <v>1956</v>
      </c>
      <c r="E84" s="337"/>
      <c r="F84" s="338"/>
      <c r="G84" s="1271">
        <v>0</v>
      </c>
      <c r="H84" s="1289">
        <v>0</v>
      </c>
      <c r="I84" s="400">
        <f t="shared" si="63"/>
        <v>0</v>
      </c>
      <c r="J84" s="401">
        <f t="shared" si="63"/>
        <v>0</v>
      </c>
      <c r="K84" s="402" cm="1">
        <f t="array" ref="K84">HE_fact_qM*INDEX(HE_MortalityLapsesCY,$C84,4)</f>
        <v>1.1793729219319512E-2</v>
      </c>
      <c r="L84" s="403" cm="1">
        <f t="array" ref="L84">HE_fact_qF*INDEX(HE_MortalityLapsesCY,$C84,5)</f>
        <v>6.8577113265886223E-3</v>
      </c>
      <c r="M84" s="404" cm="1">
        <f t="array" ref="M84">INDEX(HE_MortalityLapsesCY,$C84,5+(2*$L$7-1))</f>
        <v>2.0992628257100448E-2</v>
      </c>
      <c r="N84" s="405" cm="1">
        <f t="array" ref="N84">INDEX(HE_MortalityLapsesCY,$C84,5+2*$L$7)</f>
        <v>2.0992628257100448E-2</v>
      </c>
      <c r="O84" s="391">
        <f t="shared" si="64"/>
        <v>0.99410313539034023</v>
      </c>
      <c r="P84" s="1143">
        <f t="shared" si="64"/>
        <v>0.99657114433670568</v>
      </c>
      <c r="Q84" s="356">
        <f t="shared" si="51"/>
        <v>1956</v>
      </c>
      <c r="R84" s="337"/>
      <c r="S84" s="338"/>
      <c r="T84" s="664">
        <f t="shared" si="52"/>
        <v>0</v>
      </c>
      <c r="U84" s="665">
        <f t="shared" si="53"/>
        <v>0</v>
      </c>
      <c r="V84" s="337"/>
      <c r="W84" s="338"/>
      <c r="X84" s="383">
        <f t="shared" si="65"/>
        <v>0</v>
      </c>
      <c r="Y84" s="386">
        <f t="shared" si="65"/>
        <v>0</v>
      </c>
      <c r="Z84" s="534">
        <f t="shared" si="54"/>
        <v>1956</v>
      </c>
      <c r="AA84" s="664">
        <f t="shared" si="66"/>
        <v>0</v>
      </c>
      <c r="AB84" s="665">
        <f t="shared" si="66"/>
        <v>0</v>
      </c>
      <c r="AC84" s="337"/>
      <c r="AD84" s="338"/>
      <c r="AE84" s="383">
        <f t="shared" si="67"/>
        <v>0</v>
      </c>
      <c r="AF84" s="386">
        <f t="shared" si="67"/>
        <v>0</v>
      </c>
      <c r="AG84" s="534">
        <f t="shared" si="55"/>
        <v>1955</v>
      </c>
      <c r="AH84" s="1271">
        <f t="shared" si="68"/>
        <v>0</v>
      </c>
      <c r="AI84" s="1276">
        <f t="shared" si="69"/>
        <v>0</v>
      </c>
      <c r="AJ84" s="337"/>
      <c r="AK84" s="338"/>
      <c r="AL84" s="1271">
        <v>0</v>
      </c>
      <c r="AM84" s="1276">
        <v>0</v>
      </c>
      <c r="AN84" s="414">
        <f t="shared" si="56"/>
        <v>1</v>
      </c>
      <c r="AO84" s="413">
        <f t="shared" si="56"/>
        <v>1</v>
      </c>
      <c r="AP84" s="337"/>
      <c r="AQ84" s="338"/>
      <c r="AR84" s="664">
        <f t="shared" si="78"/>
        <v>0</v>
      </c>
      <c r="AS84" s="679">
        <f t="shared" si="78"/>
        <v>0</v>
      </c>
      <c r="AT84" s="383">
        <f t="shared" si="70"/>
        <v>0</v>
      </c>
      <c r="AU84" s="386">
        <f t="shared" si="70"/>
        <v>0</v>
      </c>
      <c r="AV84" s="534">
        <f t="shared" si="57"/>
        <v>1954</v>
      </c>
      <c r="AW84" s="1271">
        <f t="shared" si="71"/>
        <v>0</v>
      </c>
      <c r="AX84" s="1276">
        <f t="shared" si="72"/>
        <v>0</v>
      </c>
      <c r="AY84" s="337"/>
      <c r="AZ84" s="338"/>
      <c r="BA84" s="1271">
        <v>0</v>
      </c>
      <c r="BB84" s="1276">
        <v>0</v>
      </c>
      <c r="BC84" s="414">
        <f t="shared" si="58"/>
        <v>1</v>
      </c>
      <c r="BD84" s="413">
        <f t="shared" si="58"/>
        <v>1</v>
      </c>
      <c r="BE84" s="337"/>
      <c r="BF84" s="338"/>
      <c r="BG84" s="664">
        <f t="shared" si="79"/>
        <v>0</v>
      </c>
      <c r="BH84" s="679">
        <f t="shared" si="79"/>
        <v>0</v>
      </c>
      <c r="BI84" s="383">
        <f t="shared" si="73"/>
        <v>0</v>
      </c>
      <c r="BJ84" s="386">
        <f t="shared" si="73"/>
        <v>0</v>
      </c>
      <c r="BK84" s="534">
        <f t="shared" si="59"/>
        <v>1953</v>
      </c>
      <c r="BL84" s="1271">
        <f t="shared" si="74"/>
        <v>0</v>
      </c>
      <c r="BM84" s="1276">
        <f t="shared" si="75"/>
        <v>0</v>
      </c>
      <c r="BN84" s="337"/>
      <c r="BO84" s="338"/>
      <c r="BP84" s="1271">
        <v>0</v>
      </c>
      <c r="BQ84" s="1276">
        <v>0</v>
      </c>
      <c r="BR84" s="414">
        <f t="shared" si="60"/>
        <v>1</v>
      </c>
      <c r="BS84" s="413">
        <f t="shared" si="60"/>
        <v>1</v>
      </c>
      <c r="BT84" s="337"/>
      <c r="BU84" s="338"/>
      <c r="BV84" s="664">
        <f t="shared" si="80"/>
        <v>0</v>
      </c>
      <c r="BW84" s="679">
        <f t="shared" si="80"/>
        <v>0</v>
      </c>
      <c r="BX84" s="383">
        <f t="shared" si="76"/>
        <v>0</v>
      </c>
      <c r="BY84" s="386">
        <f t="shared" si="76"/>
        <v>0</v>
      </c>
      <c r="BZ84" s="534">
        <f t="shared" si="61"/>
        <v>1956</v>
      </c>
      <c r="CA84" s="664">
        <f t="shared" si="81"/>
        <v>0</v>
      </c>
      <c r="CB84" s="665">
        <f t="shared" si="81"/>
        <v>0</v>
      </c>
      <c r="CC84" s="664">
        <f t="shared" si="82"/>
        <v>0</v>
      </c>
      <c r="CD84" s="665">
        <f t="shared" si="82"/>
        <v>0</v>
      </c>
      <c r="CE84" s="337"/>
      <c r="CF84" s="338"/>
      <c r="CG84" s="383">
        <f t="shared" si="77"/>
        <v>0</v>
      </c>
      <c r="CH84" s="386">
        <f t="shared" si="77"/>
        <v>0</v>
      </c>
    </row>
    <row r="85" spans="2:86" ht="13.5" thickBot="1" x14ac:dyDescent="0.25">
      <c r="B85" s="313">
        <v>70</v>
      </c>
      <c r="C85" s="321">
        <f t="shared" si="62"/>
        <v>71</v>
      </c>
      <c r="D85" s="535">
        <f t="shared" si="50"/>
        <v>1955</v>
      </c>
      <c r="E85" s="341"/>
      <c r="F85" s="340"/>
      <c r="G85" s="1277">
        <v>0</v>
      </c>
      <c r="H85" s="1290">
        <v>0</v>
      </c>
      <c r="I85" s="406">
        <f t="shared" si="63"/>
        <v>0</v>
      </c>
      <c r="J85" s="407">
        <f t="shared" si="63"/>
        <v>0</v>
      </c>
      <c r="K85" s="408" cm="1">
        <f t="array" ref="K85">HE_fact_qM*INDEX(HE_MortalityLapsesCY,$C85,4)</f>
        <v>1.298497546679272E-2</v>
      </c>
      <c r="L85" s="409" cm="1">
        <f t="array" ref="L85">HE_fact_qF*INDEX(HE_MortalityLapsesCY,$C85,5)</f>
        <v>7.6184733754037365E-3</v>
      </c>
      <c r="M85" s="410" cm="1">
        <f t="array" ref="M85">INDEX(HE_MortalityLapsesCY,$C85,5+(2*$L$7-1))</f>
        <v>2.9935807496989035E-2</v>
      </c>
      <c r="N85" s="411" cm="1">
        <f t="array" ref="N85">INDEX(HE_MortalityLapsesCY,$C85,5+2*$L$7)</f>
        <v>2.9935807496989035E-2</v>
      </c>
      <c r="O85" s="392">
        <f t="shared" si="64"/>
        <v>0.99350751226660372</v>
      </c>
      <c r="P85" s="1144">
        <f t="shared" si="64"/>
        <v>0.99619076331229817</v>
      </c>
      <c r="Q85" s="313">
        <f t="shared" si="51"/>
        <v>1955</v>
      </c>
      <c r="R85" s="341"/>
      <c r="S85" s="340"/>
      <c r="T85" s="666">
        <f t="shared" si="52"/>
        <v>0</v>
      </c>
      <c r="U85" s="667">
        <f t="shared" si="53"/>
        <v>0</v>
      </c>
      <c r="V85" s="341"/>
      <c r="W85" s="340"/>
      <c r="X85" s="384">
        <f t="shared" si="65"/>
        <v>0</v>
      </c>
      <c r="Y85" s="387">
        <f t="shared" si="65"/>
        <v>0</v>
      </c>
      <c r="Z85" s="535">
        <f t="shared" si="54"/>
        <v>1955</v>
      </c>
      <c r="AA85" s="666">
        <f t="shared" si="66"/>
        <v>0</v>
      </c>
      <c r="AB85" s="667">
        <f t="shared" si="66"/>
        <v>0</v>
      </c>
      <c r="AC85" s="341"/>
      <c r="AD85" s="340"/>
      <c r="AE85" s="384">
        <f t="shared" si="67"/>
        <v>0</v>
      </c>
      <c r="AF85" s="387">
        <f t="shared" si="67"/>
        <v>0</v>
      </c>
      <c r="AG85" s="535">
        <f t="shared" si="55"/>
        <v>1954</v>
      </c>
      <c r="AH85" s="1277">
        <f t="shared" si="68"/>
        <v>0</v>
      </c>
      <c r="AI85" s="1278">
        <f t="shared" si="69"/>
        <v>0</v>
      </c>
      <c r="AJ85" s="341"/>
      <c r="AK85" s="340"/>
      <c r="AL85" s="1277">
        <v>0</v>
      </c>
      <c r="AM85" s="1278">
        <v>0</v>
      </c>
      <c r="AN85" s="415">
        <f t="shared" si="56"/>
        <v>1</v>
      </c>
      <c r="AO85" s="416">
        <f t="shared" si="56"/>
        <v>1</v>
      </c>
      <c r="AP85" s="341"/>
      <c r="AQ85" s="340"/>
      <c r="AR85" s="666">
        <f t="shared" si="78"/>
        <v>0</v>
      </c>
      <c r="AS85" s="680">
        <f t="shared" si="78"/>
        <v>0</v>
      </c>
      <c r="AT85" s="384">
        <f t="shared" si="70"/>
        <v>0</v>
      </c>
      <c r="AU85" s="387">
        <f t="shared" si="70"/>
        <v>0</v>
      </c>
      <c r="AV85" s="535">
        <f t="shared" si="57"/>
        <v>1953</v>
      </c>
      <c r="AW85" s="1277">
        <f t="shared" si="71"/>
        <v>0</v>
      </c>
      <c r="AX85" s="1278">
        <f t="shared" si="72"/>
        <v>0</v>
      </c>
      <c r="AY85" s="341"/>
      <c r="AZ85" s="340"/>
      <c r="BA85" s="1277">
        <v>0</v>
      </c>
      <c r="BB85" s="1278">
        <v>0</v>
      </c>
      <c r="BC85" s="415">
        <f t="shared" si="58"/>
        <v>1</v>
      </c>
      <c r="BD85" s="416">
        <f t="shared" si="58"/>
        <v>1</v>
      </c>
      <c r="BE85" s="341"/>
      <c r="BF85" s="340"/>
      <c r="BG85" s="666">
        <f t="shared" si="79"/>
        <v>0</v>
      </c>
      <c r="BH85" s="680">
        <f t="shared" si="79"/>
        <v>0</v>
      </c>
      <c r="BI85" s="384">
        <f t="shared" si="73"/>
        <v>0</v>
      </c>
      <c r="BJ85" s="387">
        <f t="shared" si="73"/>
        <v>0</v>
      </c>
      <c r="BK85" s="535">
        <f t="shared" si="59"/>
        <v>1952</v>
      </c>
      <c r="BL85" s="1277">
        <f t="shared" si="74"/>
        <v>0</v>
      </c>
      <c r="BM85" s="1278">
        <f t="shared" si="75"/>
        <v>0</v>
      </c>
      <c r="BN85" s="341"/>
      <c r="BO85" s="340"/>
      <c r="BP85" s="1277">
        <v>0</v>
      </c>
      <c r="BQ85" s="1278">
        <v>0</v>
      </c>
      <c r="BR85" s="415">
        <f t="shared" si="60"/>
        <v>1</v>
      </c>
      <c r="BS85" s="416">
        <f t="shared" si="60"/>
        <v>1</v>
      </c>
      <c r="BT85" s="341"/>
      <c r="BU85" s="340"/>
      <c r="BV85" s="666">
        <f t="shared" si="80"/>
        <v>0</v>
      </c>
      <c r="BW85" s="680">
        <f t="shared" si="80"/>
        <v>0</v>
      </c>
      <c r="BX85" s="384">
        <f t="shared" si="76"/>
        <v>0</v>
      </c>
      <c r="BY85" s="387">
        <f t="shared" si="76"/>
        <v>0</v>
      </c>
      <c r="BZ85" s="535">
        <f t="shared" si="61"/>
        <v>1955</v>
      </c>
      <c r="CA85" s="666">
        <f t="shared" si="81"/>
        <v>0</v>
      </c>
      <c r="CB85" s="667">
        <f t="shared" si="81"/>
        <v>0</v>
      </c>
      <c r="CC85" s="666">
        <f t="shared" si="82"/>
        <v>0</v>
      </c>
      <c r="CD85" s="667">
        <f t="shared" si="82"/>
        <v>0</v>
      </c>
      <c r="CE85" s="341"/>
      <c r="CF85" s="340"/>
      <c r="CG85" s="384">
        <f t="shared" si="77"/>
        <v>0</v>
      </c>
      <c r="CH85" s="387">
        <f t="shared" si="77"/>
        <v>0</v>
      </c>
    </row>
    <row r="86" spans="2:86" ht="13.5" thickTop="1" x14ac:dyDescent="0.2">
      <c r="B86" s="276">
        <v>71</v>
      </c>
      <c r="C86" s="320">
        <f t="shared" si="62"/>
        <v>72</v>
      </c>
      <c r="D86" s="534">
        <f t="shared" si="50"/>
        <v>1954</v>
      </c>
      <c r="E86" s="337"/>
      <c r="F86" s="338"/>
      <c r="G86" s="1271">
        <v>0</v>
      </c>
      <c r="H86" s="1289">
        <v>0</v>
      </c>
      <c r="I86" s="400">
        <f t="shared" si="63"/>
        <v>0</v>
      </c>
      <c r="J86" s="401">
        <f t="shared" si="63"/>
        <v>0</v>
      </c>
      <c r="K86" s="402" cm="1">
        <f t="array" ref="K86">HE_fact_qM*INDEX(HE_MortalityLapsesCY,$C86,4)</f>
        <v>1.4311281087398894E-2</v>
      </c>
      <c r="L86" s="403" cm="1">
        <f t="array" ref="L86">HE_fact_qF*INDEX(HE_MortalityLapsesCY,$C86,5)</f>
        <v>8.4755483185537384E-3</v>
      </c>
      <c r="M86" s="404" cm="1">
        <f t="array" ref="M86">INDEX(HE_MortalityLapsesCY,$C86,5+(2*$L$7-1))</f>
        <v>2.0223844037734428E-2</v>
      </c>
      <c r="N86" s="405" cm="1">
        <f t="array" ref="N86">INDEX(HE_MortalityLapsesCY,$C86,5+2*$L$7)</f>
        <v>2.0223844037734428E-2</v>
      </c>
      <c r="O86" s="391">
        <f t="shared" si="64"/>
        <v>0.99284435945630056</v>
      </c>
      <c r="P86" s="1143">
        <f t="shared" si="64"/>
        <v>0.99576222584072316</v>
      </c>
      <c r="Q86" s="356">
        <f t="shared" si="51"/>
        <v>1954</v>
      </c>
      <c r="R86" s="337"/>
      <c r="S86" s="338"/>
      <c r="T86" s="664">
        <f t="shared" si="52"/>
        <v>0</v>
      </c>
      <c r="U86" s="665">
        <f t="shared" si="53"/>
        <v>0</v>
      </c>
      <c r="V86" s="337"/>
      <c r="W86" s="338"/>
      <c r="X86" s="383">
        <f t="shared" si="65"/>
        <v>0</v>
      </c>
      <c r="Y86" s="386">
        <f t="shared" si="65"/>
        <v>0</v>
      </c>
      <c r="Z86" s="534">
        <f t="shared" si="54"/>
        <v>1954</v>
      </c>
      <c r="AA86" s="664">
        <f t="shared" si="66"/>
        <v>0</v>
      </c>
      <c r="AB86" s="665">
        <f t="shared" si="66"/>
        <v>0</v>
      </c>
      <c r="AC86" s="337"/>
      <c r="AD86" s="338"/>
      <c r="AE86" s="383">
        <f t="shared" si="67"/>
        <v>0</v>
      </c>
      <c r="AF86" s="386">
        <f t="shared" si="67"/>
        <v>0</v>
      </c>
      <c r="AG86" s="534">
        <f t="shared" si="55"/>
        <v>1953</v>
      </c>
      <c r="AH86" s="1271">
        <f t="shared" si="68"/>
        <v>0</v>
      </c>
      <c r="AI86" s="1276">
        <f t="shared" si="69"/>
        <v>0</v>
      </c>
      <c r="AJ86" s="337"/>
      <c r="AK86" s="338"/>
      <c r="AL86" s="1271">
        <v>0</v>
      </c>
      <c r="AM86" s="1276">
        <v>0</v>
      </c>
      <c r="AN86" s="414">
        <f t="shared" si="56"/>
        <v>1</v>
      </c>
      <c r="AO86" s="413">
        <f t="shared" si="56"/>
        <v>1</v>
      </c>
      <c r="AP86" s="337"/>
      <c r="AQ86" s="338"/>
      <c r="AR86" s="664">
        <f t="shared" si="78"/>
        <v>0</v>
      </c>
      <c r="AS86" s="679">
        <f t="shared" si="78"/>
        <v>0</v>
      </c>
      <c r="AT86" s="383">
        <f t="shared" si="70"/>
        <v>0</v>
      </c>
      <c r="AU86" s="386">
        <f t="shared" si="70"/>
        <v>0</v>
      </c>
      <c r="AV86" s="534">
        <f t="shared" si="57"/>
        <v>1952</v>
      </c>
      <c r="AW86" s="1271">
        <f t="shared" si="71"/>
        <v>0</v>
      </c>
      <c r="AX86" s="1276">
        <f t="shared" si="72"/>
        <v>0</v>
      </c>
      <c r="AY86" s="337"/>
      <c r="AZ86" s="338"/>
      <c r="BA86" s="1271">
        <v>0</v>
      </c>
      <c r="BB86" s="1276">
        <v>0</v>
      </c>
      <c r="BC86" s="414">
        <f t="shared" si="58"/>
        <v>1</v>
      </c>
      <c r="BD86" s="413">
        <f t="shared" si="58"/>
        <v>1</v>
      </c>
      <c r="BE86" s="337"/>
      <c r="BF86" s="338"/>
      <c r="BG86" s="664">
        <f t="shared" si="79"/>
        <v>0</v>
      </c>
      <c r="BH86" s="679">
        <f t="shared" si="79"/>
        <v>0</v>
      </c>
      <c r="BI86" s="383">
        <f t="shared" si="73"/>
        <v>0</v>
      </c>
      <c r="BJ86" s="386">
        <f t="shared" si="73"/>
        <v>0</v>
      </c>
      <c r="BK86" s="534">
        <f t="shared" si="59"/>
        <v>1951</v>
      </c>
      <c r="BL86" s="1271">
        <f t="shared" si="74"/>
        <v>0</v>
      </c>
      <c r="BM86" s="1276">
        <f t="shared" si="75"/>
        <v>0</v>
      </c>
      <c r="BN86" s="337"/>
      <c r="BO86" s="338"/>
      <c r="BP86" s="1271">
        <v>0</v>
      </c>
      <c r="BQ86" s="1276">
        <v>0</v>
      </c>
      <c r="BR86" s="414">
        <f t="shared" si="60"/>
        <v>1</v>
      </c>
      <c r="BS86" s="413">
        <f t="shared" si="60"/>
        <v>1</v>
      </c>
      <c r="BT86" s="337"/>
      <c r="BU86" s="338"/>
      <c r="BV86" s="664">
        <f t="shared" si="80"/>
        <v>0</v>
      </c>
      <c r="BW86" s="679">
        <f t="shared" si="80"/>
        <v>0</v>
      </c>
      <c r="BX86" s="383">
        <f t="shared" si="76"/>
        <v>0</v>
      </c>
      <c r="BY86" s="386">
        <f t="shared" si="76"/>
        <v>0</v>
      </c>
      <c r="BZ86" s="534">
        <f t="shared" si="61"/>
        <v>1954</v>
      </c>
      <c r="CA86" s="664">
        <f t="shared" si="81"/>
        <v>0</v>
      </c>
      <c r="CB86" s="665">
        <f t="shared" si="81"/>
        <v>0</v>
      </c>
      <c r="CC86" s="664">
        <f t="shared" si="82"/>
        <v>0</v>
      </c>
      <c r="CD86" s="665">
        <f t="shared" si="82"/>
        <v>0</v>
      </c>
      <c r="CE86" s="337"/>
      <c r="CF86" s="338"/>
      <c r="CG86" s="383">
        <f t="shared" si="77"/>
        <v>0</v>
      </c>
      <c r="CH86" s="386">
        <f t="shared" si="77"/>
        <v>0</v>
      </c>
    </row>
    <row r="87" spans="2:86" x14ac:dyDescent="0.2">
      <c r="B87" s="276">
        <v>72</v>
      </c>
      <c r="C87" s="320">
        <f t="shared" si="62"/>
        <v>73</v>
      </c>
      <c r="D87" s="534">
        <f t="shared" si="50"/>
        <v>1953</v>
      </c>
      <c r="E87" s="337"/>
      <c r="F87" s="338"/>
      <c r="G87" s="1271">
        <v>0</v>
      </c>
      <c r="H87" s="1289">
        <v>0</v>
      </c>
      <c r="I87" s="400">
        <f t="shared" si="63"/>
        <v>0</v>
      </c>
      <c r="J87" s="401">
        <f t="shared" si="63"/>
        <v>0</v>
      </c>
      <c r="K87" s="402" cm="1">
        <f t="array" ref="K87">HE_fact_qM*INDEX(HE_MortalityLapsesCY,$C87,4)</f>
        <v>1.5795326331358515E-2</v>
      </c>
      <c r="L87" s="403" cm="1">
        <f t="array" ref="L87">HE_fact_qF*INDEX(HE_MortalityLapsesCY,$C87,5)</f>
        <v>9.4435073852269999E-3</v>
      </c>
      <c r="M87" s="404" cm="1">
        <f t="array" ref="M87">INDEX(HE_MortalityLapsesCY,$C87,5+(2*$L$7-1))</f>
        <v>1.9583391655108352E-2</v>
      </c>
      <c r="N87" s="405" cm="1">
        <f t="array" ref="N87">INDEX(HE_MortalityLapsesCY,$C87,5+2*$L$7)</f>
        <v>1.9583391655108352E-2</v>
      </c>
      <c r="O87" s="391">
        <f t="shared" si="64"/>
        <v>0.9921023368343207</v>
      </c>
      <c r="P87" s="1143">
        <f t="shared" si="64"/>
        <v>0.99527824630738648</v>
      </c>
      <c r="Q87" s="356">
        <f t="shared" si="51"/>
        <v>1953</v>
      </c>
      <c r="R87" s="337"/>
      <c r="S87" s="338"/>
      <c r="T87" s="664">
        <f t="shared" si="52"/>
        <v>0</v>
      </c>
      <c r="U87" s="665">
        <f t="shared" si="53"/>
        <v>0</v>
      </c>
      <c r="V87" s="337"/>
      <c r="W87" s="338"/>
      <c r="X87" s="383">
        <f t="shared" si="65"/>
        <v>0</v>
      </c>
      <c r="Y87" s="386">
        <f t="shared" si="65"/>
        <v>0</v>
      </c>
      <c r="Z87" s="534">
        <f t="shared" si="54"/>
        <v>1953</v>
      </c>
      <c r="AA87" s="664">
        <f t="shared" si="66"/>
        <v>0</v>
      </c>
      <c r="AB87" s="665">
        <f t="shared" si="66"/>
        <v>0</v>
      </c>
      <c r="AC87" s="337"/>
      <c r="AD87" s="338"/>
      <c r="AE87" s="383">
        <f t="shared" si="67"/>
        <v>0</v>
      </c>
      <c r="AF87" s="386">
        <f t="shared" si="67"/>
        <v>0</v>
      </c>
      <c r="AG87" s="534">
        <f t="shared" si="55"/>
        <v>1952</v>
      </c>
      <c r="AH87" s="1271">
        <f t="shared" si="68"/>
        <v>0</v>
      </c>
      <c r="AI87" s="1276">
        <f t="shared" si="69"/>
        <v>0</v>
      </c>
      <c r="AJ87" s="337"/>
      <c r="AK87" s="338"/>
      <c r="AL87" s="1271">
        <v>0</v>
      </c>
      <c r="AM87" s="1276">
        <v>0</v>
      </c>
      <c r="AN87" s="414">
        <f t="shared" si="56"/>
        <v>1</v>
      </c>
      <c r="AO87" s="413">
        <f t="shared" si="56"/>
        <v>1</v>
      </c>
      <c r="AP87" s="337"/>
      <c r="AQ87" s="338"/>
      <c r="AR87" s="664">
        <f t="shared" si="78"/>
        <v>0</v>
      </c>
      <c r="AS87" s="679">
        <f t="shared" si="78"/>
        <v>0</v>
      </c>
      <c r="AT87" s="383">
        <f t="shared" si="70"/>
        <v>0</v>
      </c>
      <c r="AU87" s="386">
        <f t="shared" si="70"/>
        <v>0</v>
      </c>
      <c r="AV87" s="534">
        <f t="shared" si="57"/>
        <v>1951</v>
      </c>
      <c r="AW87" s="1271">
        <f t="shared" si="71"/>
        <v>0</v>
      </c>
      <c r="AX87" s="1276">
        <f t="shared" si="72"/>
        <v>0</v>
      </c>
      <c r="AY87" s="337"/>
      <c r="AZ87" s="338"/>
      <c r="BA87" s="1271">
        <v>0</v>
      </c>
      <c r="BB87" s="1276">
        <v>0</v>
      </c>
      <c r="BC87" s="414">
        <f t="shared" si="58"/>
        <v>1</v>
      </c>
      <c r="BD87" s="413">
        <f t="shared" si="58"/>
        <v>1</v>
      </c>
      <c r="BE87" s="337"/>
      <c r="BF87" s="338"/>
      <c r="BG87" s="664">
        <f t="shared" si="79"/>
        <v>0</v>
      </c>
      <c r="BH87" s="679">
        <f t="shared" si="79"/>
        <v>0</v>
      </c>
      <c r="BI87" s="383">
        <f t="shared" si="73"/>
        <v>0</v>
      </c>
      <c r="BJ87" s="386">
        <f t="shared" si="73"/>
        <v>0</v>
      </c>
      <c r="BK87" s="534">
        <f t="shared" si="59"/>
        <v>1950</v>
      </c>
      <c r="BL87" s="1271">
        <f t="shared" si="74"/>
        <v>0</v>
      </c>
      <c r="BM87" s="1276">
        <f t="shared" si="75"/>
        <v>0</v>
      </c>
      <c r="BN87" s="337"/>
      <c r="BO87" s="338"/>
      <c r="BP87" s="1271">
        <v>0</v>
      </c>
      <c r="BQ87" s="1276">
        <v>0</v>
      </c>
      <c r="BR87" s="414">
        <f t="shared" si="60"/>
        <v>1</v>
      </c>
      <c r="BS87" s="413">
        <f t="shared" si="60"/>
        <v>1</v>
      </c>
      <c r="BT87" s="337"/>
      <c r="BU87" s="338"/>
      <c r="BV87" s="664">
        <f t="shared" si="80"/>
        <v>0</v>
      </c>
      <c r="BW87" s="679">
        <f t="shared" si="80"/>
        <v>0</v>
      </c>
      <c r="BX87" s="383">
        <f t="shared" si="76"/>
        <v>0</v>
      </c>
      <c r="BY87" s="386">
        <f t="shared" si="76"/>
        <v>0</v>
      </c>
      <c r="BZ87" s="534">
        <f t="shared" si="61"/>
        <v>1953</v>
      </c>
      <c r="CA87" s="664">
        <f t="shared" si="81"/>
        <v>0</v>
      </c>
      <c r="CB87" s="665">
        <f t="shared" si="81"/>
        <v>0</v>
      </c>
      <c r="CC87" s="664">
        <f t="shared" si="82"/>
        <v>0</v>
      </c>
      <c r="CD87" s="665">
        <f t="shared" si="82"/>
        <v>0</v>
      </c>
      <c r="CE87" s="337"/>
      <c r="CF87" s="338"/>
      <c r="CG87" s="383">
        <f t="shared" si="77"/>
        <v>0</v>
      </c>
      <c r="CH87" s="386">
        <f t="shared" si="77"/>
        <v>0</v>
      </c>
    </row>
    <row r="88" spans="2:86" x14ac:dyDescent="0.2">
      <c r="B88" s="276">
        <v>73</v>
      </c>
      <c r="C88" s="320">
        <f t="shared" si="62"/>
        <v>74</v>
      </c>
      <c r="D88" s="534">
        <f t="shared" si="50"/>
        <v>1952</v>
      </c>
      <c r="E88" s="337"/>
      <c r="F88" s="338"/>
      <c r="G88" s="1271">
        <v>0</v>
      </c>
      <c r="H88" s="1289">
        <v>0</v>
      </c>
      <c r="I88" s="400">
        <f t="shared" si="63"/>
        <v>0</v>
      </c>
      <c r="J88" s="401">
        <f t="shared" si="63"/>
        <v>0</v>
      </c>
      <c r="K88" s="402" cm="1">
        <f t="array" ref="K88">HE_fact_qM*INDEX(HE_MortalityLapsesCY,$C88,4)</f>
        <v>1.7464510268925721E-2</v>
      </c>
      <c r="L88" s="403" cm="1">
        <f t="array" ref="L88">HE_fact_qF*INDEX(HE_MortalityLapsesCY,$C88,5)</f>
        <v>1.0539446478139024E-2</v>
      </c>
      <c r="M88" s="404" cm="1">
        <f t="array" ref="M88">INDEX(HE_MortalityLapsesCY,$C88,5+(2*$L$7-1))</f>
        <v>1.9802238513918966E-2</v>
      </c>
      <c r="N88" s="405" cm="1">
        <f t="array" ref="N88">INDEX(HE_MortalityLapsesCY,$C88,5+2*$L$7)</f>
        <v>1.9802238513918966E-2</v>
      </c>
      <c r="O88" s="391">
        <f t="shared" si="64"/>
        <v>0.99126774486553715</v>
      </c>
      <c r="P88" s="1143">
        <f t="shared" si="64"/>
        <v>0.99473027676093051</v>
      </c>
      <c r="Q88" s="356">
        <f t="shared" si="51"/>
        <v>1952</v>
      </c>
      <c r="R88" s="337"/>
      <c r="S88" s="338"/>
      <c r="T88" s="664">
        <f t="shared" si="52"/>
        <v>0</v>
      </c>
      <c r="U88" s="665">
        <f t="shared" si="53"/>
        <v>0</v>
      </c>
      <c r="V88" s="337"/>
      <c r="W88" s="338"/>
      <c r="X88" s="383">
        <f t="shared" si="65"/>
        <v>0</v>
      </c>
      <c r="Y88" s="386">
        <f t="shared" si="65"/>
        <v>0</v>
      </c>
      <c r="Z88" s="534">
        <f t="shared" si="54"/>
        <v>1952</v>
      </c>
      <c r="AA88" s="664">
        <f t="shared" si="66"/>
        <v>0</v>
      </c>
      <c r="AB88" s="665">
        <f t="shared" si="66"/>
        <v>0</v>
      </c>
      <c r="AC88" s="337"/>
      <c r="AD88" s="338"/>
      <c r="AE88" s="383">
        <f t="shared" si="67"/>
        <v>0</v>
      </c>
      <c r="AF88" s="386">
        <f t="shared" si="67"/>
        <v>0</v>
      </c>
      <c r="AG88" s="534">
        <f t="shared" si="55"/>
        <v>1951</v>
      </c>
      <c r="AH88" s="1271">
        <f t="shared" si="68"/>
        <v>0</v>
      </c>
      <c r="AI88" s="1276">
        <f t="shared" si="69"/>
        <v>0</v>
      </c>
      <c r="AJ88" s="337"/>
      <c r="AK88" s="338"/>
      <c r="AL88" s="1271">
        <v>0</v>
      </c>
      <c r="AM88" s="1276">
        <v>0</v>
      </c>
      <c r="AN88" s="414">
        <f t="shared" si="56"/>
        <v>1</v>
      </c>
      <c r="AO88" s="413">
        <f t="shared" si="56"/>
        <v>1</v>
      </c>
      <c r="AP88" s="337"/>
      <c r="AQ88" s="338"/>
      <c r="AR88" s="664">
        <f t="shared" si="78"/>
        <v>0</v>
      </c>
      <c r="AS88" s="679">
        <f t="shared" si="78"/>
        <v>0</v>
      </c>
      <c r="AT88" s="383">
        <f t="shared" si="70"/>
        <v>0</v>
      </c>
      <c r="AU88" s="386">
        <f t="shared" si="70"/>
        <v>0</v>
      </c>
      <c r="AV88" s="534">
        <f t="shared" si="57"/>
        <v>1950</v>
      </c>
      <c r="AW88" s="1271">
        <f t="shared" si="71"/>
        <v>0</v>
      </c>
      <c r="AX88" s="1276">
        <f t="shared" si="72"/>
        <v>0</v>
      </c>
      <c r="AY88" s="337"/>
      <c r="AZ88" s="338"/>
      <c r="BA88" s="1271">
        <v>0</v>
      </c>
      <c r="BB88" s="1276">
        <v>0</v>
      </c>
      <c r="BC88" s="414">
        <f t="shared" si="58"/>
        <v>1</v>
      </c>
      <c r="BD88" s="413">
        <f t="shared" si="58"/>
        <v>1</v>
      </c>
      <c r="BE88" s="337"/>
      <c r="BF88" s="338"/>
      <c r="BG88" s="664">
        <f t="shared" si="79"/>
        <v>0</v>
      </c>
      <c r="BH88" s="679">
        <f t="shared" si="79"/>
        <v>0</v>
      </c>
      <c r="BI88" s="383">
        <f t="shared" si="73"/>
        <v>0</v>
      </c>
      <c r="BJ88" s="386">
        <f t="shared" si="73"/>
        <v>0</v>
      </c>
      <c r="BK88" s="534">
        <f t="shared" si="59"/>
        <v>1949</v>
      </c>
      <c r="BL88" s="1271">
        <f t="shared" si="74"/>
        <v>0</v>
      </c>
      <c r="BM88" s="1276">
        <f t="shared" si="75"/>
        <v>0</v>
      </c>
      <c r="BN88" s="337"/>
      <c r="BO88" s="338"/>
      <c r="BP88" s="1271">
        <v>0</v>
      </c>
      <c r="BQ88" s="1276">
        <v>0</v>
      </c>
      <c r="BR88" s="414">
        <f t="shared" si="60"/>
        <v>1</v>
      </c>
      <c r="BS88" s="413">
        <f t="shared" si="60"/>
        <v>1</v>
      </c>
      <c r="BT88" s="337"/>
      <c r="BU88" s="338"/>
      <c r="BV88" s="664">
        <f t="shared" si="80"/>
        <v>0</v>
      </c>
      <c r="BW88" s="679">
        <f t="shared" si="80"/>
        <v>0</v>
      </c>
      <c r="BX88" s="383">
        <f t="shared" si="76"/>
        <v>0</v>
      </c>
      <c r="BY88" s="386">
        <f t="shared" si="76"/>
        <v>0</v>
      </c>
      <c r="BZ88" s="534">
        <f t="shared" si="61"/>
        <v>1952</v>
      </c>
      <c r="CA88" s="664">
        <f t="shared" si="81"/>
        <v>0</v>
      </c>
      <c r="CB88" s="665">
        <f t="shared" si="81"/>
        <v>0</v>
      </c>
      <c r="CC88" s="664">
        <f t="shared" si="82"/>
        <v>0</v>
      </c>
      <c r="CD88" s="665">
        <f t="shared" si="82"/>
        <v>0</v>
      </c>
      <c r="CE88" s="337"/>
      <c r="CF88" s="338"/>
      <c r="CG88" s="383">
        <f t="shared" si="77"/>
        <v>0</v>
      </c>
      <c r="CH88" s="386">
        <f t="shared" si="77"/>
        <v>0</v>
      </c>
    </row>
    <row r="89" spans="2:86" x14ac:dyDescent="0.2">
      <c r="B89" s="276">
        <v>74</v>
      </c>
      <c r="C89" s="320">
        <f t="shared" si="62"/>
        <v>75</v>
      </c>
      <c r="D89" s="534">
        <f t="shared" si="50"/>
        <v>1951</v>
      </c>
      <c r="E89" s="337"/>
      <c r="F89" s="338"/>
      <c r="G89" s="1271">
        <v>0</v>
      </c>
      <c r="H89" s="1289">
        <v>0</v>
      </c>
      <c r="I89" s="400">
        <f t="shared" si="63"/>
        <v>0</v>
      </c>
      <c r="J89" s="401">
        <f t="shared" si="63"/>
        <v>0</v>
      </c>
      <c r="K89" s="402" cm="1">
        <f t="array" ref="K89">HE_fact_qM*INDEX(HE_MortalityLapsesCY,$C89,4)</f>
        <v>1.9351527533905306E-2</v>
      </c>
      <c r="L89" s="403" cm="1">
        <f t="array" ref="L89">HE_fact_qF*INDEX(HE_MortalityLapsesCY,$C89,5)</f>
        <v>1.1783712069870356E-2</v>
      </c>
      <c r="M89" s="404" cm="1">
        <f t="array" ref="M89">INDEX(HE_MortalityLapsesCY,$C89,5+(2*$L$7-1))</f>
        <v>1.8481901456761228E-2</v>
      </c>
      <c r="N89" s="405" cm="1">
        <f t="array" ref="N89">INDEX(HE_MortalityLapsesCY,$C89,5+2*$L$7)</f>
        <v>1.8481901456761228E-2</v>
      </c>
      <c r="O89" s="391">
        <f t="shared" si="64"/>
        <v>0.99032423623304733</v>
      </c>
      <c r="P89" s="1143">
        <f t="shared" si="64"/>
        <v>0.99410814396506475</v>
      </c>
      <c r="Q89" s="356">
        <f t="shared" si="51"/>
        <v>1951</v>
      </c>
      <c r="R89" s="337"/>
      <c r="S89" s="338"/>
      <c r="T89" s="664">
        <f t="shared" si="52"/>
        <v>0</v>
      </c>
      <c r="U89" s="665">
        <f t="shared" si="53"/>
        <v>0</v>
      </c>
      <c r="V89" s="337"/>
      <c r="W89" s="338"/>
      <c r="X89" s="383">
        <f t="shared" si="65"/>
        <v>0</v>
      </c>
      <c r="Y89" s="386">
        <f t="shared" si="65"/>
        <v>0</v>
      </c>
      <c r="Z89" s="534">
        <f t="shared" si="54"/>
        <v>1951</v>
      </c>
      <c r="AA89" s="664">
        <f t="shared" si="66"/>
        <v>0</v>
      </c>
      <c r="AB89" s="665">
        <f t="shared" si="66"/>
        <v>0</v>
      </c>
      <c r="AC89" s="337"/>
      <c r="AD89" s="338"/>
      <c r="AE89" s="383">
        <f t="shared" si="67"/>
        <v>0</v>
      </c>
      <c r="AF89" s="386">
        <f t="shared" si="67"/>
        <v>0</v>
      </c>
      <c r="AG89" s="534">
        <f t="shared" si="55"/>
        <v>1950</v>
      </c>
      <c r="AH89" s="1271">
        <f t="shared" si="68"/>
        <v>0</v>
      </c>
      <c r="AI89" s="1276">
        <f t="shared" si="69"/>
        <v>0</v>
      </c>
      <c r="AJ89" s="337"/>
      <c r="AK89" s="338"/>
      <c r="AL89" s="1271">
        <v>0</v>
      </c>
      <c r="AM89" s="1276">
        <v>0</v>
      </c>
      <c r="AN89" s="414">
        <f t="shared" si="56"/>
        <v>1</v>
      </c>
      <c r="AO89" s="413">
        <f t="shared" si="56"/>
        <v>1</v>
      </c>
      <c r="AP89" s="337"/>
      <c r="AQ89" s="338"/>
      <c r="AR89" s="664">
        <f t="shared" si="78"/>
        <v>0</v>
      </c>
      <c r="AS89" s="679">
        <f t="shared" si="78"/>
        <v>0</v>
      </c>
      <c r="AT89" s="383">
        <f t="shared" si="70"/>
        <v>0</v>
      </c>
      <c r="AU89" s="386">
        <f t="shared" si="70"/>
        <v>0</v>
      </c>
      <c r="AV89" s="534">
        <f t="shared" si="57"/>
        <v>1949</v>
      </c>
      <c r="AW89" s="1271">
        <f t="shared" si="71"/>
        <v>0</v>
      </c>
      <c r="AX89" s="1276">
        <f t="shared" si="72"/>
        <v>0</v>
      </c>
      <c r="AY89" s="337"/>
      <c r="AZ89" s="338"/>
      <c r="BA89" s="1271">
        <v>0</v>
      </c>
      <c r="BB89" s="1276">
        <v>0</v>
      </c>
      <c r="BC89" s="414">
        <f t="shared" si="58"/>
        <v>1</v>
      </c>
      <c r="BD89" s="413">
        <f t="shared" si="58"/>
        <v>1</v>
      </c>
      <c r="BE89" s="337"/>
      <c r="BF89" s="338"/>
      <c r="BG89" s="664">
        <f t="shared" si="79"/>
        <v>0</v>
      </c>
      <c r="BH89" s="679">
        <f t="shared" si="79"/>
        <v>0</v>
      </c>
      <c r="BI89" s="383">
        <f t="shared" si="73"/>
        <v>0</v>
      </c>
      <c r="BJ89" s="386">
        <f t="shared" si="73"/>
        <v>0</v>
      </c>
      <c r="BK89" s="534">
        <f t="shared" si="59"/>
        <v>1948</v>
      </c>
      <c r="BL89" s="1271">
        <f t="shared" si="74"/>
        <v>0</v>
      </c>
      <c r="BM89" s="1276">
        <f t="shared" si="75"/>
        <v>0</v>
      </c>
      <c r="BN89" s="337"/>
      <c r="BO89" s="338"/>
      <c r="BP89" s="1271">
        <v>0</v>
      </c>
      <c r="BQ89" s="1276">
        <v>0</v>
      </c>
      <c r="BR89" s="414">
        <f t="shared" si="60"/>
        <v>1</v>
      </c>
      <c r="BS89" s="413">
        <f t="shared" si="60"/>
        <v>1</v>
      </c>
      <c r="BT89" s="337"/>
      <c r="BU89" s="338"/>
      <c r="BV89" s="664">
        <f t="shared" si="80"/>
        <v>0</v>
      </c>
      <c r="BW89" s="679">
        <f t="shared" si="80"/>
        <v>0</v>
      </c>
      <c r="BX89" s="383">
        <f t="shared" si="76"/>
        <v>0</v>
      </c>
      <c r="BY89" s="386">
        <f t="shared" si="76"/>
        <v>0</v>
      </c>
      <c r="BZ89" s="534">
        <f t="shared" si="61"/>
        <v>1951</v>
      </c>
      <c r="CA89" s="664">
        <f t="shared" si="81"/>
        <v>0</v>
      </c>
      <c r="CB89" s="665">
        <f t="shared" si="81"/>
        <v>0</v>
      </c>
      <c r="CC89" s="664">
        <f t="shared" si="82"/>
        <v>0</v>
      </c>
      <c r="CD89" s="665">
        <f t="shared" si="82"/>
        <v>0</v>
      </c>
      <c r="CE89" s="337"/>
      <c r="CF89" s="338"/>
      <c r="CG89" s="383">
        <f t="shared" si="77"/>
        <v>0</v>
      </c>
      <c r="CH89" s="386">
        <f t="shared" si="77"/>
        <v>0</v>
      </c>
    </row>
    <row r="90" spans="2:86" ht="13.5" thickBot="1" x14ac:dyDescent="0.25">
      <c r="B90" s="313">
        <v>75</v>
      </c>
      <c r="C90" s="321">
        <f t="shared" si="62"/>
        <v>76</v>
      </c>
      <c r="D90" s="535">
        <f t="shared" si="50"/>
        <v>1950</v>
      </c>
      <c r="E90" s="341"/>
      <c r="F90" s="340"/>
      <c r="G90" s="1277">
        <v>0</v>
      </c>
      <c r="H90" s="1290">
        <v>0</v>
      </c>
      <c r="I90" s="406">
        <f t="shared" si="63"/>
        <v>0</v>
      </c>
      <c r="J90" s="407">
        <f t="shared" si="63"/>
        <v>0</v>
      </c>
      <c r="K90" s="408" cm="1">
        <f t="array" ref="K90">HE_fact_qM*INDEX(HE_MortalityLapsesCY,$C90,4)</f>
        <v>2.1493086386595996E-2</v>
      </c>
      <c r="L90" s="409" cm="1">
        <f t="array" ref="L90">HE_fact_qF*INDEX(HE_MortalityLapsesCY,$C90,5)</f>
        <v>1.3201670991998246E-2</v>
      </c>
      <c r="M90" s="410" cm="1">
        <f t="array" ref="M90">INDEX(HE_MortalityLapsesCY,$C90,5+(2*$L$7-1))</f>
        <v>2.035804484630304E-2</v>
      </c>
      <c r="N90" s="411" cm="1">
        <f t="array" ref="N90">INDEX(HE_MortalityLapsesCY,$C90,5+2*$L$7)</f>
        <v>2.035804484630304E-2</v>
      </c>
      <c r="O90" s="392">
        <f t="shared" si="64"/>
        <v>0.98925345680670196</v>
      </c>
      <c r="P90" s="1144">
        <f t="shared" si="64"/>
        <v>0.9933991645040009</v>
      </c>
      <c r="Q90" s="313">
        <f t="shared" si="51"/>
        <v>1950</v>
      </c>
      <c r="R90" s="341"/>
      <c r="S90" s="340"/>
      <c r="T90" s="666">
        <f t="shared" si="52"/>
        <v>0</v>
      </c>
      <c r="U90" s="667">
        <f t="shared" si="53"/>
        <v>0</v>
      </c>
      <c r="V90" s="341"/>
      <c r="W90" s="340"/>
      <c r="X90" s="384">
        <f t="shared" si="65"/>
        <v>0</v>
      </c>
      <c r="Y90" s="387">
        <f t="shared" si="65"/>
        <v>0</v>
      </c>
      <c r="Z90" s="535">
        <f t="shared" si="54"/>
        <v>1950</v>
      </c>
      <c r="AA90" s="666">
        <f t="shared" si="66"/>
        <v>0</v>
      </c>
      <c r="AB90" s="667">
        <f t="shared" si="66"/>
        <v>0</v>
      </c>
      <c r="AC90" s="341"/>
      <c r="AD90" s="340"/>
      <c r="AE90" s="384">
        <f t="shared" si="67"/>
        <v>0</v>
      </c>
      <c r="AF90" s="387">
        <f t="shared" si="67"/>
        <v>0</v>
      </c>
      <c r="AG90" s="535">
        <f t="shared" si="55"/>
        <v>1949</v>
      </c>
      <c r="AH90" s="1277">
        <f t="shared" si="68"/>
        <v>0</v>
      </c>
      <c r="AI90" s="1278">
        <f t="shared" si="69"/>
        <v>0</v>
      </c>
      <c r="AJ90" s="341"/>
      <c r="AK90" s="340"/>
      <c r="AL90" s="1277">
        <v>0</v>
      </c>
      <c r="AM90" s="1278">
        <v>0</v>
      </c>
      <c r="AN90" s="415">
        <f t="shared" si="56"/>
        <v>1</v>
      </c>
      <c r="AO90" s="416">
        <f t="shared" si="56"/>
        <v>1</v>
      </c>
      <c r="AP90" s="341"/>
      <c r="AQ90" s="340"/>
      <c r="AR90" s="666">
        <f t="shared" si="78"/>
        <v>0</v>
      </c>
      <c r="AS90" s="680">
        <f t="shared" si="78"/>
        <v>0</v>
      </c>
      <c r="AT90" s="384">
        <f t="shared" si="70"/>
        <v>0</v>
      </c>
      <c r="AU90" s="387">
        <f t="shared" si="70"/>
        <v>0</v>
      </c>
      <c r="AV90" s="535">
        <f t="shared" si="57"/>
        <v>1948</v>
      </c>
      <c r="AW90" s="1277">
        <f t="shared" si="71"/>
        <v>0</v>
      </c>
      <c r="AX90" s="1278">
        <f t="shared" si="72"/>
        <v>0</v>
      </c>
      <c r="AY90" s="341"/>
      <c r="AZ90" s="340"/>
      <c r="BA90" s="1277">
        <v>0</v>
      </c>
      <c r="BB90" s="1278">
        <v>0</v>
      </c>
      <c r="BC90" s="415">
        <f t="shared" si="58"/>
        <v>1</v>
      </c>
      <c r="BD90" s="416">
        <f t="shared" si="58"/>
        <v>1</v>
      </c>
      <c r="BE90" s="341"/>
      <c r="BF90" s="340"/>
      <c r="BG90" s="666">
        <f t="shared" si="79"/>
        <v>0</v>
      </c>
      <c r="BH90" s="680">
        <f t="shared" si="79"/>
        <v>0</v>
      </c>
      <c r="BI90" s="384">
        <f t="shared" si="73"/>
        <v>0</v>
      </c>
      <c r="BJ90" s="387">
        <f t="shared" si="73"/>
        <v>0</v>
      </c>
      <c r="BK90" s="535">
        <f t="shared" si="59"/>
        <v>1947</v>
      </c>
      <c r="BL90" s="1277">
        <f t="shared" si="74"/>
        <v>0</v>
      </c>
      <c r="BM90" s="1278">
        <f t="shared" si="75"/>
        <v>0</v>
      </c>
      <c r="BN90" s="341"/>
      <c r="BO90" s="340"/>
      <c r="BP90" s="1277">
        <v>0</v>
      </c>
      <c r="BQ90" s="1278">
        <v>0</v>
      </c>
      <c r="BR90" s="415">
        <f t="shared" si="60"/>
        <v>1</v>
      </c>
      <c r="BS90" s="416">
        <f t="shared" si="60"/>
        <v>1</v>
      </c>
      <c r="BT90" s="341"/>
      <c r="BU90" s="340"/>
      <c r="BV90" s="666">
        <f t="shared" si="80"/>
        <v>0</v>
      </c>
      <c r="BW90" s="680">
        <f t="shared" si="80"/>
        <v>0</v>
      </c>
      <c r="BX90" s="384">
        <f t="shared" si="76"/>
        <v>0</v>
      </c>
      <c r="BY90" s="387">
        <f t="shared" si="76"/>
        <v>0</v>
      </c>
      <c r="BZ90" s="535">
        <f t="shared" si="61"/>
        <v>1950</v>
      </c>
      <c r="CA90" s="666">
        <f t="shared" si="81"/>
        <v>0</v>
      </c>
      <c r="CB90" s="667">
        <f t="shared" si="81"/>
        <v>0</v>
      </c>
      <c r="CC90" s="666">
        <f t="shared" si="82"/>
        <v>0</v>
      </c>
      <c r="CD90" s="667">
        <f t="shared" si="82"/>
        <v>0</v>
      </c>
      <c r="CE90" s="341"/>
      <c r="CF90" s="340"/>
      <c r="CG90" s="384">
        <f t="shared" si="77"/>
        <v>0</v>
      </c>
      <c r="CH90" s="387">
        <f t="shared" si="77"/>
        <v>0</v>
      </c>
    </row>
    <row r="91" spans="2:86" ht="13.5" thickTop="1" x14ac:dyDescent="0.2">
      <c r="B91" s="276">
        <v>76</v>
      </c>
      <c r="C91" s="320">
        <f t="shared" si="62"/>
        <v>77</v>
      </c>
      <c r="D91" s="534">
        <f t="shared" si="50"/>
        <v>1949</v>
      </c>
      <c r="E91" s="337"/>
      <c r="F91" s="338"/>
      <c r="G91" s="1271">
        <v>0</v>
      </c>
      <c r="H91" s="1289">
        <v>0</v>
      </c>
      <c r="I91" s="400">
        <f t="shared" si="63"/>
        <v>0</v>
      </c>
      <c r="J91" s="401">
        <f t="shared" si="63"/>
        <v>0</v>
      </c>
      <c r="K91" s="402" cm="1">
        <f t="array" ref="K91">HE_fact_qM*INDEX(HE_MortalityLapsesCY,$C91,4)</f>
        <v>2.393004562651543E-2</v>
      </c>
      <c r="L91" s="403" cm="1">
        <f t="array" ref="L91">HE_fact_qF*INDEX(HE_MortalityLapsesCY,$C91,5)</f>
        <v>1.4825199814113982E-2</v>
      </c>
      <c r="M91" s="404" cm="1">
        <f t="array" ref="M91">INDEX(HE_MortalityLapsesCY,$C91,5+(2*$L$7-1))</f>
        <v>1.8588665447897623E-2</v>
      </c>
      <c r="N91" s="405" cm="1">
        <f t="array" ref="N91">INDEX(HE_MortalityLapsesCY,$C91,5+2*$L$7)</f>
        <v>1.8588665447897623E-2</v>
      </c>
      <c r="O91" s="391">
        <f t="shared" si="64"/>
        <v>0.98803497718674227</v>
      </c>
      <c r="P91" s="1143">
        <f t="shared" si="64"/>
        <v>0.992587400092943</v>
      </c>
      <c r="Q91" s="356">
        <f t="shared" si="51"/>
        <v>1949</v>
      </c>
      <c r="R91" s="337"/>
      <c r="S91" s="338"/>
      <c r="T91" s="664">
        <f t="shared" si="52"/>
        <v>0</v>
      </c>
      <c r="U91" s="665">
        <f t="shared" si="53"/>
        <v>0</v>
      </c>
      <c r="V91" s="337"/>
      <c r="W91" s="338"/>
      <c r="X91" s="383">
        <f t="shared" si="65"/>
        <v>0</v>
      </c>
      <c r="Y91" s="386">
        <f t="shared" si="65"/>
        <v>0</v>
      </c>
      <c r="Z91" s="534">
        <f t="shared" si="54"/>
        <v>1949</v>
      </c>
      <c r="AA91" s="664">
        <f t="shared" si="66"/>
        <v>0</v>
      </c>
      <c r="AB91" s="665">
        <f t="shared" si="66"/>
        <v>0</v>
      </c>
      <c r="AC91" s="337"/>
      <c r="AD91" s="338"/>
      <c r="AE91" s="383">
        <f t="shared" si="67"/>
        <v>0</v>
      </c>
      <c r="AF91" s="386">
        <f t="shared" si="67"/>
        <v>0</v>
      </c>
      <c r="AG91" s="534">
        <f t="shared" si="55"/>
        <v>1948</v>
      </c>
      <c r="AH91" s="1271">
        <f t="shared" si="68"/>
        <v>0</v>
      </c>
      <c r="AI91" s="1276">
        <f t="shared" si="69"/>
        <v>0</v>
      </c>
      <c r="AJ91" s="337"/>
      <c r="AK91" s="338"/>
      <c r="AL91" s="1271">
        <v>0</v>
      </c>
      <c r="AM91" s="1276">
        <v>0</v>
      </c>
      <c r="AN91" s="414">
        <f t="shared" si="56"/>
        <v>1</v>
      </c>
      <c r="AO91" s="413">
        <f t="shared" si="56"/>
        <v>1</v>
      </c>
      <c r="AP91" s="337"/>
      <c r="AQ91" s="338"/>
      <c r="AR91" s="664">
        <f t="shared" si="78"/>
        <v>0</v>
      </c>
      <c r="AS91" s="679">
        <f t="shared" si="78"/>
        <v>0</v>
      </c>
      <c r="AT91" s="383">
        <f t="shared" si="70"/>
        <v>0</v>
      </c>
      <c r="AU91" s="386">
        <f t="shared" si="70"/>
        <v>0</v>
      </c>
      <c r="AV91" s="534">
        <f t="shared" si="57"/>
        <v>1947</v>
      </c>
      <c r="AW91" s="1271">
        <f t="shared" si="71"/>
        <v>0</v>
      </c>
      <c r="AX91" s="1276">
        <f t="shared" si="72"/>
        <v>0</v>
      </c>
      <c r="AY91" s="337"/>
      <c r="AZ91" s="338"/>
      <c r="BA91" s="1271">
        <v>0</v>
      </c>
      <c r="BB91" s="1276">
        <v>0</v>
      </c>
      <c r="BC91" s="414">
        <f t="shared" si="58"/>
        <v>1</v>
      </c>
      <c r="BD91" s="413">
        <f t="shared" si="58"/>
        <v>1</v>
      </c>
      <c r="BE91" s="337"/>
      <c r="BF91" s="338"/>
      <c r="BG91" s="664">
        <f t="shared" si="79"/>
        <v>0</v>
      </c>
      <c r="BH91" s="679">
        <f t="shared" si="79"/>
        <v>0</v>
      </c>
      <c r="BI91" s="383">
        <f t="shared" si="73"/>
        <v>0</v>
      </c>
      <c r="BJ91" s="386">
        <f t="shared" si="73"/>
        <v>0</v>
      </c>
      <c r="BK91" s="534">
        <f t="shared" si="59"/>
        <v>1946</v>
      </c>
      <c r="BL91" s="1271">
        <f t="shared" si="74"/>
        <v>0</v>
      </c>
      <c r="BM91" s="1276">
        <f t="shared" si="75"/>
        <v>0</v>
      </c>
      <c r="BN91" s="337"/>
      <c r="BO91" s="338"/>
      <c r="BP91" s="1271">
        <v>0</v>
      </c>
      <c r="BQ91" s="1276">
        <v>0</v>
      </c>
      <c r="BR91" s="414">
        <f t="shared" si="60"/>
        <v>1</v>
      </c>
      <c r="BS91" s="413">
        <f t="shared" si="60"/>
        <v>1</v>
      </c>
      <c r="BT91" s="337"/>
      <c r="BU91" s="338"/>
      <c r="BV91" s="664">
        <f t="shared" si="80"/>
        <v>0</v>
      </c>
      <c r="BW91" s="679">
        <f t="shared" si="80"/>
        <v>0</v>
      </c>
      <c r="BX91" s="383">
        <f t="shared" si="76"/>
        <v>0</v>
      </c>
      <c r="BY91" s="386">
        <f t="shared" si="76"/>
        <v>0</v>
      </c>
      <c r="BZ91" s="534">
        <f t="shared" si="61"/>
        <v>1949</v>
      </c>
      <c r="CA91" s="664">
        <f t="shared" si="81"/>
        <v>0</v>
      </c>
      <c r="CB91" s="665">
        <f t="shared" si="81"/>
        <v>0</v>
      </c>
      <c r="CC91" s="664">
        <f t="shared" si="82"/>
        <v>0</v>
      </c>
      <c r="CD91" s="665">
        <f t="shared" si="82"/>
        <v>0</v>
      </c>
      <c r="CE91" s="337"/>
      <c r="CF91" s="338"/>
      <c r="CG91" s="383">
        <f t="shared" si="77"/>
        <v>0</v>
      </c>
      <c r="CH91" s="386">
        <f t="shared" si="77"/>
        <v>0</v>
      </c>
    </row>
    <row r="92" spans="2:86" x14ac:dyDescent="0.2">
      <c r="B92" s="276">
        <v>77</v>
      </c>
      <c r="C92" s="320">
        <f t="shared" si="62"/>
        <v>78</v>
      </c>
      <c r="D92" s="534">
        <f t="shared" si="50"/>
        <v>1948</v>
      </c>
      <c r="E92" s="337"/>
      <c r="F92" s="338"/>
      <c r="G92" s="1271">
        <v>0</v>
      </c>
      <c r="H92" s="1289">
        <v>0</v>
      </c>
      <c r="I92" s="400">
        <f t="shared" si="63"/>
        <v>0</v>
      </c>
      <c r="J92" s="401">
        <f t="shared" si="63"/>
        <v>0</v>
      </c>
      <c r="K92" s="402" cm="1">
        <f t="array" ref="K92">HE_fact_qM*INDEX(HE_MortalityLapsesCY,$C92,4)</f>
        <v>2.6709952943306775E-2</v>
      </c>
      <c r="L92" s="403" cm="1">
        <f t="array" ref="L92">HE_fact_qF*INDEX(HE_MortalityLapsesCY,$C92,5)</f>
        <v>1.6693515533785987E-2</v>
      </c>
      <c r="M92" s="404" cm="1">
        <f t="array" ref="M92">INDEX(HE_MortalityLapsesCY,$C92,5+(2*$L$7-1))</f>
        <v>1.7651691813506711E-2</v>
      </c>
      <c r="N92" s="405" cm="1">
        <f t="array" ref="N92">INDEX(HE_MortalityLapsesCY,$C92,5+2*$L$7)</f>
        <v>1.7651691813506711E-2</v>
      </c>
      <c r="O92" s="391">
        <f t="shared" si="64"/>
        <v>0.9866450235283466</v>
      </c>
      <c r="P92" s="1143">
        <f t="shared" si="64"/>
        <v>0.99165324223310702</v>
      </c>
      <c r="Q92" s="356">
        <f t="shared" si="51"/>
        <v>1948</v>
      </c>
      <c r="R92" s="337"/>
      <c r="S92" s="338"/>
      <c r="T92" s="664">
        <f t="shared" si="52"/>
        <v>0</v>
      </c>
      <c r="U92" s="665">
        <f t="shared" si="53"/>
        <v>0</v>
      </c>
      <c r="V92" s="337"/>
      <c r="W92" s="338"/>
      <c r="X92" s="383">
        <f t="shared" si="65"/>
        <v>0</v>
      </c>
      <c r="Y92" s="386">
        <f t="shared" si="65"/>
        <v>0</v>
      </c>
      <c r="Z92" s="534">
        <f t="shared" si="54"/>
        <v>1948</v>
      </c>
      <c r="AA92" s="664">
        <f t="shared" si="66"/>
        <v>0</v>
      </c>
      <c r="AB92" s="665">
        <f t="shared" si="66"/>
        <v>0</v>
      </c>
      <c r="AC92" s="337"/>
      <c r="AD92" s="338"/>
      <c r="AE92" s="383">
        <f t="shared" si="67"/>
        <v>0</v>
      </c>
      <c r="AF92" s="386">
        <f t="shared" si="67"/>
        <v>0</v>
      </c>
      <c r="AG92" s="534">
        <f t="shared" si="55"/>
        <v>1947</v>
      </c>
      <c r="AH92" s="1271">
        <f t="shared" si="68"/>
        <v>0</v>
      </c>
      <c r="AI92" s="1276">
        <f t="shared" si="69"/>
        <v>0</v>
      </c>
      <c r="AJ92" s="337"/>
      <c r="AK92" s="338"/>
      <c r="AL92" s="1271">
        <v>0</v>
      </c>
      <c r="AM92" s="1276">
        <v>0</v>
      </c>
      <c r="AN92" s="414">
        <f t="shared" si="56"/>
        <v>1</v>
      </c>
      <c r="AO92" s="413">
        <f t="shared" si="56"/>
        <v>1</v>
      </c>
      <c r="AP92" s="337"/>
      <c r="AQ92" s="338"/>
      <c r="AR92" s="664">
        <f t="shared" si="78"/>
        <v>0</v>
      </c>
      <c r="AS92" s="679">
        <f t="shared" si="78"/>
        <v>0</v>
      </c>
      <c r="AT92" s="383">
        <f t="shared" si="70"/>
        <v>0</v>
      </c>
      <c r="AU92" s="386">
        <f t="shared" si="70"/>
        <v>0</v>
      </c>
      <c r="AV92" s="534">
        <f t="shared" si="57"/>
        <v>1946</v>
      </c>
      <c r="AW92" s="1271">
        <f t="shared" si="71"/>
        <v>0</v>
      </c>
      <c r="AX92" s="1276">
        <f t="shared" si="72"/>
        <v>0</v>
      </c>
      <c r="AY92" s="337"/>
      <c r="AZ92" s="338"/>
      <c r="BA92" s="1271">
        <v>0</v>
      </c>
      <c r="BB92" s="1276">
        <v>0</v>
      </c>
      <c r="BC92" s="414">
        <f t="shared" si="58"/>
        <v>1</v>
      </c>
      <c r="BD92" s="413">
        <f t="shared" si="58"/>
        <v>1</v>
      </c>
      <c r="BE92" s="337"/>
      <c r="BF92" s="338"/>
      <c r="BG92" s="664">
        <f t="shared" si="79"/>
        <v>0</v>
      </c>
      <c r="BH92" s="679">
        <f t="shared" si="79"/>
        <v>0</v>
      </c>
      <c r="BI92" s="383">
        <f t="shared" si="73"/>
        <v>0</v>
      </c>
      <c r="BJ92" s="386">
        <f t="shared" si="73"/>
        <v>0</v>
      </c>
      <c r="BK92" s="534">
        <f t="shared" si="59"/>
        <v>1945</v>
      </c>
      <c r="BL92" s="1271">
        <f t="shared" si="74"/>
        <v>0</v>
      </c>
      <c r="BM92" s="1276">
        <f t="shared" si="75"/>
        <v>0</v>
      </c>
      <c r="BN92" s="337"/>
      <c r="BO92" s="338"/>
      <c r="BP92" s="1271">
        <v>0</v>
      </c>
      <c r="BQ92" s="1276">
        <v>0</v>
      </c>
      <c r="BR92" s="414">
        <f t="shared" si="60"/>
        <v>1</v>
      </c>
      <c r="BS92" s="413">
        <f t="shared" si="60"/>
        <v>1</v>
      </c>
      <c r="BT92" s="337"/>
      <c r="BU92" s="338"/>
      <c r="BV92" s="664">
        <f t="shared" si="80"/>
        <v>0</v>
      </c>
      <c r="BW92" s="679">
        <f t="shared" si="80"/>
        <v>0</v>
      </c>
      <c r="BX92" s="383">
        <f t="shared" si="76"/>
        <v>0</v>
      </c>
      <c r="BY92" s="386">
        <f t="shared" si="76"/>
        <v>0</v>
      </c>
      <c r="BZ92" s="534">
        <f t="shared" si="61"/>
        <v>1948</v>
      </c>
      <c r="CA92" s="664">
        <f t="shared" si="81"/>
        <v>0</v>
      </c>
      <c r="CB92" s="665">
        <f t="shared" si="81"/>
        <v>0</v>
      </c>
      <c r="CC92" s="664">
        <f t="shared" si="82"/>
        <v>0</v>
      </c>
      <c r="CD92" s="665">
        <f t="shared" si="82"/>
        <v>0</v>
      </c>
      <c r="CE92" s="337"/>
      <c r="CF92" s="338"/>
      <c r="CG92" s="383">
        <f t="shared" si="77"/>
        <v>0</v>
      </c>
      <c r="CH92" s="386">
        <f t="shared" si="77"/>
        <v>0</v>
      </c>
    </row>
    <row r="93" spans="2:86" x14ac:dyDescent="0.2">
      <c r="B93" s="276">
        <v>78</v>
      </c>
      <c r="C93" s="320">
        <f t="shared" si="62"/>
        <v>79</v>
      </c>
      <c r="D93" s="534">
        <f t="shared" si="50"/>
        <v>1947</v>
      </c>
      <c r="E93" s="337"/>
      <c r="F93" s="338"/>
      <c r="G93" s="1271">
        <v>0</v>
      </c>
      <c r="H93" s="1289">
        <v>0</v>
      </c>
      <c r="I93" s="400">
        <f t="shared" si="63"/>
        <v>0</v>
      </c>
      <c r="J93" s="401">
        <f t="shared" si="63"/>
        <v>0</v>
      </c>
      <c r="K93" s="402" cm="1">
        <f t="array" ref="K93">HE_fact_qM*INDEX(HE_MortalityLapsesCY,$C93,4)</f>
        <v>2.9888792381476358E-2</v>
      </c>
      <c r="L93" s="403" cm="1">
        <f t="array" ref="L93">HE_fact_qF*INDEX(HE_MortalityLapsesCY,$C93,5)</f>
        <v>1.8854795418173989E-2</v>
      </c>
      <c r="M93" s="404" cm="1">
        <f t="array" ref="M93">INDEX(HE_MortalityLapsesCY,$C93,5+(2*$L$7-1))</f>
        <v>1.7333224729168362E-2</v>
      </c>
      <c r="N93" s="405" cm="1">
        <f t="array" ref="N93">INDEX(HE_MortalityLapsesCY,$C93,5+2*$L$7)</f>
        <v>1.7333224729168362E-2</v>
      </c>
      <c r="O93" s="391">
        <f t="shared" si="64"/>
        <v>0.98505560380926183</v>
      </c>
      <c r="P93" s="1143">
        <f t="shared" si="64"/>
        <v>0.99057260229091293</v>
      </c>
      <c r="Q93" s="356">
        <f t="shared" si="51"/>
        <v>1947</v>
      </c>
      <c r="R93" s="337"/>
      <c r="S93" s="338"/>
      <c r="T93" s="664">
        <f t="shared" si="52"/>
        <v>0</v>
      </c>
      <c r="U93" s="665">
        <f t="shared" si="53"/>
        <v>0</v>
      </c>
      <c r="V93" s="337"/>
      <c r="W93" s="338"/>
      <c r="X93" s="383">
        <f t="shared" si="65"/>
        <v>0</v>
      </c>
      <c r="Y93" s="386">
        <f t="shared" si="65"/>
        <v>0</v>
      </c>
      <c r="Z93" s="534">
        <f t="shared" si="54"/>
        <v>1947</v>
      </c>
      <c r="AA93" s="664">
        <f t="shared" si="66"/>
        <v>0</v>
      </c>
      <c r="AB93" s="665">
        <f t="shared" si="66"/>
        <v>0</v>
      </c>
      <c r="AC93" s="337"/>
      <c r="AD93" s="338"/>
      <c r="AE93" s="383">
        <f t="shared" si="67"/>
        <v>0</v>
      </c>
      <c r="AF93" s="386">
        <f t="shared" si="67"/>
        <v>0</v>
      </c>
      <c r="AG93" s="534">
        <f t="shared" si="55"/>
        <v>1946</v>
      </c>
      <c r="AH93" s="1271">
        <f t="shared" si="68"/>
        <v>0</v>
      </c>
      <c r="AI93" s="1276">
        <f t="shared" si="69"/>
        <v>0</v>
      </c>
      <c r="AJ93" s="337"/>
      <c r="AK93" s="338"/>
      <c r="AL93" s="1271">
        <v>0</v>
      </c>
      <c r="AM93" s="1276">
        <v>0</v>
      </c>
      <c r="AN93" s="414">
        <f t="shared" si="56"/>
        <v>1</v>
      </c>
      <c r="AO93" s="413">
        <f t="shared" si="56"/>
        <v>1</v>
      </c>
      <c r="AP93" s="337"/>
      <c r="AQ93" s="338"/>
      <c r="AR93" s="664">
        <f t="shared" si="78"/>
        <v>0</v>
      </c>
      <c r="AS93" s="679">
        <f t="shared" si="78"/>
        <v>0</v>
      </c>
      <c r="AT93" s="383">
        <f t="shared" si="70"/>
        <v>0</v>
      </c>
      <c r="AU93" s="386">
        <f t="shared" si="70"/>
        <v>0</v>
      </c>
      <c r="AV93" s="534">
        <f t="shared" si="57"/>
        <v>1945</v>
      </c>
      <c r="AW93" s="1271">
        <f t="shared" si="71"/>
        <v>0</v>
      </c>
      <c r="AX93" s="1276">
        <f t="shared" si="72"/>
        <v>0</v>
      </c>
      <c r="AY93" s="337"/>
      <c r="AZ93" s="338"/>
      <c r="BA93" s="1271">
        <v>0</v>
      </c>
      <c r="BB93" s="1276">
        <v>0</v>
      </c>
      <c r="BC93" s="414">
        <f t="shared" si="58"/>
        <v>1</v>
      </c>
      <c r="BD93" s="413">
        <f t="shared" si="58"/>
        <v>1</v>
      </c>
      <c r="BE93" s="337"/>
      <c r="BF93" s="338"/>
      <c r="BG93" s="664">
        <f t="shared" si="79"/>
        <v>0</v>
      </c>
      <c r="BH93" s="679">
        <f t="shared" si="79"/>
        <v>0</v>
      </c>
      <c r="BI93" s="383">
        <f t="shared" si="73"/>
        <v>0</v>
      </c>
      <c r="BJ93" s="386">
        <f t="shared" si="73"/>
        <v>0</v>
      </c>
      <c r="BK93" s="534">
        <f t="shared" si="59"/>
        <v>1944</v>
      </c>
      <c r="BL93" s="1271">
        <f t="shared" si="74"/>
        <v>0</v>
      </c>
      <c r="BM93" s="1276">
        <f t="shared" si="75"/>
        <v>0</v>
      </c>
      <c r="BN93" s="337"/>
      <c r="BO93" s="338"/>
      <c r="BP93" s="1271">
        <v>0</v>
      </c>
      <c r="BQ93" s="1276">
        <v>0</v>
      </c>
      <c r="BR93" s="414">
        <f t="shared" si="60"/>
        <v>1</v>
      </c>
      <c r="BS93" s="413">
        <f t="shared" si="60"/>
        <v>1</v>
      </c>
      <c r="BT93" s="337"/>
      <c r="BU93" s="338"/>
      <c r="BV93" s="664">
        <f t="shared" si="80"/>
        <v>0</v>
      </c>
      <c r="BW93" s="679">
        <f t="shared" si="80"/>
        <v>0</v>
      </c>
      <c r="BX93" s="383">
        <f t="shared" si="76"/>
        <v>0</v>
      </c>
      <c r="BY93" s="386">
        <f t="shared" si="76"/>
        <v>0</v>
      </c>
      <c r="BZ93" s="534">
        <f t="shared" si="61"/>
        <v>1947</v>
      </c>
      <c r="CA93" s="664">
        <f t="shared" si="81"/>
        <v>0</v>
      </c>
      <c r="CB93" s="665">
        <f t="shared" si="81"/>
        <v>0</v>
      </c>
      <c r="CC93" s="664">
        <f t="shared" si="82"/>
        <v>0</v>
      </c>
      <c r="CD93" s="665">
        <f t="shared" si="82"/>
        <v>0</v>
      </c>
      <c r="CE93" s="337"/>
      <c r="CF93" s="338"/>
      <c r="CG93" s="383">
        <f t="shared" si="77"/>
        <v>0</v>
      </c>
      <c r="CH93" s="386">
        <f t="shared" si="77"/>
        <v>0</v>
      </c>
    </row>
    <row r="94" spans="2:86" x14ac:dyDescent="0.2">
      <c r="B94" s="276">
        <v>79</v>
      </c>
      <c r="C94" s="320">
        <f t="shared" si="62"/>
        <v>80</v>
      </c>
      <c r="D94" s="534">
        <f t="shared" si="50"/>
        <v>1946</v>
      </c>
      <c r="E94" s="337"/>
      <c r="F94" s="338"/>
      <c r="G94" s="1271">
        <v>0</v>
      </c>
      <c r="H94" s="1289">
        <v>0</v>
      </c>
      <c r="I94" s="400">
        <f t="shared" si="63"/>
        <v>0</v>
      </c>
      <c r="J94" s="401">
        <f t="shared" si="63"/>
        <v>0</v>
      </c>
      <c r="K94" s="402" cm="1">
        <f t="array" ref="K94">HE_fact_qM*INDEX(HE_MortalityLapsesCY,$C94,4)</f>
        <v>3.3532567037634478E-2</v>
      </c>
      <c r="L94" s="403" cm="1">
        <f t="array" ref="L94">HE_fact_qF*INDEX(HE_MortalityLapsesCY,$C94,5)</f>
        <v>2.1368498291106139E-2</v>
      </c>
      <c r="M94" s="404" cm="1">
        <f t="array" ref="M94">INDEX(HE_MortalityLapsesCY,$C94,5+(2*$L$7-1))</f>
        <v>1.7794642547735384E-2</v>
      </c>
      <c r="N94" s="405" cm="1">
        <f t="array" ref="N94">INDEX(HE_MortalityLapsesCY,$C94,5+2*$L$7)</f>
        <v>1.7794642547735384E-2</v>
      </c>
      <c r="O94" s="391">
        <f t="shared" si="64"/>
        <v>0.98323371648118274</v>
      </c>
      <c r="P94" s="1143">
        <f t="shared" si="64"/>
        <v>0.98931575085444701</v>
      </c>
      <c r="Q94" s="356">
        <f t="shared" si="51"/>
        <v>1946</v>
      </c>
      <c r="R94" s="337"/>
      <c r="S94" s="338"/>
      <c r="T94" s="664">
        <f t="shared" si="52"/>
        <v>0</v>
      </c>
      <c r="U94" s="665">
        <f t="shared" si="53"/>
        <v>0</v>
      </c>
      <c r="V94" s="337"/>
      <c r="W94" s="338"/>
      <c r="X94" s="383">
        <f t="shared" si="65"/>
        <v>0</v>
      </c>
      <c r="Y94" s="386">
        <f t="shared" si="65"/>
        <v>0</v>
      </c>
      <c r="Z94" s="534">
        <f t="shared" si="54"/>
        <v>1946</v>
      </c>
      <c r="AA94" s="664">
        <f t="shared" si="66"/>
        <v>0</v>
      </c>
      <c r="AB94" s="665">
        <f t="shared" si="66"/>
        <v>0</v>
      </c>
      <c r="AC94" s="337"/>
      <c r="AD94" s="338"/>
      <c r="AE94" s="383">
        <f t="shared" si="67"/>
        <v>0</v>
      </c>
      <c r="AF94" s="386">
        <f t="shared" si="67"/>
        <v>0</v>
      </c>
      <c r="AG94" s="534">
        <f t="shared" si="55"/>
        <v>1945</v>
      </c>
      <c r="AH94" s="1271">
        <f t="shared" si="68"/>
        <v>0</v>
      </c>
      <c r="AI94" s="1276">
        <f t="shared" si="69"/>
        <v>0</v>
      </c>
      <c r="AJ94" s="337"/>
      <c r="AK94" s="338"/>
      <c r="AL94" s="1271">
        <v>0</v>
      </c>
      <c r="AM94" s="1276">
        <v>0</v>
      </c>
      <c r="AN94" s="414">
        <f t="shared" si="56"/>
        <v>1</v>
      </c>
      <c r="AO94" s="413">
        <f t="shared" si="56"/>
        <v>1</v>
      </c>
      <c r="AP94" s="337"/>
      <c r="AQ94" s="338"/>
      <c r="AR94" s="664">
        <f t="shared" si="78"/>
        <v>0</v>
      </c>
      <c r="AS94" s="679">
        <f t="shared" si="78"/>
        <v>0</v>
      </c>
      <c r="AT94" s="383">
        <f t="shared" si="70"/>
        <v>0</v>
      </c>
      <c r="AU94" s="386">
        <f t="shared" si="70"/>
        <v>0</v>
      </c>
      <c r="AV94" s="534">
        <f t="shared" si="57"/>
        <v>1944</v>
      </c>
      <c r="AW94" s="1271">
        <f t="shared" si="71"/>
        <v>0</v>
      </c>
      <c r="AX94" s="1276">
        <f t="shared" si="72"/>
        <v>0</v>
      </c>
      <c r="AY94" s="337"/>
      <c r="AZ94" s="338"/>
      <c r="BA94" s="1271">
        <v>0</v>
      </c>
      <c r="BB94" s="1276">
        <v>0</v>
      </c>
      <c r="BC94" s="414">
        <f t="shared" si="58"/>
        <v>1</v>
      </c>
      <c r="BD94" s="413">
        <f t="shared" si="58"/>
        <v>1</v>
      </c>
      <c r="BE94" s="337"/>
      <c r="BF94" s="338"/>
      <c r="BG94" s="664">
        <f t="shared" si="79"/>
        <v>0</v>
      </c>
      <c r="BH94" s="679">
        <f t="shared" si="79"/>
        <v>0</v>
      </c>
      <c r="BI94" s="383">
        <f t="shared" si="73"/>
        <v>0</v>
      </c>
      <c r="BJ94" s="386">
        <f t="shared" si="73"/>
        <v>0</v>
      </c>
      <c r="BK94" s="534">
        <f t="shared" si="59"/>
        <v>1943</v>
      </c>
      <c r="BL94" s="1271">
        <f t="shared" si="74"/>
        <v>0</v>
      </c>
      <c r="BM94" s="1276">
        <f t="shared" si="75"/>
        <v>0</v>
      </c>
      <c r="BN94" s="337"/>
      <c r="BO94" s="338"/>
      <c r="BP94" s="1271">
        <v>0</v>
      </c>
      <c r="BQ94" s="1276">
        <v>0</v>
      </c>
      <c r="BR94" s="414">
        <f t="shared" si="60"/>
        <v>1</v>
      </c>
      <c r="BS94" s="413">
        <f t="shared" si="60"/>
        <v>1</v>
      </c>
      <c r="BT94" s="337"/>
      <c r="BU94" s="338"/>
      <c r="BV94" s="664">
        <f t="shared" si="80"/>
        <v>0</v>
      </c>
      <c r="BW94" s="679">
        <f t="shared" si="80"/>
        <v>0</v>
      </c>
      <c r="BX94" s="383">
        <f t="shared" si="76"/>
        <v>0</v>
      </c>
      <c r="BY94" s="386">
        <f t="shared" si="76"/>
        <v>0</v>
      </c>
      <c r="BZ94" s="534">
        <f t="shared" si="61"/>
        <v>1946</v>
      </c>
      <c r="CA94" s="664">
        <f t="shared" si="81"/>
        <v>0</v>
      </c>
      <c r="CB94" s="665">
        <f t="shared" si="81"/>
        <v>0</v>
      </c>
      <c r="CC94" s="664">
        <f t="shared" si="82"/>
        <v>0</v>
      </c>
      <c r="CD94" s="665">
        <f t="shared" si="82"/>
        <v>0</v>
      </c>
      <c r="CE94" s="337"/>
      <c r="CF94" s="338"/>
      <c r="CG94" s="383">
        <f t="shared" si="77"/>
        <v>0</v>
      </c>
      <c r="CH94" s="386">
        <f t="shared" si="77"/>
        <v>0</v>
      </c>
    </row>
    <row r="95" spans="2:86" ht="13.5" thickBot="1" x14ac:dyDescent="0.25">
      <c r="B95" s="313">
        <v>80</v>
      </c>
      <c r="C95" s="321">
        <f t="shared" si="62"/>
        <v>81</v>
      </c>
      <c r="D95" s="535">
        <f t="shared" si="50"/>
        <v>1945</v>
      </c>
      <c r="E95" s="341"/>
      <c r="F95" s="340"/>
      <c r="G95" s="1277">
        <v>0</v>
      </c>
      <c r="H95" s="1290">
        <v>0</v>
      </c>
      <c r="I95" s="406">
        <f t="shared" si="63"/>
        <v>0</v>
      </c>
      <c r="J95" s="407">
        <f t="shared" si="63"/>
        <v>0</v>
      </c>
      <c r="K95" s="408" cm="1">
        <f t="array" ref="K95">HE_fact_qM*INDEX(HE_MortalityLapsesCY,$C95,4)</f>
        <v>3.7719248261508166E-2</v>
      </c>
      <c r="L95" s="409" cm="1">
        <f t="array" ref="L95">HE_fact_qF*INDEX(HE_MortalityLapsesCY,$C95,5)</f>
        <v>2.4308367275072705E-2</v>
      </c>
      <c r="M95" s="410" cm="1">
        <f t="array" ref="M95">INDEX(HE_MortalityLapsesCY,$C95,5+(2*$L$7-1))</f>
        <v>1.8802975904060406E-2</v>
      </c>
      <c r="N95" s="411" cm="1">
        <f t="array" ref="N95">INDEX(HE_MortalityLapsesCY,$C95,5+2*$L$7)</f>
        <v>1.8802975904060406E-2</v>
      </c>
      <c r="O95" s="392">
        <f t="shared" si="64"/>
        <v>0.98114037586924585</v>
      </c>
      <c r="P95" s="1144">
        <f t="shared" si="64"/>
        <v>0.98784581636246371</v>
      </c>
      <c r="Q95" s="313">
        <f t="shared" si="51"/>
        <v>1945</v>
      </c>
      <c r="R95" s="341"/>
      <c r="S95" s="340"/>
      <c r="T95" s="666">
        <f t="shared" si="52"/>
        <v>0</v>
      </c>
      <c r="U95" s="667">
        <f t="shared" si="53"/>
        <v>0</v>
      </c>
      <c r="V95" s="341"/>
      <c r="W95" s="340"/>
      <c r="X95" s="384">
        <f t="shared" si="65"/>
        <v>0</v>
      </c>
      <c r="Y95" s="387">
        <f t="shared" si="65"/>
        <v>0</v>
      </c>
      <c r="Z95" s="535">
        <f t="shared" si="54"/>
        <v>1945</v>
      </c>
      <c r="AA95" s="666">
        <f t="shared" si="66"/>
        <v>0</v>
      </c>
      <c r="AB95" s="667">
        <f t="shared" si="66"/>
        <v>0</v>
      </c>
      <c r="AC95" s="341"/>
      <c r="AD95" s="340"/>
      <c r="AE95" s="384">
        <f t="shared" si="67"/>
        <v>0</v>
      </c>
      <c r="AF95" s="387">
        <f t="shared" si="67"/>
        <v>0</v>
      </c>
      <c r="AG95" s="535">
        <f t="shared" si="55"/>
        <v>1944</v>
      </c>
      <c r="AH95" s="1277">
        <f t="shared" si="68"/>
        <v>0</v>
      </c>
      <c r="AI95" s="1278">
        <f t="shared" si="69"/>
        <v>0</v>
      </c>
      <c r="AJ95" s="341"/>
      <c r="AK95" s="340"/>
      <c r="AL95" s="1277">
        <v>0</v>
      </c>
      <c r="AM95" s="1278">
        <v>0</v>
      </c>
      <c r="AN95" s="415">
        <f t="shared" si="56"/>
        <v>1</v>
      </c>
      <c r="AO95" s="416">
        <f t="shared" si="56"/>
        <v>1</v>
      </c>
      <c r="AP95" s="341"/>
      <c r="AQ95" s="340"/>
      <c r="AR95" s="666">
        <f t="shared" si="78"/>
        <v>0</v>
      </c>
      <c r="AS95" s="680">
        <f t="shared" si="78"/>
        <v>0</v>
      </c>
      <c r="AT95" s="384">
        <f t="shared" si="70"/>
        <v>0</v>
      </c>
      <c r="AU95" s="387">
        <f t="shared" si="70"/>
        <v>0</v>
      </c>
      <c r="AV95" s="535">
        <f t="shared" si="57"/>
        <v>1943</v>
      </c>
      <c r="AW95" s="1277">
        <f t="shared" si="71"/>
        <v>0</v>
      </c>
      <c r="AX95" s="1278">
        <f t="shared" si="72"/>
        <v>0</v>
      </c>
      <c r="AY95" s="341"/>
      <c r="AZ95" s="340"/>
      <c r="BA95" s="1277">
        <v>0</v>
      </c>
      <c r="BB95" s="1278">
        <v>0</v>
      </c>
      <c r="BC95" s="415">
        <f t="shared" si="58"/>
        <v>1</v>
      </c>
      <c r="BD95" s="416">
        <f t="shared" si="58"/>
        <v>1</v>
      </c>
      <c r="BE95" s="341"/>
      <c r="BF95" s="340"/>
      <c r="BG95" s="666">
        <f t="shared" si="79"/>
        <v>0</v>
      </c>
      <c r="BH95" s="680">
        <f t="shared" si="79"/>
        <v>0</v>
      </c>
      <c r="BI95" s="384">
        <f t="shared" si="73"/>
        <v>0</v>
      </c>
      <c r="BJ95" s="387">
        <f t="shared" si="73"/>
        <v>0</v>
      </c>
      <c r="BK95" s="535">
        <f t="shared" si="59"/>
        <v>1942</v>
      </c>
      <c r="BL95" s="1277">
        <f t="shared" si="74"/>
        <v>0</v>
      </c>
      <c r="BM95" s="1278">
        <f t="shared" si="75"/>
        <v>0</v>
      </c>
      <c r="BN95" s="341"/>
      <c r="BO95" s="340"/>
      <c r="BP95" s="1277">
        <v>0</v>
      </c>
      <c r="BQ95" s="1278">
        <v>0</v>
      </c>
      <c r="BR95" s="415">
        <f t="shared" si="60"/>
        <v>1</v>
      </c>
      <c r="BS95" s="416">
        <f t="shared" si="60"/>
        <v>1</v>
      </c>
      <c r="BT95" s="341"/>
      <c r="BU95" s="340"/>
      <c r="BV95" s="666">
        <f t="shared" si="80"/>
        <v>0</v>
      </c>
      <c r="BW95" s="680">
        <f t="shared" si="80"/>
        <v>0</v>
      </c>
      <c r="BX95" s="384">
        <f t="shared" si="76"/>
        <v>0</v>
      </c>
      <c r="BY95" s="387">
        <f t="shared" si="76"/>
        <v>0</v>
      </c>
      <c r="BZ95" s="535">
        <f t="shared" si="61"/>
        <v>1945</v>
      </c>
      <c r="CA95" s="666">
        <f t="shared" si="81"/>
        <v>0</v>
      </c>
      <c r="CB95" s="667">
        <f t="shared" si="81"/>
        <v>0</v>
      </c>
      <c r="CC95" s="666">
        <f t="shared" si="82"/>
        <v>0</v>
      </c>
      <c r="CD95" s="667">
        <f t="shared" si="82"/>
        <v>0</v>
      </c>
      <c r="CE95" s="341"/>
      <c r="CF95" s="340"/>
      <c r="CG95" s="384">
        <f t="shared" si="77"/>
        <v>0</v>
      </c>
      <c r="CH95" s="387">
        <f t="shared" si="77"/>
        <v>0</v>
      </c>
    </row>
    <row r="96" spans="2:86" ht="13.5" thickTop="1" x14ac:dyDescent="0.2">
      <c r="B96" s="276">
        <v>81</v>
      </c>
      <c r="C96" s="320">
        <f t="shared" si="62"/>
        <v>82</v>
      </c>
      <c r="D96" s="534">
        <f t="shared" si="50"/>
        <v>1944</v>
      </c>
      <c r="E96" s="337"/>
      <c r="F96" s="338"/>
      <c r="G96" s="1271">
        <v>0</v>
      </c>
      <c r="H96" s="1289">
        <v>0</v>
      </c>
      <c r="I96" s="400">
        <f t="shared" si="63"/>
        <v>0</v>
      </c>
      <c r="J96" s="401">
        <f t="shared" si="63"/>
        <v>0</v>
      </c>
      <c r="K96" s="402" cm="1">
        <f t="array" ref="K96">HE_fact_qM*INDEX(HE_MortalityLapsesCY,$C96,4)</f>
        <v>4.2541203470248534E-2</v>
      </c>
      <c r="L96" s="403" cm="1">
        <f t="array" ref="L96">HE_fact_qF*INDEX(HE_MortalityLapsesCY,$C96,5)</f>
        <v>2.7766336899727358E-2</v>
      </c>
      <c r="M96" s="404" cm="1">
        <f t="array" ref="M96">INDEX(HE_MortalityLapsesCY,$C96,5+(2*$L$7-1))</f>
        <v>1.8000674777224283E-2</v>
      </c>
      <c r="N96" s="405" cm="1">
        <f t="array" ref="N96">INDEX(HE_MortalityLapsesCY,$C96,5+2*$L$7)</f>
        <v>1.8000674777224283E-2</v>
      </c>
      <c r="O96" s="391">
        <f t="shared" si="64"/>
        <v>0.97872939826487571</v>
      </c>
      <c r="P96" s="1143">
        <f t="shared" si="64"/>
        <v>0.9861168315501363</v>
      </c>
      <c r="Q96" s="356">
        <f t="shared" si="51"/>
        <v>1944</v>
      </c>
      <c r="R96" s="337"/>
      <c r="S96" s="338"/>
      <c r="T96" s="664">
        <f t="shared" si="52"/>
        <v>0</v>
      </c>
      <c r="U96" s="665">
        <f t="shared" si="53"/>
        <v>0</v>
      </c>
      <c r="V96" s="337"/>
      <c r="W96" s="338"/>
      <c r="X96" s="383">
        <f t="shared" si="65"/>
        <v>0</v>
      </c>
      <c r="Y96" s="386">
        <f t="shared" si="65"/>
        <v>0</v>
      </c>
      <c r="Z96" s="534">
        <f t="shared" si="54"/>
        <v>1944</v>
      </c>
      <c r="AA96" s="664">
        <f t="shared" si="66"/>
        <v>0</v>
      </c>
      <c r="AB96" s="665">
        <f t="shared" si="66"/>
        <v>0</v>
      </c>
      <c r="AC96" s="337"/>
      <c r="AD96" s="338"/>
      <c r="AE96" s="383">
        <f t="shared" si="67"/>
        <v>0</v>
      </c>
      <c r="AF96" s="386">
        <f t="shared" si="67"/>
        <v>0</v>
      </c>
      <c r="AG96" s="534">
        <f t="shared" si="55"/>
        <v>1943</v>
      </c>
      <c r="AH96" s="1271">
        <f t="shared" si="68"/>
        <v>0</v>
      </c>
      <c r="AI96" s="1276">
        <f t="shared" si="69"/>
        <v>0</v>
      </c>
      <c r="AJ96" s="337"/>
      <c r="AK96" s="338"/>
      <c r="AL96" s="1271">
        <v>0</v>
      </c>
      <c r="AM96" s="1276">
        <v>0</v>
      </c>
      <c r="AN96" s="414">
        <f t="shared" si="56"/>
        <v>1</v>
      </c>
      <c r="AO96" s="413">
        <f t="shared" si="56"/>
        <v>1</v>
      </c>
      <c r="AP96" s="337"/>
      <c r="AQ96" s="338"/>
      <c r="AR96" s="664">
        <f t="shared" si="78"/>
        <v>0</v>
      </c>
      <c r="AS96" s="679">
        <f t="shared" si="78"/>
        <v>0</v>
      </c>
      <c r="AT96" s="383">
        <f t="shared" si="70"/>
        <v>0</v>
      </c>
      <c r="AU96" s="386">
        <f t="shared" si="70"/>
        <v>0</v>
      </c>
      <c r="AV96" s="534">
        <f t="shared" si="57"/>
        <v>1942</v>
      </c>
      <c r="AW96" s="1271">
        <f t="shared" si="71"/>
        <v>0</v>
      </c>
      <c r="AX96" s="1276">
        <f t="shared" si="72"/>
        <v>0</v>
      </c>
      <c r="AY96" s="337"/>
      <c r="AZ96" s="338"/>
      <c r="BA96" s="1271">
        <v>0</v>
      </c>
      <c r="BB96" s="1276">
        <v>0</v>
      </c>
      <c r="BC96" s="414">
        <f t="shared" si="58"/>
        <v>1</v>
      </c>
      <c r="BD96" s="413">
        <f t="shared" si="58"/>
        <v>1</v>
      </c>
      <c r="BE96" s="337"/>
      <c r="BF96" s="338"/>
      <c r="BG96" s="664">
        <f t="shared" si="79"/>
        <v>0</v>
      </c>
      <c r="BH96" s="679">
        <f t="shared" si="79"/>
        <v>0</v>
      </c>
      <c r="BI96" s="383">
        <f t="shared" si="73"/>
        <v>0</v>
      </c>
      <c r="BJ96" s="386">
        <f t="shared" si="73"/>
        <v>0</v>
      </c>
      <c r="BK96" s="534">
        <f t="shared" si="59"/>
        <v>1941</v>
      </c>
      <c r="BL96" s="1271">
        <f t="shared" si="74"/>
        <v>0</v>
      </c>
      <c r="BM96" s="1276">
        <f t="shared" si="75"/>
        <v>0</v>
      </c>
      <c r="BN96" s="337"/>
      <c r="BO96" s="338"/>
      <c r="BP96" s="1271">
        <v>0</v>
      </c>
      <c r="BQ96" s="1276">
        <v>0</v>
      </c>
      <c r="BR96" s="414">
        <f t="shared" si="60"/>
        <v>1</v>
      </c>
      <c r="BS96" s="413">
        <f t="shared" si="60"/>
        <v>1</v>
      </c>
      <c r="BT96" s="337"/>
      <c r="BU96" s="338"/>
      <c r="BV96" s="664">
        <f t="shared" si="80"/>
        <v>0</v>
      </c>
      <c r="BW96" s="679">
        <f t="shared" si="80"/>
        <v>0</v>
      </c>
      <c r="BX96" s="383">
        <f t="shared" si="76"/>
        <v>0</v>
      </c>
      <c r="BY96" s="386">
        <f t="shared" si="76"/>
        <v>0</v>
      </c>
      <c r="BZ96" s="534">
        <f t="shared" si="61"/>
        <v>1944</v>
      </c>
      <c r="CA96" s="664">
        <f t="shared" si="81"/>
        <v>0</v>
      </c>
      <c r="CB96" s="665">
        <f t="shared" si="81"/>
        <v>0</v>
      </c>
      <c r="CC96" s="664">
        <f t="shared" si="82"/>
        <v>0</v>
      </c>
      <c r="CD96" s="665">
        <f t="shared" si="82"/>
        <v>0</v>
      </c>
      <c r="CE96" s="337"/>
      <c r="CF96" s="338"/>
      <c r="CG96" s="383">
        <f t="shared" si="77"/>
        <v>0</v>
      </c>
      <c r="CH96" s="386">
        <f t="shared" si="77"/>
        <v>0</v>
      </c>
    </row>
    <row r="97" spans="2:86" x14ac:dyDescent="0.2">
      <c r="B97" s="276">
        <v>82</v>
      </c>
      <c r="C97" s="320">
        <f t="shared" si="62"/>
        <v>83</v>
      </c>
      <c r="D97" s="534">
        <f t="shared" si="50"/>
        <v>1943</v>
      </c>
      <c r="E97" s="337"/>
      <c r="F97" s="338"/>
      <c r="G97" s="1271">
        <v>0</v>
      </c>
      <c r="H97" s="1289">
        <v>0</v>
      </c>
      <c r="I97" s="400">
        <f t="shared" si="63"/>
        <v>0</v>
      </c>
      <c r="J97" s="401">
        <f t="shared" si="63"/>
        <v>0</v>
      </c>
      <c r="K97" s="402" cm="1">
        <f t="array" ref="K97">HE_fact_qM*INDEX(HE_MortalityLapsesCY,$C97,4)</f>
        <v>4.8108257957449524E-2</v>
      </c>
      <c r="L97" s="403" cm="1">
        <f t="array" ref="L97">HE_fact_qF*INDEX(HE_MortalityLapsesCY,$C97,5)</f>
        <v>3.1857647612827E-2</v>
      </c>
      <c r="M97" s="404" cm="1">
        <f t="array" ref="M97">INDEX(HE_MortalityLapsesCY,$C97,5+(2*$L$7-1))</f>
        <v>1.8209955058085304E-2</v>
      </c>
      <c r="N97" s="405" cm="1">
        <f t="array" ref="N97">INDEX(HE_MortalityLapsesCY,$C97,5+2*$L$7)</f>
        <v>1.8209955058085304E-2</v>
      </c>
      <c r="O97" s="391">
        <f t="shared" si="64"/>
        <v>0.97594587102127517</v>
      </c>
      <c r="P97" s="1143">
        <f t="shared" si="64"/>
        <v>0.98407117619358653</v>
      </c>
      <c r="Q97" s="356">
        <f t="shared" si="51"/>
        <v>1943</v>
      </c>
      <c r="R97" s="337"/>
      <c r="S97" s="338"/>
      <c r="T97" s="664">
        <f t="shared" si="52"/>
        <v>0</v>
      </c>
      <c r="U97" s="665">
        <f t="shared" si="53"/>
        <v>0</v>
      </c>
      <c r="V97" s="337"/>
      <c r="W97" s="338"/>
      <c r="X97" s="383">
        <f t="shared" si="65"/>
        <v>0</v>
      </c>
      <c r="Y97" s="386">
        <f t="shared" si="65"/>
        <v>0</v>
      </c>
      <c r="Z97" s="534">
        <f t="shared" si="54"/>
        <v>1943</v>
      </c>
      <c r="AA97" s="664">
        <f t="shared" si="66"/>
        <v>0</v>
      </c>
      <c r="AB97" s="665">
        <f t="shared" si="66"/>
        <v>0</v>
      </c>
      <c r="AC97" s="337"/>
      <c r="AD97" s="338"/>
      <c r="AE97" s="383">
        <f t="shared" si="67"/>
        <v>0</v>
      </c>
      <c r="AF97" s="386">
        <f t="shared" si="67"/>
        <v>0</v>
      </c>
      <c r="AG97" s="534">
        <f t="shared" si="55"/>
        <v>1942</v>
      </c>
      <c r="AH97" s="1271">
        <f t="shared" si="68"/>
        <v>0</v>
      </c>
      <c r="AI97" s="1276">
        <f t="shared" si="69"/>
        <v>0</v>
      </c>
      <c r="AJ97" s="337"/>
      <c r="AK97" s="338"/>
      <c r="AL97" s="1271">
        <v>0</v>
      </c>
      <c r="AM97" s="1276">
        <v>0</v>
      </c>
      <c r="AN97" s="414">
        <f t="shared" si="56"/>
        <v>1</v>
      </c>
      <c r="AO97" s="413">
        <f t="shared" si="56"/>
        <v>1</v>
      </c>
      <c r="AP97" s="337"/>
      <c r="AQ97" s="338"/>
      <c r="AR97" s="664">
        <f t="shared" si="78"/>
        <v>0</v>
      </c>
      <c r="AS97" s="679">
        <f t="shared" si="78"/>
        <v>0</v>
      </c>
      <c r="AT97" s="383">
        <f t="shared" si="70"/>
        <v>0</v>
      </c>
      <c r="AU97" s="386">
        <f t="shared" si="70"/>
        <v>0</v>
      </c>
      <c r="AV97" s="534">
        <f t="shared" si="57"/>
        <v>1941</v>
      </c>
      <c r="AW97" s="1271">
        <f t="shared" si="71"/>
        <v>0</v>
      </c>
      <c r="AX97" s="1276">
        <f t="shared" si="72"/>
        <v>0</v>
      </c>
      <c r="AY97" s="337"/>
      <c r="AZ97" s="338"/>
      <c r="BA97" s="1271">
        <v>0</v>
      </c>
      <c r="BB97" s="1276">
        <v>0</v>
      </c>
      <c r="BC97" s="414">
        <f t="shared" si="58"/>
        <v>1</v>
      </c>
      <c r="BD97" s="413">
        <f t="shared" si="58"/>
        <v>1</v>
      </c>
      <c r="BE97" s="337"/>
      <c r="BF97" s="338"/>
      <c r="BG97" s="664">
        <f t="shared" si="79"/>
        <v>0</v>
      </c>
      <c r="BH97" s="679">
        <f t="shared" si="79"/>
        <v>0</v>
      </c>
      <c r="BI97" s="383">
        <f t="shared" si="73"/>
        <v>0</v>
      </c>
      <c r="BJ97" s="386">
        <f t="shared" si="73"/>
        <v>0</v>
      </c>
      <c r="BK97" s="534">
        <f t="shared" si="59"/>
        <v>1940</v>
      </c>
      <c r="BL97" s="1271">
        <f t="shared" si="74"/>
        <v>0</v>
      </c>
      <c r="BM97" s="1276">
        <f t="shared" si="75"/>
        <v>0</v>
      </c>
      <c r="BN97" s="337"/>
      <c r="BO97" s="338"/>
      <c r="BP97" s="1271">
        <v>0</v>
      </c>
      <c r="BQ97" s="1276">
        <v>0</v>
      </c>
      <c r="BR97" s="414">
        <f t="shared" si="60"/>
        <v>1</v>
      </c>
      <c r="BS97" s="413">
        <f t="shared" si="60"/>
        <v>1</v>
      </c>
      <c r="BT97" s="337"/>
      <c r="BU97" s="338"/>
      <c r="BV97" s="664">
        <f t="shared" si="80"/>
        <v>0</v>
      </c>
      <c r="BW97" s="679">
        <f t="shared" si="80"/>
        <v>0</v>
      </c>
      <c r="BX97" s="383">
        <f t="shared" si="76"/>
        <v>0</v>
      </c>
      <c r="BY97" s="386">
        <f t="shared" si="76"/>
        <v>0</v>
      </c>
      <c r="BZ97" s="534">
        <f t="shared" si="61"/>
        <v>1943</v>
      </c>
      <c r="CA97" s="664">
        <f t="shared" si="81"/>
        <v>0</v>
      </c>
      <c r="CB97" s="665">
        <f t="shared" si="81"/>
        <v>0</v>
      </c>
      <c r="CC97" s="664">
        <f t="shared" si="82"/>
        <v>0</v>
      </c>
      <c r="CD97" s="665">
        <f t="shared" si="82"/>
        <v>0</v>
      </c>
      <c r="CE97" s="337"/>
      <c r="CF97" s="338"/>
      <c r="CG97" s="383">
        <f t="shared" si="77"/>
        <v>0</v>
      </c>
      <c r="CH97" s="386">
        <f t="shared" si="77"/>
        <v>0</v>
      </c>
    </row>
    <row r="98" spans="2:86" x14ac:dyDescent="0.2">
      <c r="B98" s="276">
        <v>83</v>
      </c>
      <c r="C98" s="320">
        <f t="shared" si="62"/>
        <v>84</v>
      </c>
      <c r="D98" s="534">
        <f t="shared" si="50"/>
        <v>1942</v>
      </c>
      <c r="E98" s="337"/>
      <c r="F98" s="338"/>
      <c r="G98" s="1271">
        <v>0</v>
      </c>
      <c r="H98" s="1289">
        <v>0</v>
      </c>
      <c r="I98" s="400">
        <f t="shared" si="63"/>
        <v>0</v>
      </c>
      <c r="J98" s="401">
        <f t="shared" si="63"/>
        <v>0</v>
      </c>
      <c r="K98" s="402" cm="1">
        <f t="array" ref="K98">HE_fact_qM*INDEX(HE_MortalityLapsesCY,$C98,4)</f>
        <v>5.4551608855905813E-2</v>
      </c>
      <c r="L98" s="403" cm="1">
        <f t="array" ref="L98">HE_fact_qF*INDEX(HE_MortalityLapsesCY,$C98,5)</f>
        <v>3.6727582353382457E-2</v>
      </c>
      <c r="M98" s="404" cm="1">
        <f t="array" ref="M98">INDEX(HE_MortalityLapsesCY,$C98,5+(2*$L$7-1))</f>
        <v>1.7647325681622285E-2</v>
      </c>
      <c r="N98" s="405" cm="1">
        <f t="array" ref="N98">INDEX(HE_MortalityLapsesCY,$C98,5+2*$L$7)</f>
        <v>1.7647325681622285E-2</v>
      </c>
      <c r="O98" s="391">
        <f t="shared" si="64"/>
        <v>0.97272419557204715</v>
      </c>
      <c r="P98" s="1143">
        <f t="shared" si="64"/>
        <v>0.98163620882330882</v>
      </c>
      <c r="Q98" s="356">
        <f t="shared" si="51"/>
        <v>1942</v>
      </c>
      <c r="R98" s="337"/>
      <c r="S98" s="338"/>
      <c r="T98" s="664">
        <f t="shared" si="52"/>
        <v>0</v>
      </c>
      <c r="U98" s="665">
        <f t="shared" si="53"/>
        <v>0</v>
      </c>
      <c r="V98" s="337"/>
      <c r="W98" s="338"/>
      <c r="X98" s="383">
        <f t="shared" si="65"/>
        <v>0</v>
      </c>
      <c r="Y98" s="386">
        <f t="shared" si="65"/>
        <v>0</v>
      </c>
      <c r="Z98" s="534">
        <f t="shared" si="54"/>
        <v>1942</v>
      </c>
      <c r="AA98" s="664">
        <f t="shared" si="66"/>
        <v>0</v>
      </c>
      <c r="AB98" s="665">
        <f t="shared" si="66"/>
        <v>0</v>
      </c>
      <c r="AC98" s="337"/>
      <c r="AD98" s="338"/>
      <c r="AE98" s="383">
        <f t="shared" si="67"/>
        <v>0</v>
      </c>
      <c r="AF98" s="386">
        <f t="shared" si="67"/>
        <v>0</v>
      </c>
      <c r="AG98" s="534">
        <f t="shared" si="55"/>
        <v>1941</v>
      </c>
      <c r="AH98" s="1271">
        <f t="shared" si="68"/>
        <v>0</v>
      </c>
      <c r="AI98" s="1276">
        <f t="shared" si="69"/>
        <v>0</v>
      </c>
      <c r="AJ98" s="337"/>
      <c r="AK98" s="338"/>
      <c r="AL98" s="1271">
        <v>0</v>
      </c>
      <c r="AM98" s="1276">
        <v>0</v>
      </c>
      <c r="AN98" s="414">
        <f t="shared" si="56"/>
        <v>1</v>
      </c>
      <c r="AO98" s="413">
        <f t="shared" si="56"/>
        <v>1</v>
      </c>
      <c r="AP98" s="337"/>
      <c r="AQ98" s="338"/>
      <c r="AR98" s="664">
        <f t="shared" si="78"/>
        <v>0</v>
      </c>
      <c r="AS98" s="679">
        <f t="shared" si="78"/>
        <v>0</v>
      </c>
      <c r="AT98" s="383">
        <f t="shared" si="70"/>
        <v>0</v>
      </c>
      <c r="AU98" s="386">
        <f t="shared" si="70"/>
        <v>0</v>
      </c>
      <c r="AV98" s="534">
        <f t="shared" si="57"/>
        <v>1940</v>
      </c>
      <c r="AW98" s="1271">
        <f t="shared" si="71"/>
        <v>0</v>
      </c>
      <c r="AX98" s="1276">
        <f t="shared" si="72"/>
        <v>0</v>
      </c>
      <c r="AY98" s="337"/>
      <c r="AZ98" s="338"/>
      <c r="BA98" s="1271">
        <v>0</v>
      </c>
      <c r="BB98" s="1276">
        <v>0</v>
      </c>
      <c r="BC98" s="414">
        <f t="shared" si="58"/>
        <v>1</v>
      </c>
      <c r="BD98" s="413">
        <f t="shared" si="58"/>
        <v>1</v>
      </c>
      <c r="BE98" s="337"/>
      <c r="BF98" s="338"/>
      <c r="BG98" s="664">
        <f t="shared" si="79"/>
        <v>0</v>
      </c>
      <c r="BH98" s="679">
        <f t="shared" si="79"/>
        <v>0</v>
      </c>
      <c r="BI98" s="383">
        <f t="shared" si="73"/>
        <v>0</v>
      </c>
      <c r="BJ98" s="386">
        <f t="shared" si="73"/>
        <v>0</v>
      </c>
      <c r="BK98" s="534">
        <f t="shared" si="59"/>
        <v>1939</v>
      </c>
      <c r="BL98" s="1271">
        <f t="shared" si="74"/>
        <v>0</v>
      </c>
      <c r="BM98" s="1276">
        <f t="shared" si="75"/>
        <v>0</v>
      </c>
      <c r="BN98" s="337"/>
      <c r="BO98" s="338"/>
      <c r="BP98" s="1271">
        <v>0</v>
      </c>
      <c r="BQ98" s="1276">
        <v>0</v>
      </c>
      <c r="BR98" s="414">
        <f t="shared" si="60"/>
        <v>1</v>
      </c>
      <c r="BS98" s="413">
        <f t="shared" si="60"/>
        <v>1</v>
      </c>
      <c r="BT98" s="337"/>
      <c r="BU98" s="338"/>
      <c r="BV98" s="664">
        <f t="shared" si="80"/>
        <v>0</v>
      </c>
      <c r="BW98" s="679">
        <f t="shared" si="80"/>
        <v>0</v>
      </c>
      <c r="BX98" s="383">
        <f t="shared" si="76"/>
        <v>0</v>
      </c>
      <c r="BY98" s="386">
        <f t="shared" si="76"/>
        <v>0</v>
      </c>
      <c r="BZ98" s="534">
        <f t="shared" si="61"/>
        <v>1942</v>
      </c>
      <c r="CA98" s="664">
        <f t="shared" si="81"/>
        <v>0</v>
      </c>
      <c r="CB98" s="665">
        <f t="shared" si="81"/>
        <v>0</v>
      </c>
      <c r="CC98" s="664">
        <f t="shared" si="82"/>
        <v>0</v>
      </c>
      <c r="CD98" s="665">
        <f t="shared" si="82"/>
        <v>0</v>
      </c>
      <c r="CE98" s="337"/>
      <c r="CF98" s="338"/>
      <c r="CG98" s="383">
        <f t="shared" si="77"/>
        <v>0</v>
      </c>
      <c r="CH98" s="386">
        <f t="shared" si="77"/>
        <v>0</v>
      </c>
    </row>
    <row r="99" spans="2:86" x14ac:dyDescent="0.2">
      <c r="B99" s="276">
        <v>84</v>
      </c>
      <c r="C99" s="320">
        <f t="shared" si="62"/>
        <v>85</v>
      </c>
      <c r="D99" s="534">
        <f t="shared" si="50"/>
        <v>1941</v>
      </c>
      <c r="E99" s="337"/>
      <c r="F99" s="338"/>
      <c r="G99" s="1271">
        <v>0</v>
      </c>
      <c r="H99" s="1289">
        <v>0</v>
      </c>
      <c r="I99" s="400">
        <f t="shared" si="63"/>
        <v>0</v>
      </c>
      <c r="J99" s="401">
        <f t="shared" si="63"/>
        <v>0</v>
      </c>
      <c r="K99" s="402" cm="1">
        <f t="array" ref="K99">HE_fact_qM*INDEX(HE_MortalityLapsesCY,$C99,4)</f>
        <v>6.2023340552185814E-2</v>
      </c>
      <c r="L99" s="403" cm="1">
        <f t="array" ref="L99">HE_fact_qF*INDEX(HE_MortalityLapsesCY,$C99,5)</f>
        <v>4.2552541118158281E-2</v>
      </c>
      <c r="M99" s="404" cm="1">
        <f t="array" ref="M99">INDEX(HE_MortalityLapsesCY,$C99,5+(2*$L$7-1))</f>
        <v>1.8842001962708538E-2</v>
      </c>
      <c r="N99" s="405" cm="1">
        <f t="array" ref="N99">INDEX(HE_MortalityLapsesCY,$C99,5+2*$L$7)</f>
        <v>1.8842001962708538E-2</v>
      </c>
      <c r="O99" s="391">
        <f t="shared" si="64"/>
        <v>0.96898832972390703</v>
      </c>
      <c r="P99" s="1143">
        <f t="shared" si="64"/>
        <v>0.97872372944092079</v>
      </c>
      <c r="Q99" s="356">
        <f t="shared" si="51"/>
        <v>1941</v>
      </c>
      <c r="R99" s="337"/>
      <c r="S99" s="338"/>
      <c r="T99" s="664">
        <f t="shared" si="52"/>
        <v>0</v>
      </c>
      <c r="U99" s="665">
        <f t="shared" si="53"/>
        <v>0</v>
      </c>
      <c r="V99" s="337"/>
      <c r="W99" s="338"/>
      <c r="X99" s="383">
        <f t="shared" si="65"/>
        <v>0</v>
      </c>
      <c r="Y99" s="386">
        <f t="shared" si="65"/>
        <v>0</v>
      </c>
      <c r="Z99" s="534">
        <f t="shared" si="54"/>
        <v>1941</v>
      </c>
      <c r="AA99" s="664">
        <f t="shared" si="66"/>
        <v>0</v>
      </c>
      <c r="AB99" s="665">
        <f t="shared" si="66"/>
        <v>0</v>
      </c>
      <c r="AC99" s="337"/>
      <c r="AD99" s="338"/>
      <c r="AE99" s="383">
        <f t="shared" si="67"/>
        <v>0</v>
      </c>
      <c r="AF99" s="386">
        <f t="shared" si="67"/>
        <v>0</v>
      </c>
      <c r="AG99" s="534">
        <f t="shared" si="55"/>
        <v>1940</v>
      </c>
      <c r="AH99" s="1271">
        <f t="shared" si="68"/>
        <v>0</v>
      </c>
      <c r="AI99" s="1276">
        <f t="shared" si="69"/>
        <v>0</v>
      </c>
      <c r="AJ99" s="337"/>
      <c r="AK99" s="338"/>
      <c r="AL99" s="1271">
        <v>0</v>
      </c>
      <c r="AM99" s="1276">
        <v>0</v>
      </c>
      <c r="AN99" s="414">
        <f t="shared" si="56"/>
        <v>1</v>
      </c>
      <c r="AO99" s="413">
        <f t="shared" si="56"/>
        <v>1</v>
      </c>
      <c r="AP99" s="337"/>
      <c r="AQ99" s="338"/>
      <c r="AR99" s="664">
        <f t="shared" si="78"/>
        <v>0</v>
      </c>
      <c r="AS99" s="679">
        <f t="shared" si="78"/>
        <v>0</v>
      </c>
      <c r="AT99" s="383">
        <f t="shared" si="70"/>
        <v>0</v>
      </c>
      <c r="AU99" s="386">
        <f t="shared" si="70"/>
        <v>0</v>
      </c>
      <c r="AV99" s="534">
        <f t="shared" si="57"/>
        <v>1939</v>
      </c>
      <c r="AW99" s="1271">
        <f t="shared" si="71"/>
        <v>0</v>
      </c>
      <c r="AX99" s="1276">
        <f t="shared" si="72"/>
        <v>0</v>
      </c>
      <c r="AY99" s="337"/>
      <c r="AZ99" s="338"/>
      <c r="BA99" s="1271">
        <v>0</v>
      </c>
      <c r="BB99" s="1276">
        <v>0</v>
      </c>
      <c r="BC99" s="414">
        <f t="shared" si="58"/>
        <v>1</v>
      </c>
      <c r="BD99" s="413">
        <f t="shared" si="58"/>
        <v>1</v>
      </c>
      <c r="BE99" s="337"/>
      <c r="BF99" s="338"/>
      <c r="BG99" s="664">
        <f t="shared" si="79"/>
        <v>0</v>
      </c>
      <c r="BH99" s="679">
        <f t="shared" si="79"/>
        <v>0</v>
      </c>
      <c r="BI99" s="383">
        <f t="shared" si="73"/>
        <v>0</v>
      </c>
      <c r="BJ99" s="386">
        <f t="shared" si="73"/>
        <v>0</v>
      </c>
      <c r="BK99" s="534">
        <f t="shared" si="59"/>
        <v>1938</v>
      </c>
      <c r="BL99" s="1271">
        <f t="shared" si="74"/>
        <v>0</v>
      </c>
      <c r="BM99" s="1276">
        <f t="shared" si="75"/>
        <v>0</v>
      </c>
      <c r="BN99" s="337"/>
      <c r="BO99" s="338"/>
      <c r="BP99" s="1271">
        <v>0</v>
      </c>
      <c r="BQ99" s="1276">
        <v>0</v>
      </c>
      <c r="BR99" s="414">
        <f t="shared" si="60"/>
        <v>1</v>
      </c>
      <c r="BS99" s="413">
        <f t="shared" si="60"/>
        <v>1</v>
      </c>
      <c r="BT99" s="337"/>
      <c r="BU99" s="338"/>
      <c r="BV99" s="664">
        <f t="shared" si="80"/>
        <v>0</v>
      </c>
      <c r="BW99" s="679">
        <f t="shared" si="80"/>
        <v>0</v>
      </c>
      <c r="BX99" s="383">
        <f t="shared" si="76"/>
        <v>0</v>
      </c>
      <c r="BY99" s="386">
        <f t="shared" si="76"/>
        <v>0</v>
      </c>
      <c r="BZ99" s="534">
        <f t="shared" si="61"/>
        <v>1941</v>
      </c>
      <c r="CA99" s="664">
        <f t="shared" si="81"/>
        <v>0</v>
      </c>
      <c r="CB99" s="665">
        <f t="shared" si="81"/>
        <v>0</v>
      </c>
      <c r="CC99" s="664">
        <f t="shared" si="82"/>
        <v>0</v>
      </c>
      <c r="CD99" s="665">
        <f t="shared" si="82"/>
        <v>0</v>
      </c>
      <c r="CE99" s="337"/>
      <c r="CF99" s="338"/>
      <c r="CG99" s="383">
        <f t="shared" si="77"/>
        <v>0</v>
      </c>
      <c r="CH99" s="386">
        <f t="shared" si="77"/>
        <v>0</v>
      </c>
    </row>
    <row r="100" spans="2:86" ht="13.5" thickBot="1" x14ac:dyDescent="0.25">
      <c r="B100" s="313">
        <v>85</v>
      </c>
      <c r="C100" s="321">
        <f t="shared" si="62"/>
        <v>86</v>
      </c>
      <c r="D100" s="535">
        <f t="shared" si="50"/>
        <v>1940</v>
      </c>
      <c r="E100" s="341"/>
      <c r="F100" s="340"/>
      <c r="G100" s="1277">
        <v>0</v>
      </c>
      <c r="H100" s="1290">
        <v>0</v>
      </c>
      <c r="I100" s="406">
        <f t="shared" si="63"/>
        <v>0</v>
      </c>
      <c r="J100" s="407">
        <f t="shared" si="63"/>
        <v>0</v>
      </c>
      <c r="K100" s="408" cm="1">
        <f t="array" ref="K100">HE_fact_qM*INDEX(HE_MortalityLapsesCY,$C100,4)</f>
        <v>7.0674165090972463E-2</v>
      </c>
      <c r="L100" s="409" cm="1">
        <f t="array" ref="L100">HE_fact_qF*INDEX(HE_MortalityLapsesCY,$C100,5)</f>
        <v>4.9510031593217776E-2</v>
      </c>
      <c r="M100" s="410" cm="1">
        <f t="array" ref="M100">INDEX(HE_MortalityLapsesCY,$C100,5+(2*$L$7-1))</f>
        <v>1.9813084112149534E-2</v>
      </c>
      <c r="N100" s="411" cm="1">
        <f t="array" ref="N100">INDEX(HE_MortalityLapsesCY,$C100,5+2*$L$7)</f>
        <v>1.9813084112149534E-2</v>
      </c>
      <c r="O100" s="392">
        <f t="shared" si="64"/>
        <v>0.96466291745451382</v>
      </c>
      <c r="P100" s="1144">
        <f t="shared" si="64"/>
        <v>0.97524498420339112</v>
      </c>
      <c r="Q100" s="313">
        <f t="shared" si="51"/>
        <v>1940</v>
      </c>
      <c r="R100" s="341"/>
      <c r="S100" s="340"/>
      <c r="T100" s="666">
        <f t="shared" si="52"/>
        <v>0</v>
      </c>
      <c r="U100" s="667">
        <f t="shared" si="53"/>
        <v>0</v>
      </c>
      <c r="V100" s="341"/>
      <c r="W100" s="340"/>
      <c r="X100" s="384">
        <f t="shared" si="65"/>
        <v>0</v>
      </c>
      <c r="Y100" s="387">
        <f t="shared" si="65"/>
        <v>0</v>
      </c>
      <c r="Z100" s="535">
        <f t="shared" si="54"/>
        <v>1940</v>
      </c>
      <c r="AA100" s="666">
        <f t="shared" si="66"/>
        <v>0</v>
      </c>
      <c r="AB100" s="667">
        <f t="shared" si="66"/>
        <v>0</v>
      </c>
      <c r="AC100" s="341"/>
      <c r="AD100" s="340"/>
      <c r="AE100" s="384">
        <f t="shared" si="67"/>
        <v>0</v>
      </c>
      <c r="AF100" s="387">
        <f t="shared" si="67"/>
        <v>0</v>
      </c>
      <c r="AG100" s="535">
        <f t="shared" si="55"/>
        <v>1939</v>
      </c>
      <c r="AH100" s="1277">
        <f t="shared" si="68"/>
        <v>0</v>
      </c>
      <c r="AI100" s="1278">
        <f t="shared" si="69"/>
        <v>0</v>
      </c>
      <c r="AJ100" s="341"/>
      <c r="AK100" s="340"/>
      <c r="AL100" s="1277">
        <v>0</v>
      </c>
      <c r="AM100" s="1278">
        <v>0</v>
      </c>
      <c r="AN100" s="415">
        <f t="shared" si="56"/>
        <v>1</v>
      </c>
      <c r="AO100" s="416">
        <f t="shared" si="56"/>
        <v>1</v>
      </c>
      <c r="AP100" s="341"/>
      <c r="AQ100" s="340"/>
      <c r="AR100" s="666">
        <f t="shared" si="78"/>
        <v>0</v>
      </c>
      <c r="AS100" s="680">
        <f t="shared" si="78"/>
        <v>0</v>
      </c>
      <c r="AT100" s="384">
        <f t="shared" si="70"/>
        <v>0</v>
      </c>
      <c r="AU100" s="387">
        <f t="shared" si="70"/>
        <v>0</v>
      </c>
      <c r="AV100" s="535">
        <f t="shared" si="57"/>
        <v>1938</v>
      </c>
      <c r="AW100" s="1277">
        <f t="shared" si="71"/>
        <v>0</v>
      </c>
      <c r="AX100" s="1278">
        <f t="shared" si="72"/>
        <v>0</v>
      </c>
      <c r="AY100" s="341"/>
      <c r="AZ100" s="340"/>
      <c r="BA100" s="1277">
        <v>0</v>
      </c>
      <c r="BB100" s="1278">
        <v>0</v>
      </c>
      <c r="BC100" s="415">
        <f t="shared" si="58"/>
        <v>1</v>
      </c>
      <c r="BD100" s="416">
        <f t="shared" si="58"/>
        <v>1</v>
      </c>
      <c r="BE100" s="341"/>
      <c r="BF100" s="340"/>
      <c r="BG100" s="666">
        <f t="shared" si="79"/>
        <v>0</v>
      </c>
      <c r="BH100" s="680">
        <f t="shared" si="79"/>
        <v>0</v>
      </c>
      <c r="BI100" s="384">
        <f t="shared" si="73"/>
        <v>0</v>
      </c>
      <c r="BJ100" s="387">
        <f t="shared" si="73"/>
        <v>0</v>
      </c>
      <c r="BK100" s="535">
        <f t="shared" si="59"/>
        <v>1937</v>
      </c>
      <c r="BL100" s="1277">
        <f t="shared" si="74"/>
        <v>0</v>
      </c>
      <c r="BM100" s="1278">
        <f t="shared" si="75"/>
        <v>0</v>
      </c>
      <c r="BN100" s="341"/>
      <c r="BO100" s="340"/>
      <c r="BP100" s="1277">
        <v>0</v>
      </c>
      <c r="BQ100" s="1278">
        <v>0</v>
      </c>
      <c r="BR100" s="415">
        <f t="shared" si="60"/>
        <v>1</v>
      </c>
      <c r="BS100" s="416">
        <f t="shared" si="60"/>
        <v>1</v>
      </c>
      <c r="BT100" s="341"/>
      <c r="BU100" s="340"/>
      <c r="BV100" s="666">
        <f t="shared" si="80"/>
        <v>0</v>
      </c>
      <c r="BW100" s="680">
        <f t="shared" si="80"/>
        <v>0</v>
      </c>
      <c r="BX100" s="384">
        <f t="shared" si="76"/>
        <v>0</v>
      </c>
      <c r="BY100" s="387">
        <f t="shared" si="76"/>
        <v>0</v>
      </c>
      <c r="BZ100" s="535">
        <f t="shared" si="61"/>
        <v>1940</v>
      </c>
      <c r="CA100" s="666">
        <f t="shared" si="81"/>
        <v>0</v>
      </c>
      <c r="CB100" s="667">
        <f t="shared" si="81"/>
        <v>0</v>
      </c>
      <c r="CC100" s="666">
        <f t="shared" si="82"/>
        <v>0</v>
      </c>
      <c r="CD100" s="667">
        <f t="shared" si="82"/>
        <v>0</v>
      </c>
      <c r="CE100" s="341"/>
      <c r="CF100" s="340"/>
      <c r="CG100" s="384">
        <f t="shared" si="77"/>
        <v>0</v>
      </c>
      <c r="CH100" s="387">
        <f t="shared" si="77"/>
        <v>0</v>
      </c>
    </row>
    <row r="101" spans="2:86" ht="13.5" thickTop="1" x14ac:dyDescent="0.2">
      <c r="B101" s="276">
        <v>86</v>
      </c>
      <c r="C101" s="320">
        <f t="shared" si="62"/>
        <v>87</v>
      </c>
      <c r="D101" s="534">
        <f t="shared" si="50"/>
        <v>1939</v>
      </c>
      <c r="E101" s="337"/>
      <c r="F101" s="338"/>
      <c r="G101" s="1271">
        <v>0</v>
      </c>
      <c r="H101" s="1289">
        <v>0</v>
      </c>
      <c r="I101" s="400">
        <f t="shared" si="63"/>
        <v>0</v>
      </c>
      <c r="J101" s="401">
        <f t="shared" si="63"/>
        <v>0</v>
      </c>
      <c r="K101" s="402" cm="1">
        <f t="array" ref="K101">HE_fact_qM*INDEX(HE_MortalityLapsesCY,$C101,4)</f>
        <v>8.0639618772755481E-2</v>
      </c>
      <c r="L101" s="403" cm="1">
        <f t="array" ref="L101">HE_fact_qF*INDEX(HE_MortalityLapsesCY,$C101,5)</f>
        <v>5.7758717007708592E-2</v>
      </c>
      <c r="M101" s="404" cm="1">
        <f t="array" ref="M101">INDEX(HE_MortalityLapsesCY,$C101,5+(2*$L$7-1))</f>
        <v>1.7857142857142856E-2</v>
      </c>
      <c r="N101" s="405" cm="1">
        <f t="array" ref="N101">INDEX(HE_MortalityLapsesCY,$C101,5+2*$L$7)</f>
        <v>1.7857142857142856E-2</v>
      </c>
      <c r="O101" s="391">
        <f t="shared" si="64"/>
        <v>0.95968019061362231</v>
      </c>
      <c r="P101" s="1143">
        <f t="shared" si="64"/>
        <v>0.97112064149614574</v>
      </c>
      <c r="Q101" s="356">
        <f t="shared" si="51"/>
        <v>1939</v>
      </c>
      <c r="R101" s="337"/>
      <c r="S101" s="338"/>
      <c r="T101" s="664">
        <f t="shared" si="52"/>
        <v>0</v>
      </c>
      <c r="U101" s="665">
        <f t="shared" si="53"/>
        <v>0</v>
      </c>
      <c r="V101" s="337"/>
      <c r="W101" s="338"/>
      <c r="X101" s="383">
        <f t="shared" si="65"/>
        <v>0</v>
      </c>
      <c r="Y101" s="386">
        <f t="shared" si="65"/>
        <v>0</v>
      </c>
      <c r="Z101" s="534">
        <f t="shared" si="54"/>
        <v>1939</v>
      </c>
      <c r="AA101" s="664">
        <f t="shared" si="66"/>
        <v>0</v>
      </c>
      <c r="AB101" s="665">
        <f t="shared" si="66"/>
        <v>0</v>
      </c>
      <c r="AC101" s="337"/>
      <c r="AD101" s="338"/>
      <c r="AE101" s="383">
        <f t="shared" si="67"/>
        <v>0</v>
      </c>
      <c r="AF101" s="386">
        <f t="shared" si="67"/>
        <v>0</v>
      </c>
      <c r="AG101" s="534">
        <f t="shared" si="55"/>
        <v>1938</v>
      </c>
      <c r="AH101" s="1271">
        <f t="shared" si="68"/>
        <v>0</v>
      </c>
      <c r="AI101" s="1276">
        <f t="shared" si="69"/>
        <v>0</v>
      </c>
      <c r="AJ101" s="337"/>
      <c r="AK101" s="338"/>
      <c r="AL101" s="1271">
        <v>0</v>
      </c>
      <c r="AM101" s="1276">
        <v>0</v>
      </c>
      <c r="AN101" s="414">
        <f t="shared" si="56"/>
        <v>1</v>
      </c>
      <c r="AO101" s="413">
        <f t="shared" si="56"/>
        <v>1</v>
      </c>
      <c r="AP101" s="337"/>
      <c r="AQ101" s="338"/>
      <c r="AR101" s="664">
        <f t="shared" si="78"/>
        <v>0</v>
      </c>
      <c r="AS101" s="679">
        <f t="shared" si="78"/>
        <v>0</v>
      </c>
      <c r="AT101" s="383">
        <f t="shared" si="70"/>
        <v>0</v>
      </c>
      <c r="AU101" s="386">
        <f t="shared" si="70"/>
        <v>0</v>
      </c>
      <c r="AV101" s="534">
        <f t="shared" si="57"/>
        <v>1937</v>
      </c>
      <c r="AW101" s="1271">
        <f t="shared" si="71"/>
        <v>0</v>
      </c>
      <c r="AX101" s="1276">
        <f t="shared" si="72"/>
        <v>0</v>
      </c>
      <c r="AY101" s="337"/>
      <c r="AZ101" s="338"/>
      <c r="BA101" s="1271">
        <v>0</v>
      </c>
      <c r="BB101" s="1276">
        <v>0</v>
      </c>
      <c r="BC101" s="414">
        <f t="shared" si="58"/>
        <v>1</v>
      </c>
      <c r="BD101" s="413">
        <f t="shared" si="58"/>
        <v>1</v>
      </c>
      <c r="BE101" s="337"/>
      <c r="BF101" s="338"/>
      <c r="BG101" s="664">
        <f t="shared" si="79"/>
        <v>0</v>
      </c>
      <c r="BH101" s="679">
        <f t="shared" si="79"/>
        <v>0</v>
      </c>
      <c r="BI101" s="383">
        <f t="shared" si="73"/>
        <v>0</v>
      </c>
      <c r="BJ101" s="386">
        <f t="shared" si="73"/>
        <v>0</v>
      </c>
      <c r="BK101" s="534">
        <f t="shared" si="59"/>
        <v>1936</v>
      </c>
      <c r="BL101" s="1271">
        <f t="shared" si="74"/>
        <v>0</v>
      </c>
      <c r="BM101" s="1276">
        <f t="shared" si="75"/>
        <v>0</v>
      </c>
      <c r="BN101" s="337"/>
      <c r="BO101" s="338"/>
      <c r="BP101" s="1271">
        <v>0</v>
      </c>
      <c r="BQ101" s="1276">
        <v>0</v>
      </c>
      <c r="BR101" s="414">
        <f t="shared" si="60"/>
        <v>1</v>
      </c>
      <c r="BS101" s="413">
        <f t="shared" si="60"/>
        <v>1</v>
      </c>
      <c r="BT101" s="337"/>
      <c r="BU101" s="338"/>
      <c r="BV101" s="664">
        <f t="shared" si="80"/>
        <v>0</v>
      </c>
      <c r="BW101" s="679">
        <f t="shared" si="80"/>
        <v>0</v>
      </c>
      <c r="BX101" s="383">
        <f t="shared" si="76"/>
        <v>0</v>
      </c>
      <c r="BY101" s="386">
        <f t="shared" si="76"/>
        <v>0</v>
      </c>
      <c r="BZ101" s="534">
        <f t="shared" si="61"/>
        <v>1939</v>
      </c>
      <c r="CA101" s="664">
        <f t="shared" si="81"/>
        <v>0</v>
      </c>
      <c r="CB101" s="665">
        <f t="shared" si="81"/>
        <v>0</v>
      </c>
      <c r="CC101" s="664">
        <f t="shared" si="82"/>
        <v>0</v>
      </c>
      <c r="CD101" s="665">
        <f t="shared" si="82"/>
        <v>0</v>
      </c>
      <c r="CE101" s="337"/>
      <c r="CF101" s="338"/>
      <c r="CG101" s="383">
        <f t="shared" si="77"/>
        <v>0</v>
      </c>
      <c r="CH101" s="386">
        <f t="shared" si="77"/>
        <v>0</v>
      </c>
    </row>
    <row r="102" spans="2:86" x14ac:dyDescent="0.2">
      <c r="B102" s="276">
        <v>87</v>
      </c>
      <c r="C102" s="320">
        <f t="shared" si="62"/>
        <v>88</v>
      </c>
      <c r="D102" s="534">
        <f t="shared" si="50"/>
        <v>1938</v>
      </c>
      <c r="E102" s="337"/>
      <c r="F102" s="338"/>
      <c r="G102" s="1271">
        <v>0</v>
      </c>
      <c r="H102" s="1289">
        <v>0</v>
      </c>
      <c r="I102" s="400">
        <f t="shared" si="63"/>
        <v>0</v>
      </c>
      <c r="J102" s="401">
        <f t="shared" si="63"/>
        <v>0</v>
      </c>
      <c r="K102" s="402" cm="1">
        <f t="array" ref="K102">HE_fact_qM*INDEX(HE_MortalityLapsesCY,$C102,4)</f>
        <v>9.2045760570482263E-2</v>
      </c>
      <c r="L102" s="403" cm="1">
        <f t="array" ref="L102">HE_fact_qF*INDEX(HE_MortalityLapsesCY,$C102,5)</f>
        <v>6.7445277126151948E-2</v>
      </c>
      <c r="M102" s="404" cm="1">
        <f t="array" ref="M102">INDEX(HE_MortalityLapsesCY,$C102,5+(2*$L$7-1))</f>
        <v>1.9736412866183859E-2</v>
      </c>
      <c r="N102" s="405" cm="1">
        <f t="array" ref="N102">INDEX(HE_MortalityLapsesCY,$C102,5+2*$L$7)</f>
        <v>1.9736412866183859E-2</v>
      </c>
      <c r="O102" s="391">
        <f t="shared" si="64"/>
        <v>0.95397711971475885</v>
      </c>
      <c r="P102" s="1143">
        <f t="shared" si="64"/>
        <v>0.966277361436924</v>
      </c>
      <c r="Q102" s="356">
        <f t="shared" si="51"/>
        <v>1938</v>
      </c>
      <c r="R102" s="337"/>
      <c r="S102" s="338"/>
      <c r="T102" s="664">
        <f t="shared" si="52"/>
        <v>0</v>
      </c>
      <c r="U102" s="665">
        <f t="shared" si="53"/>
        <v>0</v>
      </c>
      <c r="V102" s="337"/>
      <c r="W102" s="338"/>
      <c r="X102" s="383">
        <f t="shared" si="65"/>
        <v>0</v>
      </c>
      <c r="Y102" s="386">
        <f t="shared" si="65"/>
        <v>0</v>
      </c>
      <c r="Z102" s="534">
        <f t="shared" si="54"/>
        <v>1938</v>
      </c>
      <c r="AA102" s="664">
        <f t="shared" si="66"/>
        <v>0</v>
      </c>
      <c r="AB102" s="665">
        <f t="shared" si="66"/>
        <v>0</v>
      </c>
      <c r="AC102" s="337"/>
      <c r="AD102" s="338"/>
      <c r="AE102" s="383">
        <f t="shared" si="67"/>
        <v>0</v>
      </c>
      <c r="AF102" s="386">
        <f t="shared" si="67"/>
        <v>0</v>
      </c>
      <c r="AG102" s="534">
        <f t="shared" si="55"/>
        <v>1937</v>
      </c>
      <c r="AH102" s="1271">
        <f t="shared" si="68"/>
        <v>0</v>
      </c>
      <c r="AI102" s="1276">
        <f t="shared" si="69"/>
        <v>0</v>
      </c>
      <c r="AJ102" s="337"/>
      <c r="AK102" s="338"/>
      <c r="AL102" s="1271">
        <v>0</v>
      </c>
      <c r="AM102" s="1276">
        <v>0</v>
      </c>
      <c r="AN102" s="414">
        <f t="shared" si="56"/>
        <v>1</v>
      </c>
      <c r="AO102" s="413">
        <f t="shared" si="56"/>
        <v>1</v>
      </c>
      <c r="AP102" s="337"/>
      <c r="AQ102" s="338"/>
      <c r="AR102" s="664">
        <f t="shared" si="78"/>
        <v>0</v>
      </c>
      <c r="AS102" s="679">
        <f t="shared" si="78"/>
        <v>0</v>
      </c>
      <c r="AT102" s="383">
        <f t="shared" si="70"/>
        <v>0</v>
      </c>
      <c r="AU102" s="386">
        <f t="shared" si="70"/>
        <v>0</v>
      </c>
      <c r="AV102" s="534">
        <f t="shared" si="57"/>
        <v>1936</v>
      </c>
      <c r="AW102" s="1271">
        <f t="shared" si="71"/>
        <v>0</v>
      </c>
      <c r="AX102" s="1276">
        <f t="shared" si="72"/>
        <v>0</v>
      </c>
      <c r="AY102" s="337"/>
      <c r="AZ102" s="338"/>
      <c r="BA102" s="1271">
        <v>0</v>
      </c>
      <c r="BB102" s="1276">
        <v>0</v>
      </c>
      <c r="BC102" s="414">
        <f t="shared" si="58"/>
        <v>1</v>
      </c>
      <c r="BD102" s="413">
        <f t="shared" si="58"/>
        <v>1</v>
      </c>
      <c r="BE102" s="337"/>
      <c r="BF102" s="338"/>
      <c r="BG102" s="664">
        <f t="shared" si="79"/>
        <v>0</v>
      </c>
      <c r="BH102" s="679">
        <f t="shared" si="79"/>
        <v>0</v>
      </c>
      <c r="BI102" s="383">
        <f t="shared" si="73"/>
        <v>0</v>
      </c>
      <c r="BJ102" s="386">
        <f t="shared" si="73"/>
        <v>0</v>
      </c>
      <c r="BK102" s="534">
        <f t="shared" si="59"/>
        <v>1935</v>
      </c>
      <c r="BL102" s="1271">
        <f t="shared" si="74"/>
        <v>0</v>
      </c>
      <c r="BM102" s="1276">
        <f t="shared" si="75"/>
        <v>0</v>
      </c>
      <c r="BN102" s="337"/>
      <c r="BO102" s="338"/>
      <c r="BP102" s="1271">
        <v>0</v>
      </c>
      <c r="BQ102" s="1276">
        <v>0</v>
      </c>
      <c r="BR102" s="414">
        <f t="shared" si="60"/>
        <v>1</v>
      </c>
      <c r="BS102" s="413">
        <f t="shared" si="60"/>
        <v>1</v>
      </c>
      <c r="BT102" s="337"/>
      <c r="BU102" s="338"/>
      <c r="BV102" s="664">
        <f t="shared" si="80"/>
        <v>0</v>
      </c>
      <c r="BW102" s="679">
        <f t="shared" si="80"/>
        <v>0</v>
      </c>
      <c r="BX102" s="383">
        <f t="shared" si="76"/>
        <v>0</v>
      </c>
      <c r="BY102" s="386">
        <f t="shared" si="76"/>
        <v>0</v>
      </c>
      <c r="BZ102" s="534">
        <f t="shared" si="61"/>
        <v>1938</v>
      </c>
      <c r="CA102" s="664">
        <f t="shared" si="81"/>
        <v>0</v>
      </c>
      <c r="CB102" s="665">
        <f t="shared" si="81"/>
        <v>0</v>
      </c>
      <c r="CC102" s="664">
        <f t="shared" si="82"/>
        <v>0</v>
      </c>
      <c r="CD102" s="665">
        <f t="shared" si="82"/>
        <v>0</v>
      </c>
      <c r="CE102" s="337"/>
      <c r="CF102" s="338"/>
      <c r="CG102" s="383">
        <f t="shared" si="77"/>
        <v>0</v>
      </c>
      <c r="CH102" s="386">
        <f t="shared" si="77"/>
        <v>0</v>
      </c>
    </row>
    <row r="103" spans="2:86" x14ac:dyDescent="0.2">
      <c r="B103" s="276">
        <v>88</v>
      </c>
      <c r="C103" s="320">
        <f t="shared" si="62"/>
        <v>89</v>
      </c>
      <c r="D103" s="534">
        <f t="shared" si="50"/>
        <v>1937</v>
      </c>
      <c r="E103" s="337"/>
      <c r="F103" s="338"/>
      <c r="G103" s="1271">
        <v>0</v>
      </c>
      <c r="H103" s="1289">
        <v>0</v>
      </c>
      <c r="I103" s="400">
        <f t="shared" si="63"/>
        <v>0</v>
      </c>
      <c r="J103" s="401">
        <f t="shared" si="63"/>
        <v>0</v>
      </c>
      <c r="K103" s="402" cm="1">
        <f t="array" ref="K103">HE_fact_qM*INDEX(HE_MortalityLapsesCY,$C103,4)</f>
        <v>0.10500340460278018</v>
      </c>
      <c r="L103" s="403" cm="1">
        <f t="array" ref="L103">HE_fact_qF*INDEX(HE_MortalityLapsesCY,$C103,5)</f>
        <v>7.8695245641633715E-2</v>
      </c>
      <c r="M103" s="404" cm="1">
        <f t="array" ref="M103">INDEX(HE_MortalityLapsesCY,$C103,5+(2*$L$7-1))</f>
        <v>1.9855595667870037E-2</v>
      </c>
      <c r="N103" s="405" cm="1">
        <f t="array" ref="N103">INDEX(HE_MortalityLapsesCY,$C103,5+2*$L$7)</f>
        <v>1.9855595667870037E-2</v>
      </c>
      <c r="O103" s="391">
        <f t="shared" si="64"/>
        <v>0.94749829769860994</v>
      </c>
      <c r="P103" s="1143">
        <f t="shared" si="64"/>
        <v>0.96065237717918317</v>
      </c>
      <c r="Q103" s="356">
        <f t="shared" si="51"/>
        <v>1937</v>
      </c>
      <c r="R103" s="337"/>
      <c r="S103" s="338"/>
      <c r="T103" s="664">
        <f t="shared" si="52"/>
        <v>0</v>
      </c>
      <c r="U103" s="665">
        <f t="shared" si="53"/>
        <v>0</v>
      </c>
      <c r="V103" s="337"/>
      <c r="W103" s="338"/>
      <c r="X103" s="383">
        <f t="shared" si="65"/>
        <v>0</v>
      </c>
      <c r="Y103" s="386">
        <f t="shared" si="65"/>
        <v>0</v>
      </c>
      <c r="Z103" s="534">
        <f t="shared" si="54"/>
        <v>1937</v>
      </c>
      <c r="AA103" s="664">
        <f t="shared" si="66"/>
        <v>0</v>
      </c>
      <c r="AB103" s="665">
        <f t="shared" si="66"/>
        <v>0</v>
      </c>
      <c r="AC103" s="337"/>
      <c r="AD103" s="338"/>
      <c r="AE103" s="383">
        <f t="shared" si="67"/>
        <v>0</v>
      </c>
      <c r="AF103" s="386">
        <f t="shared" si="67"/>
        <v>0</v>
      </c>
      <c r="AG103" s="534">
        <f t="shared" si="55"/>
        <v>1936</v>
      </c>
      <c r="AH103" s="1271">
        <f t="shared" si="68"/>
        <v>0</v>
      </c>
      <c r="AI103" s="1276">
        <f t="shared" si="69"/>
        <v>0</v>
      </c>
      <c r="AJ103" s="337"/>
      <c r="AK103" s="338"/>
      <c r="AL103" s="1271">
        <v>0</v>
      </c>
      <c r="AM103" s="1276">
        <v>0</v>
      </c>
      <c r="AN103" s="414">
        <f t="shared" si="56"/>
        <v>1</v>
      </c>
      <c r="AO103" s="413">
        <f t="shared" si="56"/>
        <v>1</v>
      </c>
      <c r="AP103" s="337"/>
      <c r="AQ103" s="338"/>
      <c r="AR103" s="664">
        <f t="shared" si="78"/>
        <v>0</v>
      </c>
      <c r="AS103" s="679">
        <f t="shared" si="78"/>
        <v>0</v>
      </c>
      <c r="AT103" s="383">
        <f t="shared" si="70"/>
        <v>0</v>
      </c>
      <c r="AU103" s="386">
        <f t="shared" si="70"/>
        <v>0</v>
      </c>
      <c r="AV103" s="534">
        <f t="shared" si="57"/>
        <v>1935</v>
      </c>
      <c r="AW103" s="1271">
        <f t="shared" si="71"/>
        <v>0</v>
      </c>
      <c r="AX103" s="1276">
        <f t="shared" si="72"/>
        <v>0</v>
      </c>
      <c r="AY103" s="337"/>
      <c r="AZ103" s="338"/>
      <c r="BA103" s="1271">
        <v>0</v>
      </c>
      <c r="BB103" s="1276">
        <v>0</v>
      </c>
      <c r="BC103" s="414">
        <f t="shared" si="58"/>
        <v>1</v>
      </c>
      <c r="BD103" s="413">
        <f t="shared" si="58"/>
        <v>1</v>
      </c>
      <c r="BE103" s="337"/>
      <c r="BF103" s="338"/>
      <c r="BG103" s="664">
        <f t="shared" si="79"/>
        <v>0</v>
      </c>
      <c r="BH103" s="679">
        <f t="shared" si="79"/>
        <v>0</v>
      </c>
      <c r="BI103" s="383">
        <f t="shared" si="73"/>
        <v>0</v>
      </c>
      <c r="BJ103" s="386">
        <f t="shared" si="73"/>
        <v>0</v>
      </c>
      <c r="BK103" s="534">
        <f t="shared" si="59"/>
        <v>1934</v>
      </c>
      <c r="BL103" s="1271">
        <f t="shared" si="74"/>
        <v>0</v>
      </c>
      <c r="BM103" s="1276">
        <f t="shared" si="75"/>
        <v>0</v>
      </c>
      <c r="BN103" s="337"/>
      <c r="BO103" s="338"/>
      <c r="BP103" s="1271">
        <v>0</v>
      </c>
      <c r="BQ103" s="1276">
        <v>0</v>
      </c>
      <c r="BR103" s="414">
        <f t="shared" si="60"/>
        <v>1</v>
      </c>
      <c r="BS103" s="413">
        <f t="shared" si="60"/>
        <v>1</v>
      </c>
      <c r="BT103" s="337"/>
      <c r="BU103" s="338"/>
      <c r="BV103" s="664">
        <f t="shared" si="80"/>
        <v>0</v>
      </c>
      <c r="BW103" s="679">
        <f t="shared" si="80"/>
        <v>0</v>
      </c>
      <c r="BX103" s="383">
        <f t="shared" si="76"/>
        <v>0</v>
      </c>
      <c r="BY103" s="386">
        <f t="shared" si="76"/>
        <v>0</v>
      </c>
      <c r="BZ103" s="534">
        <f t="shared" si="61"/>
        <v>1937</v>
      </c>
      <c r="CA103" s="664">
        <f t="shared" si="81"/>
        <v>0</v>
      </c>
      <c r="CB103" s="665">
        <f t="shared" si="81"/>
        <v>0</v>
      </c>
      <c r="CC103" s="664">
        <f t="shared" si="82"/>
        <v>0</v>
      </c>
      <c r="CD103" s="665">
        <f t="shared" si="82"/>
        <v>0</v>
      </c>
      <c r="CE103" s="337"/>
      <c r="CF103" s="338"/>
      <c r="CG103" s="383">
        <f t="shared" si="77"/>
        <v>0</v>
      </c>
      <c r="CH103" s="386">
        <f t="shared" si="77"/>
        <v>0</v>
      </c>
    </row>
    <row r="104" spans="2:86" x14ac:dyDescent="0.2">
      <c r="B104" s="276">
        <v>89</v>
      </c>
      <c r="C104" s="320">
        <f t="shared" si="62"/>
        <v>90</v>
      </c>
      <c r="D104" s="534">
        <f t="shared" si="50"/>
        <v>1936</v>
      </c>
      <c r="E104" s="337"/>
      <c r="F104" s="338"/>
      <c r="G104" s="1271">
        <v>0</v>
      </c>
      <c r="H104" s="1289">
        <v>0</v>
      </c>
      <c r="I104" s="400">
        <f t="shared" si="63"/>
        <v>0</v>
      </c>
      <c r="J104" s="401">
        <f t="shared" si="63"/>
        <v>0</v>
      </c>
      <c r="K104" s="402" cm="1">
        <f t="array" ref="K104">HE_fact_qM*INDEX(HE_MortalityLapsesCY,$C104,4)</f>
        <v>0.11959542930551924</v>
      </c>
      <c r="L104" s="403" cm="1">
        <f t="array" ref="L104">HE_fact_qF*INDEX(HE_MortalityLapsesCY,$C104,5)</f>
        <v>9.1592980603973598E-2</v>
      </c>
      <c r="M104" s="404" cm="1">
        <f t="array" ref="M104">INDEX(HE_MortalityLapsesCY,$C104,5+(2*$L$7-1))</f>
        <v>2.0967468654693323E-2</v>
      </c>
      <c r="N104" s="405" cm="1">
        <f t="array" ref="N104">INDEX(HE_MortalityLapsesCY,$C104,5+2*$L$7)</f>
        <v>2.0967468654693323E-2</v>
      </c>
      <c r="O104" s="391">
        <f t="shared" si="64"/>
        <v>0.94020228534724037</v>
      </c>
      <c r="P104" s="1143">
        <f t="shared" si="64"/>
        <v>0.95420350969801326</v>
      </c>
      <c r="Q104" s="356">
        <f t="shared" si="51"/>
        <v>1936</v>
      </c>
      <c r="R104" s="337"/>
      <c r="S104" s="338"/>
      <c r="T104" s="664">
        <f t="shared" si="52"/>
        <v>0</v>
      </c>
      <c r="U104" s="665">
        <f t="shared" si="53"/>
        <v>0</v>
      </c>
      <c r="V104" s="337"/>
      <c r="W104" s="338"/>
      <c r="X104" s="383">
        <f t="shared" si="65"/>
        <v>0</v>
      </c>
      <c r="Y104" s="386">
        <f t="shared" si="65"/>
        <v>0</v>
      </c>
      <c r="Z104" s="534">
        <f t="shared" si="54"/>
        <v>1936</v>
      </c>
      <c r="AA104" s="664">
        <f t="shared" si="66"/>
        <v>0</v>
      </c>
      <c r="AB104" s="665">
        <f t="shared" si="66"/>
        <v>0</v>
      </c>
      <c r="AC104" s="337"/>
      <c r="AD104" s="338"/>
      <c r="AE104" s="383">
        <f t="shared" si="67"/>
        <v>0</v>
      </c>
      <c r="AF104" s="386">
        <f t="shared" si="67"/>
        <v>0</v>
      </c>
      <c r="AG104" s="534">
        <f t="shared" si="55"/>
        <v>1935</v>
      </c>
      <c r="AH104" s="1271">
        <f t="shared" si="68"/>
        <v>0</v>
      </c>
      <c r="AI104" s="1276">
        <f t="shared" si="69"/>
        <v>0</v>
      </c>
      <c r="AJ104" s="337"/>
      <c r="AK104" s="338"/>
      <c r="AL104" s="1271">
        <v>0</v>
      </c>
      <c r="AM104" s="1276">
        <v>0</v>
      </c>
      <c r="AN104" s="414">
        <f t="shared" si="56"/>
        <v>1</v>
      </c>
      <c r="AO104" s="413">
        <f t="shared" si="56"/>
        <v>1</v>
      </c>
      <c r="AP104" s="337"/>
      <c r="AQ104" s="338"/>
      <c r="AR104" s="664">
        <f t="shared" si="78"/>
        <v>0</v>
      </c>
      <c r="AS104" s="679">
        <f t="shared" si="78"/>
        <v>0</v>
      </c>
      <c r="AT104" s="383">
        <f t="shared" si="70"/>
        <v>0</v>
      </c>
      <c r="AU104" s="386">
        <f t="shared" si="70"/>
        <v>0</v>
      </c>
      <c r="AV104" s="534">
        <f t="shared" si="57"/>
        <v>1934</v>
      </c>
      <c r="AW104" s="1271">
        <f t="shared" si="71"/>
        <v>0</v>
      </c>
      <c r="AX104" s="1276">
        <f t="shared" si="72"/>
        <v>0</v>
      </c>
      <c r="AY104" s="337"/>
      <c r="AZ104" s="338"/>
      <c r="BA104" s="1271">
        <v>0</v>
      </c>
      <c r="BB104" s="1276">
        <v>0</v>
      </c>
      <c r="BC104" s="414">
        <f t="shared" si="58"/>
        <v>1</v>
      </c>
      <c r="BD104" s="413">
        <f t="shared" si="58"/>
        <v>1</v>
      </c>
      <c r="BE104" s="337"/>
      <c r="BF104" s="338"/>
      <c r="BG104" s="664">
        <f t="shared" si="79"/>
        <v>0</v>
      </c>
      <c r="BH104" s="679">
        <f t="shared" si="79"/>
        <v>0</v>
      </c>
      <c r="BI104" s="383">
        <f t="shared" si="73"/>
        <v>0</v>
      </c>
      <c r="BJ104" s="386">
        <f t="shared" si="73"/>
        <v>0</v>
      </c>
      <c r="BK104" s="534">
        <f t="shared" si="59"/>
        <v>1933</v>
      </c>
      <c r="BL104" s="1271">
        <f t="shared" si="74"/>
        <v>0</v>
      </c>
      <c r="BM104" s="1276">
        <f t="shared" si="75"/>
        <v>0</v>
      </c>
      <c r="BN104" s="337"/>
      <c r="BO104" s="338"/>
      <c r="BP104" s="1271">
        <v>0</v>
      </c>
      <c r="BQ104" s="1276">
        <v>0</v>
      </c>
      <c r="BR104" s="414">
        <f t="shared" si="60"/>
        <v>1</v>
      </c>
      <c r="BS104" s="413">
        <f t="shared" si="60"/>
        <v>1</v>
      </c>
      <c r="BT104" s="337"/>
      <c r="BU104" s="338"/>
      <c r="BV104" s="664">
        <f t="shared" si="80"/>
        <v>0</v>
      </c>
      <c r="BW104" s="679">
        <f t="shared" si="80"/>
        <v>0</v>
      </c>
      <c r="BX104" s="383">
        <f t="shared" si="76"/>
        <v>0</v>
      </c>
      <c r="BY104" s="386">
        <f t="shared" si="76"/>
        <v>0</v>
      </c>
      <c r="BZ104" s="534">
        <f t="shared" si="61"/>
        <v>1936</v>
      </c>
      <c r="CA104" s="664">
        <f t="shared" si="81"/>
        <v>0</v>
      </c>
      <c r="CB104" s="665">
        <f t="shared" si="81"/>
        <v>0</v>
      </c>
      <c r="CC104" s="664">
        <f t="shared" si="82"/>
        <v>0</v>
      </c>
      <c r="CD104" s="665">
        <f t="shared" si="82"/>
        <v>0</v>
      </c>
      <c r="CE104" s="337"/>
      <c r="CF104" s="338"/>
      <c r="CG104" s="383">
        <f t="shared" si="77"/>
        <v>0</v>
      </c>
      <c r="CH104" s="386">
        <f t="shared" si="77"/>
        <v>0</v>
      </c>
    </row>
    <row r="105" spans="2:86" ht="13.5" thickBot="1" x14ac:dyDescent="0.25">
      <c r="B105" s="313">
        <v>90</v>
      </c>
      <c r="C105" s="321">
        <f t="shared" si="62"/>
        <v>91</v>
      </c>
      <c r="D105" s="535">
        <f t="shared" si="50"/>
        <v>1935</v>
      </c>
      <c r="E105" s="341"/>
      <c r="F105" s="340"/>
      <c r="G105" s="1277">
        <v>0</v>
      </c>
      <c r="H105" s="1290">
        <v>0</v>
      </c>
      <c r="I105" s="406">
        <f t="shared" si="63"/>
        <v>0</v>
      </c>
      <c r="J105" s="407">
        <f t="shared" si="63"/>
        <v>0</v>
      </c>
      <c r="K105" s="408" cm="1">
        <f t="array" ref="K105">HE_fact_qM*INDEX(HE_MortalityLapsesCY,$C105,4)</f>
        <v>0.13586181286531332</v>
      </c>
      <c r="L105" s="409" cm="1">
        <f t="array" ref="L105">HE_fact_qF*INDEX(HE_MortalityLapsesCY,$C105,5)</f>
        <v>0.10615670845360806</v>
      </c>
      <c r="M105" s="410" cm="1">
        <f t="array" ref="M105">INDEX(HE_MortalityLapsesCY,$C105,5+(2*$L$7-1))</f>
        <v>2.2490835232339246E-2</v>
      </c>
      <c r="N105" s="411" cm="1">
        <f t="array" ref="N105">INDEX(HE_MortalityLapsesCY,$C105,5+2*$L$7)</f>
        <v>2.2490835232339246E-2</v>
      </c>
      <c r="O105" s="392">
        <f t="shared" si="64"/>
        <v>0.93206909356734335</v>
      </c>
      <c r="P105" s="1144">
        <f t="shared" si="64"/>
        <v>0.94692164577319593</v>
      </c>
      <c r="Q105" s="313">
        <f t="shared" si="51"/>
        <v>1935</v>
      </c>
      <c r="R105" s="341"/>
      <c r="S105" s="340"/>
      <c r="T105" s="666">
        <f t="shared" si="52"/>
        <v>0</v>
      </c>
      <c r="U105" s="667">
        <f t="shared" si="53"/>
        <v>0</v>
      </c>
      <c r="V105" s="341"/>
      <c r="W105" s="340"/>
      <c r="X105" s="384">
        <f t="shared" si="65"/>
        <v>0</v>
      </c>
      <c r="Y105" s="387">
        <f t="shared" si="65"/>
        <v>0</v>
      </c>
      <c r="Z105" s="535">
        <f t="shared" si="54"/>
        <v>1935</v>
      </c>
      <c r="AA105" s="666">
        <f t="shared" si="66"/>
        <v>0</v>
      </c>
      <c r="AB105" s="667">
        <f t="shared" si="66"/>
        <v>0</v>
      </c>
      <c r="AC105" s="341"/>
      <c r="AD105" s="340"/>
      <c r="AE105" s="384">
        <f t="shared" si="67"/>
        <v>0</v>
      </c>
      <c r="AF105" s="387">
        <f t="shared" si="67"/>
        <v>0</v>
      </c>
      <c r="AG105" s="535">
        <f t="shared" si="55"/>
        <v>1934</v>
      </c>
      <c r="AH105" s="1277">
        <f t="shared" si="68"/>
        <v>0</v>
      </c>
      <c r="AI105" s="1278">
        <f t="shared" si="69"/>
        <v>0</v>
      </c>
      <c r="AJ105" s="341"/>
      <c r="AK105" s="340"/>
      <c r="AL105" s="1277">
        <v>0</v>
      </c>
      <c r="AM105" s="1278">
        <v>0</v>
      </c>
      <c r="AN105" s="415">
        <f t="shared" si="56"/>
        <v>1</v>
      </c>
      <c r="AO105" s="416">
        <f t="shared" si="56"/>
        <v>1</v>
      </c>
      <c r="AP105" s="341"/>
      <c r="AQ105" s="340"/>
      <c r="AR105" s="666">
        <f t="shared" si="78"/>
        <v>0</v>
      </c>
      <c r="AS105" s="680">
        <f t="shared" si="78"/>
        <v>0</v>
      </c>
      <c r="AT105" s="384">
        <f t="shared" si="70"/>
        <v>0</v>
      </c>
      <c r="AU105" s="387">
        <f t="shared" si="70"/>
        <v>0</v>
      </c>
      <c r="AV105" s="535">
        <f t="shared" si="57"/>
        <v>1933</v>
      </c>
      <c r="AW105" s="1277">
        <f t="shared" si="71"/>
        <v>0</v>
      </c>
      <c r="AX105" s="1278">
        <f t="shared" si="72"/>
        <v>0</v>
      </c>
      <c r="AY105" s="341"/>
      <c r="AZ105" s="340"/>
      <c r="BA105" s="1277">
        <v>0</v>
      </c>
      <c r="BB105" s="1278">
        <v>0</v>
      </c>
      <c r="BC105" s="415">
        <f t="shared" si="58"/>
        <v>1</v>
      </c>
      <c r="BD105" s="416">
        <f t="shared" si="58"/>
        <v>1</v>
      </c>
      <c r="BE105" s="341"/>
      <c r="BF105" s="340"/>
      <c r="BG105" s="666">
        <f t="shared" si="79"/>
        <v>0</v>
      </c>
      <c r="BH105" s="680">
        <f t="shared" si="79"/>
        <v>0</v>
      </c>
      <c r="BI105" s="384">
        <f t="shared" si="73"/>
        <v>0</v>
      </c>
      <c r="BJ105" s="387">
        <f t="shared" si="73"/>
        <v>0</v>
      </c>
      <c r="BK105" s="535">
        <f t="shared" si="59"/>
        <v>1932</v>
      </c>
      <c r="BL105" s="1277">
        <f t="shared" si="74"/>
        <v>0</v>
      </c>
      <c r="BM105" s="1278">
        <f t="shared" si="75"/>
        <v>0</v>
      </c>
      <c r="BN105" s="341"/>
      <c r="BO105" s="340"/>
      <c r="BP105" s="1277">
        <v>0</v>
      </c>
      <c r="BQ105" s="1278">
        <v>0</v>
      </c>
      <c r="BR105" s="415">
        <f t="shared" si="60"/>
        <v>1</v>
      </c>
      <c r="BS105" s="416">
        <f t="shared" si="60"/>
        <v>1</v>
      </c>
      <c r="BT105" s="341"/>
      <c r="BU105" s="340"/>
      <c r="BV105" s="666">
        <f t="shared" si="80"/>
        <v>0</v>
      </c>
      <c r="BW105" s="680">
        <f t="shared" si="80"/>
        <v>0</v>
      </c>
      <c r="BX105" s="384">
        <f t="shared" si="76"/>
        <v>0</v>
      </c>
      <c r="BY105" s="387">
        <f t="shared" si="76"/>
        <v>0</v>
      </c>
      <c r="BZ105" s="535">
        <f t="shared" si="61"/>
        <v>1935</v>
      </c>
      <c r="CA105" s="666">
        <f t="shared" si="81"/>
        <v>0</v>
      </c>
      <c r="CB105" s="667">
        <f t="shared" si="81"/>
        <v>0</v>
      </c>
      <c r="CC105" s="666">
        <f t="shared" si="82"/>
        <v>0</v>
      </c>
      <c r="CD105" s="667">
        <f t="shared" si="82"/>
        <v>0</v>
      </c>
      <c r="CE105" s="341"/>
      <c r="CF105" s="340"/>
      <c r="CG105" s="384">
        <f t="shared" si="77"/>
        <v>0</v>
      </c>
      <c r="CH105" s="387">
        <f t="shared" si="77"/>
        <v>0</v>
      </c>
    </row>
    <row r="106" spans="2:86" ht="13.5" thickTop="1" x14ac:dyDescent="0.2">
      <c r="B106" s="276">
        <v>91</v>
      </c>
      <c r="C106" s="320">
        <f t="shared" si="62"/>
        <v>92</v>
      </c>
      <c r="D106" s="534">
        <f t="shared" si="50"/>
        <v>1934</v>
      </c>
      <c r="E106" s="337"/>
      <c r="F106" s="338"/>
      <c r="G106" s="1271">
        <v>0</v>
      </c>
      <c r="H106" s="1289">
        <v>0</v>
      </c>
      <c r="I106" s="400">
        <f t="shared" si="63"/>
        <v>0</v>
      </c>
      <c r="J106" s="401">
        <f t="shared" si="63"/>
        <v>0</v>
      </c>
      <c r="K106" s="402" cm="1">
        <f t="array" ref="K106">HE_fact_qM*INDEX(HE_MortalityLapsesCY,$C106,4)</f>
        <v>0.1537833962598178</v>
      </c>
      <c r="L106" s="403" cm="1">
        <f t="array" ref="L106">HE_fact_qF*INDEX(HE_MortalityLapsesCY,$C106,5)</f>
        <v>0.12230965892857829</v>
      </c>
      <c r="M106" s="404" cm="1">
        <f t="array" ref="M106">INDEX(HE_MortalityLapsesCY,$C106,5+(2*$L$7-1))</f>
        <v>2.3884874902967694E-2</v>
      </c>
      <c r="N106" s="405" cm="1">
        <f t="array" ref="N106">INDEX(HE_MortalityLapsesCY,$C106,5+2*$L$7)</f>
        <v>2.3884874902967694E-2</v>
      </c>
      <c r="O106" s="391">
        <f t="shared" si="64"/>
        <v>0.92310830187009107</v>
      </c>
      <c r="P106" s="1143">
        <f t="shared" si="64"/>
        <v>0.93884517053571082</v>
      </c>
      <c r="Q106" s="356">
        <f t="shared" si="51"/>
        <v>1934</v>
      </c>
      <c r="R106" s="337"/>
      <c r="S106" s="338"/>
      <c r="T106" s="664">
        <f t="shared" si="52"/>
        <v>0</v>
      </c>
      <c r="U106" s="665">
        <f t="shared" si="53"/>
        <v>0</v>
      </c>
      <c r="V106" s="337"/>
      <c r="W106" s="338"/>
      <c r="X106" s="383">
        <f t="shared" si="65"/>
        <v>0</v>
      </c>
      <c r="Y106" s="386">
        <f t="shared" si="65"/>
        <v>0</v>
      </c>
      <c r="Z106" s="534">
        <f t="shared" si="54"/>
        <v>1934</v>
      </c>
      <c r="AA106" s="664">
        <f t="shared" si="66"/>
        <v>0</v>
      </c>
      <c r="AB106" s="665">
        <f t="shared" si="66"/>
        <v>0</v>
      </c>
      <c r="AC106" s="337"/>
      <c r="AD106" s="338"/>
      <c r="AE106" s="383">
        <f t="shared" si="67"/>
        <v>0</v>
      </c>
      <c r="AF106" s="386">
        <f t="shared" si="67"/>
        <v>0</v>
      </c>
      <c r="AG106" s="534">
        <f t="shared" si="55"/>
        <v>1933</v>
      </c>
      <c r="AH106" s="1271">
        <f t="shared" si="68"/>
        <v>0</v>
      </c>
      <c r="AI106" s="1276">
        <f t="shared" si="69"/>
        <v>0</v>
      </c>
      <c r="AJ106" s="337"/>
      <c r="AK106" s="338"/>
      <c r="AL106" s="1271">
        <v>0</v>
      </c>
      <c r="AM106" s="1276">
        <v>0</v>
      </c>
      <c r="AN106" s="414">
        <f t="shared" si="56"/>
        <v>1</v>
      </c>
      <c r="AO106" s="413">
        <f t="shared" si="56"/>
        <v>1</v>
      </c>
      <c r="AP106" s="337"/>
      <c r="AQ106" s="338"/>
      <c r="AR106" s="664">
        <f t="shared" si="78"/>
        <v>0</v>
      </c>
      <c r="AS106" s="679">
        <f t="shared" si="78"/>
        <v>0</v>
      </c>
      <c r="AT106" s="383">
        <f t="shared" si="70"/>
        <v>0</v>
      </c>
      <c r="AU106" s="386">
        <f t="shared" si="70"/>
        <v>0</v>
      </c>
      <c r="AV106" s="534">
        <f t="shared" si="57"/>
        <v>1932</v>
      </c>
      <c r="AW106" s="1271">
        <f t="shared" si="71"/>
        <v>0</v>
      </c>
      <c r="AX106" s="1276">
        <f t="shared" si="72"/>
        <v>0</v>
      </c>
      <c r="AY106" s="337"/>
      <c r="AZ106" s="338"/>
      <c r="BA106" s="1271">
        <v>0</v>
      </c>
      <c r="BB106" s="1276">
        <v>0</v>
      </c>
      <c r="BC106" s="414">
        <f t="shared" si="58"/>
        <v>1</v>
      </c>
      <c r="BD106" s="413">
        <f t="shared" si="58"/>
        <v>1</v>
      </c>
      <c r="BE106" s="337"/>
      <c r="BF106" s="338"/>
      <c r="BG106" s="664">
        <f t="shared" si="79"/>
        <v>0</v>
      </c>
      <c r="BH106" s="679">
        <f t="shared" si="79"/>
        <v>0</v>
      </c>
      <c r="BI106" s="383">
        <f t="shared" si="73"/>
        <v>0</v>
      </c>
      <c r="BJ106" s="386">
        <f t="shared" si="73"/>
        <v>0</v>
      </c>
      <c r="BK106" s="534">
        <f t="shared" si="59"/>
        <v>1931</v>
      </c>
      <c r="BL106" s="1271">
        <f t="shared" si="74"/>
        <v>0</v>
      </c>
      <c r="BM106" s="1276">
        <f t="shared" si="75"/>
        <v>0</v>
      </c>
      <c r="BN106" s="337"/>
      <c r="BO106" s="338"/>
      <c r="BP106" s="1271">
        <v>0</v>
      </c>
      <c r="BQ106" s="1276">
        <v>0</v>
      </c>
      <c r="BR106" s="414">
        <f t="shared" si="60"/>
        <v>1</v>
      </c>
      <c r="BS106" s="413">
        <f t="shared" si="60"/>
        <v>1</v>
      </c>
      <c r="BT106" s="337"/>
      <c r="BU106" s="338"/>
      <c r="BV106" s="664">
        <f t="shared" si="80"/>
        <v>0</v>
      </c>
      <c r="BW106" s="679">
        <f t="shared" si="80"/>
        <v>0</v>
      </c>
      <c r="BX106" s="383">
        <f t="shared" si="76"/>
        <v>0</v>
      </c>
      <c r="BY106" s="386">
        <f t="shared" si="76"/>
        <v>0</v>
      </c>
      <c r="BZ106" s="534">
        <f t="shared" si="61"/>
        <v>1934</v>
      </c>
      <c r="CA106" s="664">
        <f t="shared" si="81"/>
        <v>0</v>
      </c>
      <c r="CB106" s="665">
        <f t="shared" si="81"/>
        <v>0</v>
      </c>
      <c r="CC106" s="684">
        <f>IFERROR(SUMPRODUCT(E$106:E$125,CA$106:CA$125)/SUMPRODUCT(E$106:E$125),0)</f>
        <v>0</v>
      </c>
      <c r="CD106" s="685">
        <f>IFERROR(SUMPRODUCT(F$106:F$125,CB$106:CB$125)/SUMPRODUCT(F$106:F$125),0)</f>
        <v>0</v>
      </c>
      <c r="CE106" s="337"/>
      <c r="CF106" s="338"/>
      <c r="CG106" s="383">
        <f t="shared" si="77"/>
        <v>0</v>
      </c>
      <c r="CH106" s="386">
        <f t="shared" si="77"/>
        <v>0</v>
      </c>
    </row>
    <row r="107" spans="2:86" x14ac:dyDescent="0.2">
      <c r="B107" s="276">
        <v>92</v>
      </c>
      <c r="C107" s="320">
        <f t="shared" si="62"/>
        <v>93</v>
      </c>
      <c r="D107" s="534">
        <f t="shared" si="50"/>
        <v>1933</v>
      </c>
      <c r="E107" s="337"/>
      <c r="F107" s="338"/>
      <c r="G107" s="1271">
        <v>0</v>
      </c>
      <c r="H107" s="1289">
        <v>0</v>
      </c>
      <c r="I107" s="400">
        <f t="shared" si="63"/>
        <v>0</v>
      </c>
      <c r="J107" s="401">
        <f t="shared" si="63"/>
        <v>0</v>
      </c>
      <c r="K107" s="402" cm="1">
        <f t="array" ref="K107">HE_fact_qM*INDEX(HE_MortalityLapsesCY,$C107,4)</f>
        <v>0.17326614143570099</v>
      </c>
      <c r="L107" s="403" cm="1">
        <f t="array" ref="L107">HE_fact_qF*INDEX(HE_MortalityLapsesCY,$C107,5)</f>
        <v>0.13984958804657138</v>
      </c>
      <c r="M107" s="404" cm="1">
        <f t="array" ref="M107">INDEX(HE_MortalityLapsesCY,$C107,5+(2*$L$7-1))</f>
        <v>2.2357873060233874E-2</v>
      </c>
      <c r="N107" s="405" cm="1">
        <f t="array" ref="N107">INDEX(HE_MortalityLapsesCY,$C107,5+2*$L$7)</f>
        <v>2.2357873060233874E-2</v>
      </c>
      <c r="O107" s="391">
        <f t="shared" si="64"/>
        <v>0.91336692928214958</v>
      </c>
      <c r="P107" s="1143">
        <f t="shared" si="64"/>
        <v>0.93007520597671434</v>
      </c>
      <c r="Q107" s="356">
        <f t="shared" si="51"/>
        <v>1933</v>
      </c>
      <c r="R107" s="337"/>
      <c r="S107" s="338"/>
      <c r="T107" s="664">
        <f t="shared" si="52"/>
        <v>0</v>
      </c>
      <c r="U107" s="665">
        <f t="shared" si="53"/>
        <v>0</v>
      </c>
      <c r="V107" s="337"/>
      <c r="W107" s="338"/>
      <c r="X107" s="383">
        <f t="shared" si="65"/>
        <v>0</v>
      </c>
      <c r="Y107" s="386">
        <f t="shared" si="65"/>
        <v>0</v>
      </c>
      <c r="Z107" s="534">
        <f t="shared" si="54"/>
        <v>1933</v>
      </c>
      <c r="AA107" s="664">
        <f t="shared" si="66"/>
        <v>0</v>
      </c>
      <c r="AB107" s="665">
        <f t="shared" si="66"/>
        <v>0</v>
      </c>
      <c r="AC107" s="337"/>
      <c r="AD107" s="338"/>
      <c r="AE107" s="383">
        <f t="shared" si="67"/>
        <v>0</v>
      </c>
      <c r="AF107" s="386">
        <f t="shared" si="67"/>
        <v>0</v>
      </c>
      <c r="AG107" s="534">
        <f t="shared" si="55"/>
        <v>1932</v>
      </c>
      <c r="AH107" s="1271">
        <f t="shared" si="68"/>
        <v>0</v>
      </c>
      <c r="AI107" s="1276">
        <f t="shared" si="69"/>
        <v>0</v>
      </c>
      <c r="AJ107" s="337"/>
      <c r="AK107" s="338"/>
      <c r="AL107" s="1271">
        <v>0</v>
      </c>
      <c r="AM107" s="1276">
        <v>0</v>
      </c>
      <c r="AN107" s="414">
        <f t="shared" si="56"/>
        <v>1</v>
      </c>
      <c r="AO107" s="413">
        <f t="shared" si="56"/>
        <v>1</v>
      </c>
      <c r="AP107" s="337"/>
      <c r="AQ107" s="338"/>
      <c r="AR107" s="664">
        <f t="shared" si="78"/>
        <v>0</v>
      </c>
      <c r="AS107" s="679">
        <f t="shared" si="78"/>
        <v>0</v>
      </c>
      <c r="AT107" s="383">
        <f t="shared" si="70"/>
        <v>0</v>
      </c>
      <c r="AU107" s="386">
        <f t="shared" si="70"/>
        <v>0</v>
      </c>
      <c r="AV107" s="534">
        <f t="shared" si="57"/>
        <v>1931</v>
      </c>
      <c r="AW107" s="1271">
        <f t="shared" si="71"/>
        <v>0</v>
      </c>
      <c r="AX107" s="1276">
        <f t="shared" si="72"/>
        <v>0</v>
      </c>
      <c r="AY107" s="337"/>
      <c r="AZ107" s="338"/>
      <c r="BA107" s="1271">
        <v>0</v>
      </c>
      <c r="BB107" s="1276">
        <v>0</v>
      </c>
      <c r="BC107" s="414">
        <f t="shared" si="58"/>
        <v>1</v>
      </c>
      <c r="BD107" s="413">
        <f t="shared" si="58"/>
        <v>1</v>
      </c>
      <c r="BE107" s="337"/>
      <c r="BF107" s="338"/>
      <c r="BG107" s="664">
        <f t="shared" si="79"/>
        <v>0</v>
      </c>
      <c r="BH107" s="679">
        <f t="shared" si="79"/>
        <v>0</v>
      </c>
      <c r="BI107" s="383">
        <f t="shared" si="73"/>
        <v>0</v>
      </c>
      <c r="BJ107" s="386">
        <f t="shared" si="73"/>
        <v>0</v>
      </c>
      <c r="BK107" s="534">
        <f t="shared" si="59"/>
        <v>1930</v>
      </c>
      <c r="BL107" s="1271">
        <f t="shared" si="74"/>
        <v>0</v>
      </c>
      <c r="BM107" s="1276">
        <f t="shared" si="75"/>
        <v>0</v>
      </c>
      <c r="BN107" s="337"/>
      <c r="BO107" s="338"/>
      <c r="BP107" s="1271">
        <v>0</v>
      </c>
      <c r="BQ107" s="1276">
        <v>0</v>
      </c>
      <c r="BR107" s="414">
        <f t="shared" si="60"/>
        <v>1</v>
      </c>
      <c r="BS107" s="413">
        <f t="shared" si="60"/>
        <v>1</v>
      </c>
      <c r="BT107" s="337"/>
      <c r="BU107" s="338"/>
      <c r="BV107" s="664">
        <f t="shared" si="80"/>
        <v>0</v>
      </c>
      <c r="BW107" s="679">
        <f t="shared" si="80"/>
        <v>0</v>
      </c>
      <c r="BX107" s="383">
        <f t="shared" si="76"/>
        <v>0</v>
      </c>
      <c r="BY107" s="386">
        <f t="shared" si="76"/>
        <v>0</v>
      </c>
      <c r="BZ107" s="534">
        <f t="shared" si="61"/>
        <v>1933</v>
      </c>
      <c r="CA107" s="664">
        <f t="shared" si="81"/>
        <v>0</v>
      </c>
      <c r="CB107" s="665">
        <f t="shared" si="81"/>
        <v>0</v>
      </c>
      <c r="CC107" s="684">
        <f t="shared" ref="CC107:CC125" si="83">IFERROR(SUMPRODUCT(E$106:E$125,CA$106:CA$125)/SUMPRODUCT(E$106:E$125),0)</f>
        <v>0</v>
      </c>
      <c r="CD107" s="685">
        <f t="shared" ref="CD107:CD125" si="84">IFERROR(SUMPRODUCT(F$106:F$125,CB$106:CB$125)/SUMPRODUCT(F$106:F$125),0)</f>
        <v>0</v>
      </c>
      <c r="CE107" s="337"/>
      <c r="CF107" s="338"/>
      <c r="CG107" s="383">
        <f t="shared" si="77"/>
        <v>0</v>
      </c>
      <c r="CH107" s="386">
        <f t="shared" si="77"/>
        <v>0</v>
      </c>
    </row>
    <row r="108" spans="2:86" x14ac:dyDescent="0.2">
      <c r="B108" s="276">
        <v>93</v>
      </c>
      <c r="C108" s="320">
        <f t="shared" si="62"/>
        <v>94</v>
      </c>
      <c r="D108" s="534">
        <f t="shared" si="50"/>
        <v>1932</v>
      </c>
      <c r="E108" s="337"/>
      <c r="F108" s="338"/>
      <c r="G108" s="1271">
        <v>0</v>
      </c>
      <c r="H108" s="1289">
        <v>0</v>
      </c>
      <c r="I108" s="400">
        <f t="shared" si="63"/>
        <v>0</v>
      </c>
      <c r="J108" s="401">
        <f t="shared" si="63"/>
        <v>0</v>
      </c>
      <c r="K108" s="402" cm="1">
        <f t="array" ref="K108">HE_fact_qM*INDEX(HE_MortalityLapsesCY,$C108,4)</f>
        <v>0.19412844998424786</v>
      </c>
      <c r="L108" s="403" cm="1">
        <f t="array" ref="L108">HE_fact_qF*INDEX(HE_MortalityLapsesCY,$C108,5)</f>
        <v>0.15842052207496526</v>
      </c>
      <c r="M108" s="404" cm="1">
        <f t="array" ref="M108">INDEX(HE_MortalityLapsesCY,$C108,5+(2*$L$7-1))</f>
        <v>2.4213748956303925E-2</v>
      </c>
      <c r="N108" s="405" cm="1">
        <f t="array" ref="N108">INDEX(HE_MortalityLapsesCY,$C108,5+2*$L$7)</f>
        <v>2.4213748956303925E-2</v>
      </c>
      <c r="O108" s="391">
        <f t="shared" si="64"/>
        <v>0.90293577500787614</v>
      </c>
      <c r="P108" s="1143">
        <f t="shared" si="64"/>
        <v>0.92078973896251737</v>
      </c>
      <c r="Q108" s="356">
        <f t="shared" si="51"/>
        <v>1932</v>
      </c>
      <c r="R108" s="337"/>
      <c r="S108" s="338"/>
      <c r="T108" s="664">
        <f t="shared" si="52"/>
        <v>0</v>
      </c>
      <c r="U108" s="665">
        <f t="shared" si="53"/>
        <v>0</v>
      </c>
      <c r="V108" s="337"/>
      <c r="W108" s="338"/>
      <c r="X108" s="383">
        <f t="shared" si="65"/>
        <v>0</v>
      </c>
      <c r="Y108" s="386">
        <f t="shared" si="65"/>
        <v>0</v>
      </c>
      <c r="Z108" s="534">
        <f t="shared" si="54"/>
        <v>1932</v>
      </c>
      <c r="AA108" s="664">
        <f t="shared" si="66"/>
        <v>0</v>
      </c>
      <c r="AB108" s="665">
        <f t="shared" si="66"/>
        <v>0</v>
      </c>
      <c r="AC108" s="337"/>
      <c r="AD108" s="338"/>
      <c r="AE108" s="383">
        <f t="shared" si="67"/>
        <v>0</v>
      </c>
      <c r="AF108" s="386">
        <f t="shared" si="67"/>
        <v>0</v>
      </c>
      <c r="AG108" s="534">
        <f t="shared" si="55"/>
        <v>1931</v>
      </c>
      <c r="AH108" s="1271">
        <f t="shared" si="68"/>
        <v>0</v>
      </c>
      <c r="AI108" s="1276">
        <f t="shared" si="69"/>
        <v>0</v>
      </c>
      <c r="AJ108" s="337"/>
      <c r="AK108" s="338"/>
      <c r="AL108" s="1271">
        <v>0</v>
      </c>
      <c r="AM108" s="1276">
        <v>0</v>
      </c>
      <c r="AN108" s="414">
        <f t="shared" si="56"/>
        <v>1</v>
      </c>
      <c r="AO108" s="413">
        <f t="shared" si="56"/>
        <v>1</v>
      </c>
      <c r="AP108" s="337"/>
      <c r="AQ108" s="338"/>
      <c r="AR108" s="664">
        <f t="shared" si="78"/>
        <v>0</v>
      </c>
      <c r="AS108" s="679">
        <f t="shared" si="78"/>
        <v>0</v>
      </c>
      <c r="AT108" s="383">
        <f t="shared" si="70"/>
        <v>0</v>
      </c>
      <c r="AU108" s="386">
        <f t="shared" si="70"/>
        <v>0</v>
      </c>
      <c r="AV108" s="534">
        <f t="shared" si="57"/>
        <v>1930</v>
      </c>
      <c r="AW108" s="1271">
        <f t="shared" si="71"/>
        <v>0</v>
      </c>
      <c r="AX108" s="1276">
        <f t="shared" si="72"/>
        <v>0</v>
      </c>
      <c r="AY108" s="337"/>
      <c r="AZ108" s="338"/>
      <c r="BA108" s="1271">
        <v>0</v>
      </c>
      <c r="BB108" s="1276">
        <v>0</v>
      </c>
      <c r="BC108" s="414">
        <f t="shared" si="58"/>
        <v>1</v>
      </c>
      <c r="BD108" s="413">
        <f t="shared" si="58"/>
        <v>1</v>
      </c>
      <c r="BE108" s="337"/>
      <c r="BF108" s="338"/>
      <c r="BG108" s="664">
        <f t="shared" si="79"/>
        <v>0</v>
      </c>
      <c r="BH108" s="679">
        <f t="shared" si="79"/>
        <v>0</v>
      </c>
      <c r="BI108" s="383">
        <f t="shared" si="73"/>
        <v>0</v>
      </c>
      <c r="BJ108" s="386">
        <f t="shared" si="73"/>
        <v>0</v>
      </c>
      <c r="BK108" s="534">
        <f t="shared" si="59"/>
        <v>1929</v>
      </c>
      <c r="BL108" s="1271">
        <f t="shared" si="74"/>
        <v>0</v>
      </c>
      <c r="BM108" s="1276">
        <f t="shared" si="75"/>
        <v>0</v>
      </c>
      <c r="BN108" s="337"/>
      <c r="BO108" s="338"/>
      <c r="BP108" s="1271">
        <v>0</v>
      </c>
      <c r="BQ108" s="1276">
        <v>0</v>
      </c>
      <c r="BR108" s="414">
        <f t="shared" si="60"/>
        <v>1</v>
      </c>
      <c r="BS108" s="413">
        <f t="shared" si="60"/>
        <v>1</v>
      </c>
      <c r="BT108" s="337"/>
      <c r="BU108" s="338"/>
      <c r="BV108" s="664">
        <f t="shared" si="80"/>
        <v>0</v>
      </c>
      <c r="BW108" s="679">
        <f t="shared" si="80"/>
        <v>0</v>
      </c>
      <c r="BX108" s="383">
        <f t="shared" si="76"/>
        <v>0</v>
      </c>
      <c r="BY108" s="386">
        <f t="shared" si="76"/>
        <v>0</v>
      </c>
      <c r="BZ108" s="534">
        <f t="shared" si="61"/>
        <v>1932</v>
      </c>
      <c r="CA108" s="664">
        <f t="shared" si="81"/>
        <v>0</v>
      </c>
      <c r="CB108" s="665">
        <f t="shared" si="81"/>
        <v>0</v>
      </c>
      <c r="CC108" s="684">
        <f t="shared" si="83"/>
        <v>0</v>
      </c>
      <c r="CD108" s="685">
        <f t="shared" si="84"/>
        <v>0</v>
      </c>
      <c r="CE108" s="337"/>
      <c r="CF108" s="338"/>
      <c r="CG108" s="383">
        <f t="shared" si="77"/>
        <v>0</v>
      </c>
      <c r="CH108" s="386">
        <f t="shared" si="77"/>
        <v>0</v>
      </c>
    </row>
    <row r="109" spans="2:86" x14ac:dyDescent="0.2">
      <c r="B109" s="276">
        <v>94</v>
      </c>
      <c r="C109" s="320">
        <f t="shared" si="62"/>
        <v>95</v>
      </c>
      <c r="D109" s="534">
        <f t="shared" si="50"/>
        <v>1931</v>
      </c>
      <c r="E109" s="337"/>
      <c r="F109" s="338"/>
      <c r="G109" s="1271">
        <v>0</v>
      </c>
      <c r="H109" s="1289">
        <v>0</v>
      </c>
      <c r="I109" s="400">
        <f t="shared" si="63"/>
        <v>0</v>
      </c>
      <c r="J109" s="401">
        <f t="shared" si="63"/>
        <v>0</v>
      </c>
      <c r="K109" s="402" cm="1">
        <f t="array" ref="K109">HE_fact_qM*INDEX(HE_MortalityLapsesCY,$C109,4)</f>
        <v>0.21611449353069362</v>
      </c>
      <c r="L109" s="403" cm="1">
        <f t="array" ref="L109">HE_fact_qF*INDEX(HE_MortalityLapsesCY,$C109,5)</f>
        <v>0.17754823866342329</v>
      </c>
      <c r="M109" s="404" cm="1">
        <f t="array" ref="M109">INDEX(HE_MortalityLapsesCY,$C109,5+(2*$L$7-1))</f>
        <v>2.742409402546523E-2</v>
      </c>
      <c r="N109" s="405" cm="1">
        <f t="array" ref="N109">INDEX(HE_MortalityLapsesCY,$C109,5+2*$L$7)</f>
        <v>2.742409402546523E-2</v>
      </c>
      <c r="O109" s="391">
        <f t="shared" si="64"/>
        <v>0.89194275323465322</v>
      </c>
      <c r="P109" s="1143">
        <f t="shared" si="64"/>
        <v>0.91122588066828836</v>
      </c>
      <c r="Q109" s="356">
        <f t="shared" si="51"/>
        <v>1931</v>
      </c>
      <c r="R109" s="337"/>
      <c r="S109" s="338"/>
      <c r="T109" s="664">
        <f t="shared" si="52"/>
        <v>0</v>
      </c>
      <c r="U109" s="665">
        <f t="shared" si="53"/>
        <v>0</v>
      </c>
      <c r="V109" s="337"/>
      <c r="W109" s="338"/>
      <c r="X109" s="383">
        <f t="shared" si="65"/>
        <v>0</v>
      </c>
      <c r="Y109" s="386">
        <f t="shared" si="65"/>
        <v>0</v>
      </c>
      <c r="Z109" s="534">
        <f t="shared" si="54"/>
        <v>1931</v>
      </c>
      <c r="AA109" s="664">
        <f t="shared" si="66"/>
        <v>0</v>
      </c>
      <c r="AB109" s="665">
        <f t="shared" si="66"/>
        <v>0</v>
      </c>
      <c r="AC109" s="337"/>
      <c r="AD109" s="338"/>
      <c r="AE109" s="383">
        <f t="shared" si="67"/>
        <v>0</v>
      </c>
      <c r="AF109" s="386">
        <f t="shared" si="67"/>
        <v>0</v>
      </c>
      <c r="AG109" s="534">
        <f t="shared" si="55"/>
        <v>1930</v>
      </c>
      <c r="AH109" s="1271">
        <f t="shared" si="68"/>
        <v>0</v>
      </c>
      <c r="AI109" s="1276">
        <f t="shared" si="69"/>
        <v>0</v>
      </c>
      <c r="AJ109" s="337"/>
      <c r="AK109" s="338"/>
      <c r="AL109" s="1271">
        <v>0</v>
      </c>
      <c r="AM109" s="1276">
        <v>0</v>
      </c>
      <c r="AN109" s="414">
        <f t="shared" si="56"/>
        <v>1</v>
      </c>
      <c r="AO109" s="413">
        <f t="shared" si="56"/>
        <v>1</v>
      </c>
      <c r="AP109" s="337"/>
      <c r="AQ109" s="338"/>
      <c r="AR109" s="664">
        <f t="shared" si="78"/>
        <v>0</v>
      </c>
      <c r="AS109" s="679">
        <f t="shared" si="78"/>
        <v>0</v>
      </c>
      <c r="AT109" s="383">
        <f t="shared" si="70"/>
        <v>0</v>
      </c>
      <c r="AU109" s="386">
        <f t="shared" si="70"/>
        <v>0</v>
      </c>
      <c r="AV109" s="534">
        <f t="shared" si="57"/>
        <v>1929</v>
      </c>
      <c r="AW109" s="1271">
        <f t="shared" si="71"/>
        <v>0</v>
      </c>
      <c r="AX109" s="1276">
        <f t="shared" si="72"/>
        <v>0</v>
      </c>
      <c r="AY109" s="337"/>
      <c r="AZ109" s="338"/>
      <c r="BA109" s="1271">
        <v>0</v>
      </c>
      <c r="BB109" s="1276">
        <v>0</v>
      </c>
      <c r="BC109" s="414">
        <f t="shared" si="58"/>
        <v>1</v>
      </c>
      <c r="BD109" s="413">
        <f t="shared" si="58"/>
        <v>1</v>
      </c>
      <c r="BE109" s="337"/>
      <c r="BF109" s="338"/>
      <c r="BG109" s="664">
        <f t="shared" si="79"/>
        <v>0</v>
      </c>
      <c r="BH109" s="679">
        <f t="shared" si="79"/>
        <v>0</v>
      </c>
      <c r="BI109" s="383">
        <f t="shared" si="73"/>
        <v>0</v>
      </c>
      <c r="BJ109" s="386">
        <f t="shared" si="73"/>
        <v>0</v>
      </c>
      <c r="BK109" s="534">
        <f t="shared" si="59"/>
        <v>1928</v>
      </c>
      <c r="BL109" s="1271">
        <f t="shared" si="74"/>
        <v>0</v>
      </c>
      <c r="BM109" s="1276">
        <f t="shared" si="75"/>
        <v>0</v>
      </c>
      <c r="BN109" s="337"/>
      <c r="BO109" s="338"/>
      <c r="BP109" s="1271">
        <v>0</v>
      </c>
      <c r="BQ109" s="1276">
        <v>0</v>
      </c>
      <c r="BR109" s="414">
        <f t="shared" si="60"/>
        <v>1</v>
      </c>
      <c r="BS109" s="413">
        <f t="shared" si="60"/>
        <v>1</v>
      </c>
      <c r="BT109" s="337"/>
      <c r="BU109" s="338"/>
      <c r="BV109" s="664">
        <f t="shared" si="80"/>
        <v>0</v>
      </c>
      <c r="BW109" s="679">
        <f t="shared" si="80"/>
        <v>0</v>
      </c>
      <c r="BX109" s="383">
        <f t="shared" si="76"/>
        <v>0</v>
      </c>
      <c r="BY109" s="386">
        <f t="shared" si="76"/>
        <v>0</v>
      </c>
      <c r="BZ109" s="534">
        <f t="shared" si="61"/>
        <v>1931</v>
      </c>
      <c r="CA109" s="664">
        <f t="shared" si="81"/>
        <v>0</v>
      </c>
      <c r="CB109" s="665">
        <f t="shared" si="81"/>
        <v>0</v>
      </c>
      <c r="CC109" s="684">
        <f t="shared" si="83"/>
        <v>0</v>
      </c>
      <c r="CD109" s="685">
        <f t="shared" si="84"/>
        <v>0</v>
      </c>
      <c r="CE109" s="337"/>
      <c r="CF109" s="338"/>
      <c r="CG109" s="383">
        <f t="shared" si="77"/>
        <v>0</v>
      </c>
      <c r="CH109" s="386">
        <f t="shared" si="77"/>
        <v>0</v>
      </c>
    </row>
    <row r="110" spans="2:86" x14ac:dyDescent="0.2">
      <c r="B110" s="276">
        <v>95</v>
      </c>
      <c r="C110" s="320">
        <f t="shared" si="62"/>
        <v>96</v>
      </c>
      <c r="D110" s="534">
        <f t="shared" si="50"/>
        <v>1930</v>
      </c>
      <c r="E110" s="337"/>
      <c r="F110" s="338"/>
      <c r="G110" s="1271">
        <v>0</v>
      </c>
      <c r="H110" s="1289">
        <v>0</v>
      </c>
      <c r="I110" s="400">
        <f t="shared" si="63"/>
        <v>0</v>
      </c>
      <c r="J110" s="401">
        <f t="shared" si="63"/>
        <v>0</v>
      </c>
      <c r="K110" s="402" cm="1">
        <f t="array" ref="K110">HE_fact_qM*INDEX(HE_MortalityLapsesCY,$C110,4)</f>
        <v>0.23898077296143244</v>
      </c>
      <c r="L110" s="403" cm="1">
        <f t="array" ref="L110">HE_fact_qF*INDEX(HE_MortalityLapsesCY,$C110,5)</f>
        <v>0.19690286426324377</v>
      </c>
      <c r="M110" s="404" cm="1">
        <f t="array" ref="M110">INDEX(HE_MortalityLapsesCY,$C110,5+(2*$L$7-1))</f>
        <v>2.4450685610441104E-2</v>
      </c>
      <c r="N110" s="405" cm="1">
        <f t="array" ref="N110">INDEX(HE_MortalityLapsesCY,$C110,5+2*$L$7)</f>
        <v>2.4450685610441104E-2</v>
      </c>
      <c r="O110" s="391">
        <f t="shared" si="64"/>
        <v>0.88050961351928381</v>
      </c>
      <c r="P110" s="1143">
        <f t="shared" si="64"/>
        <v>0.90154856786837811</v>
      </c>
      <c r="Q110" s="356">
        <f t="shared" si="51"/>
        <v>1930</v>
      </c>
      <c r="R110" s="337"/>
      <c r="S110" s="338"/>
      <c r="T110" s="664">
        <f t="shared" si="52"/>
        <v>0</v>
      </c>
      <c r="U110" s="665">
        <f t="shared" si="53"/>
        <v>0</v>
      </c>
      <c r="V110" s="337"/>
      <c r="W110" s="338"/>
      <c r="X110" s="383">
        <f t="shared" si="65"/>
        <v>0</v>
      </c>
      <c r="Y110" s="386">
        <f t="shared" si="65"/>
        <v>0</v>
      </c>
      <c r="Z110" s="534">
        <f t="shared" si="54"/>
        <v>1930</v>
      </c>
      <c r="AA110" s="664">
        <f t="shared" si="66"/>
        <v>0</v>
      </c>
      <c r="AB110" s="665">
        <f t="shared" si="66"/>
        <v>0</v>
      </c>
      <c r="AC110" s="337"/>
      <c r="AD110" s="338"/>
      <c r="AE110" s="383">
        <f t="shared" si="67"/>
        <v>0</v>
      </c>
      <c r="AF110" s="386">
        <f t="shared" si="67"/>
        <v>0</v>
      </c>
      <c r="AG110" s="534">
        <f t="shared" si="55"/>
        <v>1929</v>
      </c>
      <c r="AH110" s="1271">
        <f t="shared" si="68"/>
        <v>0</v>
      </c>
      <c r="AI110" s="1276">
        <f t="shared" si="69"/>
        <v>0</v>
      </c>
      <c r="AJ110" s="337"/>
      <c r="AK110" s="338"/>
      <c r="AL110" s="1271">
        <v>0</v>
      </c>
      <c r="AM110" s="1276">
        <v>0</v>
      </c>
      <c r="AN110" s="414">
        <f t="shared" si="56"/>
        <v>1</v>
      </c>
      <c r="AO110" s="413">
        <f t="shared" si="56"/>
        <v>1</v>
      </c>
      <c r="AP110" s="337"/>
      <c r="AQ110" s="338"/>
      <c r="AR110" s="664">
        <f t="shared" si="78"/>
        <v>0</v>
      </c>
      <c r="AS110" s="679">
        <f t="shared" si="78"/>
        <v>0</v>
      </c>
      <c r="AT110" s="383">
        <f t="shared" si="70"/>
        <v>0</v>
      </c>
      <c r="AU110" s="386">
        <f t="shared" si="70"/>
        <v>0</v>
      </c>
      <c r="AV110" s="534">
        <f t="shared" si="57"/>
        <v>1928</v>
      </c>
      <c r="AW110" s="1271">
        <f t="shared" si="71"/>
        <v>0</v>
      </c>
      <c r="AX110" s="1276">
        <f t="shared" si="72"/>
        <v>0</v>
      </c>
      <c r="AY110" s="337"/>
      <c r="AZ110" s="338"/>
      <c r="BA110" s="1271">
        <v>0</v>
      </c>
      <c r="BB110" s="1276">
        <v>0</v>
      </c>
      <c r="BC110" s="414">
        <f t="shared" si="58"/>
        <v>1</v>
      </c>
      <c r="BD110" s="413">
        <f t="shared" si="58"/>
        <v>1</v>
      </c>
      <c r="BE110" s="337"/>
      <c r="BF110" s="338"/>
      <c r="BG110" s="664">
        <f t="shared" si="79"/>
        <v>0</v>
      </c>
      <c r="BH110" s="679">
        <f t="shared" si="79"/>
        <v>0</v>
      </c>
      <c r="BI110" s="383">
        <f t="shared" si="73"/>
        <v>0</v>
      </c>
      <c r="BJ110" s="386">
        <f t="shared" si="73"/>
        <v>0</v>
      </c>
      <c r="BK110" s="534">
        <f t="shared" si="59"/>
        <v>1927</v>
      </c>
      <c r="BL110" s="1271">
        <f t="shared" si="74"/>
        <v>0</v>
      </c>
      <c r="BM110" s="1276">
        <f t="shared" si="75"/>
        <v>0</v>
      </c>
      <c r="BN110" s="337"/>
      <c r="BO110" s="338"/>
      <c r="BP110" s="1271">
        <v>0</v>
      </c>
      <c r="BQ110" s="1276">
        <v>0</v>
      </c>
      <c r="BR110" s="414">
        <f t="shared" si="60"/>
        <v>1</v>
      </c>
      <c r="BS110" s="413">
        <f t="shared" si="60"/>
        <v>1</v>
      </c>
      <c r="BT110" s="337"/>
      <c r="BU110" s="338"/>
      <c r="BV110" s="664">
        <f t="shared" si="80"/>
        <v>0</v>
      </c>
      <c r="BW110" s="679">
        <f t="shared" si="80"/>
        <v>0</v>
      </c>
      <c r="BX110" s="383">
        <f t="shared" si="76"/>
        <v>0</v>
      </c>
      <c r="BY110" s="386">
        <f t="shared" si="76"/>
        <v>0</v>
      </c>
      <c r="BZ110" s="534">
        <f t="shared" si="61"/>
        <v>1930</v>
      </c>
      <c r="CA110" s="664">
        <f t="shared" si="81"/>
        <v>0</v>
      </c>
      <c r="CB110" s="665">
        <f t="shared" si="81"/>
        <v>0</v>
      </c>
      <c r="CC110" s="684">
        <f t="shared" si="83"/>
        <v>0</v>
      </c>
      <c r="CD110" s="685">
        <f t="shared" si="84"/>
        <v>0</v>
      </c>
      <c r="CE110" s="337"/>
      <c r="CF110" s="338"/>
      <c r="CG110" s="383">
        <f t="shared" si="77"/>
        <v>0</v>
      </c>
      <c r="CH110" s="386">
        <f t="shared" si="77"/>
        <v>0</v>
      </c>
    </row>
    <row r="111" spans="2:86" x14ac:dyDescent="0.2">
      <c r="B111" s="276">
        <v>96</v>
      </c>
      <c r="C111" s="320">
        <f t="shared" si="62"/>
        <v>97</v>
      </c>
      <c r="D111" s="534">
        <f t="shared" si="50"/>
        <v>1929</v>
      </c>
      <c r="E111" s="337"/>
      <c r="F111" s="338"/>
      <c r="G111" s="1271">
        <v>0</v>
      </c>
      <c r="H111" s="1289">
        <v>0</v>
      </c>
      <c r="I111" s="400">
        <f t="shared" si="63"/>
        <v>0</v>
      </c>
      <c r="J111" s="401">
        <f t="shared" si="63"/>
        <v>0</v>
      </c>
      <c r="K111" s="402" cm="1">
        <f t="array" ref="K111">HE_fact_qM*INDEX(HE_MortalityLapsesCY,$C111,4)</f>
        <v>0.26251023393659045</v>
      </c>
      <c r="L111" s="403" cm="1">
        <f t="array" ref="L111">HE_fact_qF*INDEX(HE_MortalityLapsesCY,$C111,5)</f>
        <v>0.21642914262932034</v>
      </c>
      <c r="M111" s="404" cm="1">
        <f t="array" ref="M111">INDEX(HE_MortalityLapsesCY,$C111,5+(2*$L$7-1))</f>
        <v>2.9560036663611365E-2</v>
      </c>
      <c r="N111" s="405" cm="1">
        <f t="array" ref="N111">INDEX(HE_MortalityLapsesCY,$C111,5+2*$L$7)</f>
        <v>2.9560036663611365E-2</v>
      </c>
      <c r="O111" s="391">
        <f t="shared" si="64"/>
        <v>0.86874488303170483</v>
      </c>
      <c r="P111" s="1143">
        <f t="shared" si="64"/>
        <v>0.89178542868533983</v>
      </c>
      <c r="Q111" s="356">
        <f t="shared" si="51"/>
        <v>1929</v>
      </c>
      <c r="R111" s="337"/>
      <c r="S111" s="338"/>
      <c r="T111" s="664">
        <f t="shared" si="52"/>
        <v>0</v>
      </c>
      <c r="U111" s="665">
        <f t="shared" si="53"/>
        <v>0</v>
      </c>
      <c r="V111" s="337"/>
      <c r="W111" s="338"/>
      <c r="X111" s="383">
        <f t="shared" si="65"/>
        <v>0</v>
      </c>
      <c r="Y111" s="386">
        <f t="shared" si="65"/>
        <v>0</v>
      </c>
      <c r="Z111" s="534">
        <f t="shared" si="54"/>
        <v>1929</v>
      </c>
      <c r="AA111" s="664">
        <f t="shared" si="66"/>
        <v>0</v>
      </c>
      <c r="AB111" s="665">
        <f t="shared" si="66"/>
        <v>0</v>
      </c>
      <c r="AC111" s="337"/>
      <c r="AD111" s="338"/>
      <c r="AE111" s="383">
        <f t="shared" si="67"/>
        <v>0</v>
      </c>
      <c r="AF111" s="386">
        <f t="shared" si="67"/>
        <v>0</v>
      </c>
      <c r="AG111" s="534">
        <f t="shared" si="55"/>
        <v>1928</v>
      </c>
      <c r="AH111" s="1271">
        <f t="shared" si="68"/>
        <v>0</v>
      </c>
      <c r="AI111" s="1276">
        <f t="shared" si="69"/>
        <v>0</v>
      </c>
      <c r="AJ111" s="337"/>
      <c r="AK111" s="338"/>
      <c r="AL111" s="1271">
        <v>0</v>
      </c>
      <c r="AM111" s="1276">
        <v>0</v>
      </c>
      <c r="AN111" s="414">
        <f t="shared" si="56"/>
        <v>1</v>
      </c>
      <c r="AO111" s="413">
        <f t="shared" si="56"/>
        <v>1</v>
      </c>
      <c r="AP111" s="337"/>
      <c r="AQ111" s="338"/>
      <c r="AR111" s="664">
        <f t="shared" si="78"/>
        <v>0</v>
      </c>
      <c r="AS111" s="679">
        <f t="shared" si="78"/>
        <v>0</v>
      </c>
      <c r="AT111" s="383">
        <f t="shared" si="70"/>
        <v>0</v>
      </c>
      <c r="AU111" s="386">
        <f t="shared" si="70"/>
        <v>0</v>
      </c>
      <c r="AV111" s="534">
        <f t="shared" si="57"/>
        <v>1927</v>
      </c>
      <c r="AW111" s="1271">
        <f t="shared" si="71"/>
        <v>0</v>
      </c>
      <c r="AX111" s="1276">
        <f t="shared" si="72"/>
        <v>0</v>
      </c>
      <c r="AY111" s="337"/>
      <c r="AZ111" s="338"/>
      <c r="BA111" s="1271">
        <v>0</v>
      </c>
      <c r="BB111" s="1276">
        <v>0</v>
      </c>
      <c r="BC111" s="414">
        <f t="shared" si="58"/>
        <v>1</v>
      </c>
      <c r="BD111" s="413">
        <f t="shared" si="58"/>
        <v>1</v>
      </c>
      <c r="BE111" s="337"/>
      <c r="BF111" s="338"/>
      <c r="BG111" s="664">
        <f t="shared" si="79"/>
        <v>0</v>
      </c>
      <c r="BH111" s="679">
        <f t="shared" si="79"/>
        <v>0</v>
      </c>
      <c r="BI111" s="383">
        <f t="shared" si="73"/>
        <v>0</v>
      </c>
      <c r="BJ111" s="386">
        <f t="shared" si="73"/>
        <v>0</v>
      </c>
      <c r="BK111" s="534">
        <f t="shared" si="59"/>
        <v>1926</v>
      </c>
      <c r="BL111" s="1271">
        <f t="shared" si="74"/>
        <v>0</v>
      </c>
      <c r="BM111" s="1276">
        <f t="shared" si="75"/>
        <v>0</v>
      </c>
      <c r="BN111" s="337"/>
      <c r="BO111" s="338"/>
      <c r="BP111" s="1271">
        <v>0</v>
      </c>
      <c r="BQ111" s="1276">
        <v>0</v>
      </c>
      <c r="BR111" s="414">
        <f t="shared" si="60"/>
        <v>1</v>
      </c>
      <c r="BS111" s="413">
        <f t="shared" si="60"/>
        <v>1</v>
      </c>
      <c r="BT111" s="337"/>
      <c r="BU111" s="338"/>
      <c r="BV111" s="664">
        <f t="shared" si="80"/>
        <v>0</v>
      </c>
      <c r="BW111" s="679">
        <f t="shared" si="80"/>
        <v>0</v>
      </c>
      <c r="BX111" s="383">
        <f t="shared" si="76"/>
        <v>0</v>
      </c>
      <c r="BY111" s="386">
        <f t="shared" si="76"/>
        <v>0</v>
      </c>
      <c r="BZ111" s="534">
        <f t="shared" si="61"/>
        <v>1929</v>
      </c>
      <c r="CA111" s="664">
        <f t="shared" si="81"/>
        <v>0</v>
      </c>
      <c r="CB111" s="665">
        <f t="shared" si="81"/>
        <v>0</v>
      </c>
      <c r="CC111" s="684">
        <f t="shared" si="83"/>
        <v>0</v>
      </c>
      <c r="CD111" s="685">
        <f t="shared" si="84"/>
        <v>0</v>
      </c>
      <c r="CE111" s="337"/>
      <c r="CF111" s="338"/>
      <c r="CG111" s="383">
        <f t="shared" si="77"/>
        <v>0</v>
      </c>
      <c r="CH111" s="386">
        <f t="shared" si="77"/>
        <v>0</v>
      </c>
    </row>
    <row r="112" spans="2:86" x14ac:dyDescent="0.2">
      <c r="B112" s="276">
        <v>97</v>
      </c>
      <c r="C112" s="320">
        <f t="shared" si="62"/>
        <v>98</v>
      </c>
      <c r="D112" s="534">
        <f t="shared" si="50"/>
        <v>1928</v>
      </c>
      <c r="E112" s="337"/>
      <c r="F112" s="338"/>
      <c r="G112" s="1271">
        <v>0</v>
      </c>
      <c r="H112" s="1289">
        <v>0</v>
      </c>
      <c r="I112" s="400">
        <f t="shared" ref="I112:J125" si="85">E112-G112</f>
        <v>0</v>
      </c>
      <c r="J112" s="401">
        <f t="shared" si="85"/>
        <v>0</v>
      </c>
      <c r="K112" s="402" cm="1">
        <f t="array" ref="K112">HE_fact_qM*INDEX(HE_MortalityLapsesCY,$C112,4)</f>
        <v>0.28643223017168601</v>
      </c>
      <c r="L112" s="403" cm="1">
        <f t="array" ref="L112">HE_fact_qF*INDEX(HE_MortalityLapsesCY,$C112,5)</f>
        <v>0.23622233728155947</v>
      </c>
      <c r="M112" s="404" cm="1">
        <f t="array" ref="M112">INDEX(HE_MortalityLapsesCY,$C112,5+(2*$L$7-1))</f>
        <v>2.4562584118438761E-2</v>
      </c>
      <c r="N112" s="405" cm="1">
        <f t="array" ref="N112">INDEX(HE_MortalityLapsesCY,$C112,5+2*$L$7)</f>
        <v>2.4562584118438761E-2</v>
      </c>
      <c r="O112" s="391">
        <f t="shared" si="64"/>
        <v>0.85678388491415702</v>
      </c>
      <c r="P112" s="1143">
        <f t="shared" si="64"/>
        <v>0.88188883135922025</v>
      </c>
      <c r="Q112" s="356">
        <f t="shared" si="51"/>
        <v>1928</v>
      </c>
      <c r="R112" s="337"/>
      <c r="S112" s="338"/>
      <c r="T112" s="664">
        <f t="shared" si="52"/>
        <v>0</v>
      </c>
      <c r="U112" s="665">
        <f t="shared" si="53"/>
        <v>0</v>
      </c>
      <c r="V112" s="337"/>
      <c r="W112" s="338"/>
      <c r="X112" s="383">
        <f t="shared" si="65"/>
        <v>0</v>
      </c>
      <c r="Y112" s="386">
        <f t="shared" si="65"/>
        <v>0</v>
      </c>
      <c r="Z112" s="534">
        <f t="shared" si="54"/>
        <v>1928</v>
      </c>
      <c r="AA112" s="664">
        <f t="shared" si="66"/>
        <v>0</v>
      </c>
      <c r="AB112" s="665">
        <f t="shared" si="66"/>
        <v>0</v>
      </c>
      <c r="AC112" s="337"/>
      <c r="AD112" s="338"/>
      <c r="AE112" s="383">
        <f t="shared" si="67"/>
        <v>0</v>
      </c>
      <c r="AF112" s="386">
        <f t="shared" si="67"/>
        <v>0</v>
      </c>
      <c r="AG112" s="534">
        <f t="shared" si="55"/>
        <v>1927</v>
      </c>
      <c r="AH112" s="1271">
        <f t="shared" si="68"/>
        <v>0</v>
      </c>
      <c r="AI112" s="1276">
        <f t="shared" si="69"/>
        <v>0</v>
      </c>
      <c r="AJ112" s="337"/>
      <c r="AK112" s="338"/>
      <c r="AL112" s="1271">
        <v>0</v>
      </c>
      <c r="AM112" s="1276">
        <v>0</v>
      </c>
      <c r="AN112" s="414">
        <f t="shared" si="56"/>
        <v>1</v>
      </c>
      <c r="AO112" s="413">
        <f t="shared" si="56"/>
        <v>1</v>
      </c>
      <c r="AP112" s="337"/>
      <c r="AQ112" s="338"/>
      <c r="AR112" s="664">
        <f t="shared" si="78"/>
        <v>0</v>
      </c>
      <c r="AS112" s="679">
        <f t="shared" si="78"/>
        <v>0</v>
      </c>
      <c r="AT112" s="383">
        <f t="shared" si="70"/>
        <v>0</v>
      </c>
      <c r="AU112" s="386">
        <f t="shared" si="70"/>
        <v>0</v>
      </c>
      <c r="AV112" s="534">
        <f t="shared" si="57"/>
        <v>1926</v>
      </c>
      <c r="AW112" s="1271">
        <f t="shared" si="71"/>
        <v>0</v>
      </c>
      <c r="AX112" s="1276">
        <f t="shared" si="72"/>
        <v>0</v>
      </c>
      <c r="AY112" s="337"/>
      <c r="AZ112" s="338"/>
      <c r="BA112" s="1271">
        <v>0</v>
      </c>
      <c r="BB112" s="1276">
        <v>0</v>
      </c>
      <c r="BC112" s="414">
        <f t="shared" si="58"/>
        <v>1</v>
      </c>
      <c r="BD112" s="413">
        <f t="shared" si="58"/>
        <v>1</v>
      </c>
      <c r="BE112" s="337"/>
      <c r="BF112" s="338"/>
      <c r="BG112" s="664">
        <f t="shared" si="79"/>
        <v>0</v>
      </c>
      <c r="BH112" s="679">
        <f t="shared" si="79"/>
        <v>0</v>
      </c>
      <c r="BI112" s="383">
        <f t="shared" si="73"/>
        <v>0</v>
      </c>
      <c r="BJ112" s="386">
        <f t="shared" si="73"/>
        <v>0</v>
      </c>
      <c r="BK112" s="534">
        <f t="shared" si="59"/>
        <v>1925</v>
      </c>
      <c r="BL112" s="1271">
        <f t="shared" si="74"/>
        <v>0</v>
      </c>
      <c r="BM112" s="1276">
        <f t="shared" si="75"/>
        <v>0</v>
      </c>
      <c r="BN112" s="337"/>
      <c r="BO112" s="338"/>
      <c r="BP112" s="1271">
        <v>0</v>
      </c>
      <c r="BQ112" s="1276">
        <v>0</v>
      </c>
      <c r="BR112" s="414">
        <f t="shared" si="60"/>
        <v>1</v>
      </c>
      <c r="BS112" s="413">
        <f t="shared" si="60"/>
        <v>1</v>
      </c>
      <c r="BT112" s="337"/>
      <c r="BU112" s="338"/>
      <c r="BV112" s="664">
        <f t="shared" si="80"/>
        <v>0</v>
      </c>
      <c r="BW112" s="679">
        <f t="shared" si="80"/>
        <v>0</v>
      </c>
      <c r="BX112" s="383">
        <f t="shared" si="76"/>
        <v>0</v>
      </c>
      <c r="BY112" s="386">
        <f t="shared" si="76"/>
        <v>0</v>
      </c>
      <c r="BZ112" s="534">
        <f t="shared" si="61"/>
        <v>1928</v>
      </c>
      <c r="CA112" s="664">
        <f t="shared" si="81"/>
        <v>0</v>
      </c>
      <c r="CB112" s="665">
        <f t="shared" si="81"/>
        <v>0</v>
      </c>
      <c r="CC112" s="684">
        <f t="shared" si="83"/>
        <v>0</v>
      </c>
      <c r="CD112" s="685">
        <f t="shared" si="84"/>
        <v>0</v>
      </c>
      <c r="CE112" s="337"/>
      <c r="CF112" s="338"/>
      <c r="CG112" s="383">
        <f t="shared" si="77"/>
        <v>0</v>
      </c>
      <c r="CH112" s="386">
        <f t="shared" si="77"/>
        <v>0</v>
      </c>
    </row>
    <row r="113" spans="2:86" x14ac:dyDescent="0.2">
      <c r="B113" s="276">
        <v>98</v>
      </c>
      <c r="C113" s="320">
        <f t="shared" si="62"/>
        <v>99</v>
      </c>
      <c r="D113" s="534">
        <f t="shared" si="50"/>
        <v>1927</v>
      </c>
      <c r="E113" s="337"/>
      <c r="F113" s="338"/>
      <c r="G113" s="1271">
        <v>0</v>
      </c>
      <c r="H113" s="1289">
        <v>0</v>
      </c>
      <c r="I113" s="400">
        <f t="shared" si="85"/>
        <v>0</v>
      </c>
      <c r="J113" s="401">
        <f t="shared" si="85"/>
        <v>0</v>
      </c>
      <c r="K113" s="402" cm="1">
        <f t="array" ref="K113">HE_fact_qM*INDEX(HE_MortalityLapsesCY,$C113,4)</f>
        <v>0.31040477074813355</v>
      </c>
      <c r="L113" s="403" cm="1">
        <f t="array" ref="L113">HE_fact_qF*INDEX(HE_MortalityLapsesCY,$C113,5)</f>
        <v>0.25649228576228389</v>
      </c>
      <c r="M113" s="404" cm="1">
        <f t="array" ref="M113">INDEX(HE_MortalityLapsesCY,$C113,5+(2*$L$7-1))</f>
        <v>2.5940996948118005E-2</v>
      </c>
      <c r="N113" s="405" cm="1">
        <f t="array" ref="N113">INDEX(HE_MortalityLapsesCY,$C113,5+2*$L$7)</f>
        <v>2.5940996948118005E-2</v>
      </c>
      <c r="O113" s="391">
        <f t="shared" si="64"/>
        <v>0.84479761462593328</v>
      </c>
      <c r="P113" s="1143">
        <f t="shared" si="64"/>
        <v>0.87175385711885811</v>
      </c>
      <c r="Q113" s="356">
        <f t="shared" si="51"/>
        <v>1927</v>
      </c>
      <c r="R113" s="337"/>
      <c r="S113" s="338"/>
      <c r="T113" s="664">
        <f t="shared" si="52"/>
        <v>0</v>
      </c>
      <c r="U113" s="665">
        <f t="shared" si="53"/>
        <v>0</v>
      </c>
      <c r="V113" s="337"/>
      <c r="W113" s="338"/>
      <c r="X113" s="383">
        <f t="shared" si="65"/>
        <v>0</v>
      </c>
      <c r="Y113" s="386">
        <f t="shared" si="65"/>
        <v>0</v>
      </c>
      <c r="Z113" s="534">
        <f t="shared" si="54"/>
        <v>1927</v>
      </c>
      <c r="AA113" s="664">
        <f t="shared" si="66"/>
        <v>0</v>
      </c>
      <c r="AB113" s="665">
        <f t="shared" si="66"/>
        <v>0</v>
      </c>
      <c r="AC113" s="337"/>
      <c r="AD113" s="338"/>
      <c r="AE113" s="383">
        <f t="shared" si="67"/>
        <v>0</v>
      </c>
      <c r="AF113" s="386">
        <f t="shared" si="67"/>
        <v>0</v>
      </c>
      <c r="AG113" s="534">
        <f t="shared" si="55"/>
        <v>1926</v>
      </c>
      <c r="AH113" s="1271">
        <f t="shared" si="68"/>
        <v>0</v>
      </c>
      <c r="AI113" s="1276">
        <f t="shared" si="69"/>
        <v>0</v>
      </c>
      <c r="AJ113" s="337"/>
      <c r="AK113" s="338"/>
      <c r="AL113" s="1271">
        <v>0</v>
      </c>
      <c r="AM113" s="1276">
        <v>0</v>
      </c>
      <c r="AN113" s="414">
        <f t="shared" si="56"/>
        <v>1</v>
      </c>
      <c r="AO113" s="413">
        <f t="shared" si="56"/>
        <v>1</v>
      </c>
      <c r="AP113" s="337"/>
      <c r="AQ113" s="338"/>
      <c r="AR113" s="664">
        <f t="shared" si="78"/>
        <v>0</v>
      </c>
      <c r="AS113" s="679">
        <f t="shared" si="78"/>
        <v>0</v>
      </c>
      <c r="AT113" s="383">
        <f t="shared" si="70"/>
        <v>0</v>
      </c>
      <c r="AU113" s="386">
        <f t="shared" si="70"/>
        <v>0</v>
      </c>
      <c r="AV113" s="534">
        <f t="shared" si="57"/>
        <v>1925</v>
      </c>
      <c r="AW113" s="1271">
        <f t="shared" si="71"/>
        <v>0</v>
      </c>
      <c r="AX113" s="1276">
        <f t="shared" si="72"/>
        <v>0</v>
      </c>
      <c r="AY113" s="337"/>
      <c r="AZ113" s="338"/>
      <c r="BA113" s="1271">
        <v>0</v>
      </c>
      <c r="BB113" s="1276">
        <v>0</v>
      </c>
      <c r="BC113" s="414">
        <f t="shared" si="58"/>
        <v>1</v>
      </c>
      <c r="BD113" s="413">
        <f t="shared" si="58"/>
        <v>1</v>
      </c>
      <c r="BE113" s="337"/>
      <c r="BF113" s="338"/>
      <c r="BG113" s="664">
        <f t="shared" si="79"/>
        <v>0</v>
      </c>
      <c r="BH113" s="679">
        <f t="shared" si="79"/>
        <v>0</v>
      </c>
      <c r="BI113" s="383">
        <f t="shared" si="73"/>
        <v>0</v>
      </c>
      <c r="BJ113" s="386">
        <f t="shared" si="73"/>
        <v>0</v>
      </c>
      <c r="BK113" s="534">
        <f t="shared" si="59"/>
        <v>1924</v>
      </c>
      <c r="BL113" s="1271">
        <f t="shared" si="74"/>
        <v>0</v>
      </c>
      <c r="BM113" s="1276">
        <f t="shared" si="75"/>
        <v>0</v>
      </c>
      <c r="BN113" s="337"/>
      <c r="BO113" s="338"/>
      <c r="BP113" s="1271">
        <v>0</v>
      </c>
      <c r="BQ113" s="1276">
        <v>0</v>
      </c>
      <c r="BR113" s="414">
        <f t="shared" si="60"/>
        <v>1</v>
      </c>
      <c r="BS113" s="413">
        <f t="shared" si="60"/>
        <v>1</v>
      </c>
      <c r="BT113" s="337"/>
      <c r="BU113" s="338"/>
      <c r="BV113" s="664">
        <f t="shared" si="80"/>
        <v>0</v>
      </c>
      <c r="BW113" s="679">
        <f t="shared" si="80"/>
        <v>0</v>
      </c>
      <c r="BX113" s="383">
        <f t="shared" si="76"/>
        <v>0</v>
      </c>
      <c r="BY113" s="386">
        <f t="shared" si="76"/>
        <v>0</v>
      </c>
      <c r="BZ113" s="534">
        <f t="shared" si="61"/>
        <v>1927</v>
      </c>
      <c r="CA113" s="664">
        <f t="shared" si="81"/>
        <v>0</v>
      </c>
      <c r="CB113" s="665">
        <f t="shared" si="81"/>
        <v>0</v>
      </c>
      <c r="CC113" s="684">
        <f t="shared" si="83"/>
        <v>0</v>
      </c>
      <c r="CD113" s="685">
        <f t="shared" si="84"/>
        <v>0</v>
      </c>
      <c r="CE113" s="337"/>
      <c r="CF113" s="338"/>
      <c r="CG113" s="383">
        <f t="shared" si="77"/>
        <v>0</v>
      </c>
      <c r="CH113" s="386">
        <f t="shared" si="77"/>
        <v>0</v>
      </c>
    </row>
    <row r="114" spans="2:86" x14ac:dyDescent="0.2">
      <c r="B114" s="276">
        <v>99</v>
      </c>
      <c r="C114" s="320">
        <f t="shared" si="62"/>
        <v>100</v>
      </c>
      <c r="D114" s="534">
        <f t="shared" si="50"/>
        <v>1926</v>
      </c>
      <c r="E114" s="337"/>
      <c r="F114" s="338"/>
      <c r="G114" s="1271">
        <v>0</v>
      </c>
      <c r="H114" s="1289">
        <v>0</v>
      </c>
      <c r="I114" s="400">
        <f t="shared" si="85"/>
        <v>0</v>
      </c>
      <c r="J114" s="401">
        <f t="shared" si="85"/>
        <v>0</v>
      </c>
      <c r="K114" s="402" cm="1">
        <f t="array" ref="K114">HE_fact_qM*INDEX(HE_MortalityLapsesCY,$C114,4)</f>
        <v>0.33405775395098286</v>
      </c>
      <c r="L114" s="403" cm="1">
        <f t="array" ref="L114">HE_fact_qF*INDEX(HE_MortalityLapsesCY,$C114,5)</f>
        <v>0.27757361803106501</v>
      </c>
      <c r="M114" s="404" cm="1">
        <f t="array" ref="M114">INDEX(HE_MortalityLapsesCY,$C114,5+(2*$L$7-1))</f>
        <v>2.8374233128834355E-2</v>
      </c>
      <c r="N114" s="405" cm="1">
        <f t="array" ref="N114">INDEX(HE_MortalityLapsesCY,$C114,5+2*$L$7)</f>
        <v>2.8374233128834355E-2</v>
      </c>
      <c r="O114" s="391">
        <f t="shared" si="64"/>
        <v>0.8329711230245086</v>
      </c>
      <c r="P114" s="1143">
        <f t="shared" si="64"/>
        <v>0.86121319098446747</v>
      </c>
      <c r="Q114" s="356">
        <f t="shared" si="51"/>
        <v>1926</v>
      </c>
      <c r="R114" s="337"/>
      <c r="S114" s="338"/>
      <c r="T114" s="664">
        <f t="shared" si="52"/>
        <v>0</v>
      </c>
      <c r="U114" s="665">
        <f t="shared" si="53"/>
        <v>0</v>
      </c>
      <c r="V114" s="337"/>
      <c r="W114" s="338"/>
      <c r="X114" s="383">
        <f t="shared" si="65"/>
        <v>0</v>
      </c>
      <c r="Y114" s="386">
        <f t="shared" si="65"/>
        <v>0</v>
      </c>
      <c r="Z114" s="534">
        <f t="shared" si="54"/>
        <v>1926</v>
      </c>
      <c r="AA114" s="664">
        <f t="shared" si="66"/>
        <v>0</v>
      </c>
      <c r="AB114" s="665">
        <f t="shared" si="66"/>
        <v>0</v>
      </c>
      <c r="AC114" s="337"/>
      <c r="AD114" s="338"/>
      <c r="AE114" s="383">
        <f t="shared" si="67"/>
        <v>0</v>
      </c>
      <c r="AF114" s="386">
        <f t="shared" si="67"/>
        <v>0</v>
      </c>
      <c r="AG114" s="534">
        <f t="shared" si="55"/>
        <v>1925</v>
      </c>
      <c r="AH114" s="1271">
        <f t="shared" si="68"/>
        <v>0</v>
      </c>
      <c r="AI114" s="1276">
        <f t="shared" si="69"/>
        <v>0</v>
      </c>
      <c r="AJ114" s="337"/>
      <c r="AK114" s="338"/>
      <c r="AL114" s="1271">
        <v>0</v>
      </c>
      <c r="AM114" s="1276">
        <v>0</v>
      </c>
      <c r="AN114" s="414">
        <f t="shared" si="56"/>
        <v>1</v>
      </c>
      <c r="AO114" s="413">
        <f t="shared" si="56"/>
        <v>1</v>
      </c>
      <c r="AP114" s="337"/>
      <c r="AQ114" s="338"/>
      <c r="AR114" s="664">
        <f t="shared" si="78"/>
        <v>0</v>
      </c>
      <c r="AS114" s="679">
        <f t="shared" si="78"/>
        <v>0</v>
      </c>
      <c r="AT114" s="383">
        <f t="shared" si="70"/>
        <v>0</v>
      </c>
      <c r="AU114" s="386">
        <f t="shared" si="70"/>
        <v>0</v>
      </c>
      <c r="AV114" s="534">
        <f t="shared" si="57"/>
        <v>1924</v>
      </c>
      <c r="AW114" s="1271">
        <f t="shared" si="71"/>
        <v>0</v>
      </c>
      <c r="AX114" s="1276">
        <f t="shared" si="72"/>
        <v>0</v>
      </c>
      <c r="AY114" s="337"/>
      <c r="AZ114" s="338"/>
      <c r="BA114" s="1271">
        <v>0</v>
      </c>
      <c r="BB114" s="1276">
        <v>0</v>
      </c>
      <c r="BC114" s="414">
        <f t="shared" si="58"/>
        <v>1</v>
      </c>
      <c r="BD114" s="413">
        <f t="shared" si="58"/>
        <v>1</v>
      </c>
      <c r="BE114" s="337"/>
      <c r="BF114" s="338"/>
      <c r="BG114" s="664">
        <f t="shared" si="79"/>
        <v>0</v>
      </c>
      <c r="BH114" s="679">
        <f t="shared" si="79"/>
        <v>0</v>
      </c>
      <c r="BI114" s="383">
        <f t="shared" si="73"/>
        <v>0</v>
      </c>
      <c r="BJ114" s="386">
        <f t="shared" si="73"/>
        <v>0</v>
      </c>
      <c r="BK114" s="534">
        <f t="shared" si="59"/>
        <v>1923</v>
      </c>
      <c r="BL114" s="1271">
        <f t="shared" si="74"/>
        <v>0</v>
      </c>
      <c r="BM114" s="1276">
        <f t="shared" si="75"/>
        <v>0</v>
      </c>
      <c r="BN114" s="337"/>
      <c r="BO114" s="338"/>
      <c r="BP114" s="1271">
        <v>0</v>
      </c>
      <c r="BQ114" s="1276">
        <v>0</v>
      </c>
      <c r="BR114" s="414">
        <f t="shared" si="60"/>
        <v>1</v>
      </c>
      <c r="BS114" s="413">
        <f t="shared" si="60"/>
        <v>1</v>
      </c>
      <c r="BT114" s="337"/>
      <c r="BU114" s="338"/>
      <c r="BV114" s="664">
        <f t="shared" si="80"/>
        <v>0</v>
      </c>
      <c r="BW114" s="679">
        <f t="shared" si="80"/>
        <v>0</v>
      </c>
      <c r="BX114" s="383">
        <f t="shared" si="76"/>
        <v>0</v>
      </c>
      <c r="BY114" s="386">
        <f t="shared" si="76"/>
        <v>0</v>
      </c>
      <c r="BZ114" s="534">
        <f t="shared" si="61"/>
        <v>1926</v>
      </c>
      <c r="CA114" s="664">
        <f t="shared" si="81"/>
        <v>0</v>
      </c>
      <c r="CB114" s="665">
        <f t="shared" si="81"/>
        <v>0</v>
      </c>
      <c r="CC114" s="684">
        <f t="shared" si="83"/>
        <v>0</v>
      </c>
      <c r="CD114" s="685">
        <f t="shared" si="84"/>
        <v>0</v>
      </c>
      <c r="CE114" s="337"/>
      <c r="CF114" s="338"/>
      <c r="CG114" s="383">
        <f t="shared" si="77"/>
        <v>0</v>
      </c>
      <c r="CH114" s="386">
        <f t="shared" si="77"/>
        <v>0</v>
      </c>
    </row>
    <row r="115" spans="2:86" ht="13.5" thickBot="1" x14ac:dyDescent="0.25">
      <c r="B115" s="313">
        <v>100</v>
      </c>
      <c r="C115" s="321">
        <f t="shared" si="62"/>
        <v>101</v>
      </c>
      <c r="D115" s="535">
        <f t="shared" si="50"/>
        <v>1925</v>
      </c>
      <c r="E115" s="341"/>
      <c r="F115" s="340"/>
      <c r="G115" s="1277">
        <v>0</v>
      </c>
      <c r="H115" s="1290">
        <v>0</v>
      </c>
      <c r="I115" s="406">
        <f t="shared" si="85"/>
        <v>0</v>
      </c>
      <c r="J115" s="407">
        <f t="shared" si="85"/>
        <v>0</v>
      </c>
      <c r="K115" s="408" cm="1">
        <f t="array" ref="K115">HE_fact_qM*INDEX(HE_MortalityLapsesCY,$C115,4)</f>
        <v>0.89100000000000001</v>
      </c>
      <c r="L115" s="409" cm="1">
        <f t="array" ref="L115">HE_fact_qF*INDEX(HE_MortalityLapsesCY,$C115,5)</f>
        <v>0.88600000000000001</v>
      </c>
      <c r="M115" s="410" cm="1">
        <f t="array" ref="M115">INDEX(HE_MortalityLapsesCY,$C115,5+(2*$L$7-1))</f>
        <v>1</v>
      </c>
      <c r="N115" s="411" cm="1">
        <f t="array" ref="N115">INDEX(HE_MortalityLapsesCY,$C115,5+2*$L$7)</f>
        <v>1</v>
      </c>
      <c r="O115" s="392">
        <f t="shared" si="64"/>
        <v>0.55449999999999999</v>
      </c>
      <c r="P115" s="1144">
        <f t="shared" si="64"/>
        <v>0.55699999999999994</v>
      </c>
      <c r="Q115" s="313">
        <f t="shared" si="51"/>
        <v>1925</v>
      </c>
      <c r="R115" s="341"/>
      <c r="S115" s="340"/>
      <c r="T115" s="666">
        <f t="shared" si="52"/>
        <v>0</v>
      </c>
      <c r="U115" s="667">
        <f t="shared" si="53"/>
        <v>0</v>
      </c>
      <c r="V115" s="341"/>
      <c r="W115" s="340"/>
      <c r="X115" s="384">
        <f t="shared" si="65"/>
        <v>0</v>
      </c>
      <c r="Y115" s="387">
        <f t="shared" si="65"/>
        <v>0</v>
      </c>
      <c r="Z115" s="535">
        <f t="shared" si="54"/>
        <v>1925</v>
      </c>
      <c r="AA115" s="666">
        <f t="shared" si="66"/>
        <v>0</v>
      </c>
      <c r="AB115" s="667">
        <f t="shared" si="66"/>
        <v>0</v>
      </c>
      <c r="AC115" s="341"/>
      <c r="AD115" s="340"/>
      <c r="AE115" s="384">
        <f t="shared" si="67"/>
        <v>0</v>
      </c>
      <c r="AF115" s="387">
        <f t="shared" si="67"/>
        <v>0</v>
      </c>
      <c r="AG115" s="535">
        <f t="shared" si="55"/>
        <v>1924</v>
      </c>
      <c r="AH115" s="1277">
        <f t="shared" si="68"/>
        <v>0</v>
      </c>
      <c r="AI115" s="1278">
        <f t="shared" si="69"/>
        <v>0</v>
      </c>
      <c r="AJ115" s="341"/>
      <c r="AK115" s="340"/>
      <c r="AL115" s="1277">
        <v>0</v>
      </c>
      <c r="AM115" s="1278">
        <v>0</v>
      </c>
      <c r="AN115" s="415">
        <f t="shared" si="56"/>
        <v>1</v>
      </c>
      <c r="AO115" s="416">
        <f t="shared" si="56"/>
        <v>1</v>
      </c>
      <c r="AP115" s="341"/>
      <c r="AQ115" s="340"/>
      <c r="AR115" s="666">
        <f t="shared" si="78"/>
        <v>0</v>
      </c>
      <c r="AS115" s="680">
        <f t="shared" si="78"/>
        <v>0</v>
      </c>
      <c r="AT115" s="384">
        <f t="shared" si="70"/>
        <v>0</v>
      </c>
      <c r="AU115" s="387">
        <f t="shared" si="70"/>
        <v>0</v>
      </c>
      <c r="AV115" s="535">
        <f t="shared" si="57"/>
        <v>1923</v>
      </c>
      <c r="AW115" s="1277">
        <f t="shared" si="71"/>
        <v>0</v>
      </c>
      <c r="AX115" s="1278">
        <f t="shared" si="72"/>
        <v>0</v>
      </c>
      <c r="AY115" s="341"/>
      <c r="AZ115" s="340"/>
      <c r="BA115" s="1277">
        <v>0</v>
      </c>
      <c r="BB115" s="1278">
        <v>0</v>
      </c>
      <c r="BC115" s="415">
        <f t="shared" si="58"/>
        <v>1</v>
      </c>
      <c r="BD115" s="416">
        <f t="shared" si="58"/>
        <v>1</v>
      </c>
      <c r="BE115" s="341"/>
      <c r="BF115" s="340"/>
      <c r="BG115" s="666">
        <f t="shared" si="79"/>
        <v>0</v>
      </c>
      <c r="BH115" s="680">
        <f t="shared" si="79"/>
        <v>0</v>
      </c>
      <c r="BI115" s="384">
        <f t="shared" si="73"/>
        <v>0</v>
      </c>
      <c r="BJ115" s="387">
        <f t="shared" si="73"/>
        <v>0</v>
      </c>
      <c r="BK115" s="535">
        <f t="shared" si="59"/>
        <v>1922</v>
      </c>
      <c r="BL115" s="1277">
        <f t="shared" si="74"/>
        <v>0</v>
      </c>
      <c r="BM115" s="1278">
        <f t="shared" si="75"/>
        <v>0</v>
      </c>
      <c r="BN115" s="341"/>
      <c r="BO115" s="340"/>
      <c r="BP115" s="1277">
        <v>0</v>
      </c>
      <c r="BQ115" s="1278">
        <v>0</v>
      </c>
      <c r="BR115" s="415">
        <f t="shared" si="60"/>
        <v>1</v>
      </c>
      <c r="BS115" s="416">
        <f t="shared" si="60"/>
        <v>1</v>
      </c>
      <c r="BT115" s="341"/>
      <c r="BU115" s="340"/>
      <c r="BV115" s="666">
        <f t="shared" si="80"/>
        <v>0</v>
      </c>
      <c r="BW115" s="680">
        <f t="shared" si="80"/>
        <v>0</v>
      </c>
      <c r="BX115" s="384">
        <f t="shared" si="76"/>
        <v>0</v>
      </c>
      <c r="BY115" s="387">
        <f t="shared" si="76"/>
        <v>0</v>
      </c>
      <c r="BZ115" s="535">
        <f t="shared" si="61"/>
        <v>1925</v>
      </c>
      <c r="CA115" s="666">
        <f t="shared" si="81"/>
        <v>0</v>
      </c>
      <c r="CB115" s="667">
        <f t="shared" si="81"/>
        <v>0</v>
      </c>
      <c r="CC115" s="686">
        <f t="shared" si="83"/>
        <v>0</v>
      </c>
      <c r="CD115" s="687">
        <f t="shared" si="84"/>
        <v>0</v>
      </c>
      <c r="CE115" s="341"/>
      <c r="CF115" s="340"/>
      <c r="CG115" s="384">
        <f t="shared" si="77"/>
        <v>0</v>
      </c>
      <c r="CH115" s="387">
        <f t="shared" si="77"/>
        <v>0</v>
      </c>
    </row>
    <row r="116" spans="2:86" ht="13.5" thickTop="1" x14ac:dyDescent="0.2">
      <c r="B116" s="276">
        <v>101</v>
      </c>
      <c r="C116" s="320">
        <f t="shared" si="62"/>
        <v>102</v>
      </c>
      <c r="D116" s="534">
        <f t="shared" si="50"/>
        <v>1924</v>
      </c>
      <c r="E116" s="337"/>
      <c r="F116" s="338"/>
      <c r="G116" s="1271">
        <v>0</v>
      </c>
      <c r="H116" s="1289">
        <v>0</v>
      </c>
      <c r="I116" s="400">
        <f t="shared" si="85"/>
        <v>0</v>
      </c>
      <c r="J116" s="401">
        <f t="shared" si="85"/>
        <v>0</v>
      </c>
      <c r="K116" s="649" cm="1">
        <f t="array" ref="K116">INDEX(HE_MortalityLapsesCY,$C116,4)</f>
        <v>1</v>
      </c>
      <c r="L116" s="650" cm="1">
        <f t="array" ref="L116">INDEX(HE_MortalityLapsesCY,$C116,5)</f>
        <v>1</v>
      </c>
      <c r="M116" s="404" cm="1">
        <f t="array" ref="M116">INDEX(HE_MortalityLapsesCY,$C116,5+(2*$L$7-1))</f>
        <v>1</v>
      </c>
      <c r="N116" s="405" cm="1">
        <f t="array" ref="N116">INDEX(HE_MortalityLapsesCY,$C116,5+2*$L$7)</f>
        <v>1</v>
      </c>
      <c r="O116" s="391">
        <f t="shared" si="64"/>
        <v>0.5</v>
      </c>
      <c r="P116" s="1143">
        <f t="shared" si="64"/>
        <v>0.5</v>
      </c>
      <c r="Q116" s="356">
        <f t="shared" si="51"/>
        <v>1924</v>
      </c>
      <c r="R116" s="337"/>
      <c r="S116" s="338"/>
      <c r="T116" s="664">
        <f t="shared" si="52"/>
        <v>0</v>
      </c>
      <c r="U116" s="665">
        <f t="shared" si="53"/>
        <v>0</v>
      </c>
      <c r="V116" s="337"/>
      <c r="W116" s="338"/>
      <c r="X116" s="383">
        <f t="shared" si="65"/>
        <v>0</v>
      </c>
      <c r="Y116" s="386">
        <f t="shared" si="65"/>
        <v>0</v>
      </c>
      <c r="Z116" s="534">
        <f t="shared" si="54"/>
        <v>1924</v>
      </c>
      <c r="AA116" s="664">
        <f t="shared" si="66"/>
        <v>0</v>
      </c>
      <c r="AB116" s="665">
        <f t="shared" si="66"/>
        <v>0</v>
      </c>
      <c r="AC116" s="337"/>
      <c r="AD116" s="338"/>
      <c r="AE116" s="383">
        <f t="shared" si="67"/>
        <v>0</v>
      </c>
      <c r="AF116" s="386">
        <f t="shared" si="67"/>
        <v>0</v>
      </c>
      <c r="AG116" s="534">
        <f t="shared" si="55"/>
        <v>1923</v>
      </c>
      <c r="AH116" s="1271">
        <f t="shared" si="68"/>
        <v>0</v>
      </c>
      <c r="AI116" s="1276">
        <f t="shared" si="69"/>
        <v>0</v>
      </c>
      <c r="AJ116" s="337"/>
      <c r="AK116" s="338"/>
      <c r="AL116" s="1271">
        <v>0</v>
      </c>
      <c r="AM116" s="1276">
        <v>0</v>
      </c>
      <c r="AN116" s="414">
        <f t="shared" si="56"/>
        <v>1</v>
      </c>
      <c r="AO116" s="413">
        <f t="shared" si="56"/>
        <v>1</v>
      </c>
      <c r="AP116" s="337"/>
      <c r="AQ116" s="338"/>
      <c r="AR116" s="664">
        <f t="shared" si="78"/>
        <v>0</v>
      </c>
      <c r="AS116" s="679">
        <f t="shared" si="78"/>
        <v>0</v>
      </c>
      <c r="AT116" s="383">
        <f t="shared" si="70"/>
        <v>0</v>
      </c>
      <c r="AU116" s="386">
        <f t="shared" si="70"/>
        <v>0</v>
      </c>
      <c r="AV116" s="534">
        <f t="shared" si="57"/>
        <v>1922</v>
      </c>
      <c r="AW116" s="1271">
        <f t="shared" si="71"/>
        <v>0</v>
      </c>
      <c r="AX116" s="1276">
        <f t="shared" si="72"/>
        <v>0</v>
      </c>
      <c r="AY116" s="337"/>
      <c r="AZ116" s="338"/>
      <c r="BA116" s="1271">
        <v>0</v>
      </c>
      <c r="BB116" s="1276">
        <v>0</v>
      </c>
      <c r="BC116" s="414">
        <f t="shared" si="58"/>
        <v>1</v>
      </c>
      <c r="BD116" s="413">
        <f t="shared" si="58"/>
        <v>1</v>
      </c>
      <c r="BE116" s="337"/>
      <c r="BF116" s="338"/>
      <c r="BG116" s="664">
        <f t="shared" si="79"/>
        <v>0</v>
      </c>
      <c r="BH116" s="679">
        <f t="shared" si="79"/>
        <v>0</v>
      </c>
      <c r="BI116" s="383">
        <f t="shared" si="73"/>
        <v>0</v>
      </c>
      <c r="BJ116" s="386">
        <f t="shared" si="73"/>
        <v>0</v>
      </c>
      <c r="BK116" s="534">
        <f t="shared" si="59"/>
        <v>1921</v>
      </c>
      <c r="BL116" s="1271">
        <f t="shared" si="74"/>
        <v>0</v>
      </c>
      <c r="BM116" s="1276">
        <f t="shared" si="75"/>
        <v>0</v>
      </c>
      <c r="BN116" s="337"/>
      <c r="BO116" s="338"/>
      <c r="BP116" s="1271">
        <v>0</v>
      </c>
      <c r="BQ116" s="1276">
        <v>0</v>
      </c>
      <c r="BR116" s="414">
        <f t="shared" si="60"/>
        <v>1</v>
      </c>
      <c r="BS116" s="413">
        <f t="shared" si="60"/>
        <v>1</v>
      </c>
      <c r="BT116" s="337"/>
      <c r="BU116" s="338"/>
      <c r="BV116" s="664">
        <f t="shared" si="80"/>
        <v>0</v>
      </c>
      <c r="BW116" s="679">
        <f t="shared" si="80"/>
        <v>0</v>
      </c>
      <c r="BX116" s="383">
        <f t="shared" si="76"/>
        <v>0</v>
      </c>
      <c r="BY116" s="386">
        <f t="shared" si="76"/>
        <v>0</v>
      </c>
      <c r="BZ116" s="534">
        <f t="shared" si="61"/>
        <v>1924</v>
      </c>
      <c r="CA116" s="664">
        <f t="shared" si="81"/>
        <v>0</v>
      </c>
      <c r="CB116" s="665">
        <f t="shared" si="81"/>
        <v>0</v>
      </c>
      <c r="CC116" s="684">
        <f t="shared" si="83"/>
        <v>0</v>
      </c>
      <c r="CD116" s="685">
        <f t="shared" si="84"/>
        <v>0</v>
      </c>
      <c r="CE116" s="337"/>
      <c r="CF116" s="338"/>
      <c r="CG116" s="383">
        <f t="shared" si="77"/>
        <v>0</v>
      </c>
      <c r="CH116" s="386">
        <f t="shared" si="77"/>
        <v>0</v>
      </c>
    </row>
    <row r="117" spans="2:86" x14ac:dyDescent="0.2">
      <c r="B117" s="276">
        <v>102</v>
      </c>
      <c r="C117" s="320">
        <f t="shared" si="62"/>
        <v>103</v>
      </c>
      <c r="D117" s="534">
        <f t="shared" si="50"/>
        <v>1923</v>
      </c>
      <c r="E117" s="337"/>
      <c r="F117" s="338"/>
      <c r="G117" s="1271">
        <v>0</v>
      </c>
      <c r="H117" s="1289">
        <v>0</v>
      </c>
      <c r="I117" s="400">
        <f t="shared" si="85"/>
        <v>0</v>
      </c>
      <c r="J117" s="401">
        <f t="shared" si="85"/>
        <v>0</v>
      </c>
      <c r="K117" s="649" cm="1">
        <f t="array" ref="K117">INDEX(HE_MortalityLapsesCY,$C117,4)</f>
        <v>1</v>
      </c>
      <c r="L117" s="650" cm="1">
        <f t="array" ref="L117">INDEX(HE_MortalityLapsesCY,$C117,5)</f>
        <v>1</v>
      </c>
      <c r="M117" s="404" cm="1">
        <f t="array" ref="M117">INDEX(HE_MortalityLapsesCY,$C117,5+(2*$L$7-1))</f>
        <v>1</v>
      </c>
      <c r="N117" s="405" cm="1">
        <f t="array" ref="N117">INDEX(HE_MortalityLapsesCY,$C117,5+2*$L$7)</f>
        <v>1</v>
      </c>
      <c r="O117" s="391">
        <f t="shared" si="64"/>
        <v>0.5</v>
      </c>
      <c r="P117" s="1143">
        <f t="shared" si="64"/>
        <v>0.5</v>
      </c>
      <c r="Q117" s="356">
        <f t="shared" si="51"/>
        <v>1923</v>
      </c>
      <c r="R117" s="337"/>
      <c r="S117" s="338"/>
      <c r="T117" s="664">
        <f t="shared" si="52"/>
        <v>0</v>
      </c>
      <c r="U117" s="665">
        <f t="shared" si="53"/>
        <v>0</v>
      </c>
      <c r="V117" s="337"/>
      <c r="W117" s="338"/>
      <c r="X117" s="383">
        <f t="shared" si="65"/>
        <v>0</v>
      </c>
      <c r="Y117" s="386">
        <f t="shared" si="65"/>
        <v>0</v>
      </c>
      <c r="Z117" s="534">
        <f t="shared" si="54"/>
        <v>1923</v>
      </c>
      <c r="AA117" s="664">
        <f t="shared" si="66"/>
        <v>0</v>
      </c>
      <c r="AB117" s="665">
        <f t="shared" si="66"/>
        <v>0</v>
      </c>
      <c r="AC117" s="337"/>
      <c r="AD117" s="338"/>
      <c r="AE117" s="383">
        <f t="shared" si="67"/>
        <v>0</v>
      </c>
      <c r="AF117" s="386">
        <f t="shared" si="67"/>
        <v>0</v>
      </c>
      <c r="AG117" s="534">
        <f t="shared" si="55"/>
        <v>1922</v>
      </c>
      <c r="AH117" s="1271">
        <f t="shared" si="68"/>
        <v>0</v>
      </c>
      <c r="AI117" s="1276">
        <f t="shared" si="69"/>
        <v>0</v>
      </c>
      <c r="AJ117" s="337"/>
      <c r="AK117" s="338"/>
      <c r="AL117" s="1271">
        <v>0</v>
      </c>
      <c r="AM117" s="1276">
        <v>0</v>
      </c>
      <c r="AN117" s="414">
        <f t="shared" si="56"/>
        <v>1</v>
      </c>
      <c r="AO117" s="413">
        <f t="shared" si="56"/>
        <v>1</v>
      </c>
      <c r="AP117" s="337"/>
      <c r="AQ117" s="338"/>
      <c r="AR117" s="664">
        <f t="shared" si="78"/>
        <v>0</v>
      </c>
      <c r="AS117" s="679">
        <f t="shared" si="78"/>
        <v>0</v>
      </c>
      <c r="AT117" s="383">
        <f t="shared" si="70"/>
        <v>0</v>
      </c>
      <c r="AU117" s="386">
        <f t="shared" si="70"/>
        <v>0</v>
      </c>
      <c r="AV117" s="534">
        <f t="shared" si="57"/>
        <v>1921</v>
      </c>
      <c r="AW117" s="1271">
        <f t="shared" si="71"/>
        <v>0</v>
      </c>
      <c r="AX117" s="1276">
        <f t="shared" si="72"/>
        <v>0</v>
      </c>
      <c r="AY117" s="337"/>
      <c r="AZ117" s="338"/>
      <c r="BA117" s="1271">
        <v>0</v>
      </c>
      <c r="BB117" s="1276">
        <v>0</v>
      </c>
      <c r="BC117" s="414">
        <f t="shared" si="58"/>
        <v>1</v>
      </c>
      <c r="BD117" s="413">
        <f t="shared" si="58"/>
        <v>1</v>
      </c>
      <c r="BE117" s="337"/>
      <c r="BF117" s="338"/>
      <c r="BG117" s="664">
        <f t="shared" si="79"/>
        <v>0</v>
      </c>
      <c r="BH117" s="679">
        <f t="shared" si="79"/>
        <v>0</v>
      </c>
      <c r="BI117" s="383">
        <f t="shared" si="73"/>
        <v>0</v>
      </c>
      <c r="BJ117" s="386">
        <f t="shared" si="73"/>
        <v>0</v>
      </c>
      <c r="BK117" s="534">
        <f t="shared" si="59"/>
        <v>1920</v>
      </c>
      <c r="BL117" s="1271">
        <f t="shared" si="74"/>
        <v>0</v>
      </c>
      <c r="BM117" s="1276">
        <f t="shared" si="75"/>
        <v>0</v>
      </c>
      <c r="BN117" s="337"/>
      <c r="BO117" s="338"/>
      <c r="BP117" s="1271">
        <v>0</v>
      </c>
      <c r="BQ117" s="1276">
        <v>0</v>
      </c>
      <c r="BR117" s="414">
        <f t="shared" si="60"/>
        <v>1</v>
      </c>
      <c r="BS117" s="413">
        <f t="shared" si="60"/>
        <v>1</v>
      </c>
      <c r="BT117" s="337"/>
      <c r="BU117" s="338"/>
      <c r="BV117" s="664">
        <f t="shared" si="80"/>
        <v>0</v>
      </c>
      <c r="BW117" s="679">
        <f t="shared" si="80"/>
        <v>0</v>
      </c>
      <c r="BX117" s="383">
        <f t="shared" si="76"/>
        <v>0</v>
      </c>
      <c r="BY117" s="386">
        <f t="shared" si="76"/>
        <v>0</v>
      </c>
      <c r="BZ117" s="534">
        <f t="shared" si="61"/>
        <v>1923</v>
      </c>
      <c r="CA117" s="664">
        <f t="shared" si="81"/>
        <v>0</v>
      </c>
      <c r="CB117" s="665">
        <f t="shared" si="81"/>
        <v>0</v>
      </c>
      <c r="CC117" s="684">
        <f t="shared" si="83"/>
        <v>0</v>
      </c>
      <c r="CD117" s="685">
        <f t="shared" si="84"/>
        <v>0</v>
      </c>
      <c r="CE117" s="337"/>
      <c r="CF117" s="338"/>
      <c r="CG117" s="383">
        <f t="shared" si="77"/>
        <v>0</v>
      </c>
      <c r="CH117" s="386">
        <f t="shared" si="77"/>
        <v>0</v>
      </c>
    </row>
    <row r="118" spans="2:86" x14ac:dyDescent="0.2">
      <c r="B118" s="276">
        <v>103</v>
      </c>
      <c r="C118" s="320">
        <f t="shared" si="62"/>
        <v>104</v>
      </c>
      <c r="D118" s="534">
        <f t="shared" si="50"/>
        <v>1922</v>
      </c>
      <c r="E118" s="337"/>
      <c r="F118" s="338"/>
      <c r="G118" s="1271">
        <v>0</v>
      </c>
      <c r="H118" s="1289">
        <v>0</v>
      </c>
      <c r="I118" s="400">
        <f t="shared" si="85"/>
        <v>0</v>
      </c>
      <c r="J118" s="401">
        <f t="shared" si="85"/>
        <v>0</v>
      </c>
      <c r="K118" s="649" cm="1">
        <f t="array" ref="K118">INDEX(HE_MortalityLapsesCY,$C118,4)</f>
        <v>1</v>
      </c>
      <c r="L118" s="650" cm="1">
        <f t="array" ref="L118">INDEX(HE_MortalityLapsesCY,$C118,5)</f>
        <v>1</v>
      </c>
      <c r="M118" s="404" cm="1">
        <f t="array" ref="M118">INDEX(HE_MortalityLapsesCY,$C118,5+(2*$L$7-1))</f>
        <v>1</v>
      </c>
      <c r="N118" s="405" cm="1">
        <f t="array" ref="N118">INDEX(HE_MortalityLapsesCY,$C118,5+2*$L$7)</f>
        <v>1</v>
      </c>
      <c r="O118" s="391">
        <f t="shared" si="64"/>
        <v>0.5</v>
      </c>
      <c r="P118" s="1143">
        <f t="shared" si="64"/>
        <v>0.5</v>
      </c>
      <c r="Q118" s="356">
        <f t="shared" si="51"/>
        <v>1922</v>
      </c>
      <c r="R118" s="337"/>
      <c r="S118" s="338"/>
      <c r="T118" s="664">
        <f t="shared" si="52"/>
        <v>0</v>
      </c>
      <c r="U118" s="665">
        <f t="shared" si="53"/>
        <v>0</v>
      </c>
      <c r="V118" s="337"/>
      <c r="W118" s="338"/>
      <c r="X118" s="383">
        <f t="shared" si="65"/>
        <v>0</v>
      </c>
      <c r="Y118" s="386">
        <f t="shared" si="65"/>
        <v>0</v>
      </c>
      <c r="Z118" s="534">
        <f t="shared" si="54"/>
        <v>1922</v>
      </c>
      <c r="AA118" s="664">
        <f t="shared" si="66"/>
        <v>0</v>
      </c>
      <c r="AB118" s="665">
        <f t="shared" si="66"/>
        <v>0</v>
      </c>
      <c r="AC118" s="337"/>
      <c r="AD118" s="338"/>
      <c r="AE118" s="383">
        <f t="shared" si="67"/>
        <v>0</v>
      </c>
      <c r="AF118" s="386">
        <f t="shared" si="67"/>
        <v>0</v>
      </c>
      <c r="AG118" s="534">
        <f t="shared" si="55"/>
        <v>1921</v>
      </c>
      <c r="AH118" s="1271">
        <f t="shared" si="68"/>
        <v>0</v>
      </c>
      <c r="AI118" s="1276">
        <f t="shared" si="69"/>
        <v>0</v>
      </c>
      <c r="AJ118" s="337"/>
      <c r="AK118" s="338"/>
      <c r="AL118" s="1271">
        <v>0</v>
      </c>
      <c r="AM118" s="1276">
        <v>0</v>
      </c>
      <c r="AN118" s="414">
        <f t="shared" si="56"/>
        <v>1</v>
      </c>
      <c r="AO118" s="413">
        <f t="shared" si="56"/>
        <v>1</v>
      </c>
      <c r="AP118" s="337"/>
      <c r="AQ118" s="338"/>
      <c r="AR118" s="664">
        <f t="shared" si="78"/>
        <v>0</v>
      </c>
      <c r="AS118" s="679">
        <f t="shared" si="78"/>
        <v>0</v>
      </c>
      <c r="AT118" s="383">
        <f t="shared" si="70"/>
        <v>0</v>
      </c>
      <c r="AU118" s="386">
        <f t="shared" si="70"/>
        <v>0</v>
      </c>
      <c r="AV118" s="534">
        <f t="shared" si="57"/>
        <v>1920</v>
      </c>
      <c r="AW118" s="1271">
        <f t="shared" si="71"/>
        <v>0</v>
      </c>
      <c r="AX118" s="1276">
        <f t="shared" si="72"/>
        <v>0</v>
      </c>
      <c r="AY118" s="337"/>
      <c r="AZ118" s="338"/>
      <c r="BA118" s="1271">
        <v>0</v>
      </c>
      <c r="BB118" s="1276">
        <v>0</v>
      </c>
      <c r="BC118" s="414">
        <f t="shared" si="58"/>
        <v>1</v>
      </c>
      <c r="BD118" s="413">
        <f t="shared" si="58"/>
        <v>1</v>
      </c>
      <c r="BE118" s="337"/>
      <c r="BF118" s="338"/>
      <c r="BG118" s="664">
        <f t="shared" si="79"/>
        <v>0</v>
      </c>
      <c r="BH118" s="679">
        <f t="shared" si="79"/>
        <v>0</v>
      </c>
      <c r="BI118" s="383">
        <f t="shared" si="73"/>
        <v>0</v>
      </c>
      <c r="BJ118" s="386">
        <f t="shared" si="73"/>
        <v>0</v>
      </c>
      <c r="BK118" s="534">
        <f t="shared" si="59"/>
        <v>1919</v>
      </c>
      <c r="BL118" s="1271">
        <f t="shared" si="74"/>
        <v>0</v>
      </c>
      <c r="BM118" s="1276">
        <f t="shared" si="75"/>
        <v>0</v>
      </c>
      <c r="BN118" s="337"/>
      <c r="BO118" s="338"/>
      <c r="BP118" s="1271">
        <v>0</v>
      </c>
      <c r="BQ118" s="1276">
        <v>0</v>
      </c>
      <c r="BR118" s="414">
        <f t="shared" si="60"/>
        <v>1</v>
      </c>
      <c r="BS118" s="413">
        <f t="shared" si="60"/>
        <v>1</v>
      </c>
      <c r="BT118" s="337"/>
      <c r="BU118" s="338"/>
      <c r="BV118" s="664">
        <f t="shared" si="80"/>
        <v>0</v>
      </c>
      <c r="BW118" s="679">
        <f t="shared" si="80"/>
        <v>0</v>
      </c>
      <c r="BX118" s="383">
        <f t="shared" si="76"/>
        <v>0</v>
      </c>
      <c r="BY118" s="386">
        <f t="shared" si="76"/>
        <v>0</v>
      </c>
      <c r="BZ118" s="534">
        <f t="shared" si="61"/>
        <v>1922</v>
      </c>
      <c r="CA118" s="664">
        <f t="shared" si="81"/>
        <v>0</v>
      </c>
      <c r="CB118" s="665">
        <f t="shared" si="81"/>
        <v>0</v>
      </c>
      <c r="CC118" s="684">
        <f t="shared" si="83"/>
        <v>0</v>
      </c>
      <c r="CD118" s="685">
        <f t="shared" si="84"/>
        <v>0</v>
      </c>
      <c r="CE118" s="337"/>
      <c r="CF118" s="338"/>
      <c r="CG118" s="383">
        <f t="shared" si="77"/>
        <v>0</v>
      </c>
      <c r="CH118" s="386">
        <f t="shared" si="77"/>
        <v>0</v>
      </c>
    </row>
    <row r="119" spans="2:86" x14ac:dyDescent="0.2">
      <c r="B119" s="276">
        <v>104</v>
      </c>
      <c r="C119" s="320">
        <f t="shared" si="62"/>
        <v>105</v>
      </c>
      <c r="D119" s="534">
        <f t="shared" si="50"/>
        <v>1921</v>
      </c>
      <c r="E119" s="337"/>
      <c r="F119" s="338"/>
      <c r="G119" s="1271">
        <v>0</v>
      </c>
      <c r="H119" s="1289">
        <v>0</v>
      </c>
      <c r="I119" s="400">
        <f t="shared" si="85"/>
        <v>0</v>
      </c>
      <c r="J119" s="401">
        <f t="shared" si="85"/>
        <v>0</v>
      </c>
      <c r="K119" s="649" cm="1">
        <f t="array" ref="K119">INDEX(HE_MortalityLapsesCY,$C119,4)</f>
        <v>1</v>
      </c>
      <c r="L119" s="650" cm="1">
        <f t="array" ref="L119">INDEX(HE_MortalityLapsesCY,$C119,5)</f>
        <v>1</v>
      </c>
      <c r="M119" s="404" cm="1">
        <f t="array" ref="M119">INDEX(HE_MortalityLapsesCY,$C119,5+(2*$L$7-1))</f>
        <v>1</v>
      </c>
      <c r="N119" s="405" cm="1">
        <f t="array" ref="N119">INDEX(HE_MortalityLapsesCY,$C119,5+2*$L$7)</f>
        <v>1</v>
      </c>
      <c r="O119" s="391">
        <f t="shared" si="64"/>
        <v>0.5</v>
      </c>
      <c r="P119" s="1143">
        <f t="shared" si="64"/>
        <v>0.5</v>
      </c>
      <c r="Q119" s="356">
        <f t="shared" si="51"/>
        <v>1921</v>
      </c>
      <c r="R119" s="337"/>
      <c r="S119" s="338"/>
      <c r="T119" s="664">
        <f t="shared" si="52"/>
        <v>0</v>
      </c>
      <c r="U119" s="665">
        <f t="shared" si="53"/>
        <v>0</v>
      </c>
      <c r="V119" s="337"/>
      <c r="W119" s="338"/>
      <c r="X119" s="383">
        <f t="shared" si="65"/>
        <v>0</v>
      </c>
      <c r="Y119" s="386">
        <f t="shared" si="65"/>
        <v>0</v>
      </c>
      <c r="Z119" s="534">
        <f t="shared" si="54"/>
        <v>1921</v>
      </c>
      <c r="AA119" s="664">
        <f t="shared" si="66"/>
        <v>0</v>
      </c>
      <c r="AB119" s="665">
        <f t="shared" si="66"/>
        <v>0</v>
      </c>
      <c r="AC119" s="337"/>
      <c r="AD119" s="338"/>
      <c r="AE119" s="383">
        <f t="shared" si="67"/>
        <v>0</v>
      </c>
      <c r="AF119" s="386">
        <f t="shared" si="67"/>
        <v>0</v>
      </c>
      <c r="AG119" s="534">
        <f t="shared" si="55"/>
        <v>1920</v>
      </c>
      <c r="AH119" s="1271">
        <f t="shared" si="68"/>
        <v>0</v>
      </c>
      <c r="AI119" s="1276">
        <f t="shared" si="69"/>
        <v>0</v>
      </c>
      <c r="AJ119" s="337"/>
      <c r="AK119" s="338"/>
      <c r="AL119" s="1271">
        <v>0</v>
      </c>
      <c r="AM119" s="1276">
        <v>0</v>
      </c>
      <c r="AN119" s="414">
        <f t="shared" si="56"/>
        <v>1</v>
      </c>
      <c r="AO119" s="413">
        <f t="shared" si="56"/>
        <v>1</v>
      </c>
      <c r="AP119" s="337"/>
      <c r="AQ119" s="338"/>
      <c r="AR119" s="664">
        <f t="shared" si="78"/>
        <v>0</v>
      </c>
      <c r="AS119" s="679">
        <f t="shared" si="78"/>
        <v>0</v>
      </c>
      <c r="AT119" s="383">
        <f t="shared" si="70"/>
        <v>0</v>
      </c>
      <c r="AU119" s="386">
        <f t="shared" si="70"/>
        <v>0</v>
      </c>
      <c r="AV119" s="534">
        <f t="shared" si="57"/>
        <v>1919</v>
      </c>
      <c r="AW119" s="1271">
        <f t="shared" si="71"/>
        <v>0</v>
      </c>
      <c r="AX119" s="1276">
        <f t="shared" si="72"/>
        <v>0</v>
      </c>
      <c r="AY119" s="337"/>
      <c r="AZ119" s="338"/>
      <c r="BA119" s="1271">
        <v>0</v>
      </c>
      <c r="BB119" s="1276">
        <v>0</v>
      </c>
      <c r="BC119" s="414">
        <f t="shared" si="58"/>
        <v>1</v>
      </c>
      <c r="BD119" s="413">
        <f t="shared" si="58"/>
        <v>1</v>
      </c>
      <c r="BE119" s="337"/>
      <c r="BF119" s="338"/>
      <c r="BG119" s="664">
        <f t="shared" si="79"/>
        <v>0</v>
      </c>
      <c r="BH119" s="679">
        <f t="shared" si="79"/>
        <v>0</v>
      </c>
      <c r="BI119" s="383">
        <f t="shared" si="73"/>
        <v>0</v>
      </c>
      <c r="BJ119" s="386">
        <f t="shared" si="73"/>
        <v>0</v>
      </c>
      <c r="BK119" s="534">
        <f t="shared" si="59"/>
        <v>1918</v>
      </c>
      <c r="BL119" s="1271">
        <f t="shared" si="74"/>
        <v>0</v>
      </c>
      <c r="BM119" s="1276">
        <f t="shared" si="75"/>
        <v>0</v>
      </c>
      <c r="BN119" s="337"/>
      <c r="BO119" s="338"/>
      <c r="BP119" s="1271">
        <v>0</v>
      </c>
      <c r="BQ119" s="1276">
        <v>0</v>
      </c>
      <c r="BR119" s="414">
        <f t="shared" si="60"/>
        <v>1</v>
      </c>
      <c r="BS119" s="413">
        <f t="shared" si="60"/>
        <v>1</v>
      </c>
      <c r="BT119" s="337"/>
      <c r="BU119" s="338"/>
      <c r="BV119" s="664">
        <f t="shared" si="80"/>
        <v>0</v>
      </c>
      <c r="BW119" s="679">
        <f t="shared" si="80"/>
        <v>0</v>
      </c>
      <c r="BX119" s="383">
        <f t="shared" si="76"/>
        <v>0</v>
      </c>
      <c r="BY119" s="386">
        <f t="shared" si="76"/>
        <v>0</v>
      </c>
      <c r="BZ119" s="534">
        <f t="shared" si="61"/>
        <v>1921</v>
      </c>
      <c r="CA119" s="664">
        <f t="shared" si="81"/>
        <v>0</v>
      </c>
      <c r="CB119" s="665">
        <f t="shared" si="81"/>
        <v>0</v>
      </c>
      <c r="CC119" s="684">
        <f t="shared" si="83"/>
        <v>0</v>
      </c>
      <c r="CD119" s="685">
        <f t="shared" si="84"/>
        <v>0</v>
      </c>
      <c r="CE119" s="337"/>
      <c r="CF119" s="338"/>
      <c r="CG119" s="383">
        <f t="shared" si="77"/>
        <v>0</v>
      </c>
      <c r="CH119" s="386">
        <f t="shared" si="77"/>
        <v>0</v>
      </c>
    </row>
    <row r="120" spans="2:86" x14ac:dyDescent="0.2">
      <c r="B120" s="276">
        <v>105</v>
      </c>
      <c r="C120" s="320">
        <f t="shared" si="62"/>
        <v>106</v>
      </c>
      <c r="D120" s="534">
        <f t="shared" si="50"/>
        <v>1920</v>
      </c>
      <c r="E120" s="337"/>
      <c r="F120" s="338"/>
      <c r="G120" s="1271">
        <v>0</v>
      </c>
      <c r="H120" s="1289">
        <v>0</v>
      </c>
      <c r="I120" s="400">
        <f t="shared" si="85"/>
        <v>0</v>
      </c>
      <c r="J120" s="401">
        <f t="shared" si="85"/>
        <v>0</v>
      </c>
      <c r="K120" s="649" cm="1">
        <f t="array" ref="K120">INDEX(HE_MortalityLapsesCY,$C120,4)</f>
        <v>1</v>
      </c>
      <c r="L120" s="650" cm="1">
        <f t="array" ref="L120">INDEX(HE_MortalityLapsesCY,$C120,5)</f>
        <v>1</v>
      </c>
      <c r="M120" s="404" cm="1">
        <f t="array" ref="M120">INDEX(HE_MortalityLapsesCY,$C120,5+(2*$L$7-1))</f>
        <v>1</v>
      </c>
      <c r="N120" s="405" cm="1">
        <f t="array" ref="N120">INDEX(HE_MortalityLapsesCY,$C120,5+2*$L$7)</f>
        <v>1</v>
      </c>
      <c r="O120" s="391">
        <f t="shared" si="64"/>
        <v>0.5</v>
      </c>
      <c r="P120" s="1143">
        <f t="shared" si="64"/>
        <v>0.5</v>
      </c>
      <c r="Q120" s="356">
        <f t="shared" si="51"/>
        <v>1920</v>
      </c>
      <c r="R120" s="337"/>
      <c r="S120" s="338"/>
      <c r="T120" s="664">
        <f t="shared" si="52"/>
        <v>0</v>
      </c>
      <c r="U120" s="665">
        <f t="shared" si="53"/>
        <v>0</v>
      </c>
      <c r="V120" s="337"/>
      <c r="W120" s="338"/>
      <c r="X120" s="383">
        <f t="shared" si="65"/>
        <v>0</v>
      </c>
      <c r="Y120" s="386">
        <f t="shared" si="65"/>
        <v>0</v>
      </c>
      <c r="Z120" s="534">
        <f t="shared" si="54"/>
        <v>1920</v>
      </c>
      <c r="AA120" s="664">
        <f t="shared" si="66"/>
        <v>0</v>
      </c>
      <c r="AB120" s="665">
        <f t="shared" si="66"/>
        <v>0</v>
      </c>
      <c r="AC120" s="337"/>
      <c r="AD120" s="338"/>
      <c r="AE120" s="383">
        <f t="shared" si="67"/>
        <v>0</v>
      </c>
      <c r="AF120" s="386">
        <f t="shared" si="67"/>
        <v>0</v>
      </c>
      <c r="AG120" s="534">
        <f t="shared" si="55"/>
        <v>1919</v>
      </c>
      <c r="AH120" s="1271">
        <f t="shared" si="68"/>
        <v>0</v>
      </c>
      <c r="AI120" s="1276">
        <f t="shared" si="69"/>
        <v>0</v>
      </c>
      <c r="AJ120" s="337"/>
      <c r="AK120" s="338"/>
      <c r="AL120" s="1271">
        <v>0</v>
      </c>
      <c r="AM120" s="1276">
        <v>0</v>
      </c>
      <c r="AN120" s="414">
        <f t="shared" si="56"/>
        <v>1</v>
      </c>
      <c r="AO120" s="413">
        <f t="shared" si="56"/>
        <v>1</v>
      </c>
      <c r="AP120" s="337"/>
      <c r="AQ120" s="338"/>
      <c r="AR120" s="664">
        <f t="shared" si="78"/>
        <v>0</v>
      </c>
      <c r="AS120" s="679">
        <f t="shared" si="78"/>
        <v>0</v>
      </c>
      <c r="AT120" s="383">
        <f t="shared" si="70"/>
        <v>0</v>
      </c>
      <c r="AU120" s="386">
        <f t="shared" si="70"/>
        <v>0</v>
      </c>
      <c r="AV120" s="534">
        <f t="shared" si="57"/>
        <v>1918</v>
      </c>
      <c r="AW120" s="1271">
        <f t="shared" si="71"/>
        <v>0</v>
      </c>
      <c r="AX120" s="1276">
        <f t="shared" si="72"/>
        <v>0</v>
      </c>
      <c r="AY120" s="337"/>
      <c r="AZ120" s="338"/>
      <c r="BA120" s="1271">
        <v>0</v>
      </c>
      <c r="BB120" s="1276">
        <v>0</v>
      </c>
      <c r="BC120" s="414">
        <f t="shared" si="58"/>
        <v>1</v>
      </c>
      <c r="BD120" s="413">
        <f t="shared" si="58"/>
        <v>1</v>
      </c>
      <c r="BE120" s="337"/>
      <c r="BF120" s="338"/>
      <c r="BG120" s="664">
        <f t="shared" si="79"/>
        <v>0</v>
      </c>
      <c r="BH120" s="679">
        <f t="shared" si="79"/>
        <v>0</v>
      </c>
      <c r="BI120" s="383">
        <f t="shared" si="73"/>
        <v>0</v>
      </c>
      <c r="BJ120" s="386">
        <f t="shared" si="73"/>
        <v>0</v>
      </c>
      <c r="BK120" s="534">
        <f t="shared" si="59"/>
        <v>1917</v>
      </c>
      <c r="BL120" s="1271">
        <f t="shared" si="74"/>
        <v>0</v>
      </c>
      <c r="BM120" s="1276">
        <f t="shared" si="75"/>
        <v>0</v>
      </c>
      <c r="BN120" s="337"/>
      <c r="BO120" s="338"/>
      <c r="BP120" s="1271">
        <v>0</v>
      </c>
      <c r="BQ120" s="1276">
        <v>0</v>
      </c>
      <c r="BR120" s="414">
        <f t="shared" si="60"/>
        <v>1</v>
      </c>
      <c r="BS120" s="413">
        <f t="shared" si="60"/>
        <v>1</v>
      </c>
      <c r="BT120" s="337"/>
      <c r="BU120" s="338"/>
      <c r="BV120" s="664">
        <f t="shared" si="80"/>
        <v>0</v>
      </c>
      <c r="BW120" s="679">
        <f t="shared" si="80"/>
        <v>0</v>
      </c>
      <c r="BX120" s="383">
        <f t="shared" si="76"/>
        <v>0</v>
      </c>
      <c r="BY120" s="386">
        <f t="shared" si="76"/>
        <v>0</v>
      </c>
      <c r="BZ120" s="534">
        <f t="shared" si="61"/>
        <v>1920</v>
      </c>
      <c r="CA120" s="664">
        <f t="shared" si="81"/>
        <v>0</v>
      </c>
      <c r="CB120" s="665">
        <f t="shared" si="81"/>
        <v>0</v>
      </c>
      <c r="CC120" s="684">
        <f t="shared" si="83"/>
        <v>0</v>
      </c>
      <c r="CD120" s="685">
        <f t="shared" si="84"/>
        <v>0</v>
      </c>
      <c r="CE120" s="337"/>
      <c r="CF120" s="338"/>
      <c r="CG120" s="383">
        <f t="shared" si="77"/>
        <v>0</v>
      </c>
      <c r="CH120" s="386">
        <f t="shared" si="77"/>
        <v>0</v>
      </c>
    </row>
    <row r="121" spans="2:86" x14ac:dyDescent="0.2">
      <c r="B121" s="276">
        <v>106</v>
      </c>
      <c r="C121" s="320">
        <f t="shared" si="62"/>
        <v>107</v>
      </c>
      <c r="D121" s="534">
        <f t="shared" si="50"/>
        <v>1919</v>
      </c>
      <c r="E121" s="337"/>
      <c r="F121" s="338"/>
      <c r="G121" s="1271">
        <v>0</v>
      </c>
      <c r="H121" s="1289">
        <v>0</v>
      </c>
      <c r="I121" s="400">
        <f t="shared" si="85"/>
        <v>0</v>
      </c>
      <c r="J121" s="401">
        <f t="shared" si="85"/>
        <v>0</v>
      </c>
      <c r="K121" s="649" cm="1">
        <f t="array" ref="K121">INDEX(HE_MortalityLapsesCY,$C121,4)</f>
        <v>1</v>
      </c>
      <c r="L121" s="650" cm="1">
        <f t="array" ref="L121">INDEX(HE_MortalityLapsesCY,$C121,5)</f>
        <v>1</v>
      </c>
      <c r="M121" s="404" cm="1">
        <f t="array" ref="M121">INDEX(HE_MortalityLapsesCY,$C121,5+(2*$L$7-1))</f>
        <v>1</v>
      </c>
      <c r="N121" s="405" cm="1">
        <f t="array" ref="N121">INDEX(HE_MortalityLapsesCY,$C121,5+2*$L$7)</f>
        <v>1</v>
      </c>
      <c r="O121" s="391">
        <f t="shared" si="64"/>
        <v>0.5</v>
      </c>
      <c r="P121" s="1143">
        <f t="shared" si="64"/>
        <v>0.5</v>
      </c>
      <c r="Q121" s="356">
        <f t="shared" si="51"/>
        <v>1919</v>
      </c>
      <c r="R121" s="337"/>
      <c r="S121" s="338"/>
      <c r="T121" s="664">
        <f t="shared" si="52"/>
        <v>0</v>
      </c>
      <c r="U121" s="665">
        <f t="shared" si="53"/>
        <v>0</v>
      </c>
      <c r="V121" s="337"/>
      <c r="W121" s="338"/>
      <c r="X121" s="383">
        <f t="shared" si="65"/>
        <v>0</v>
      </c>
      <c r="Y121" s="386">
        <f t="shared" si="65"/>
        <v>0</v>
      </c>
      <c r="Z121" s="534">
        <f t="shared" si="54"/>
        <v>1919</v>
      </c>
      <c r="AA121" s="664">
        <f t="shared" si="66"/>
        <v>0</v>
      </c>
      <c r="AB121" s="665">
        <f t="shared" si="66"/>
        <v>0</v>
      </c>
      <c r="AC121" s="337"/>
      <c r="AD121" s="338"/>
      <c r="AE121" s="383">
        <f t="shared" si="67"/>
        <v>0</v>
      </c>
      <c r="AF121" s="386">
        <f t="shared" si="67"/>
        <v>0</v>
      </c>
      <c r="AG121" s="534">
        <f t="shared" si="55"/>
        <v>1918</v>
      </c>
      <c r="AH121" s="1271">
        <f t="shared" si="68"/>
        <v>0</v>
      </c>
      <c r="AI121" s="1276">
        <f t="shared" si="69"/>
        <v>0</v>
      </c>
      <c r="AJ121" s="337"/>
      <c r="AK121" s="338"/>
      <c r="AL121" s="1271">
        <v>0</v>
      </c>
      <c r="AM121" s="1276">
        <v>0</v>
      </c>
      <c r="AN121" s="414">
        <f t="shared" si="56"/>
        <v>1</v>
      </c>
      <c r="AO121" s="413">
        <f t="shared" si="56"/>
        <v>1</v>
      </c>
      <c r="AP121" s="337"/>
      <c r="AQ121" s="338"/>
      <c r="AR121" s="664">
        <f t="shared" si="78"/>
        <v>0</v>
      </c>
      <c r="AS121" s="679">
        <f t="shared" si="78"/>
        <v>0</v>
      </c>
      <c r="AT121" s="383">
        <f t="shared" si="70"/>
        <v>0</v>
      </c>
      <c r="AU121" s="386">
        <f t="shared" si="70"/>
        <v>0</v>
      </c>
      <c r="AV121" s="534">
        <f t="shared" si="57"/>
        <v>1917</v>
      </c>
      <c r="AW121" s="1271">
        <f t="shared" si="71"/>
        <v>0</v>
      </c>
      <c r="AX121" s="1276">
        <f t="shared" si="72"/>
        <v>0</v>
      </c>
      <c r="AY121" s="337"/>
      <c r="AZ121" s="338"/>
      <c r="BA121" s="1271">
        <v>0</v>
      </c>
      <c r="BB121" s="1276">
        <v>0</v>
      </c>
      <c r="BC121" s="414">
        <f t="shared" si="58"/>
        <v>1</v>
      </c>
      <c r="BD121" s="413">
        <f t="shared" si="58"/>
        <v>1</v>
      </c>
      <c r="BE121" s="337"/>
      <c r="BF121" s="338"/>
      <c r="BG121" s="664">
        <f t="shared" si="79"/>
        <v>0</v>
      </c>
      <c r="BH121" s="679">
        <f t="shared" si="79"/>
        <v>0</v>
      </c>
      <c r="BI121" s="383">
        <f t="shared" si="73"/>
        <v>0</v>
      </c>
      <c r="BJ121" s="386">
        <f t="shared" si="73"/>
        <v>0</v>
      </c>
      <c r="BK121" s="534">
        <f t="shared" si="59"/>
        <v>1916</v>
      </c>
      <c r="BL121" s="1271">
        <f t="shared" si="74"/>
        <v>0</v>
      </c>
      <c r="BM121" s="1276">
        <f t="shared" si="75"/>
        <v>0</v>
      </c>
      <c r="BN121" s="337"/>
      <c r="BO121" s="338"/>
      <c r="BP121" s="1271">
        <v>0</v>
      </c>
      <c r="BQ121" s="1276">
        <v>0</v>
      </c>
      <c r="BR121" s="414">
        <f t="shared" si="60"/>
        <v>1</v>
      </c>
      <c r="BS121" s="413">
        <f t="shared" si="60"/>
        <v>1</v>
      </c>
      <c r="BT121" s="337"/>
      <c r="BU121" s="338"/>
      <c r="BV121" s="664">
        <f t="shared" si="80"/>
        <v>0</v>
      </c>
      <c r="BW121" s="679">
        <f t="shared" si="80"/>
        <v>0</v>
      </c>
      <c r="BX121" s="383">
        <f t="shared" si="76"/>
        <v>0</v>
      </c>
      <c r="BY121" s="386">
        <f t="shared" si="76"/>
        <v>0</v>
      </c>
      <c r="BZ121" s="534">
        <f t="shared" si="61"/>
        <v>1919</v>
      </c>
      <c r="CA121" s="664">
        <f t="shared" si="81"/>
        <v>0</v>
      </c>
      <c r="CB121" s="665">
        <f t="shared" si="81"/>
        <v>0</v>
      </c>
      <c r="CC121" s="684">
        <f t="shared" si="83"/>
        <v>0</v>
      </c>
      <c r="CD121" s="685">
        <f t="shared" si="84"/>
        <v>0</v>
      </c>
      <c r="CE121" s="337"/>
      <c r="CF121" s="338"/>
      <c r="CG121" s="383">
        <f t="shared" si="77"/>
        <v>0</v>
      </c>
      <c r="CH121" s="386">
        <f t="shared" si="77"/>
        <v>0</v>
      </c>
    </row>
    <row r="122" spans="2:86" x14ac:dyDescent="0.2">
      <c r="B122" s="276">
        <v>107</v>
      </c>
      <c r="C122" s="320">
        <f t="shared" si="62"/>
        <v>108</v>
      </c>
      <c r="D122" s="534">
        <f t="shared" si="50"/>
        <v>1918</v>
      </c>
      <c r="E122" s="337"/>
      <c r="F122" s="338"/>
      <c r="G122" s="1271">
        <v>0</v>
      </c>
      <c r="H122" s="1289">
        <v>0</v>
      </c>
      <c r="I122" s="400">
        <f t="shared" si="85"/>
        <v>0</v>
      </c>
      <c r="J122" s="401">
        <f t="shared" si="85"/>
        <v>0</v>
      </c>
      <c r="K122" s="649" cm="1">
        <f t="array" ref="K122">INDEX(HE_MortalityLapsesCY,$C122,4)</f>
        <v>1</v>
      </c>
      <c r="L122" s="650" cm="1">
        <f t="array" ref="L122">INDEX(HE_MortalityLapsesCY,$C122,5)</f>
        <v>1</v>
      </c>
      <c r="M122" s="404" cm="1">
        <f t="array" ref="M122">INDEX(HE_MortalityLapsesCY,$C122,5+(2*$L$7-1))</f>
        <v>1</v>
      </c>
      <c r="N122" s="405" cm="1">
        <f t="array" ref="N122">INDEX(HE_MortalityLapsesCY,$C122,5+2*$L$7)</f>
        <v>1</v>
      </c>
      <c r="O122" s="391">
        <f t="shared" si="64"/>
        <v>0.5</v>
      </c>
      <c r="P122" s="1143">
        <f t="shared" si="64"/>
        <v>0.5</v>
      </c>
      <c r="Q122" s="356">
        <f t="shared" si="51"/>
        <v>1918</v>
      </c>
      <c r="R122" s="337"/>
      <c r="S122" s="338"/>
      <c r="T122" s="664">
        <f t="shared" si="52"/>
        <v>0</v>
      </c>
      <c r="U122" s="665">
        <f t="shared" si="53"/>
        <v>0</v>
      </c>
      <c r="V122" s="337"/>
      <c r="W122" s="338"/>
      <c r="X122" s="383">
        <f t="shared" si="65"/>
        <v>0</v>
      </c>
      <c r="Y122" s="386">
        <f t="shared" si="65"/>
        <v>0</v>
      </c>
      <c r="Z122" s="534">
        <f t="shared" si="54"/>
        <v>1918</v>
      </c>
      <c r="AA122" s="664">
        <f t="shared" si="66"/>
        <v>0</v>
      </c>
      <c r="AB122" s="665">
        <f t="shared" si="66"/>
        <v>0</v>
      </c>
      <c r="AC122" s="337"/>
      <c r="AD122" s="338"/>
      <c r="AE122" s="383">
        <f t="shared" si="67"/>
        <v>0</v>
      </c>
      <c r="AF122" s="386">
        <f t="shared" si="67"/>
        <v>0</v>
      </c>
      <c r="AG122" s="534">
        <f t="shared" si="55"/>
        <v>1917</v>
      </c>
      <c r="AH122" s="1271">
        <f t="shared" si="68"/>
        <v>0</v>
      </c>
      <c r="AI122" s="1276">
        <f t="shared" si="69"/>
        <v>0</v>
      </c>
      <c r="AJ122" s="337"/>
      <c r="AK122" s="338"/>
      <c r="AL122" s="1271">
        <v>0</v>
      </c>
      <c r="AM122" s="1276">
        <v>0</v>
      </c>
      <c r="AN122" s="414">
        <f t="shared" si="56"/>
        <v>1</v>
      </c>
      <c r="AO122" s="413">
        <f t="shared" si="56"/>
        <v>1</v>
      </c>
      <c r="AP122" s="337"/>
      <c r="AQ122" s="338"/>
      <c r="AR122" s="664">
        <f t="shared" si="78"/>
        <v>0</v>
      </c>
      <c r="AS122" s="679">
        <f t="shared" si="78"/>
        <v>0</v>
      </c>
      <c r="AT122" s="383">
        <f t="shared" si="70"/>
        <v>0</v>
      </c>
      <c r="AU122" s="386">
        <f t="shared" si="70"/>
        <v>0</v>
      </c>
      <c r="AV122" s="534">
        <f t="shared" si="57"/>
        <v>1916</v>
      </c>
      <c r="AW122" s="1271">
        <f t="shared" si="71"/>
        <v>0</v>
      </c>
      <c r="AX122" s="1276">
        <f t="shared" si="72"/>
        <v>0</v>
      </c>
      <c r="AY122" s="337"/>
      <c r="AZ122" s="338"/>
      <c r="BA122" s="1271">
        <v>0</v>
      </c>
      <c r="BB122" s="1276">
        <v>0</v>
      </c>
      <c r="BC122" s="414">
        <f t="shared" si="58"/>
        <v>1</v>
      </c>
      <c r="BD122" s="413">
        <f t="shared" si="58"/>
        <v>1</v>
      </c>
      <c r="BE122" s="337"/>
      <c r="BF122" s="338"/>
      <c r="BG122" s="664">
        <f t="shared" si="79"/>
        <v>0</v>
      </c>
      <c r="BH122" s="679">
        <f t="shared" si="79"/>
        <v>0</v>
      </c>
      <c r="BI122" s="383">
        <f t="shared" si="73"/>
        <v>0</v>
      </c>
      <c r="BJ122" s="386">
        <f t="shared" si="73"/>
        <v>0</v>
      </c>
      <c r="BK122" s="534">
        <f t="shared" si="59"/>
        <v>1915</v>
      </c>
      <c r="BL122" s="1271">
        <f t="shared" si="74"/>
        <v>0</v>
      </c>
      <c r="BM122" s="1276">
        <f t="shared" si="75"/>
        <v>0</v>
      </c>
      <c r="BN122" s="337"/>
      <c r="BO122" s="338"/>
      <c r="BP122" s="1271">
        <v>0</v>
      </c>
      <c r="BQ122" s="1276">
        <v>0</v>
      </c>
      <c r="BR122" s="414">
        <f t="shared" si="60"/>
        <v>1</v>
      </c>
      <c r="BS122" s="413">
        <f t="shared" si="60"/>
        <v>1</v>
      </c>
      <c r="BT122" s="337"/>
      <c r="BU122" s="338"/>
      <c r="BV122" s="664">
        <f t="shared" si="80"/>
        <v>0</v>
      </c>
      <c r="BW122" s="679">
        <f t="shared" si="80"/>
        <v>0</v>
      </c>
      <c r="BX122" s="383">
        <f t="shared" si="76"/>
        <v>0</v>
      </c>
      <c r="BY122" s="386">
        <f t="shared" si="76"/>
        <v>0</v>
      </c>
      <c r="BZ122" s="534">
        <f t="shared" si="61"/>
        <v>1918</v>
      </c>
      <c r="CA122" s="664">
        <f t="shared" si="81"/>
        <v>0</v>
      </c>
      <c r="CB122" s="665">
        <f t="shared" si="81"/>
        <v>0</v>
      </c>
      <c r="CC122" s="684">
        <f t="shared" si="83"/>
        <v>0</v>
      </c>
      <c r="CD122" s="685">
        <f t="shared" si="84"/>
        <v>0</v>
      </c>
      <c r="CE122" s="337"/>
      <c r="CF122" s="338"/>
      <c r="CG122" s="383">
        <f t="shared" si="77"/>
        <v>0</v>
      </c>
      <c r="CH122" s="386">
        <f t="shared" si="77"/>
        <v>0</v>
      </c>
    </row>
    <row r="123" spans="2:86" x14ac:dyDescent="0.2">
      <c r="B123" s="276">
        <v>108</v>
      </c>
      <c r="C123" s="320">
        <f t="shared" si="62"/>
        <v>109</v>
      </c>
      <c r="D123" s="534">
        <f t="shared" si="50"/>
        <v>1917</v>
      </c>
      <c r="E123" s="337"/>
      <c r="F123" s="338"/>
      <c r="G123" s="1271">
        <v>0</v>
      </c>
      <c r="H123" s="1289">
        <v>0</v>
      </c>
      <c r="I123" s="400">
        <f t="shared" si="85"/>
        <v>0</v>
      </c>
      <c r="J123" s="401">
        <f t="shared" si="85"/>
        <v>0</v>
      </c>
      <c r="K123" s="649" cm="1">
        <f t="array" ref="K123">INDEX(HE_MortalityLapsesCY,$C123,4)</f>
        <v>1</v>
      </c>
      <c r="L123" s="650" cm="1">
        <f t="array" ref="L123">INDEX(HE_MortalityLapsesCY,$C123,5)</f>
        <v>1</v>
      </c>
      <c r="M123" s="404" cm="1">
        <f t="array" ref="M123">INDEX(HE_MortalityLapsesCY,$C123,5+(2*$L$7-1))</f>
        <v>1</v>
      </c>
      <c r="N123" s="405" cm="1">
        <f t="array" ref="N123">INDEX(HE_MortalityLapsesCY,$C123,5+2*$L$7)</f>
        <v>1</v>
      </c>
      <c r="O123" s="391">
        <f t="shared" si="64"/>
        <v>0.5</v>
      </c>
      <c r="P123" s="1143">
        <f t="shared" si="64"/>
        <v>0.5</v>
      </c>
      <c r="Q123" s="356">
        <f t="shared" si="51"/>
        <v>1917</v>
      </c>
      <c r="R123" s="337"/>
      <c r="S123" s="338"/>
      <c r="T123" s="664">
        <f t="shared" si="52"/>
        <v>0</v>
      </c>
      <c r="U123" s="665">
        <f t="shared" si="53"/>
        <v>0</v>
      </c>
      <c r="V123" s="337"/>
      <c r="W123" s="338"/>
      <c r="X123" s="383">
        <f t="shared" si="65"/>
        <v>0</v>
      </c>
      <c r="Y123" s="386">
        <f t="shared" si="65"/>
        <v>0</v>
      </c>
      <c r="Z123" s="534">
        <f t="shared" si="54"/>
        <v>1917</v>
      </c>
      <c r="AA123" s="664">
        <f t="shared" si="66"/>
        <v>0</v>
      </c>
      <c r="AB123" s="665">
        <f t="shared" si="66"/>
        <v>0</v>
      </c>
      <c r="AC123" s="337"/>
      <c r="AD123" s="338"/>
      <c r="AE123" s="383">
        <f t="shared" si="67"/>
        <v>0</v>
      </c>
      <c r="AF123" s="386">
        <f t="shared" si="67"/>
        <v>0</v>
      </c>
      <c r="AG123" s="534">
        <f t="shared" si="55"/>
        <v>1916</v>
      </c>
      <c r="AH123" s="1271">
        <f t="shared" si="68"/>
        <v>0</v>
      </c>
      <c r="AI123" s="1276">
        <f t="shared" si="69"/>
        <v>0</v>
      </c>
      <c r="AJ123" s="337"/>
      <c r="AK123" s="338"/>
      <c r="AL123" s="1271">
        <v>0</v>
      </c>
      <c r="AM123" s="1276">
        <v>0</v>
      </c>
      <c r="AN123" s="414">
        <f t="shared" si="56"/>
        <v>1</v>
      </c>
      <c r="AO123" s="413">
        <f t="shared" si="56"/>
        <v>1</v>
      </c>
      <c r="AP123" s="337"/>
      <c r="AQ123" s="338"/>
      <c r="AR123" s="664">
        <f t="shared" si="78"/>
        <v>0</v>
      </c>
      <c r="AS123" s="679">
        <f t="shared" si="78"/>
        <v>0</v>
      </c>
      <c r="AT123" s="383">
        <f t="shared" si="70"/>
        <v>0</v>
      </c>
      <c r="AU123" s="386">
        <f t="shared" si="70"/>
        <v>0</v>
      </c>
      <c r="AV123" s="534">
        <f t="shared" si="57"/>
        <v>1915</v>
      </c>
      <c r="AW123" s="1271">
        <f t="shared" si="71"/>
        <v>0</v>
      </c>
      <c r="AX123" s="1276">
        <f t="shared" si="72"/>
        <v>0</v>
      </c>
      <c r="AY123" s="337"/>
      <c r="AZ123" s="338"/>
      <c r="BA123" s="1271">
        <v>0</v>
      </c>
      <c r="BB123" s="1276">
        <v>0</v>
      </c>
      <c r="BC123" s="414">
        <f t="shared" si="58"/>
        <v>1</v>
      </c>
      <c r="BD123" s="413">
        <f t="shared" si="58"/>
        <v>1</v>
      </c>
      <c r="BE123" s="337"/>
      <c r="BF123" s="338"/>
      <c r="BG123" s="664">
        <f t="shared" si="79"/>
        <v>0</v>
      </c>
      <c r="BH123" s="679">
        <f t="shared" si="79"/>
        <v>0</v>
      </c>
      <c r="BI123" s="383">
        <f t="shared" si="73"/>
        <v>0</v>
      </c>
      <c r="BJ123" s="386">
        <f t="shared" si="73"/>
        <v>0</v>
      </c>
      <c r="BK123" s="534">
        <f t="shared" si="59"/>
        <v>1914</v>
      </c>
      <c r="BL123" s="1271">
        <f t="shared" si="74"/>
        <v>0</v>
      </c>
      <c r="BM123" s="1276">
        <f t="shared" si="75"/>
        <v>0</v>
      </c>
      <c r="BN123" s="337"/>
      <c r="BO123" s="338"/>
      <c r="BP123" s="1271">
        <v>0</v>
      </c>
      <c r="BQ123" s="1276">
        <v>0</v>
      </c>
      <c r="BR123" s="414">
        <f t="shared" si="60"/>
        <v>1</v>
      </c>
      <c r="BS123" s="413">
        <f t="shared" si="60"/>
        <v>1</v>
      </c>
      <c r="BT123" s="337"/>
      <c r="BU123" s="338"/>
      <c r="BV123" s="664">
        <f t="shared" si="80"/>
        <v>0</v>
      </c>
      <c r="BW123" s="679">
        <f t="shared" si="80"/>
        <v>0</v>
      </c>
      <c r="BX123" s="383">
        <f t="shared" si="76"/>
        <v>0</v>
      </c>
      <c r="BY123" s="386">
        <f t="shared" si="76"/>
        <v>0</v>
      </c>
      <c r="BZ123" s="534">
        <f t="shared" si="61"/>
        <v>1917</v>
      </c>
      <c r="CA123" s="664">
        <f t="shared" si="81"/>
        <v>0</v>
      </c>
      <c r="CB123" s="665">
        <f t="shared" si="81"/>
        <v>0</v>
      </c>
      <c r="CC123" s="684">
        <f t="shared" si="83"/>
        <v>0</v>
      </c>
      <c r="CD123" s="685">
        <f t="shared" si="84"/>
        <v>0</v>
      </c>
      <c r="CE123" s="337"/>
      <c r="CF123" s="338"/>
      <c r="CG123" s="383">
        <f t="shared" si="77"/>
        <v>0</v>
      </c>
      <c r="CH123" s="386">
        <f t="shared" si="77"/>
        <v>0</v>
      </c>
    </row>
    <row r="124" spans="2:86" x14ac:dyDescent="0.2">
      <c r="B124" s="276">
        <v>109</v>
      </c>
      <c r="C124" s="320">
        <f t="shared" si="62"/>
        <v>110</v>
      </c>
      <c r="D124" s="534">
        <f t="shared" si="50"/>
        <v>1916</v>
      </c>
      <c r="E124" s="337"/>
      <c r="F124" s="338"/>
      <c r="G124" s="1271">
        <v>0</v>
      </c>
      <c r="H124" s="1289">
        <v>0</v>
      </c>
      <c r="I124" s="400">
        <f t="shared" si="85"/>
        <v>0</v>
      </c>
      <c r="J124" s="401">
        <f t="shared" si="85"/>
        <v>0</v>
      </c>
      <c r="K124" s="649" cm="1">
        <f t="array" ref="K124">INDEX(HE_MortalityLapsesCY,$C124,4)</f>
        <v>1</v>
      </c>
      <c r="L124" s="650" cm="1">
        <f t="array" ref="L124">INDEX(HE_MortalityLapsesCY,$C124,5)</f>
        <v>1</v>
      </c>
      <c r="M124" s="404" cm="1">
        <f t="array" ref="M124">INDEX(HE_MortalityLapsesCY,$C124,5+(2*$L$7-1))</f>
        <v>1</v>
      </c>
      <c r="N124" s="405" cm="1">
        <f t="array" ref="N124">INDEX(HE_MortalityLapsesCY,$C124,5+2*$L$7)</f>
        <v>1</v>
      </c>
      <c r="O124" s="391">
        <f t="shared" si="64"/>
        <v>0.5</v>
      </c>
      <c r="P124" s="1143">
        <f t="shared" si="64"/>
        <v>0.5</v>
      </c>
      <c r="Q124" s="356">
        <f t="shared" si="51"/>
        <v>1916</v>
      </c>
      <c r="R124" s="337"/>
      <c r="S124" s="338"/>
      <c r="T124" s="664">
        <f t="shared" si="52"/>
        <v>0</v>
      </c>
      <c r="U124" s="665">
        <f t="shared" si="53"/>
        <v>0</v>
      </c>
      <c r="V124" s="337"/>
      <c r="W124" s="338"/>
      <c r="X124" s="383">
        <f t="shared" si="65"/>
        <v>0</v>
      </c>
      <c r="Y124" s="386">
        <f t="shared" si="65"/>
        <v>0</v>
      </c>
      <c r="Z124" s="534">
        <f t="shared" si="54"/>
        <v>1916</v>
      </c>
      <c r="AA124" s="664">
        <f t="shared" si="66"/>
        <v>0</v>
      </c>
      <c r="AB124" s="665">
        <f t="shared" si="66"/>
        <v>0</v>
      </c>
      <c r="AC124" s="337"/>
      <c r="AD124" s="338"/>
      <c r="AE124" s="383">
        <f t="shared" si="67"/>
        <v>0</v>
      </c>
      <c r="AF124" s="386">
        <f t="shared" si="67"/>
        <v>0</v>
      </c>
      <c r="AG124" s="534">
        <f t="shared" si="55"/>
        <v>1915</v>
      </c>
      <c r="AH124" s="1271">
        <f t="shared" si="68"/>
        <v>0</v>
      </c>
      <c r="AI124" s="1276">
        <f t="shared" si="69"/>
        <v>0</v>
      </c>
      <c r="AJ124" s="337"/>
      <c r="AK124" s="338"/>
      <c r="AL124" s="1271">
        <v>0</v>
      </c>
      <c r="AM124" s="1276">
        <v>0</v>
      </c>
      <c r="AN124" s="414">
        <f t="shared" si="56"/>
        <v>1</v>
      </c>
      <c r="AO124" s="413">
        <f t="shared" si="56"/>
        <v>1</v>
      </c>
      <c r="AP124" s="337"/>
      <c r="AQ124" s="338"/>
      <c r="AR124" s="664">
        <f t="shared" si="78"/>
        <v>0</v>
      </c>
      <c r="AS124" s="679">
        <f t="shared" si="78"/>
        <v>0</v>
      </c>
      <c r="AT124" s="383">
        <f t="shared" si="70"/>
        <v>0</v>
      </c>
      <c r="AU124" s="386">
        <f t="shared" si="70"/>
        <v>0</v>
      </c>
      <c r="AV124" s="534">
        <f t="shared" si="57"/>
        <v>1914</v>
      </c>
      <c r="AW124" s="1271">
        <f t="shared" si="71"/>
        <v>0</v>
      </c>
      <c r="AX124" s="1276">
        <f t="shared" si="72"/>
        <v>0</v>
      </c>
      <c r="AY124" s="337"/>
      <c r="AZ124" s="338"/>
      <c r="BA124" s="1271">
        <v>0</v>
      </c>
      <c r="BB124" s="1276">
        <v>0</v>
      </c>
      <c r="BC124" s="414">
        <f t="shared" si="58"/>
        <v>1</v>
      </c>
      <c r="BD124" s="413">
        <f t="shared" si="58"/>
        <v>1</v>
      </c>
      <c r="BE124" s="337"/>
      <c r="BF124" s="338"/>
      <c r="BG124" s="664">
        <f t="shared" si="79"/>
        <v>0</v>
      </c>
      <c r="BH124" s="679">
        <f t="shared" si="79"/>
        <v>0</v>
      </c>
      <c r="BI124" s="383">
        <f t="shared" si="73"/>
        <v>0</v>
      </c>
      <c r="BJ124" s="386">
        <f t="shared" si="73"/>
        <v>0</v>
      </c>
      <c r="BK124" s="534">
        <f t="shared" si="59"/>
        <v>1913</v>
      </c>
      <c r="BL124" s="1271">
        <f t="shared" si="74"/>
        <v>0</v>
      </c>
      <c r="BM124" s="1276">
        <f t="shared" si="75"/>
        <v>0</v>
      </c>
      <c r="BN124" s="337"/>
      <c r="BO124" s="338"/>
      <c r="BP124" s="1271">
        <v>0</v>
      </c>
      <c r="BQ124" s="1276">
        <v>0</v>
      </c>
      <c r="BR124" s="414">
        <f t="shared" si="60"/>
        <v>1</v>
      </c>
      <c r="BS124" s="413">
        <f t="shared" si="60"/>
        <v>1</v>
      </c>
      <c r="BT124" s="337"/>
      <c r="BU124" s="338"/>
      <c r="BV124" s="664">
        <f t="shared" si="80"/>
        <v>0</v>
      </c>
      <c r="BW124" s="679">
        <f t="shared" si="80"/>
        <v>0</v>
      </c>
      <c r="BX124" s="383">
        <f t="shared" si="76"/>
        <v>0</v>
      </c>
      <c r="BY124" s="386">
        <f t="shared" si="76"/>
        <v>0</v>
      </c>
      <c r="BZ124" s="534">
        <f t="shared" si="61"/>
        <v>1916</v>
      </c>
      <c r="CA124" s="664">
        <f t="shared" si="81"/>
        <v>0</v>
      </c>
      <c r="CB124" s="665">
        <f t="shared" si="81"/>
        <v>0</v>
      </c>
      <c r="CC124" s="684">
        <f t="shared" si="83"/>
        <v>0</v>
      </c>
      <c r="CD124" s="685">
        <f t="shared" si="84"/>
        <v>0</v>
      </c>
      <c r="CE124" s="337"/>
      <c r="CF124" s="338"/>
      <c r="CG124" s="383">
        <f t="shared" si="77"/>
        <v>0</v>
      </c>
      <c r="CH124" s="386">
        <f t="shared" si="77"/>
        <v>0</v>
      </c>
    </row>
    <row r="125" spans="2:86" x14ac:dyDescent="0.2">
      <c r="B125" s="418">
        <v>110</v>
      </c>
      <c r="C125" s="419">
        <f t="shared" si="62"/>
        <v>111</v>
      </c>
      <c r="D125" s="537">
        <f t="shared" si="50"/>
        <v>1915</v>
      </c>
      <c r="E125" s="420"/>
      <c r="F125" s="421"/>
      <c r="G125" s="1279">
        <v>0</v>
      </c>
      <c r="H125" s="1291">
        <v>0</v>
      </c>
      <c r="I125" s="422">
        <f t="shared" si="85"/>
        <v>0</v>
      </c>
      <c r="J125" s="423">
        <f t="shared" si="85"/>
        <v>0</v>
      </c>
      <c r="K125" s="651" cm="1">
        <f t="array" ref="K125">INDEX(HE_MortalityLapsesCY,$C125,4)</f>
        <v>1</v>
      </c>
      <c r="L125" s="652" cm="1">
        <f t="array" ref="L125">INDEX(HE_MortalityLapsesCY,$C125,5)</f>
        <v>1</v>
      </c>
      <c r="M125" s="424" cm="1">
        <f t="array" ref="M125">INDEX(HE_MortalityLapsesCY,$C125,5+(2*$L$7-1))</f>
        <v>1</v>
      </c>
      <c r="N125" s="425" cm="1">
        <f t="array" ref="N125">INDEX(HE_MortalityLapsesCY,$C125,5+2*$L$7)</f>
        <v>1</v>
      </c>
      <c r="O125" s="426">
        <f t="shared" si="64"/>
        <v>0.5</v>
      </c>
      <c r="P125" s="1145">
        <f t="shared" si="64"/>
        <v>0.5</v>
      </c>
      <c r="Q125" s="1140">
        <f t="shared" si="51"/>
        <v>1915</v>
      </c>
      <c r="R125" s="420"/>
      <c r="S125" s="421"/>
      <c r="T125" s="670">
        <f t="shared" si="52"/>
        <v>0</v>
      </c>
      <c r="U125" s="671">
        <f t="shared" si="53"/>
        <v>0</v>
      </c>
      <c r="V125" s="420"/>
      <c r="W125" s="421"/>
      <c r="X125" s="427">
        <f t="shared" si="65"/>
        <v>0</v>
      </c>
      <c r="Y125" s="428">
        <f t="shared" si="65"/>
        <v>0</v>
      </c>
      <c r="Z125" s="537">
        <f t="shared" si="54"/>
        <v>1915</v>
      </c>
      <c r="AA125" s="670">
        <f t="shared" si="66"/>
        <v>0</v>
      </c>
      <c r="AB125" s="671">
        <f t="shared" si="66"/>
        <v>0</v>
      </c>
      <c r="AC125" s="420"/>
      <c r="AD125" s="421"/>
      <c r="AE125" s="427">
        <f t="shared" si="67"/>
        <v>0</v>
      </c>
      <c r="AF125" s="428">
        <f t="shared" si="67"/>
        <v>0</v>
      </c>
      <c r="AG125" s="537">
        <f t="shared" si="55"/>
        <v>1914</v>
      </c>
      <c r="AH125" s="1279">
        <f t="shared" si="68"/>
        <v>0</v>
      </c>
      <c r="AI125" s="1274">
        <f t="shared" si="69"/>
        <v>0</v>
      </c>
      <c r="AJ125" s="420"/>
      <c r="AK125" s="421"/>
      <c r="AL125" s="1279">
        <v>0</v>
      </c>
      <c r="AM125" s="1274">
        <v>0</v>
      </c>
      <c r="AN125" s="429">
        <f t="shared" si="56"/>
        <v>1</v>
      </c>
      <c r="AO125" s="430">
        <f t="shared" si="56"/>
        <v>1</v>
      </c>
      <c r="AP125" s="420"/>
      <c r="AQ125" s="421"/>
      <c r="AR125" s="670">
        <f t="shared" si="78"/>
        <v>0</v>
      </c>
      <c r="AS125" s="682">
        <f t="shared" si="78"/>
        <v>0</v>
      </c>
      <c r="AT125" s="427">
        <f t="shared" si="70"/>
        <v>0</v>
      </c>
      <c r="AU125" s="428">
        <f t="shared" si="70"/>
        <v>0</v>
      </c>
      <c r="AV125" s="537">
        <f t="shared" si="57"/>
        <v>1913</v>
      </c>
      <c r="AW125" s="1279">
        <f t="shared" si="71"/>
        <v>0</v>
      </c>
      <c r="AX125" s="1274">
        <f t="shared" si="72"/>
        <v>0</v>
      </c>
      <c r="AY125" s="420"/>
      <c r="AZ125" s="421"/>
      <c r="BA125" s="1279">
        <v>0</v>
      </c>
      <c r="BB125" s="1274">
        <v>0</v>
      </c>
      <c r="BC125" s="429">
        <f t="shared" si="58"/>
        <v>1</v>
      </c>
      <c r="BD125" s="430">
        <f t="shared" si="58"/>
        <v>1</v>
      </c>
      <c r="BE125" s="420"/>
      <c r="BF125" s="421"/>
      <c r="BG125" s="670">
        <f t="shared" si="79"/>
        <v>0</v>
      </c>
      <c r="BH125" s="682">
        <f t="shared" si="79"/>
        <v>0</v>
      </c>
      <c r="BI125" s="427">
        <f t="shared" si="73"/>
        <v>0</v>
      </c>
      <c r="BJ125" s="428">
        <f t="shared" si="73"/>
        <v>0</v>
      </c>
      <c r="BK125" s="537">
        <f t="shared" si="59"/>
        <v>1912</v>
      </c>
      <c r="BL125" s="1279">
        <f t="shared" si="74"/>
        <v>0</v>
      </c>
      <c r="BM125" s="1274">
        <f t="shared" si="75"/>
        <v>0</v>
      </c>
      <c r="BN125" s="420"/>
      <c r="BO125" s="421"/>
      <c r="BP125" s="1279">
        <v>0</v>
      </c>
      <c r="BQ125" s="1274">
        <v>0</v>
      </c>
      <c r="BR125" s="429">
        <f t="shared" si="60"/>
        <v>1</v>
      </c>
      <c r="BS125" s="430">
        <f t="shared" si="60"/>
        <v>1</v>
      </c>
      <c r="BT125" s="420"/>
      <c r="BU125" s="421"/>
      <c r="BV125" s="670">
        <f t="shared" si="80"/>
        <v>0</v>
      </c>
      <c r="BW125" s="682">
        <f t="shared" si="80"/>
        <v>0</v>
      </c>
      <c r="BX125" s="427">
        <f t="shared" si="76"/>
        <v>0</v>
      </c>
      <c r="BY125" s="428">
        <f t="shared" si="76"/>
        <v>0</v>
      </c>
      <c r="BZ125" s="537">
        <f t="shared" si="61"/>
        <v>1915</v>
      </c>
      <c r="CA125" s="670">
        <f t="shared" si="81"/>
        <v>0</v>
      </c>
      <c r="CB125" s="671">
        <f t="shared" si="81"/>
        <v>0</v>
      </c>
      <c r="CC125" s="688">
        <f t="shared" si="83"/>
        <v>0</v>
      </c>
      <c r="CD125" s="689">
        <f t="shared" si="84"/>
        <v>0</v>
      </c>
      <c r="CE125" s="420"/>
      <c r="CF125" s="421"/>
      <c r="CG125" s="427">
        <f t="shared" si="77"/>
        <v>0</v>
      </c>
      <c r="CH125" s="428">
        <f t="shared" si="77"/>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 priority="42">
      <formula>IF($G15="Ground-up loss",TRUE,FALSE)</formula>
    </cfRule>
  </conditionalFormatting>
  <conditionalFormatting sqref="E115:H115">
    <cfRule type="expression" dxfId="40" priority="41">
      <formula>IF($G115="Ground-up loss",TRUE,FALSE)</formula>
    </cfRule>
  </conditionalFormatting>
  <conditionalFormatting sqref="R15:S114">
    <cfRule type="expression" dxfId="39" priority="40">
      <formula>IF($G15="Ground-up loss",TRUE,FALSE)</formula>
    </cfRule>
  </conditionalFormatting>
  <conditionalFormatting sqref="R115:S115">
    <cfRule type="expression" dxfId="38" priority="39">
      <formula>IF($G115="Ground-up loss",TRUE,FALSE)</formula>
    </cfRule>
  </conditionalFormatting>
  <conditionalFormatting sqref="AH15:AI114">
    <cfRule type="expression" dxfId="37" priority="38">
      <formula>IF($G15="Ground-up loss",TRUE,FALSE)</formula>
    </cfRule>
  </conditionalFormatting>
  <conditionalFormatting sqref="AH115:AI115">
    <cfRule type="expression" dxfId="36" priority="37">
      <formula>IF($G115="Ground-up loss",TRUE,FALSE)</formula>
    </cfRule>
  </conditionalFormatting>
  <conditionalFormatting sqref="AJ15:AK15">
    <cfRule type="expression" dxfId="35" priority="36">
      <formula>IF($G15="Ground-up loss",TRUE,FALSE)</formula>
    </cfRule>
  </conditionalFormatting>
  <conditionalFormatting sqref="AJ115:AK115">
    <cfRule type="expression" dxfId="34" priority="35">
      <formula>IF($G115="Ground-up loss",TRUE,FALSE)</formula>
    </cfRule>
  </conditionalFormatting>
  <conditionalFormatting sqref="AL15:AM114">
    <cfRule type="expression" dxfId="33" priority="34">
      <formula>IF($G15="Ground-up loss",TRUE,FALSE)</formula>
    </cfRule>
  </conditionalFormatting>
  <conditionalFormatting sqref="AL115:AM115">
    <cfRule type="expression" dxfId="32" priority="33">
      <formula>IF($G115="Ground-up loss",TRUE,FALSE)</formula>
    </cfRule>
  </conditionalFormatting>
  <conditionalFormatting sqref="AP15:AQ114">
    <cfRule type="expression" dxfId="31" priority="32">
      <formula>IF($G15="Ground-up loss",TRUE,FALSE)</formula>
    </cfRule>
  </conditionalFormatting>
  <conditionalFormatting sqref="AP115:AQ115">
    <cfRule type="expression" dxfId="30" priority="31">
      <formula>IF($G115="Ground-up loss",TRUE,FALSE)</formula>
    </cfRule>
  </conditionalFormatting>
  <conditionalFormatting sqref="AJ16">
    <cfRule type="expression" dxfId="29" priority="30">
      <formula>IF($G16="Ground-up loss",TRUE,FALSE)</formula>
    </cfRule>
  </conditionalFormatting>
  <conditionalFormatting sqref="V116:W125">
    <cfRule type="expression" dxfId="28" priority="29">
      <formula>IF($G116="Ground-up loss",TRUE,FALSE)</formula>
    </cfRule>
  </conditionalFormatting>
  <conditionalFormatting sqref="V15:W114">
    <cfRule type="expression" dxfId="27" priority="28">
      <formula>IF($G15="Ground-up loss",TRUE,FALSE)</formula>
    </cfRule>
  </conditionalFormatting>
  <conditionalFormatting sqref="V115:W115">
    <cfRule type="expression" dxfId="26" priority="27">
      <formula>IF($G115="Ground-up loss",TRUE,FALSE)</formula>
    </cfRule>
  </conditionalFormatting>
  <conditionalFormatting sqref="AC116:AD125">
    <cfRule type="expression" dxfId="25" priority="26">
      <formula>IF($G116="Ground-up loss",TRUE,FALSE)</formula>
    </cfRule>
  </conditionalFormatting>
  <conditionalFormatting sqref="AC15:AD114">
    <cfRule type="expression" dxfId="24" priority="25">
      <formula>IF($G15="Ground-up loss",TRUE,FALSE)</formula>
    </cfRule>
  </conditionalFormatting>
  <conditionalFormatting sqref="AC115:AD115">
    <cfRule type="expression" dxfId="23" priority="24">
      <formula>IF($G115="Ground-up loss",TRUE,FALSE)</formula>
    </cfRule>
  </conditionalFormatting>
  <conditionalFormatting sqref="AY17:AZ114 AZ16 AW116:BB125 BE116:BF125">
    <cfRule type="expression" dxfId="22" priority="23">
      <formula>IF($G16="Ground-up loss",TRUE,FALSE)</formula>
    </cfRule>
  </conditionalFormatting>
  <conditionalFormatting sqref="AW15:AX114">
    <cfRule type="expression" dxfId="21" priority="22">
      <formula>IF($G15="Ground-up loss",TRUE,FALSE)</formula>
    </cfRule>
  </conditionalFormatting>
  <conditionalFormatting sqref="AW115:AX115">
    <cfRule type="expression" dxfId="20" priority="21">
      <formula>IF($G115="Ground-up loss",TRUE,FALSE)</formula>
    </cfRule>
  </conditionalFormatting>
  <conditionalFormatting sqref="AY15:AZ15">
    <cfRule type="expression" dxfId="19" priority="20">
      <formula>IF($G15="Ground-up loss",TRUE,FALSE)</formula>
    </cfRule>
  </conditionalFormatting>
  <conditionalFormatting sqref="AY115:AZ115">
    <cfRule type="expression" dxfId="18" priority="19">
      <formula>IF($G115="Ground-up loss",TRUE,FALSE)</formula>
    </cfRule>
  </conditionalFormatting>
  <conditionalFormatting sqref="BA15:BB114">
    <cfRule type="expression" dxfId="17" priority="18">
      <formula>IF($G15="Ground-up loss",TRUE,FALSE)</formula>
    </cfRule>
  </conditionalFormatting>
  <conditionalFormatting sqref="BA115:BB115">
    <cfRule type="expression" dxfId="16" priority="17">
      <formula>IF($G115="Ground-up loss",TRUE,FALSE)</formula>
    </cfRule>
  </conditionalFormatting>
  <conditionalFormatting sqref="BE15:BF114">
    <cfRule type="expression" dxfId="15" priority="16">
      <formula>IF($G15="Ground-up loss",TRUE,FALSE)</formula>
    </cfRule>
  </conditionalFormatting>
  <conditionalFormatting sqref="BE115:BF115">
    <cfRule type="expression" dxfId="14" priority="15">
      <formula>IF($G115="Ground-up loss",TRUE,FALSE)</formula>
    </cfRule>
  </conditionalFormatting>
  <conditionalFormatting sqref="AY16">
    <cfRule type="expression" dxfId="13" priority="14">
      <formula>IF($G16="Ground-up loss",TRUE,FALSE)</formula>
    </cfRule>
  </conditionalFormatting>
  <conditionalFormatting sqref="BN17:BO114 BO16 BL116:BQ125 BT116:BU125">
    <cfRule type="expression" dxfId="12" priority="13">
      <formula>IF($G16="Ground-up loss",TRUE,FALSE)</formula>
    </cfRule>
  </conditionalFormatting>
  <conditionalFormatting sqref="BL15:BM114">
    <cfRule type="expression" dxfId="11" priority="12">
      <formula>IF($G15="Ground-up loss",TRUE,FALSE)</formula>
    </cfRule>
  </conditionalFormatting>
  <conditionalFormatting sqref="BL115:BM115">
    <cfRule type="expression" dxfId="10" priority="11">
      <formula>IF($G115="Ground-up loss",TRUE,FALSE)</formula>
    </cfRule>
  </conditionalFormatting>
  <conditionalFormatting sqref="BN15:BO15">
    <cfRule type="expression" dxfId="9" priority="10">
      <formula>IF($G15="Ground-up loss",TRUE,FALSE)</formula>
    </cfRule>
  </conditionalFormatting>
  <conditionalFormatting sqref="BN115:BO115">
    <cfRule type="expression" dxfId="8" priority="9">
      <formula>IF($G115="Ground-up loss",TRUE,FALSE)</formula>
    </cfRule>
  </conditionalFormatting>
  <conditionalFormatting sqref="BP15:BQ114">
    <cfRule type="expression" dxfId="7" priority="8">
      <formula>IF($G15="Ground-up loss",TRUE,FALSE)</formula>
    </cfRule>
  </conditionalFormatting>
  <conditionalFormatting sqref="BP115:BQ115">
    <cfRule type="expression" dxfId="6" priority="7">
      <formula>IF($G115="Ground-up loss",TRUE,FALSE)</formula>
    </cfRule>
  </conditionalFormatting>
  <conditionalFormatting sqref="BT15:BU114">
    <cfRule type="expression" dxfId="5" priority="6">
      <formula>IF($G15="Ground-up loss",TRUE,FALSE)</formula>
    </cfRule>
  </conditionalFormatting>
  <conditionalFormatting sqref="BT115:BU115">
    <cfRule type="expression" dxfId="4" priority="5">
      <formula>IF($G115="Ground-up loss",TRUE,FALSE)</formula>
    </cfRule>
  </conditionalFormatting>
  <conditionalFormatting sqref="BN16">
    <cfRule type="expression" dxfId="3" priority="4">
      <formula>IF($G16="Ground-up loss",TRUE,FALSE)</formula>
    </cfRule>
  </conditionalFormatting>
  <conditionalFormatting sqref="CE116:CF125">
    <cfRule type="expression" dxfId="2" priority="3">
      <formula>IF($G116="Ground-up loss",TRUE,FALSE)</formula>
    </cfRule>
  </conditionalFormatting>
  <conditionalFormatting sqref="CE15:CF114">
    <cfRule type="expression" dxfId="1" priority="2">
      <formula>IF($G15="Ground-up loss",TRUE,FALSE)</formula>
    </cfRule>
  </conditionalFormatting>
  <conditionalFormatting sqref="CE115:CF115">
    <cfRule type="expression" dxfId="0" priority="1">
      <formula>IF($G115="Ground-up loss",TRUE,FALSE)</formula>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1C0D-0DF3-46AA-924A-C51E41E9D844}">
  <sheetPr>
    <tabColor rgb="FF00539E"/>
  </sheetPr>
  <dimension ref="A1:U547"/>
  <sheetViews>
    <sheetView workbookViewId="0"/>
  </sheetViews>
  <sheetFormatPr defaultColWidth="8.7109375" defaultRowHeight="12.75" x14ac:dyDescent="0.2"/>
  <sheetData>
    <row r="1" spans="1:21" x14ac:dyDescent="0.2">
      <c r="A1" t="s">
        <v>1620</v>
      </c>
      <c r="B1" t="s">
        <v>1621</v>
      </c>
      <c r="C1" t="s">
        <v>1622</v>
      </c>
      <c r="D1" t="s">
        <v>1623</v>
      </c>
      <c r="E1" t="s">
        <v>1624</v>
      </c>
      <c r="F1" t="s">
        <v>1625</v>
      </c>
      <c r="G1" t="s">
        <v>1626</v>
      </c>
      <c r="H1" t="s">
        <v>1627</v>
      </c>
      <c r="I1" t="s">
        <v>1628</v>
      </c>
      <c r="J1" t="s">
        <v>1629</v>
      </c>
      <c r="K1" t="s">
        <v>1630</v>
      </c>
      <c r="L1" t="s">
        <v>1631</v>
      </c>
      <c r="M1" t="s">
        <v>1632</v>
      </c>
      <c r="N1" t="s">
        <v>1633</v>
      </c>
      <c r="O1" t="s">
        <v>1634</v>
      </c>
      <c r="P1" t="s">
        <v>1635</v>
      </c>
      <c r="Q1" t="s">
        <v>1636</v>
      </c>
      <c r="R1" t="s">
        <v>1637</v>
      </c>
      <c r="S1" t="s">
        <v>1638</v>
      </c>
      <c r="T1" t="s">
        <v>1639</v>
      </c>
      <c r="U1" t="s">
        <v>2091</v>
      </c>
    </row>
    <row r="2" spans="1:21" x14ac:dyDescent="0.2">
      <c r="A2" t="s">
        <v>1640</v>
      </c>
      <c r="B2" t="s">
        <v>1641</v>
      </c>
      <c r="C2" t="s">
        <v>1642</v>
      </c>
      <c r="D2" t="s">
        <v>1643</v>
      </c>
      <c r="E2" t="s">
        <v>1644</v>
      </c>
      <c r="F2" t="s">
        <v>1644</v>
      </c>
      <c r="G2" t="s">
        <v>1645</v>
      </c>
      <c r="H2" t="s">
        <v>1645</v>
      </c>
      <c r="I2" t="s">
        <v>1645</v>
      </c>
      <c r="J2" t="s">
        <v>1645</v>
      </c>
      <c r="K2" t="s">
        <v>1645</v>
      </c>
      <c r="L2" t="s">
        <v>1646</v>
      </c>
      <c r="M2" t="s">
        <v>1647</v>
      </c>
      <c r="N2" t="s">
        <v>192</v>
      </c>
      <c r="O2" t="s">
        <v>1648</v>
      </c>
      <c r="P2" t="s">
        <v>1648</v>
      </c>
      <c r="Q2" t="s">
        <v>1644</v>
      </c>
      <c r="R2" t="s">
        <v>1644</v>
      </c>
      <c r="S2" t="s">
        <v>1644</v>
      </c>
      <c r="T2" t="s">
        <v>1644</v>
      </c>
      <c r="U2" t="s">
        <v>2092</v>
      </c>
    </row>
    <row r="3" spans="1:21" x14ac:dyDescent="0.2">
      <c r="A3" t="s">
        <v>1649</v>
      </c>
      <c r="B3" t="s">
        <v>1650</v>
      </c>
      <c r="C3" t="s">
        <v>1642</v>
      </c>
      <c r="D3" t="s">
        <v>1643</v>
      </c>
      <c r="E3" t="s">
        <v>1644</v>
      </c>
      <c r="F3" t="s">
        <v>1644</v>
      </c>
      <c r="G3" t="s">
        <v>1645</v>
      </c>
      <c r="H3" t="s">
        <v>1645</v>
      </c>
      <c r="I3" t="s">
        <v>1645</v>
      </c>
      <c r="J3" t="s">
        <v>1645</v>
      </c>
      <c r="K3" t="s">
        <v>1645</v>
      </c>
      <c r="L3" t="s">
        <v>1646</v>
      </c>
      <c r="M3" t="s">
        <v>1647</v>
      </c>
      <c r="N3" t="s">
        <v>192</v>
      </c>
      <c r="O3" t="s">
        <v>1648</v>
      </c>
      <c r="P3" t="s">
        <v>1648</v>
      </c>
      <c r="Q3" t="s">
        <v>1644</v>
      </c>
      <c r="R3" t="s">
        <v>1644</v>
      </c>
      <c r="S3" t="s">
        <v>1644</v>
      </c>
      <c r="T3" t="s">
        <v>1644</v>
      </c>
      <c r="U3" t="s">
        <v>1645</v>
      </c>
    </row>
    <row r="4" spans="1:21" x14ac:dyDescent="0.2">
      <c r="A4" t="s">
        <v>1651</v>
      </c>
      <c r="B4" t="s">
        <v>1652</v>
      </c>
      <c r="C4" t="s">
        <v>1642</v>
      </c>
      <c r="D4" t="s">
        <v>1643</v>
      </c>
      <c r="E4" t="s">
        <v>1644</v>
      </c>
      <c r="F4" t="s">
        <v>1644</v>
      </c>
      <c r="G4" t="s">
        <v>1645</v>
      </c>
      <c r="H4" t="s">
        <v>1645</v>
      </c>
      <c r="I4" t="s">
        <v>1645</v>
      </c>
      <c r="J4" t="s">
        <v>1645</v>
      </c>
      <c r="K4" t="s">
        <v>1645</v>
      </c>
      <c r="L4" t="s">
        <v>1646</v>
      </c>
      <c r="M4" t="s">
        <v>1647</v>
      </c>
      <c r="N4" t="s">
        <v>192</v>
      </c>
      <c r="O4" t="s">
        <v>1648</v>
      </c>
      <c r="P4" t="s">
        <v>1648</v>
      </c>
      <c r="Q4" t="s">
        <v>1644</v>
      </c>
      <c r="R4" t="s">
        <v>1644</v>
      </c>
      <c r="S4" t="s">
        <v>1644</v>
      </c>
      <c r="T4" t="s">
        <v>1644</v>
      </c>
      <c r="U4" t="s">
        <v>1645</v>
      </c>
    </row>
    <row r="5" spans="1:21" x14ac:dyDescent="0.2">
      <c r="A5" t="s">
        <v>1653</v>
      </c>
      <c r="B5" t="s">
        <v>1654</v>
      </c>
      <c r="C5" t="s">
        <v>1642</v>
      </c>
      <c r="D5" t="s">
        <v>1643</v>
      </c>
      <c r="E5" t="s">
        <v>1644</v>
      </c>
      <c r="F5" t="s">
        <v>1644</v>
      </c>
      <c r="G5" t="s">
        <v>1645</v>
      </c>
      <c r="H5" t="s">
        <v>1645</v>
      </c>
      <c r="I5" t="s">
        <v>1645</v>
      </c>
      <c r="J5" t="s">
        <v>1645</v>
      </c>
      <c r="K5" t="s">
        <v>1645</v>
      </c>
      <c r="L5" t="s">
        <v>1646</v>
      </c>
      <c r="M5" t="s">
        <v>1647</v>
      </c>
      <c r="N5" t="s">
        <v>192</v>
      </c>
      <c r="O5" t="s">
        <v>1648</v>
      </c>
      <c r="P5" t="s">
        <v>1648</v>
      </c>
      <c r="Q5" t="s">
        <v>1644</v>
      </c>
      <c r="R5" t="s">
        <v>1644</v>
      </c>
      <c r="S5" t="s">
        <v>1644</v>
      </c>
      <c r="T5" t="s">
        <v>1644</v>
      </c>
      <c r="U5" t="s">
        <v>1645</v>
      </c>
    </row>
    <row r="6" spans="1:21" x14ac:dyDescent="0.2">
      <c r="A6" t="s">
        <v>1655</v>
      </c>
      <c r="B6" t="s">
        <v>1656</v>
      </c>
      <c r="C6" t="s">
        <v>1642</v>
      </c>
      <c r="D6" t="s">
        <v>1643</v>
      </c>
      <c r="E6" t="s">
        <v>1644</v>
      </c>
      <c r="F6" t="s">
        <v>1644</v>
      </c>
      <c r="G6" t="s">
        <v>1645</v>
      </c>
      <c r="H6" t="s">
        <v>1645</v>
      </c>
      <c r="I6" t="s">
        <v>1645</v>
      </c>
      <c r="J6" t="s">
        <v>1645</v>
      </c>
      <c r="K6" t="s">
        <v>1645</v>
      </c>
      <c r="L6" t="s">
        <v>1646</v>
      </c>
      <c r="M6" t="s">
        <v>1647</v>
      </c>
      <c r="N6" t="s">
        <v>192</v>
      </c>
      <c r="O6" t="s">
        <v>1648</v>
      </c>
      <c r="P6" t="s">
        <v>1648</v>
      </c>
      <c r="Q6" t="s">
        <v>1644</v>
      </c>
      <c r="R6" t="s">
        <v>1644</v>
      </c>
      <c r="S6" t="s">
        <v>1644</v>
      </c>
      <c r="T6" t="s">
        <v>1644</v>
      </c>
      <c r="U6" t="s">
        <v>1645</v>
      </c>
    </row>
    <row r="7" spans="1:21" x14ac:dyDescent="0.2">
      <c r="A7" t="s">
        <v>1657</v>
      </c>
      <c r="B7" t="s">
        <v>1658</v>
      </c>
      <c r="C7" t="s">
        <v>1642</v>
      </c>
      <c r="D7" t="s">
        <v>1643</v>
      </c>
      <c r="E7" t="s">
        <v>1644</v>
      </c>
      <c r="F7" t="s">
        <v>1644</v>
      </c>
      <c r="G7" t="s">
        <v>1645</v>
      </c>
      <c r="H7" t="s">
        <v>1645</v>
      </c>
      <c r="I7" t="s">
        <v>1645</v>
      </c>
      <c r="J7" t="s">
        <v>1645</v>
      </c>
      <c r="K7" t="s">
        <v>1645</v>
      </c>
      <c r="L7" t="s">
        <v>1646</v>
      </c>
      <c r="M7" t="s">
        <v>1647</v>
      </c>
      <c r="N7" t="s">
        <v>192</v>
      </c>
      <c r="O7" t="s">
        <v>1648</v>
      </c>
      <c r="P7" t="s">
        <v>1648</v>
      </c>
      <c r="Q7" t="s">
        <v>1644</v>
      </c>
      <c r="R7" t="s">
        <v>1644</v>
      </c>
      <c r="S7" t="s">
        <v>1644</v>
      </c>
      <c r="T7" t="s">
        <v>1644</v>
      </c>
      <c r="U7" t="s">
        <v>1645</v>
      </c>
    </row>
    <row r="8" spans="1:21" x14ac:dyDescent="0.2">
      <c r="A8" t="s">
        <v>1659</v>
      </c>
      <c r="B8" t="s">
        <v>1660</v>
      </c>
      <c r="C8" t="s">
        <v>1642</v>
      </c>
      <c r="D8" t="s">
        <v>1643</v>
      </c>
      <c r="E8" t="s">
        <v>1644</v>
      </c>
      <c r="F8" t="s">
        <v>1644</v>
      </c>
      <c r="G8" t="s">
        <v>1645</v>
      </c>
      <c r="H8" t="s">
        <v>1645</v>
      </c>
      <c r="I8" t="s">
        <v>1645</v>
      </c>
      <c r="J8" t="s">
        <v>1645</v>
      </c>
      <c r="K8" t="s">
        <v>1645</v>
      </c>
      <c r="L8" t="s">
        <v>1646</v>
      </c>
      <c r="M8" t="s">
        <v>1647</v>
      </c>
      <c r="N8" t="s">
        <v>192</v>
      </c>
      <c r="O8" t="s">
        <v>1648</v>
      </c>
      <c r="P8" t="s">
        <v>1648</v>
      </c>
      <c r="Q8" t="s">
        <v>1644</v>
      </c>
      <c r="R8" t="s">
        <v>1644</v>
      </c>
      <c r="S8" t="s">
        <v>1644</v>
      </c>
      <c r="T8" t="s">
        <v>1644</v>
      </c>
      <c r="U8" t="s">
        <v>1645</v>
      </c>
    </row>
    <row r="9" spans="1:21" x14ac:dyDescent="0.2">
      <c r="A9" t="s">
        <v>1661</v>
      </c>
      <c r="B9" t="s">
        <v>1662</v>
      </c>
      <c r="C9" t="s">
        <v>1642</v>
      </c>
      <c r="D9" t="s">
        <v>1643</v>
      </c>
      <c r="E9" t="s">
        <v>1644</v>
      </c>
      <c r="F9" t="s">
        <v>1644</v>
      </c>
      <c r="G9" t="s">
        <v>1645</v>
      </c>
      <c r="H9" t="s">
        <v>1645</v>
      </c>
      <c r="I9" t="s">
        <v>1645</v>
      </c>
      <c r="J9" t="s">
        <v>1645</v>
      </c>
      <c r="K9" t="s">
        <v>1645</v>
      </c>
      <c r="L9" t="s">
        <v>1646</v>
      </c>
      <c r="M9" t="s">
        <v>1647</v>
      </c>
      <c r="N9" t="s">
        <v>192</v>
      </c>
      <c r="O9" t="s">
        <v>1648</v>
      </c>
      <c r="P9" t="s">
        <v>1648</v>
      </c>
      <c r="Q9" t="s">
        <v>1644</v>
      </c>
      <c r="R9" t="s">
        <v>1644</v>
      </c>
      <c r="S9" t="s">
        <v>1644</v>
      </c>
      <c r="T9" t="s">
        <v>1644</v>
      </c>
      <c r="U9" t="s">
        <v>1645</v>
      </c>
    </row>
    <row r="10" spans="1:21" x14ac:dyDescent="0.2">
      <c r="A10" t="s">
        <v>1663</v>
      </c>
      <c r="B10" t="s">
        <v>1664</v>
      </c>
      <c r="C10" t="s">
        <v>1642</v>
      </c>
      <c r="D10" t="s">
        <v>1643</v>
      </c>
      <c r="E10" t="s">
        <v>1644</v>
      </c>
      <c r="F10" t="s">
        <v>1644</v>
      </c>
      <c r="G10" t="s">
        <v>1645</v>
      </c>
      <c r="H10" t="s">
        <v>1645</v>
      </c>
      <c r="I10" t="s">
        <v>1645</v>
      </c>
      <c r="J10" t="s">
        <v>1645</v>
      </c>
      <c r="K10" t="s">
        <v>1645</v>
      </c>
      <c r="L10" t="s">
        <v>1646</v>
      </c>
      <c r="M10" t="s">
        <v>1647</v>
      </c>
      <c r="N10" t="s">
        <v>192</v>
      </c>
      <c r="O10" t="s">
        <v>1648</v>
      </c>
      <c r="P10" t="s">
        <v>1648</v>
      </c>
      <c r="Q10" t="s">
        <v>1644</v>
      </c>
      <c r="R10" t="s">
        <v>1644</v>
      </c>
      <c r="S10" t="s">
        <v>1644</v>
      </c>
      <c r="T10" t="s">
        <v>1644</v>
      </c>
      <c r="U10" t="s">
        <v>1645</v>
      </c>
    </row>
    <row r="11" spans="1:21" x14ac:dyDescent="0.2">
      <c r="A11" t="s">
        <v>1665</v>
      </c>
      <c r="B11" t="s">
        <v>1666</v>
      </c>
      <c r="C11" t="s">
        <v>1642</v>
      </c>
      <c r="D11" t="s">
        <v>1643</v>
      </c>
      <c r="E11" t="s">
        <v>1644</v>
      </c>
      <c r="F11" t="s">
        <v>1644</v>
      </c>
      <c r="G11" t="s">
        <v>1645</v>
      </c>
      <c r="H11" t="s">
        <v>1645</v>
      </c>
      <c r="I11" t="s">
        <v>1645</v>
      </c>
      <c r="J11" t="s">
        <v>1645</v>
      </c>
      <c r="K11" t="s">
        <v>1645</v>
      </c>
      <c r="L11" t="s">
        <v>1646</v>
      </c>
      <c r="M11" t="s">
        <v>1647</v>
      </c>
      <c r="N11" t="s">
        <v>192</v>
      </c>
      <c r="O11" t="s">
        <v>1648</v>
      </c>
      <c r="P11" t="s">
        <v>1648</v>
      </c>
      <c r="Q11" t="s">
        <v>1644</v>
      </c>
      <c r="R11" t="s">
        <v>1644</v>
      </c>
      <c r="S11" t="s">
        <v>1644</v>
      </c>
      <c r="T11" t="s">
        <v>1644</v>
      </c>
      <c r="U11" t="s">
        <v>1645</v>
      </c>
    </row>
    <row r="12" spans="1:21" x14ac:dyDescent="0.2">
      <c r="A12" t="s">
        <v>1667</v>
      </c>
      <c r="B12" t="s">
        <v>1668</v>
      </c>
      <c r="C12" t="s">
        <v>1642</v>
      </c>
      <c r="D12" t="s">
        <v>1643</v>
      </c>
      <c r="E12" t="s">
        <v>1644</v>
      </c>
      <c r="F12" t="s">
        <v>1644</v>
      </c>
      <c r="G12" t="s">
        <v>1645</v>
      </c>
      <c r="H12" t="s">
        <v>1645</v>
      </c>
      <c r="I12" t="s">
        <v>1645</v>
      </c>
      <c r="J12" t="s">
        <v>1645</v>
      </c>
      <c r="K12" t="s">
        <v>1645</v>
      </c>
      <c r="L12" t="s">
        <v>1646</v>
      </c>
      <c r="M12" t="s">
        <v>1647</v>
      </c>
      <c r="N12" t="s">
        <v>192</v>
      </c>
      <c r="O12" t="s">
        <v>1648</v>
      </c>
      <c r="P12" t="s">
        <v>1648</v>
      </c>
      <c r="Q12" t="s">
        <v>1644</v>
      </c>
      <c r="R12" t="s">
        <v>1644</v>
      </c>
      <c r="S12" t="s">
        <v>1644</v>
      </c>
      <c r="T12" t="s">
        <v>1644</v>
      </c>
      <c r="U12" t="s">
        <v>1645</v>
      </c>
    </row>
    <row r="13" spans="1:21" x14ac:dyDescent="0.2">
      <c r="A13" t="s">
        <v>1669</v>
      </c>
      <c r="B13" t="s">
        <v>1670</v>
      </c>
      <c r="C13" t="s">
        <v>1642</v>
      </c>
      <c r="D13" t="s">
        <v>1643</v>
      </c>
      <c r="E13" t="s">
        <v>1644</v>
      </c>
      <c r="F13" t="s">
        <v>1644</v>
      </c>
      <c r="G13" t="s">
        <v>1645</v>
      </c>
      <c r="H13" t="s">
        <v>1645</v>
      </c>
      <c r="I13" t="s">
        <v>1645</v>
      </c>
      <c r="J13" t="s">
        <v>1645</v>
      </c>
      <c r="K13" t="s">
        <v>1645</v>
      </c>
      <c r="L13" t="s">
        <v>1646</v>
      </c>
      <c r="M13" t="s">
        <v>1647</v>
      </c>
      <c r="N13" t="s">
        <v>192</v>
      </c>
      <c r="O13" t="s">
        <v>1648</v>
      </c>
      <c r="P13" t="s">
        <v>1648</v>
      </c>
      <c r="Q13" t="s">
        <v>1644</v>
      </c>
      <c r="R13" t="s">
        <v>1644</v>
      </c>
      <c r="S13" t="s">
        <v>1644</v>
      </c>
      <c r="T13" t="s">
        <v>1644</v>
      </c>
      <c r="U13" t="s">
        <v>1645</v>
      </c>
    </row>
    <row r="14" spans="1:21" x14ac:dyDescent="0.2">
      <c r="A14" t="s">
        <v>1671</v>
      </c>
      <c r="B14" t="s">
        <v>1648</v>
      </c>
      <c r="C14" t="s">
        <v>1642</v>
      </c>
      <c r="D14" t="s">
        <v>1643</v>
      </c>
      <c r="E14" t="s">
        <v>1644</v>
      </c>
      <c r="F14" t="s">
        <v>1644</v>
      </c>
      <c r="G14" t="s">
        <v>1645</v>
      </c>
      <c r="H14" t="s">
        <v>1645</v>
      </c>
      <c r="I14" t="s">
        <v>1645</v>
      </c>
      <c r="J14" t="s">
        <v>1645</v>
      </c>
      <c r="K14" t="s">
        <v>1645</v>
      </c>
      <c r="L14" t="s">
        <v>1646</v>
      </c>
      <c r="M14" t="s">
        <v>1647</v>
      </c>
      <c r="N14" t="s">
        <v>192</v>
      </c>
      <c r="O14" t="s">
        <v>1648</v>
      </c>
      <c r="P14" t="s">
        <v>1648</v>
      </c>
      <c r="Q14" t="s">
        <v>1644</v>
      </c>
      <c r="R14" t="s">
        <v>1644</v>
      </c>
      <c r="S14" t="s">
        <v>1644</v>
      </c>
      <c r="T14" t="s">
        <v>1644</v>
      </c>
      <c r="U14" t="s">
        <v>1645</v>
      </c>
    </row>
    <row r="15" spans="1:21" x14ac:dyDescent="0.2">
      <c r="A15" t="s">
        <v>1672</v>
      </c>
      <c r="B15" t="s">
        <v>1673</v>
      </c>
      <c r="C15" t="s">
        <v>1642</v>
      </c>
      <c r="D15" t="s">
        <v>1643</v>
      </c>
      <c r="E15" t="s">
        <v>1644</v>
      </c>
      <c r="F15" t="s">
        <v>1644</v>
      </c>
      <c r="G15" t="s">
        <v>1645</v>
      </c>
      <c r="H15" t="s">
        <v>1645</v>
      </c>
      <c r="I15" t="s">
        <v>1645</v>
      </c>
      <c r="J15" t="s">
        <v>1645</v>
      </c>
      <c r="K15" t="s">
        <v>1645</v>
      </c>
      <c r="L15" t="s">
        <v>1646</v>
      </c>
      <c r="M15" t="s">
        <v>1647</v>
      </c>
      <c r="N15" t="s">
        <v>192</v>
      </c>
      <c r="O15" t="s">
        <v>1648</v>
      </c>
      <c r="P15" t="s">
        <v>1648</v>
      </c>
      <c r="Q15" t="s">
        <v>1644</v>
      </c>
      <c r="R15" t="s">
        <v>1644</v>
      </c>
      <c r="S15" t="s">
        <v>1644</v>
      </c>
      <c r="T15" t="s">
        <v>1644</v>
      </c>
      <c r="U15" t="s">
        <v>1645</v>
      </c>
    </row>
    <row r="16" spans="1:21" x14ac:dyDescent="0.2">
      <c r="A16" t="s">
        <v>1674</v>
      </c>
      <c r="B16" t="s">
        <v>1675</v>
      </c>
      <c r="C16" t="s">
        <v>1642</v>
      </c>
      <c r="D16" t="s">
        <v>1643</v>
      </c>
      <c r="E16" t="s">
        <v>1644</v>
      </c>
      <c r="F16" t="s">
        <v>1644</v>
      </c>
      <c r="G16" t="s">
        <v>1645</v>
      </c>
      <c r="H16" t="s">
        <v>1645</v>
      </c>
      <c r="I16" t="s">
        <v>1645</v>
      </c>
      <c r="J16" t="s">
        <v>1645</v>
      </c>
      <c r="K16" t="s">
        <v>1645</v>
      </c>
      <c r="L16" t="s">
        <v>1646</v>
      </c>
      <c r="M16" t="s">
        <v>1647</v>
      </c>
      <c r="N16" t="s">
        <v>192</v>
      </c>
      <c r="O16" t="s">
        <v>1648</v>
      </c>
      <c r="P16" t="s">
        <v>1648</v>
      </c>
      <c r="Q16" t="s">
        <v>1644</v>
      </c>
      <c r="R16" t="s">
        <v>1644</v>
      </c>
      <c r="S16" t="s">
        <v>1644</v>
      </c>
      <c r="T16" t="s">
        <v>1644</v>
      </c>
      <c r="U16" t="s">
        <v>1645</v>
      </c>
    </row>
    <row r="17" spans="1:21" x14ac:dyDescent="0.2">
      <c r="A17" t="s">
        <v>1676</v>
      </c>
      <c r="B17" t="s">
        <v>1677</v>
      </c>
      <c r="C17" t="s">
        <v>1642</v>
      </c>
      <c r="D17" t="s">
        <v>1643</v>
      </c>
      <c r="E17" t="s">
        <v>1644</v>
      </c>
      <c r="F17" t="s">
        <v>1644</v>
      </c>
      <c r="G17" t="s">
        <v>1645</v>
      </c>
      <c r="H17" t="s">
        <v>1645</v>
      </c>
      <c r="I17" t="s">
        <v>1645</v>
      </c>
      <c r="J17" t="s">
        <v>1645</v>
      </c>
      <c r="K17" t="s">
        <v>1645</v>
      </c>
      <c r="L17" t="s">
        <v>1646</v>
      </c>
      <c r="M17" t="s">
        <v>1647</v>
      </c>
      <c r="N17" t="s">
        <v>192</v>
      </c>
      <c r="O17" t="s">
        <v>1648</v>
      </c>
      <c r="P17" t="s">
        <v>1648</v>
      </c>
      <c r="Q17" t="s">
        <v>1644</v>
      </c>
      <c r="R17" t="s">
        <v>1644</v>
      </c>
      <c r="S17" t="s">
        <v>1644</v>
      </c>
      <c r="T17" t="s">
        <v>1644</v>
      </c>
      <c r="U17" t="s">
        <v>1645</v>
      </c>
    </row>
    <row r="18" spans="1:21" x14ac:dyDescent="0.2">
      <c r="A18" t="s">
        <v>1678</v>
      </c>
      <c r="B18" t="s">
        <v>1679</v>
      </c>
      <c r="C18" t="s">
        <v>1642</v>
      </c>
      <c r="D18" t="s">
        <v>1643</v>
      </c>
      <c r="E18" t="s">
        <v>1644</v>
      </c>
      <c r="F18" t="s">
        <v>1644</v>
      </c>
      <c r="G18" t="s">
        <v>1645</v>
      </c>
      <c r="H18" t="s">
        <v>1645</v>
      </c>
      <c r="I18" t="s">
        <v>1645</v>
      </c>
      <c r="J18" t="s">
        <v>1645</v>
      </c>
      <c r="K18" t="s">
        <v>1645</v>
      </c>
      <c r="L18" t="s">
        <v>1646</v>
      </c>
      <c r="M18" t="s">
        <v>1647</v>
      </c>
      <c r="N18" t="s">
        <v>192</v>
      </c>
      <c r="O18" t="s">
        <v>1648</v>
      </c>
      <c r="P18" t="s">
        <v>1648</v>
      </c>
      <c r="Q18" t="s">
        <v>1644</v>
      </c>
      <c r="R18" t="s">
        <v>1644</v>
      </c>
      <c r="S18" t="s">
        <v>1644</v>
      </c>
      <c r="T18" t="s">
        <v>1644</v>
      </c>
      <c r="U18" t="s">
        <v>1645</v>
      </c>
    </row>
    <row r="19" spans="1:21" x14ac:dyDescent="0.2">
      <c r="A19" t="s">
        <v>1680</v>
      </c>
      <c r="B19" t="s">
        <v>1681</v>
      </c>
      <c r="C19" t="s">
        <v>1642</v>
      </c>
      <c r="D19" t="s">
        <v>1643</v>
      </c>
      <c r="E19" t="s">
        <v>1644</v>
      </c>
      <c r="F19" t="s">
        <v>1644</v>
      </c>
      <c r="G19" t="s">
        <v>1645</v>
      </c>
      <c r="H19" t="s">
        <v>1645</v>
      </c>
      <c r="I19" t="s">
        <v>1645</v>
      </c>
      <c r="J19" t="s">
        <v>1645</v>
      </c>
      <c r="K19" t="s">
        <v>1645</v>
      </c>
      <c r="L19" t="s">
        <v>1646</v>
      </c>
      <c r="M19" t="s">
        <v>1647</v>
      </c>
      <c r="N19" t="s">
        <v>192</v>
      </c>
      <c r="O19" t="s">
        <v>1648</v>
      </c>
      <c r="P19" t="s">
        <v>1648</v>
      </c>
      <c r="Q19" t="s">
        <v>1644</v>
      </c>
      <c r="R19" t="s">
        <v>1644</v>
      </c>
      <c r="S19" t="s">
        <v>1644</v>
      </c>
      <c r="T19" t="s">
        <v>1644</v>
      </c>
      <c r="U19" t="s">
        <v>1645</v>
      </c>
    </row>
    <row r="20" spans="1:21" x14ac:dyDescent="0.2">
      <c r="A20" t="s">
        <v>1682</v>
      </c>
      <c r="B20" t="s">
        <v>1683</v>
      </c>
      <c r="C20" t="s">
        <v>1642</v>
      </c>
      <c r="D20" t="s">
        <v>1643</v>
      </c>
      <c r="E20" t="s">
        <v>1644</v>
      </c>
      <c r="F20" t="s">
        <v>1644</v>
      </c>
      <c r="G20" t="s">
        <v>1645</v>
      </c>
      <c r="H20" t="s">
        <v>1645</v>
      </c>
      <c r="I20" t="s">
        <v>1645</v>
      </c>
      <c r="J20" t="s">
        <v>1645</v>
      </c>
      <c r="K20" t="s">
        <v>1645</v>
      </c>
      <c r="L20" t="s">
        <v>1646</v>
      </c>
      <c r="M20" t="s">
        <v>1647</v>
      </c>
      <c r="N20" t="s">
        <v>192</v>
      </c>
      <c r="O20" t="s">
        <v>1648</v>
      </c>
      <c r="P20" t="s">
        <v>1648</v>
      </c>
      <c r="Q20" t="s">
        <v>1644</v>
      </c>
      <c r="R20" t="s">
        <v>1644</v>
      </c>
      <c r="S20" t="s">
        <v>1644</v>
      </c>
      <c r="T20" t="s">
        <v>1644</v>
      </c>
      <c r="U20" t="s">
        <v>1645</v>
      </c>
    </row>
    <row r="21" spans="1:21" x14ac:dyDescent="0.2">
      <c r="A21" t="s">
        <v>1684</v>
      </c>
      <c r="B21" t="s">
        <v>1685</v>
      </c>
      <c r="C21" t="s">
        <v>1642</v>
      </c>
      <c r="D21" t="s">
        <v>1643</v>
      </c>
      <c r="E21" t="s">
        <v>1644</v>
      </c>
      <c r="F21" t="s">
        <v>1644</v>
      </c>
      <c r="G21" t="s">
        <v>1645</v>
      </c>
      <c r="H21" t="s">
        <v>1645</v>
      </c>
      <c r="I21" t="s">
        <v>1645</v>
      </c>
      <c r="J21" t="s">
        <v>1645</v>
      </c>
      <c r="K21" t="s">
        <v>1645</v>
      </c>
      <c r="L21" t="s">
        <v>1646</v>
      </c>
      <c r="M21" t="s">
        <v>1647</v>
      </c>
      <c r="N21" t="s">
        <v>192</v>
      </c>
      <c r="O21" t="s">
        <v>1648</v>
      </c>
      <c r="P21" t="s">
        <v>1648</v>
      </c>
      <c r="Q21" t="s">
        <v>1644</v>
      </c>
      <c r="R21" t="s">
        <v>1644</v>
      </c>
      <c r="S21" t="s">
        <v>1644</v>
      </c>
      <c r="T21" t="s">
        <v>1644</v>
      </c>
      <c r="U21" t="s">
        <v>1645</v>
      </c>
    </row>
    <row r="22" spans="1:21" x14ac:dyDescent="0.2">
      <c r="A22" t="s">
        <v>1686</v>
      </c>
      <c r="B22" t="s">
        <v>1687</v>
      </c>
      <c r="C22" t="s">
        <v>1642</v>
      </c>
      <c r="D22" t="s">
        <v>1643</v>
      </c>
      <c r="E22" t="s">
        <v>1644</v>
      </c>
      <c r="F22" t="s">
        <v>1644</v>
      </c>
      <c r="G22" t="s">
        <v>1645</v>
      </c>
      <c r="H22" t="s">
        <v>1645</v>
      </c>
      <c r="I22" t="s">
        <v>1645</v>
      </c>
      <c r="J22" t="s">
        <v>1645</v>
      </c>
      <c r="K22" t="s">
        <v>1645</v>
      </c>
      <c r="L22" t="s">
        <v>1646</v>
      </c>
      <c r="M22" t="s">
        <v>1647</v>
      </c>
      <c r="N22" t="s">
        <v>192</v>
      </c>
      <c r="O22" t="s">
        <v>1648</v>
      </c>
      <c r="P22" t="s">
        <v>1648</v>
      </c>
      <c r="Q22" t="s">
        <v>1644</v>
      </c>
      <c r="R22" t="s">
        <v>1644</v>
      </c>
      <c r="S22" t="s">
        <v>1644</v>
      </c>
      <c r="T22" t="s">
        <v>1644</v>
      </c>
      <c r="U22" t="s">
        <v>1645</v>
      </c>
    </row>
    <row r="23" spans="1:21" x14ac:dyDescent="0.2">
      <c r="A23" t="s">
        <v>1688</v>
      </c>
      <c r="B23" t="s">
        <v>1689</v>
      </c>
      <c r="C23" t="s">
        <v>1642</v>
      </c>
      <c r="D23" t="s">
        <v>1643</v>
      </c>
      <c r="E23" t="s">
        <v>1644</v>
      </c>
      <c r="F23" t="s">
        <v>1644</v>
      </c>
      <c r="G23" t="s">
        <v>1645</v>
      </c>
      <c r="H23" t="s">
        <v>1645</v>
      </c>
      <c r="I23" t="s">
        <v>1645</v>
      </c>
      <c r="J23" t="s">
        <v>1645</v>
      </c>
      <c r="K23" t="s">
        <v>1645</v>
      </c>
      <c r="L23" t="s">
        <v>1646</v>
      </c>
      <c r="M23" t="s">
        <v>1647</v>
      </c>
      <c r="N23" t="s">
        <v>192</v>
      </c>
      <c r="O23" t="s">
        <v>1648</v>
      </c>
      <c r="P23" t="s">
        <v>1648</v>
      </c>
      <c r="Q23" t="s">
        <v>1644</v>
      </c>
      <c r="R23" t="s">
        <v>1644</v>
      </c>
      <c r="S23" t="s">
        <v>1644</v>
      </c>
      <c r="T23" t="s">
        <v>1644</v>
      </c>
      <c r="U23" t="s">
        <v>1645</v>
      </c>
    </row>
    <row r="24" spans="1:21" x14ac:dyDescent="0.2">
      <c r="A24" t="s">
        <v>1690</v>
      </c>
      <c r="B24" t="s">
        <v>1691</v>
      </c>
      <c r="C24" t="s">
        <v>1642</v>
      </c>
      <c r="D24" t="s">
        <v>1643</v>
      </c>
      <c r="E24" t="s">
        <v>1644</v>
      </c>
      <c r="F24" t="s">
        <v>1644</v>
      </c>
      <c r="G24" t="s">
        <v>1645</v>
      </c>
      <c r="H24" t="s">
        <v>1645</v>
      </c>
      <c r="I24" t="s">
        <v>1645</v>
      </c>
      <c r="J24" t="s">
        <v>1645</v>
      </c>
      <c r="K24" t="s">
        <v>1645</v>
      </c>
      <c r="L24" t="s">
        <v>1646</v>
      </c>
      <c r="M24" t="s">
        <v>1647</v>
      </c>
      <c r="N24" t="s">
        <v>192</v>
      </c>
      <c r="O24" t="s">
        <v>1648</v>
      </c>
      <c r="P24" t="s">
        <v>1648</v>
      </c>
      <c r="Q24" t="s">
        <v>1644</v>
      </c>
      <c r="R24" t="s">
        <v>1644</v>
      </c>
      <c r="S24" t="s">
        <v>1644</v>
      </c>
      <c r="T24" t="s">
        <v>1644</v>
      </c>
      <c r="U24" t="s">
        <v>1645</v>
      </c>
    </row>
    <row r="25" spans="1:21" x14ac:dyDescent="0.2">
      <c r="A25" t="s">
        <v>1692</v>
      </c>
      <c r="B25" t="s">
        <v>1693</v>
      </c>
      <c r="C25" t="s">
        <v>1642</v>
      </c>
      <c r="D25" t="s">
        <v>1643</v>
      </c>
      <c r="E25" t="s">
        <v>1644</v>
      </c>
      <c r="F25" t="s">
        <v>1644</v>
      </c>
      <c r="G25" t="s">
        <v>1645</v>
      </c>
      <c r="H25" t="s">
        <v>1645</v>
      </c>
      <c r="I25" t="s">
        <v>1645</v>
      </c>
      <c r="J25" t="s">
        <v>1645</v>
      </c>
      <c r="K25" t="s">
        <v>1645</v>
      </c>
      <c r="L25" t="s">
        <v>1646</v>
      </c>
      <c r="M25" t="s">
        <v>1647</v>
      </c>
      <c r="N25" t="s">
        <v>192</v>
      </c>
      <c r="O25" t="s">
        <v>1648</v>
      </c>
      <c r="P25" t="s">
        <v>1648</v>
      </c>
      <c r="Q25" t="s">
        <v>1644</v>
      </c>
      <c r="R25" t="s">
        <v>1644</v>
      </c>
      <c r="S25" t="s">
        <v>1644</v>
      </c>
      <c r="T25" t="s">
        <v>1644</v>
      </c>
      <c r="U25" t="s">
        <v>1645</v>
      </c>
    </row>
    <row r="26" spans="1:21" x14ac:dyDescent="0.2">
      <c r="A26" t="s">
        <v>1694</v>
      </c>
      <c r="B26" t="s">
        <v>1695</v>
      </c>
      <c r="C26" t="s">
        <v>1642</v>
      </c>
      <c r="D26" t="s">
        <v>1643</v>
      </c>
      <c r="E26" t="s">
        <v>1644</v>
      </c>
      <c r="F26" t="s">
        <v>1644</v>
      </c>
      <c r="G26" t="s">
        <v>1645</v>
      </c>
      <c r="H26" t="s">
        <v>1645</v>
      </c>
      <c r="I26" t="s">
        <v>1645</v>
      </c>
      <c r="J26" t="s">
        <v>1645</v>
      </c>
      <c r="K26" t="s">
        <v>1645</v>
      </c>
      <c r="L26" t="s">
        <v>1646</v>
      </c>
      <c r="M26" t="s">
        <v>1647</v>
      </c>
      <c r="N26" t="s">
        <v>192</v>
      </c>
      <c r="O26" t="s">
        <v>1648</v>
      </c>
      <c r="P26" t="s">
        <v>1648</v>
      </c>
      <c r="Q26" t="s">
        <v>1644</v>
      </c>
      <c r="R26" t="s">
        <v>1644</v>
      </c>
      <c r="S26" t="s">
        <v>1644</v>
      </c>
      <c r="T26" t="s">
        <v>1644</v>
      </c>
      <c r="U26" t="s">
        <v>1645</v>
      </c>
    </row>
    <row r="27" spans="1:21" x14ac:dyDescent="0.2">
      <c r="A27" t="s">
        <v>1696</v>
      </c>
      <c r="B27" t="s">
        <v>1697</v>
      </c>
      <c r="C27" t="s">
        <v>1642</v>
      </c>
      <c r="D27" t="s">
        <v>1643</v>
      </c>
      <c r="E27" t="s">
        <v>1644</v>
      </c>
      <c r="F27" t="s">
        <v>1644</v>
      </c>
      <c r="G27" t="s">
        <v>1645</v>
      </c>
      <c r="H27" t="s">
        <v>1645</v>
      </c>
      <c r="I27" t="s">
        <v>1645</v>
      </c>
      <c r="J27" t="s">
        <v>1645</v>
      </c>
      <c r="K27" t="s">
        <v>1645</v>
      </c>
      <c r="L27" t="s">
        <v>1646</v>
      </c>
      <c r="M27" t="s">
        <v>1647</v>
      </c>
      <c r="N27" t="s">
        <v>192</v>
      </c>
      <c r="O27" t="s">
        <v>1648</v>
      </c>
      <c r="P27" t="s">
        <v>1648</v>
      </c>
      <c r="Q27" t="s">
        <v>1644</v>
      </c>
      <c r="R27" t="s">
        <v>1644</v>
      </c>
      <c r="S27" t="s">
        <v>1644</v>
      </c>
      <c r="T27" t="s">
        <v>1644</v>
      </c>
      <c r="U27" t="s">
        <v>1645</v>
      </c>
    </row>
    <row r="28" spans="1:21" x14ac:dyDescent="0.2">
      <c r="A28" t="s">
        <v>1698</v>
      </c>
      <c r="B28" t="s">
        <v>1699</v>
      </c>
      <c r="C28" t="s">
        <v>1642</v>
      </c>
      <c r="D28" t="s">
        <v>1643</v>
      </c>
      <c r="E28" t="s">
        <v>1644</v>
      </c>
      <c r="F28" t="s">
        <v>1644</v>
      </c>
      <c r="G28" t="s">
        <v>1645</v>
      </c>
      <c r="H28" t="s">
        <v>1645</v>
      </c>
      <c r="I28" t="s">
        <v>1645</v>
      </c>
      <c r="J28" t="s">
        <v>1645</v>
      </c>
      <c r="K28" t="s">
        <v>1645</v>
      </c>
      <c r="L28" t="s">
        <v>1646</v>
      </c>
      <c r="M28" t="s">
        <v>1647</v>
      </c>
      <c r="N28" t="s">
        <v>192</v>
      </c>
      <c r="O28" t="s">
        <v>1648</v>
      </c>
      <c r="P28" t="s">
        <v>1648</v>
      </c>
      <c r="Q28" t="s">
        <v>1644</v>
      </c>
      <c r="R28" t="s">
        <v>1644</v>
      </c>
      <c r="S28" t="s">
        <v>1644</v>
      </c>
      <c r="T28" t="s">
        <v>1644</v>
      </c>
      <c r="U28" t="s">
        <v>1645</v>
      </c>
    </row>
    <row r="29" spans="1:21" x14ac:dyDescent="0.2">
      <c r="A29" t="s">
        <v>1700</v>
      </c>
      <c r="B29" t="s">
        <v>1701</v>
      </c>
      <c r="C29" t="s">
        <v>1642</v>
      </c>
      <c r="D29" t="s">
        <v>1643</v>
      </c>
      <c r="E29" t="s">
        <v>1644</v>
      </c>
      <c r="F29" t="s">
        <v>1644</v>
      </c>
      <c r="G29" t="s">
        <v>1645</v>
      </c>
      <c r="H29" t="s">
        <v>1645</v>
      </c>
      <c r="I29" t="s">
        <v>1645</v>
      </c>
      <c r="J29" t="s">
        <v>1645</v>
      </c>
      <c r="K29" t="s">
        <v>1645</v>
      </c>
      <c r="L29" t="s">
        <v>1646</v>
      </c>
      <c r="M29" t="s">
        <v>1647</v>
      </c>
      <c r="N29" t="s">
        <v>192</v>
      </c>
      <c r="O29" t="s">
        <v>1648</v>
      </c>
      <c r="P29" t="s">
        <v>1648</v>
      </c>
      <c r="Q29" t="s">
        <v>1644</v>
      </c>
      <c r="R29" t="s">
        <v>1644</v>
      </c>
      <c r="S29" t="s">
        <v>1644</v>
      </c>
      <c r="T29" t="s">
        <v>1644</v>
      </c>
      <c r="U29" t="s">
        <v>1645</v>
      </c>
    </row>
    <row r="30" spans="1:21" x14ac:dyDescent="0.2">
      <c r="A30" t="s">
        <v>1702</v>
      </c>
      <c r="B30" t="s">
        <v>1703</v>
      </c>
      <c r="C30" t="s">
        <v>1642</v>
      </c>
      <c r="D30" t="s">
        <v>1643</v>
      </c>
      <c r="E30" t="s">
        <v>1644</v>
      </c>
      <c r="F30" t="s">
        <v>1644</v>
      </c>
      <c r="G30" t="s">
        <v>1645</v>
      </c>
      <c r="H30" t="s">
        <v>1645</v>
      </c>
      <c r="I30" t="s">
        <v>1645</v>
      </c>
      <c r="J30" t="s">
        <v>1645</v>
      </c>
      <c r="K30" t="s">
        <v>1645</v>
      </c>
      <c r="L30" t="s">
        <v>1646</v>
      </c>
      <c r="M30" t="s">
        <v>1647</v>
      </c>
      <c r="N30" t="s">
        <v>192</v>
      </c>
      <c r="O30" t="s">
        <v>1648</v>
      </c>
      <c r="P30" t="s">
        <v>1648</v>
      </c>
      <c r="Q30" t="s">
        <v>1644</v>
      </c>
      <c r="R30" t="s">
        <v>1644</v>
      </c>
      <c r="S30" t="s">
        <v>1644</v>
      </c>
      <c r="T30" t="s">
        <v>1644</v>
      </c>
      <c r="U30" t="s">
        <v>1645</v>
      </c>
    </row>
    <row r="31" spans="1:21" x14ac:dyDescent="0.2">
      <c r="A31" t="s">
        <v>1704</v>
      </c>
      <c r="B31" t="s">
        <v>1705</v>
      </c>
      <c r="C31" t="s">
        <v>1642</v>
      </c>
      <c r="D31" t="s">
        <v>1643</v>
      </c>
      <c r="E31" t="s">
        <v>1644</v>
      </c>
      <c r="F31" t="s">
        <v>1644</v>
      </c>
      <c r="G31" t="s">
        <v>1645</v>
      </c>
      <c r="H31" t="s">
        <v>1645</v>
      </c>
      <c r="I31" t="s">
        <v>1645</v>
      </c>
      <c r="J31" t="s">
        <v>1645</v>
      </c>
      <c r="K31" t="s">
        <v>1645</v>
      </c>
      <c r="L31" t="s">
        <v>1646</v>
      </c>
      <c r="M31" t="s">
        <v>1647</v>
      </c>
      <c r="N31" t="s">
        <v>192</v>
      </c>
      <c r="O31" t="s">
        <v>1648</v>
      </c>
      <c r="P31" t="s">
        <v>1648</v>
      </c>
      <c r="Q31" t="s">
        <v>1644</v>
      </c>
      <c r="R31" t="s">
        <v>1644</v>
      </c>
      <c r="S31" t="s">
        <v>1644</v>
      </c>
      <c r="T31" t="s">
        <v>1644</v>
      </c>
      <c r="U31" t="s">
        <v>1645</v>
      </c>
    </row>
    <row r="32" spans="1:21" x14ac:dyDescent="0.2">
      <c r="A32" t="s">
        <v>1706</v>
      </c>
      <c r="B32" t="s">
        <v>1707</v>
      </c>
      <c r="C32" t="s">
        <v>1642</v>
      </c>
      <c r="D32" t="s">
        <v>1643</v>
      </c>
      <c r="E32" t="s">
        <v>1644</v>
      </c>
      <c r="F32" t="s">
        <v>1644</v>
      </c>
      <c r="G32" t="s">
        <v>1645</v>
      </c>
      <c r="H32" t="s">
        <v>1645</v>
      </c>
      <c r="I32" t="s">
        <v>1645</v>
      </c>
      <c r="J32" t="s">
        <v>1645</v>
      </c>
      <c r="K32" t="s">
        <v>1645</v>
      </c>
      <c r="L32" t="s">
        <v>1646</v>
      </c>
      <c r="M32" t="s">
        <v>1647</v>
      </c>
      <c r="N32" t="s">
        <v>192</v>
      </c>
      <c r="O32" t="s">
        <v>1648</v>
      </c>
      <c r="P32" t="s">
        <v>1648</v>
      </c>
      <c r="Q32" t="s">
        <v>1644</v>
      </c>
      <c r="R32" t="s">
        <v>1644</v>
      </c>
      <c r="S32" t="s">
        <v>1644</v>
      </c>
      <c r="T32" t="s">
        <v>1644</v>
      </c>
      <c r="U32" t="s">
        <v>1645</v>
      </c>
    </row>
    <row r="33" spans="1:21" x14ac:dyDescent="0.2">
      <c r="A33" t="s">
        <v>1708</v>
      </c>
      <c r="B33" t="s">
        <v>1709</v>
      </c>
      <c r="C33" t="s">
        <v>1642</v>
      </c>
      <c r="D33" t="s">
        <v>1643</v>
      </c>
      <c r="E33" t="s">
        <v>1644</v>
      </c>
      <c r="F33" t="s">
        <v>1644</v>
      </c>
      <c r="G33" t="s">
        <v>1645</v>
      </c>
      <c r="H33" t="s">
        <v>1645</v>
      </c>
      <c r="I33" t="s">
        <v>1645</v>
      </c>
      <c r="J33" t="s">
        <v>1645</v>
      </c>
      <c r="K33" t="s">
        <v>1645</v>
      </c>
      <c r="L33" t="s">
        <v>1646</v>
      </c>
      <c r="M33" t="s">
        <v>1647</v>
      </c>
      <c r="N33" t="s">
        <v>192</v>
      </c>
      <c r="O33" t="s">
        <v>1648</v>
      </c>
      <c r="P33" t="s">
        <v>1648</v>
      </c>
      <c r="Q33" t="s">
        <v>1644</v>
      </c>
      <c r="R33" t="s">
        <v>1644</v>
      </c>
      <c r="S33" t="s">
        <v>1644</v>
      </c>
      <c r="T33" t="s">
        <v>1644</v>
      </c>
      <c r="U33" t="s">
        <v>1645</v>
      </c>
    </row>
    <row r="34" spans="1:21" x14ac:dyDescent="0.2">
      <c r="A34" t="s">
        <v>1710</v>
      </c>
      <c r="B34" t="s">
        <v>1711</v>
      </c>
      <c r="C34" t="s">
        <v>1642</v>
      </c>
      <c r="D34" t="s">
        <v>1643</v>
      </c>
      <c r="E34" t="s">
        <v>1644</v>
      </c>
      <c r="F34" t="s">
        <v>1644</v>
      </c>
      <c r="G34" t="s">
        <v>1645</v>
      </c>
      <c r="H34" t="s">
        <v>1645</v>
      </c>
      <c r="I34" t="s">
        <v>1645</v>
      </c>
      <c r="J34" t="s">
        <v>1645</v>
      </c>
      <c r="K34" t="s">
        <v>1645</v>
      </c>
      <c r="L34" t="s">
        <v>1646</v>
      </c>
      <c r="M34" t="s">
        <v>1647</v>
      </c>
      <c r="N34" t="s">
        <v>192</v>
      </c>
      <c r="O34" t="s">
        <v>1648</v>
      </c>
      <c r="P34" t="s">
        <v>1648</v>
      </c>
      <c r="Q34" t="s">
        <v>1644</v>
      </c>
      <c r="R34" t="s">
        <v>1644</v>
      </c>
      <c r="S34" t="s">
        <v>1644</v>
      </c>
      <c r="T34" t="s">
        <v>1644</v>
      </c>
      <c r="U34" t="s">
        <v>1645</v>
      </c>
    </row>
    <row r="35" spans="1:21" x14ac:dyDescent="0.2">
      <c r="A35" t="s">
        <v>1712</v>
      </c>
      <c r="B35" t="s">
        <v>1713</v>
      </c>
      <c r="C35" t="s">
        <v>1642</v>
      </c>
      <c r="D35" t="s">
        <v>1643</v>
      </c>
      <c r="E35" t="s">
        <v>1644</v>
      </c>
      <c r="F35" t="s">
        <v>1644</v>
      </c>
      <c r="G35" t="s">
        <v>1645</v>
      </c>
      <c r="H35" t="s">
        <v>1645</v>
      </c>
      <c r="I35" t="s">
        <v>1645</v>
      </c>
      <c r="J35" t="s">
        <v>1645</v>
      </c>
      <c r="K35" t="s">
        <v>1645</v>
      </c>
      <c r="L35" t="s">
        <v>1646</v>
      </c>
      <c r="M35" t="s">
        <v>1647</v>
      </c>
      <c r="N35" t="s">
        <v>192</v>
      </c>
      <c r="O35" t="s">
        <v>1648</v>
      </c>
      <c r="P35" t="s">
        <v>1648</v>
      </c>
      <c r="Q35" t="s">
        <v>1644</v>
      </c>
      <c r="R35" t="s">
        <v>1644</v>
      </c>
      <c r="S35" t="s">
        <v>1644</v>
      </c>
      <c r="T35" t="s">
        <v>1644</v>
      </c>
      <c r="U35" t="s">
        <v>1645</v>
      </c>
    </row>
    <row r="36" spans="1:21" x14ac:dyDescent="0.2">
      <c r="A36" t="s">
        <v>1714</v>
      </c>
      <c r="B36" t="s">
        <v>1715</v>
      </c>
      <c r="C36" t="s">
        <v>1642</v>
      </c>
      <c r="D36" t="s">
        <v>1643</v>
      </c>
      <c r="E36" t="s">
        <v>1644</v>
      </c>
      <c r="F36" t="s">
        <v>1644</v>
      </c>
      <c r="G36" t="s">
        <v>1645</v>
      </c>
      <c r="H36" t="s">
        <v>1645</v>
      </c>
      <c r="I36" t="s">
        <v>1645</v>
      </c>
      <c r="J36" t="s">
        <v>1645</v>
      </c>
      <c r="K36" t="s">
        <v>1645</v>
      </c>
      <c r="L36" t="s">
        <v>1646</v>
      </c>
      <c r="M36" t="s">
        <v>1647</v>
      </c>
      <c r="N36" t="s">
        <v>192</v>
      </c>
      <c r="O36" t="s">
        <v>1648</v>
      </c>
      <c r="P36" t="s">
        <v>1648</v>
      </c>
      <c r="Q36" t="s">
        <v>1644</v>
      </c>
      <c r="R36" t="s">
        <v>1644</v>
      </c>
      <c r="S36" t="s">
        <v>1644</v>
      </c>
      <c r="T36" t="s">
        <v>1644</v>
      </c>
      <c r="U36" t="s">
        <v>1645</v>
      </c>
    </row>
    <row r="37" spans="1:21" x14ac:dyDescent="0.2">
      <c r="A37" t="s">
        <v>1716</v>
      </c>
      <c r="B37" t="s">
        <v>1717</v>
      </c>
      <c r="C37" t="s">
        <v>1642</v>
      </c>
      <c r="D37" t="s">
        <v>1643</v>
      </c>
      <c r="E37" t="s">
        <v>1644</v>
      </c>
      <c r="F37" t="s">
        <v>1644</v>
      </c>
      <c r="G37" t="s">
        <v>1645</v>
      </c>
      <c r="H37" t="s">
        <v>1645</v>
      </c>
      <c r="I37" t="s">
        <v>1645</v>
      </c>
      <c r="J37" t="s">
        <v>1645</v>
      </c>
      <c r="K37" t="s">
        <v>1645</v>
      </c>
      <c r="L37" t="s">
        <v>1646</v>
      </c>
      <c r="M37" t="s">
        <v>1647</v>
      </c>
      <c r="N37" t="s">
        <v>192</v>
      </c>
      <c r="O37" t="s">
        <v>1648</v>
      </c>
      <c r="P37" t="s">
        <v>1648</v>
      </c>
      <c r="Q37" t="s">
        <v>1644</v>
      </c>
      <c r="R37" t="s">
        <v>1644</v>
      </c>
      <c r="S37" t="s">
        <v>1644</v>
      </c>
      <c r="T37" t="s">
        <v>1644</v>
      </c>
      <c r="U37" t="s">
        <v>1645</v>
      </c>
    </row>
    <row r="38" spans="1:21" x14ac:dyDescent="0.2">
      <c r="A38" t="s">
        <v>1718</v>
      </c>
      <c r="B38" t="s">
        <v>1719</v>
      </c>
      <c r="C38" t="s">
        <v>1642</v>
      </c>
      <c r="D38" t="s">
        <v>1643</v>
      </c>
      <c r="E38" t="s">
        <v>1644</v>
      </c>
      <c r="F38" t="s">
        <v>1644</v>
      </c>
      <c r="G38" t="s">
        <v>1645</v>
      </c>
      <c r="H38" t="s">
        <v>1645</v>
      </c>
      <c r="I38" t="s">
        <v>1645</v>
      </c>
      <c r="J38" t="s">
        <v>1645</v>
      </c>
      <c r="K38" t="s">
        <v>1645</v>
      </c>
      <c r="L38" t="s">
        <v>1646</v>
      </c>
      <c r="M38" t="s">
        <v>1647</v>
      </c>
      <c r="N38" t="s">
        <v>192</v>
      </c>
      <c r="O38" t="s">
        <v>1648</v>
      </c>
      <c r="P38" t="s">
        <v>1648</v>
      </c>
      <c r="Q38" t="s">
        <v>1644</v>
      </c>
      <c r="R38" t="s">
        <v>1644</v>
      </c>
      <c r="S38" t="s">
        <v>1644</v>
      </c>
      <c r="T38" t="s">
        <v>1644</v>
      </c>
      <c r="U38" t="s">
        <v>1645</v>
      </c>
    </row>
    <row r="39" spans="1:21" x14ac:dyDescent="0.2">
      <c r="A39" t="s">
        <v>1720</v>
      </c>
      <c r="B39" t="s">
        <v>1721</v>
      </c>
      <c r="C39" t="s">
        <v>1642</v>
      </c>
      <c r="D39" t="s">
        <v>1643</v>
      </c>
      <c r="E39" t="s">
        <v>1644</v>
      </c>
      <c r="F39" t="s">
        <v>1644</v>
      </c>
      <c r="G39" t="s">
        <v>1645</v>
      </c>
      <c r="H39" t="s">
        <v>1645</v>
      </c>
      <c r="I39" t="s">
        <v>1645</v>
      </c>
      <c r="J39" t="s">
        <v>1645</v>
      </c>
      <c r="K39" t="s">
        <v>1645</v>
      </c>
      <c r="L39" t="s">
        <v>1646</v>
      </c>
      <c r="M39" t="s">
        <v>1647</v>
      </c>
      <c r="N39" t="s">
        <v>192</v>
      </c>
      <c r="O39" t="s">
        <v>1648</v>
      </c>
      <c r="P39" t="s">
        <v>1648</v>
      </c>
      <c r="Q39" t="s">
        <v>1644</v>
      </c>
      <c r="R39" t="s">
        <v>1644</v>
      </c>
      <c r="S39" t="s">
        <v>1644</v>
      </c>
      <c r="T39" t="s">
        <v>1644</v>
      </c>
      <c r="U39" t="s">
        <v>1645</v>
      </c>
    </row>
    <row r="40" spans="1:21" x14ac:dyDescent="0.2">
      <c r="A40" t="s">
        <v>1722</v>
      </c>
      <c r="B40" t="s">
        <v>1723</v>
      </c>
      <c r="C40" t="s">
        <v>1642</v>
      </c>
      <c r="D40" t="s">
        <v>1643</v>
      </c>
      <c r="E40" t="s">
        <v>1644</v>
      </c>
      <c r="F40" t="s">
        <v>1644</v>
      </c>
      <c r="G40" t="s">
        <v>1645</v>
      </c>
      <c r="H40" t="s">
        <v>1645</v>
      </c>
      <c r="I40" t="s">
        <v>1645</v>
      </c>
      <c r="J40" t="s">
        <v>1645</v>
      </c>
      <c r="K40" t="s">
        <v>1645</v>
      </c>
      <c r="L40" t="s">
        <v>1646</v>
      </c>
      <c r="M40" t="s">
        <v>1647</v>
      </c>
      <c r="N40" t="s">
        <v>192</v>
      </c>
      <c r="O40" t="s">
        <v>1648</v>
      </c>
      <c r="P40" t="s">
        <v>1648</v>
      </c>
      <c r="Q40" t="s">
        <v>1644</v>
      </c>
      <c r="R40" t="s">
        <v>1644</v>
      </c>
      <c r="S40" t="s">
        <v>1644</v>
      </c>
      <c r="T40" t="s">
        <v>1644</v>
      </c>
      <c r="U40" t="s">
        <v>1645</v>
      </c>
    </row>
    <row r="41" spans="1:21" x14ac:dyDescent="0.2">
      <c r="A41" t="s">
        <v>1724</v>
      </c>
      <c r="B41" t="s">
        <v>1725</v>
      </c>
      <c r="C41" t="s">
        <v>1642</v>
      </c>
      <c r="D41" t="s">
        <v>1643</v>
      </c>
      <c r="E41" t="s">
        <v>1644</v>
      </c>
      <c r="F41" t="s">
        <v>1644</v>
      </c>
      <c r="G41" t="s">
        <v>1645</v>
      </c>
      <c r="H41" t="s">
        <v>1645</v>
      </c>
      <c r="I41" t="s">
        <v>1645</v>
      </c>
      <c r="J41" t="s">
        <v>1645</v>
      </c>
      <c r="K41" t="s">
        <v>1645</v>
      </c>
      <c r="L41" t="s">
        <v>1646</v>
      </c>
      <c r="M41" t="s">
        <v>1647</v>
      </c>
      <c r="N41" t="s">
        <v>192</v>
      </c>
      <c r="O41" t="s">
        <v>1648</v>
      </c>
      <c r="P41" t="s">
        <v>1648</v>
      </c>
      <c r="Q41" t="s">
        <v>1644</v>
      </c>
      <c r="R41" t="s">
        <v>1644</v>
      </c>
      <c r="S41" t="s">
        <v>1644</v>
      </c>
      <c r="T41" t="s">
        <v>1644</v>
      </c>
      <c r="U41" t="s">
        <v>1645</v>
      </c>
    </row>
    <row r="42" spans="1:21" x14ac:dyDescent="0.2">
      <c r="A42" t="s">
        <v>1726</v>
      </c>
      <c r="B42" t="s">
        <v>1727</v>
      </c>
      <c r="C42" t="s">
        <v>1642</v>
      </c>
      <c r="D42" t="s">
        <v>1643</v>
      </c>
      <c r="E42" t="s">
        <v>1644</v>
      </c>
      <c r="F42" t="s">
        <v>1644</v>
      </c>
      <c r="G42" t="s">
        <v>1645</v>
      </c>
      <c r="H42" t="s">
        <v>1645</v>
      </c>
      <c r="I42" t="s">
        <v>1645</v>
      </c>
      <c r="J42" t="s">
        <v>1645</v>
      </c>
      <c r="K42" t="s">
        <v>1645</v>
      </c>
      <c r="L42" t="s">
        <v>1646</v>
      </c>
      <c r="M42" t="s">
        <v>1647</v>
      </c>
      <c r="N42" t="s">
        <v>192</v>
      </c>
      <c r="O42" t="s">
        <v>1648</v>
      </c>
      <c r="P42" t="s">
        <v>1648</v>
      </c>
      <c r="Q42" t="s">
        <v>1644</v>
      </c>
      <c r="R42" t="s">
        <v>1644</v>
      </c>
      <c r="S42" t="s">
        <v>1644</v>
      </c>
      <c r="T42" t="s">
        <v>1644</v>
      </c>
      <c r="U42" t="s">
        <v>1645</v>
      </c>
    </row>
    <row r="43" spans="1:21" x14ac:dyDescent="0.2">
      <c r="A43" t="s">
        <v>1728</v>
      </c>
      <c r="B43" t="s">
        <v>1729</v>
      </c>
      <c r="C43" t="s">
        <v>1642</v>
      </c>
      <c r="D43" t="s">
        <v>1643</v>
      </c>
      <c r="E43" t="s">
        <v>1644</v>
      </c>
      <c r="F43" t="s">
        <v>1644</v>
      </c>
      <c r="G43" t="s">
        <v>1645</v>
      </c>
      <c r="H43" t="s">
        <v>1645</v>
      </c>
      <c r="I43" t="s">
        <v>1645</v>
      </c>
      <c r="J43" t="s">
        <v>1645</v>
      </c>
      <c r="K43" t="s">
        <v>1645</v>
      </c>
      <c r="L43" t="s">
        <v>1646</v>
      </c>
      <c r="M43" t="s">
        <v>1647</v>
      </c>
      <c r="N43" t="s">
        <v>192</v>
      </c>
      <c r="O43" t="s">
        <v>1648</v>
      </c>
      <c r="P43" t="s">
        <v>1648</v>
      </c>
      <c r="Q43" t="s">
        <v>1644</v>
      </c>
      <c r="R43" t="s">
        <v>1644</v>
      </c>
      <c r="S43" t="s">
        <v>1644</v>
      </c>
      <c r="T43" t="s">
        <v>1644</v>
      </c>
      <c r="U43" t="s">
        <v>1645</v>
      </c>
    </row>
    <row r="44" spans="1:21" x14ac:dyDescent="0.2">
      <c r="A44" t="s">
        <v>1730</v>
      </c>
      <c r="B44" t="s">
        <v>1731</v>
      </c>
      <c r="C44" t="s">
        <v>1642</v>
      </c>
      <c r="D44" t="s">
        <v>1643</v>
      </c>
      <c r="E44" t="s">
        <v>1644</v>
      </c>
      <c r="F44" t="s">
        <v>1644</v>
      </c>
      <c r="G44" t="s">
        <v>1645</v>
      </c>
      <c r="H44" t="s">
        <v>1645</v>
      </c>
      <c r="I44" t="s">
        <v>1645</v>
      </c>
      <c r="J44" t="s">
        <v>1645</v>
      </c>
      <c r="K44" t="s">
        <v>1645</v>
      </c>
      <c r="L44" t="s">
        <v>1646</v>
      </c>
      <c r="M44" t="s">
        <v>1647</v>
      </c>
      <c r="N44" t="s">
        <v>192</v>
      </c>
      <c r="O44" t="s">
        <v>1648</v>
      </c>
      <c r="P44" t="s">
        <v>1648</v>
      </c>
      <c r="Q44" t="s">
        <v>1644</v>
      </c>
      <c r="R44" t="s">
        <v>1644</v>
      </c>
      <c r="S44" t="s">
        <v>1644</v>
      </c>
      <c r="T44" t="s">
        <v>1644</v>
      </c>
      <c r="U44" t="s">
        <v>1645</v>
      </c>
    </row>
    <row r="45" spans="1:21" x14ac:dyDescent="0.2">
      <c r="A45" t="s">
        <v>1732</v>
      </c>
      <c r="B45" t="s">
        <v>1733</v>
      </c>
      <c r="C45" t="s">
        <v>1642</v>
      </c>
      <c r="D45" t="s">
        <v>1643</v>
      </c>
      <c r="E45" t="s">
        <v>1644</v>
      </c>
      <c r="F45" t="s">
        <v>1644</v>
      </c>
      <c r="G45" t="s">
        <v>1645</v>
      </c>
      <c r="H45" t="s">
        <v>1645</v>
      </c>
      <c r="I45" t="s">
        <v>1645</v>
      </c>
      <c r="J45" t="s">
        <v>1645</v>
      </c>
      <c r="K45" t="s">
        <v>1645</v>
      </c>
      <c r="L45" t="s">
        <v>1646</v>
      </c>
      <c r="M45" t="s">
        <v>1647</v>
      </c>
      <c r="N45" t="s">
        <v>192</v>
      </c>
      <c r="O45" t="s">
        <v>1648</v>
      </c>
      <c r="P45" t="s">
        <v>1648</v>
      </c>
      <c r="Q45" t="s">
        <v>1644</v>
      </c>
      <c r="R45" t="s">
        <v>1644</v>
      </c>
      <c r="S45" t="s">
        <v>1644</v>
      </c>
      <c r="T45" t="s">
        <v>1644</v>
      </c>
      <c r="U45" t="s">
        <v>1645</v>
      </c>
    </row>
    <row r="46" spans="1:21" x14ac:dyDescent="0.2">
      <c r="A46" t="s">
        <v>1734</v>
      </c>
      <c r="B46" t="s">
        <v>1735</v>
      </c>
      <c r="C46" t="s">
        <v>1642</v>
      </c>
      <c r="D46" t="s">
        <v>1643</v>
      </c>
      <c r="E46" t="s">
        <v>1644</v>
      </c>
      <c r="F46" t="s">
        <v>1644</v>
      </c>
      <c r="G46" t="s">
        <v>1645</v>
      </c>
      <c r="H46" t="s">
        <v>1645</v>
      </c>
      <c r="I46" t="s">
        <v>1645</v>
      </c>
      <c r="J46" t="s">
        <v>1645</v>
      </c>
      <c r="K46" t="s">
        <v>1645</v>
      </c>
      <c r="L46" t="s">
        <v>1646</v>
      </c>
      <c r="M46" t="s">
        <v>1647</v>
      </c>
      <c r="N46" t="s">
        <v>192</v>
      </c>
      <c r="O46" t="s">
        <v>1648</v>
      </c>
      <c r="P46" t="s">
        <v>1648</v>
      </c>
      <c r="Q46" t="s">
        <v>1644</v>
      </c>
      <c r="R46" t="s">
        <v>1644</v>
      </c>
      <c r="S46" t="s">
        <v>1644</v>
      </c>
      <c r="T46" t="s">
        <v>1644</v>
      </c>
      <c r="U46" t="s">
        <v>1645</v>
      </c>
    </row>
    <row r="47" spans="1:21" x14ac:dyDescent="0.2">
      <c r="A47" t="s">
        <v>1736</v>
      </c>
      <c r="B47" t="s">
        <v>1737</v>
      </c>
      <c r="C47" t="s">
        <v>1642</v>
      </c>
      <c r="D47" t="s">
        <v>1643</v>
      </c>
      <c r="E47" t="s">
        <v>1644</v>
      </c>
      <c r="F47" t="s">
        <v>1644</v>
      </c>
      <c r="G47" t="s">
        <v>1645</v>
      </c>
      <c r="H47" t="s">
        <v>1645</v>
      </c>
      <c r="I47" t="s">
        <v>1645</v>
      </c>
      <c r="J47" t="s">
        <v>1645</v>
      </c>
      <c r="K47" t="s">
        <v>1645</v>
      </c>
      <c r="L47" t="s">
        <v>1646</v>
      </c>
      <c r="M47" t="s">
        <v>1647</v>
      </c>
      <c r="N47" t="s">
        <v>192</v>
      </c>
      <c r="O47" t="s">
        <v>1648</v>
      </c>
      <c r="P47" t="s">
        <v>1648</v>
      </c>
      <c r="Q47" t="s">
        <v>1644</v>
      </c>
      <c r="R47" t="s">
        <v>1644</v>
      </c>
      <c r="S47" t="s">
        <v>1644</v>
      </c>
      <c r="T47" t="s">
        <v>1644</v>
      </c>
      <c r="U47" t="s">
        <v>1645</v>
      </c>
    </row>
    <row r="48" spans="1:21" x14ac:dyDescent="0.2">
      <c r="A48" t="s">
        <v>1738</v>
      </c>
      <c r="B48" t="s">
        <v>1739</v>
      </c>
      <c r="C48" t="s">
        <v>1642</v>
      </c>
      <c r="D48" t="s">
        <v>1643</v>
      </c>
      <c r="E48" t="s">
        <v>1644</v>
      </c>
      <c r="F48" t="s">
        <v>1644</v>
      </c>
      <c r="G48" t="s">
        <v>1645</v>
      </c>
      <c r="H48" t="s">
        <v>1645</v>
      </c>
      <c r="I48" t="s">
        <v>1645</v>
      </c>
      <c r="J48" t="s">
        <v>1645</v>
      </c>
      <c r="K48" t="s">
        <v>1645</v>
      </c>
      <c r="L48" t="s">
        <v>1646</v>
      </c>
      <c r="M48" t="s">
        <v>1647</v>
      </c>
      <c r="N48" t="s">
        <v>192</v>
      </c>
      <c r="O48" t="s">
        <v>1648</v>
      </c>
      <c r="P48" t="s">
        <v>1648</v>
      </c>
      <c r="Q48" t="s">
        <v>1644</v>
      </c>
      <c r="R48" t="s">
        <v>1644</v>
      </c>
      <c r="S48" t="s">
        <v>1644</v>
      </c>
      <c r="T48" t="s">
        <v>1644</v>
      </c>
      <c r="U48" t="s">
        <v>1645</v>
      </c>
    </row>
    <row r="49" spans="1:21" x14ac:dyDescent="0.2">
      <c r="A49" t="s">
        <v>1740</v>
      </c>
      <c r="B49" t="s">
        <v>1741</v>
      </c>
      <c r="C49" t="s">
        <v>1642</v>
      </c>
      <c r="D49" t="s">
        <v>1643</v>
      </c>
      <c r="E49" t="s">
        <v>1644</v>
      </c>
      <c r="F49" t="s">
        <v>1644</v>
      </c>
      <c r="G49" t="s">
        <v>1645</v>
      </c>
      <c r="H49" t="s">
        <v>1645</v>
      </c>
      <c r="I49" t="s">
        <v>1645</v>
      </c>
      <c r="J49" t="s">
        <v>1645</v>
      </c>
      <c r="K49" t="s">
        <v>1645</v>
      </c>
      <c r="L49" t="s">
        <v>1646</v>
      </c>
      <c r="M49" t="s">
        <v>1647</v>
      </c>
      <c r="N49" t="s">
        <v>192</v>
      </c>
      <c r="O49" t="s">
        <v>1648</v>
      </c>
      <c r="P49" t="s">
        <v>1648</v>
      </c>
      <c r="Q49" t="s">
        <v>1644</v>
      </c>
      <c r="R49" t="s">
        <v>1644</v>
      </c>
      <c r="S49" t="s">
        <v>1644</v>
      </c>
      <c r="T49" t="s">
        <v>1644</v>
      </c>
      <c r="U49" t="s">
        <v>1645</v>
      </c>
    </row>
    <row r="50" spans="1:21" x14ac:dyDescent="0.2">
      <c r="A50" t="s">
        <v>1742</v>
      </c>
      <c r="B50" t="s">
        <v>1743</v>
      </c>
      <c r="C50" t="s">
        <v>1642</v>
      </c>
      <c r="D50" t="s">
        <v>1643</v>
      </c>
      <c r="E50" t="s">
        <v>1644</v>
      </c>
      <c r="F50" t="s">
        <v>1644</v>
      </c>
      <c r="G50" t="s">
        <v>1645</v>
      </c>
      <c r="H50" t="s">
        <v>1645</v>
      </c>
      <c r="I50" t="s">
        <v>1645</v>
      </c>
      <c r="J50" t="s">
        <v>1645</v>
      </c>
      <c r="K50" t="s">
        <v>1645</v>
      </c>
      <c r="L50" t="s">
        <v>1646</v>
      </c>
      <c r="M50" t="s">
        <v>1647</v>
      </c>
      <c r="N50" t="s">
        <v>192</v>
      </c>
      <c r="O50" t="s">
        <v>1648</v>
      </c>
      <c r="P50" t="s">
        <v>1648</v>
      </c>
      <c r="Q50" t="s">
        <v>1644</v>
      </c>
      <c r="R50" t="s">
        <v>1644</v>
      </c>
      <c r="S50" t="s">
        <v>1644</v>
      </c>
      <c r="T50" t="s">
        <v>1644</v>
      </c>
      <c r="U50" t="s">
        <v>1645</v>
      </c>
    </row>
    <row r="51" spans="1:21" x14ac:dyDescent="0.2">
      <c r="A51" t="s">
        <v>1744</v>
      </c>
      <c r="B51" t="s">
        <v>1745</v>
      </c>
      <c r="C51" t="s">
        <v>1642</v>
      </c>
      <c r="D51" t="s">
        <v>1643</v>
      </c>
      <c r="E51" t="s">
        <v>1644</v>
      </c>
      <c r="F51" t="s">
        <v>1644</v>
      </c>
      <c r="G51" t="s">
        <v>1645</v>
      </c>
      <c r="H51" t="s">
        <v>1645</v>
      </c>
      <c r="I51" t="s">
        <v>1645</v>
      </c>
      <c r="J51" t="s">
        <v>1645</v>
      </c>
      <c r="K51" t="s">
        <v>1645</v>
      </c>
      <c r="L51" t="s">
        <v>1646</v>
      </c>
      <c r="M51" t="s">
        <v>1647</v>
      </c>
      <c r="N51" t="s">
        <v>192</v>
      </c>
      <c r="O51" t="s">
        <v>1648</v>
      </c>
      <c r="P51" t="s">
        <v>1648</v>
      </c>
      <c r="Q51" t="s">
        <v>1644</v>
      </c>
      <c r="R51" t="s">
        <v>1644</v>
      </c>
      <c r="S51" t="s">
        <v>1644</v>
      </c>
      <c r="T51" t="s">
        <v>1644</v>
      </c>
      <c r="U51" t="s">
        <v>1645</v>
      </c>
    </row>
    <row r="52" spans="1:21" x14ac:dyDescent="0.2">
      <c r="A52" t="s">
        <v>1066</v>
      </c>
      <c r="B52" t="s">
        <v>1641</v>
      </c>
      <c r="C52" t="s">
        <v>1746</v>
      </c>
      <c r="D52" t="s">
        <v>1643</v>
      </c>
      <c r="E52" t="s">
        <v>1644</v>
      </c>
      <c r="F52" t="s">
        <v>1644</v>
      </c>
      <c r="G52" t="s">
        <v>1645</v>
      </c>
      <c r="H52" t="s">
        <v>1645</v>
      </c>
      <c r="I52" t="s">
        <v>1645</v>
      </c>
      <c r="J52" t="s">
        <v>1645</v>
      </c>
      <c r="K52" t="s">
        <v>1645</v>
      </c>
      <c r="L52" t="s">
        <v>1747</v>
      </c>
      <c r="M52" t="s">
        <v>1748</v>
      </c>
      <c r="N52" t="s">
        <v>192</v>
      </c>
      <c r="O52" t="s">
        <v>1691</v>
      </c>
      <c r="P52" t="s">
        <v>1693</v>
      </c>
      <c r="Q52" t="s">
        <v>1644</v>
      </c>
      <c r="R52" t="s">
        <v>1644</v>
      </c>
      <c r="S52" t="s">
        <v>1644</v>
      </c>
      <c r="T52" t="s">
        <v>1644</v>
      </c>
      <c r="U52" t="s">
        <v>1645</v>
      </c>
    </row>
    <row r="53" spans="1:21" x14ac:dyDescent="0.2">
      <c r="A53" t="s">
        <v>1067</v>
      </c>
      <c r="B53" t="s">
        <v>1650</v>
      </c>
      <c r="C53" t="s">
        <v>1746</v>
      </c>
      <c r="D53" t="s">
        <v>1643</v>
      </c>
      <c r="E53" t="s">
        <v>1644</v>
      </c>
      <c r="F53" t="s">
        <v>1644</v>
      </c>
      <c r="G53" t="s">
        <v>1645</v>
      </c>
      <c r="H53" t="s">
        <v>1645</v>
      </c>
      <c r="I53" t="s">
        <v>1645</v>
      </c>
      <c r="J53" t="s">
        <v>1645</v>
      </c>
      <c r="K53" t="s">
        <v>1645</v>
      </c>
      <c r="L53" t="s">
        <v>1747</v>
      </c>
      <c r="M53" t="s">
        <v>1748</v>
      </c>
      <c r="N53" t="s">
        <v>192</v>
      </c>
      <c r="O53" t="s">
        <v>1691</v>
      </c>
      <c r="P53" t="s">
        <v>1693</v>
      </c>
      <c r="Q53" t="s">
        <v>1644</v>
      </c>
      <c r="R53" t="s">
        <v>1644</v>
      </c>
      <c r="S53" t="s">
        <v>1644</v>
      </c>
      <c r="T53" t="s">
        <v>1644</v>
      </c>
      <c r="U53" t="s">
        <v>1645</v>
      </c>
    </row>
    <row r="54" spans="1:21" x14ac:dyDescent="0.2">
      <c r="A54" t="s">
        <v>1068</v>
      </c>
      <c r="B54" t="s">
        <v>1652</v>
      </c>
      <c r="C54" t="s">
        <v>1746</v>
      </c>
      <c r="D54" t="s">
        <v>1643</v>
      </c>
      <c r="E54" t="s">
        <v>1644</v>
      </c>
      <c r="F54" t="s">
        <v>1644</v>
      </c>
      <c r="G54" t="s">
        <v>1645</v>
      </c>
      <c r="H54" t="s">
        <v>1645</v>
      </c>
      <c r="I54" t="s">
        <v>1645</v>
      </c>
      <c r="J54" t="s">
        <v>1645</v>
      </c>
      <c r="K54" t="s">
        <v>1645</v>
      </c>
      <c r="L54" t="s">
        <v>1747</v>
      </c>
      <c r="M54" t="s">
        <v>1748</v>
      </c>
      <c r="N54" t="s">
        <v>192</v>
      </c>
      <c r="O54" t="s">
        <v>1691</v>
      </c>
      <c r="P54" t="s">
        <v>1693</v>
      </c>
      <c r="Q54" t="s">
        <v>1644</v>
      </c>
      <c r="R54" t="s">
        <v>1644</v>
      </c>
      <c r="S54" t="s">
        <v>1644</v>
      </c>
      <c r="T54" t="s">
        <v>1644</v>
      </c>
      <c r="U54" t="s">
        <v>1645</v>
      </c>
    </row>
    <row r="55" spans="1:21" x14ac:dyDescent="0.2">
      <c r="A55" t="s">
        <v>1620</v>
      </c>
      <c r="B55" t="s">
        <v>1749</v>
      </c>
      <c r="C55" t="s">
        <v>1750</v>
      </c>
      <c r="D55" t="s">
        <v>1643</v>
      </c>
      <c r="E55" t="s">
        <v>1644</v>
      </c>
      <c r="F55" t="s">
        <v>1644</v>
      </c>
      <c r="G55" t="s">
        <v>1751</v>
      </c>
      <c r="H55" t="s">
        <v>1645</v>
      </c>
      <c r="I55" t="s">
        <v>1645</v>
      </c>
      <c r="J55" t="s">
        <v>1645</v>
      </c>
      <c r="K55" t="s">
        <v>1645</v>
      </c>
      <c r="L55" t="s">
        <v>1752</v>
      </c>
      <c r="M55" t="s">
        <v>1753</v>
      </c>
      <c r="N55" t="s">
        <v>192</v>
      </c>
      <c r="O55" t="s">
        <v>1754</v>
      </c>
      <c r="P55" t="s">
        <v>1755</v>
      </c>
      <c r="Q55" t="s">
        <v>1644</v>
      </c>
      <c r="R55" t="s">
        <v>1644</v>
      </c>
      <c r="S55" t="s">
        <v>1644</v>
      </c>
      <c r="T55" t="s">
        <v>1644</v>
      </c>
      <c r="U55" t="s">
        <v>1645</v>
      </c>
    </row>
    <row r="56" spans="1:21" x14ac:dyDescent="0.2">
      <c r="A56" t="s">
        <v>1756</v>
      </c>
      <c r="B56" t="s">
        <v>1641</v>
      </c>
      <c r="C56" t="s">
        <v>1642</v>
      </c>
      <c r="D56" t="s">
        <v>1643</v>
      </c>
      <c r="E56" t="s">
        <v>1644</v>
      </c>
      <c r="F56" t="s">
        <v>1644</v>
      </c>
      <c r="G56" t="s">
        <v>1645</v>
      </c>
      <c r="H56" t="s">
        <v>1645</v>
      </c>
      <c r="I56" t="s">
        <v>1645</v>
      </c>
      <c r="J56" t="s">
        <v>1645</v>
      </c>
      <c r="K56" t="s">
        <v>1645</v>
      </c>
      <c r="L56" t="s">
        <v>1752</v>
      </c>
      <c r="M56" t="s">
        <v>1753</v>
      </c>
      <c r="N56" t="s">
        <v>192</v>
      </c>
      <c r="O56" t="s">
        <v>1754</v>
      </c>
      <c r="P56" t="s">
        <v>1755</v>
      </c>
      <c r="Q56" t="s">
        <v>1644</v>
      </c>
      <c r="R56" t="s">
        <v>1644</v>
      </c>
      <c r="S56" t="s">
        <v>1644</v>
      </c>
      <c r="T56" t="s">
        <v>1644</v>
      </c>
      <c r="U56" t="s">
        <v>1645</v>
      </c>
    </row>
    <row r="57" spans="1:21" x14ac:dyDescent="0.2">
      <c r="A57" t="s">
        <v>1620</v>
      </c>
      <c r="B57" t="s">
        <v>1749</v>
      </c>
      <c r="C57" t="s">
        <v>1750</v>
      </c>
      <c r="D57" t="s">
        <v>1643</v>
      </c>
      <c r="E57" t="s">
        <v>1644</v>
      </c>
      <c r="F57" t="s">
        <v>1644</v>
      </c>
      <c r="G57" t="s">
        <v>1751</v>
      </c>
      <c r="H57" t="s">
        <v>1645</v>
      </c>
      <c r="I57" t="s">
        <v>1645</v>
      </c>
      <c r="J57" t="s">
        <v>1645</v>
      </c>
      <c r="K57" t="s">
        <v>1645</v>
      </c>
      <c r="L57" t="s">
        <v>1757</v>
      </c>
      <c r="M57" t="s">
        <v>1758</v>
      </c>
      <c r="N57" t="s">
        <v>192</v>
      </c>
      <c r="O57" t="s">
        <v>1754</v>
      </c>
      <c r="P57" t="s">
        <v>1755</v>
      </c>
      <c r="Q57" t="s">
        <v>1644</v>
      </c>
      <c r="R57" t="s">
        <v>1644</v>
      </c>
      <c r="S57" t="s">
        <v>1644</v>
      </c>
      <c r="T57" t="s">
        <v>1644</v>
      </c>
      <c r="U57" t="s">
        <v>1645</v>
      </c>
    </row>
    <row r="58" spans="1:21" x14ac:dyDescent="0.2">
      <c r="A58" t="s">
        <v>1066</v>
      </c>
      <c r="B58" t="s">
        <v>1650</v>
      </c>
      <c r="C58" t="s">
        <v>1642</v>
      </c>
      <c r="D58" t="s">
        <v>1643</v>
      </c>
      <c r="E58" t="s">
        <v>1644</v>
      </c>
      <c r="F58" t="s">
        <v>1644</v>
      </c>
      <c r="G58" t="s">
        <v>1645</v>
      </c>
      <c r="H58" t="s">
        <v>1645</v>
      </c>
      <c r="I58" t="s">
        <v>1645</v>
      </c>
      <c r="J58" t="s">
        <v>1645</v>
      </c>
      <c r="K58" t="s">
        <v>1645</v>
      </c>
      <c r="L58" t="s">
        <v>1757</v>
      </c>
      <c r="M58" t="s">
        <v>1758</v>
      </c>
      <c r="N58" t="s">
        <v>192</v>
      </c>
      <c r="O58" t="s">
        <v>1754</v>
      </c>
      <c r="P58" t="s">
        <v>1755</v>
      </c>
      <c r="Q58" t="s">
        <v>1644</v>
      </c>
      <c r="R58" t="s">
        <v>1644</v>
      </c>
      <c r="S58" t="s">
        <v>1644</v>
      </c>
      <c r="T58" t="s">
        <v>1644</v>
      </c>
      <c r="U58" t="s">
        <v>1645</v>
      </c>
    </row>
    <row r="59" spans="1:21" x14ac:dyDescent="0.2">
      <c r="A59" t="s">
        <v>1067</v>
      </c>
      <c r="B59" t="s">
        <v>1652</v>
      </c>
      <c r="C59" t="s">
        <v>1642</v>
      </c>
      <c r="D59" t="s">
        <v>1643</v>
      </c>
      <c r="E59" t="s">
        <v>1644</v>
      </c>
      <c r="F59" t="s">
        <v>1644</v>
      </c>
      <c r="G59" t="s">
        <v>1645</v>
      </c>
      <c r="H59" t="s">
        <v>1645</v>
      </c>
      <c r="I59" t="s">
        <v>1645</v>
      </c>
      <c r="J59" t="s">
        <v>1645</v>
      </c>
      <c r="K59" t="s">
        <v>1645</v>
      </c>
      <c r="L59" t="s">
        <v>1757</v>
      </c>
      <c r="M59" t="s">
        <v>1758</v>
      </c>
      <c r="N59" t="s">
        <v>192</v>
      </c>
      <c r="O59" t="s">
        <v>1754</v>
      </c>
      <c r="P59" t="s">
        <v>1755</v>
      </c>
      <c r="Q59" t="s">
        <v>1644</v>
      </c>
      <c r="R59" t="s">
        <v>1644</v>
      </c>
      <c r="S59" t="s">
        <v>1644</v>
      </c>
      <c r="T59" t="s">
        <v>1644</v>
      </c>
      <c r="U59" t="s">
        <v>1645</v>
      </c>
    </row>
    <row r="60" spans="1:21" x14ac:dyDescent="0.2">
      <c r="A60" t="s">
        <v>1068</v>
      </c>
      <c r="B60" t="s">
        <v>1654</v>
      </c>
      <c r="C60" t="s">
        <v>1642</v>
      </c>
      <c r="D60" t="s">
        <v>1643</v>
      </c>
      <c r="E60" t="s">
        <v>1644</v>
      </c>
      <c r="F60" t="s">
        <v>1644</v>
      </c>
      <c r="G60" t="s">
        <v>1645</v>
      </c>
      <c r="H60" t="s">
        <v>1645</v>
      </c>
      <c r="I60" t="s">
        <v>1645</v>
      </c>
      <c r="J60" t="s">
        <v>1645</v>
      </c>
      <c r="K60" t="s">
        <v>1645</v>
      </c>
      <c r="L60" t="s">
        <v>1757</v>
      </c>
      <c r="M60" t="s">
        <v>1758</v>
      </c>
      <c r="N60" t="s">
        <v>192</v>
      </c>
      <c r="O60" t="s">
        <v>1754</v>
      </c>
      <c r="P60" t="s">
        <v>1755</v>
      </c>
      <c r="Q60" t="s">
        <v>1644</v>
      </c>
      <c r="R60" t="s">
        <v>1644</v>
      </c>
      <c r="S60" t="s">
        <v>1644</v>
      </c>
      <c r="T60" t="s">
        <v>1644</v>
      </c>
      <c r="U60" t="s">
        <v>1645</v>
      </c>
    </row>
    <row r="61" spans="1:21" x14ac:dyDescent="0.2">
      <c r="A61" t="s">
        <v>1620</v>
      </c>
      <c r="B61" t="s">
        <v>1749</v>
      </c>
      <c r="C61" t="s">
        <v>1750</v>
      </c>
      <c r="D61" t="s">
        <v>1643</v>
      </c>
      <c r="E61" t="s">
        <v>1644</v>
      </c>
      <c r="F61" t="s">
        <v>1644</v>
      </c>
      <c r="G61" t="s">
        <v>1751</v>
      </c>
      <c r="H61" t="s">
        <v>1645</v>
      </c>
      <c r="I61" t="s">
        <v>1645</v>
      </c>
      <c r="J61" t="s">
        <v>1645</v>
      </c>
      <c r="K61" t="s">
        <v>1645</v>
      </c>
      <c r="L61" t="s">
        <v>1759</v>
      </c>
      <c r="M61" t="s">
        <v>1760</v>
      </c>
      <c r="N61" t="s">
        <v>192</v>
      </c>
      <c r="O61" t="s">
        <v>1731</v>
      </c>
      <c r="P61" t="s">
        <v>1737</v>
      </c>
      <c r="Q61" t="s">
        <v>1644</v>
      </c>
      <c r="R61" t="s">
        <v>1644</v>
      </c>
      <c r="S61" t="s">
        <v>1644</v>
      </c>
      <c r="T61" t="s">
        <v>1644</v>
      </c>
      <c r="U61" t="s">
        <v>1645</v>
      </c>
    </row>
    <row r="62" spans="1:21" x14ac:dyDescent="0.2">
      <c r="A62" t="s">
        <v>1761</v>
      </c>
      <c r="B62" t="s">
        <v>1641</v>
      </c>
      <c r="C62" t="s">
        <v>1642</v>
      </c>
      <c r="D62" t="s">
        <v>1643</v>
      </c>
      <c r="E62" t="s">
        <v>1644</v>
      </c>
      <c r="F62" t="s">
        <v>1644</v>
      </c>
      <c r="G62" t="s">
        <v>1645</v>
      </c>
      <c r="H62" t="s">
        <v>1645</v>
      </c>
      <c r="I62" t="s">
        <v>1645</v>
      </c>
      <c r="J62" t="s">
        <v>1645</v>
      </c>
      <c r="K62" t="s">
        <v>1645</v>
      </c>
      <c r="L62" t="s">
        <v>1759</v>
      </c>
      <c r="M62" t="s">
        <v>1760</v>
      </c>
      <c r="N62" t="s">
        <v>192</v>
      </c>
      <c r="O62" t="s">
        <v>1731</v>
      </c>
      <c r="P62" t="s">
        <v>1737</v>
      </c>
      <c r="Q62" t="s">
        <v>1644</v>
      </c>
      <c r="R62" t="s">
        <v>1644</v>
      </c>
      <c r="S62" t="s">
        <v>1644</v>
      </c>
      <c r="T62" t="s">
        <v>1644</v>
      </c>
      <c r="U62" t="s">
        <v>1645</v>
      </c>
    </row>
    <row r="63" spans="1:21" x14ac:dyDescent="0.2">
      <c r="A63" t="s">
        <v>1762</v>
      </c>
      <c r="B63" t="s">
        <v>1650</v>
      </c>
      <c r="C63" t="s">
        <v>1642</v>
      </c>
      <c r="D63" t="s">
        <v>1643</v>
      </c>
      <c r="E63" t="s">
        <v>1644</v>
      </c>
      <c r="F63" t="s">
        <v>1644</v>
      </c>
      <c r="G63" t="s">
        <v>1645</v>
      </c>
      <c r="H63" t="s">
        <v>1645</v>
      </c>
      <c r="I63" t="s">
        <v>1645</v>
      </c>
      <c r="J63" t="s">
        <v>1645</v>
      </c>
      <c r="K63" t="s">
        <v>1645</v>
      </c>
      <c r="L63" t="s">
        <v>1759</v>
      </c>
      <c r="M63" t="s">
        <v>1760</v>
      </c>
      <c r="N63" t="s">
        <v>192</v>
      </c>
      <c r="O63" t="s">
        <v>1731</v>
      </c>
      <c r="P63" t="s">
        <v>1737</v>
      </c>
      <c r="Q63" t="s">
        <v>1644</v>
      </c>
      <c r="R63" t="s">
        <v>1644</v>
      </c>
      <c r="S63" t="s">
        <v>1644</v>
      </c>
      <c r="T63" t="s">
        <v>1644</v>
      </c>
      <c r="U63" t="s">
        <v>1645</v>
      </c>
    </row>
    <row r="64" spans="1:21" x14ac:dyDescent="0.2">
      <c r="A64" t="s">
        <v>1620</v>
      </c>
      <c r="B64" t="s">
        <v>1749</v>
      </c>
      <c r="C64" t="s">
        <v>1750</v>
      </c>
      <c r="D64" t="s">
        <v>1643</v>
      </c>
      <c r="E64" t="s">
        <v>1644</v>
      </c>
      <c r="F64" t="s">
        <v>1644</v>
      </c>
      <c r="G64" t="s">
        <v>1751</v>
      </c>
      <c r="H64" t="s">
        <v>1645</v>
      </c>
      <c r="I64" t="s">
        <v>1645</v>
      </c>
      <c r="J64" t="s">
        <v>1645</v>
      </c>
      <c r="K64" t="s">
        <v>1645</v>
      </c>
      <c r="L64" t="s">
        <v>1763</v>
      </c>
      <c r="M64" t="s">
        <v>1764</v>
      </c>
      <c r="N64" t="s">
        <v>192</v>
      </c>
      <c r="O64" t="s">
        <v>1731</v>
      </c>
      <c r="P64" t="s">
        <v>1737</v>
      </c>
      <c r="Q64" t="s">
        <v>1644</v>
      </c>
      <c r="R64" t="s">
        <v>1644</v>
      </c>
      <c r="S64" t="s">
        <v>1644</v>
      </c>
      <c r="T64" t="s">
        <v>1644</v>
      </c>
      <c r="U64" t="s">
        <v>1645</v>
      </c>
    </row>
    <row r="65" spans="1:21" x14ac:dyDescent="0.2">
      <c r="A65" t="s">
        <v>1765</v>
      </c>
      <c r="B65" t="s">
        <v>1652</v>
      </c>
      <c r="C65" t="s">
        <v>1642</v>
      </c>
      <c r="D65" t="s">
        <v>1643</v>
      </c>
      <c r="E65" t="s">
        <v>1644</v>
      </c>
      <c r="F65" t="s">
        <v>1644</v>
      </c>
      <c r="G65" t="s">
        <v>1645</v>
      </c>
      <c r="H65" t="s">
        <v>1645</v>
      </c>
      <c r="I65" t="s">
        <v>1645</v>
      </c>
      <c r="J65" t="s">
        <v>1645</v>
      </c>
      <c r="K65" t="s">
        <v>1645</v>
      </c>
      <c r="L65" t="s">
        <v>1763</v>
      </c>
      <c r="M65" t="s">
        <v>1764</v>
      </c>
      <c r="N65" t="s">
        <v>192</v>
      </c>
      <c r="O65" t="s">
        <v>1731</v>
      </c>
      <c r="P65" t="s">
        <v>1737</v>
      </c>
      <c r="Q65" t="s">
        <v>1644</v>
      </c>
      <c r="R65" t="s">
        <v>1644</v>
      </c>
      <c r="S65" t="s">
        <v>1644</v>
      </c>
      <c r="T65" t="s">
        <v>1644</v>
      </c>
      <c r="U65" t="s">
        <v>1645</v>
      </c>
    </row>
    <row r="66" spans="1:21" x14ac:dyDescent="0.2">
      <c r="A66" t="s">
        <v>1749</v>
      </c>
      <c r="B66" t="s">
        <v>1654</v>
      </c>
      <c r="C66" t="s">
        <v>1642</v>
      </c>
      <c r="D66" t="s">
        <v>1643</v>
      </c>
      <c r="E66" t="s">
        <v>1644</v>
      </c>
      <c r="F66" t="s">
        <v>1644</v>
      </c>
      <c r="G66" t="s">
        <v>1645</v>
      </c>
      <c r="H66" t="s">
        <v>1645</v>
      </c>
      <c r="I66" t="s">
        <v>1645</v>
      </c>
      <c r="J66" t="s">
        <v>1645</v>
      </c>
      <c r="K66" t="s">
        <v>1645</v>
      </c>
      <c r="L66" t="s">
        <v>1763</v>
      </c>
      <c r="M66" t="s">
        <v>1764</v>
      </c>
      <c r="N66" t="s">
        <v>192</v>
      </c>
      <c r="O66" t="s">
        <v>1731</v>
      </c>
      <c r="P66" t="s">
        <v>1737</v>
      </c>
      <c r="Q66" t="s">
        <v>1644</v>
      </c>
      <c r="R66" t="s">
        <v>1644</v>
      </c>
      <c r="S66" t="s">
        <v>1644</v>
      </c>
      <c r="T66" t="s">
        <v>1644</v>
      </c>
      <c r="U66" t="s">
        <v>1645</v>
      </c>
    </row>
    <row r="67" spans="1:21" x14ac:dyDescent="0.2">
      <c r="A67" t="s">
        <v>1641</v>
      </c>
      <c r="B67" t="s">
        <v>1656</v>
      </c>
      <c r="C67" t="s">
        <v>1642</v>
      </c>
      <c r="D67" t="s">
        <v>1643</v>
      </c>
      <c r="E67" t="s">
        <v>1644</v>
      </c>
      <c r="F67" t="s">
        <v>1644</v>
      </c>
      <c r="G67" t="s">
        <v>1645</v>
      </c>
      <c r="H67" t="s">
        <v>1645</v>
      </c>
      <c r="I67" t="s">
        <v>1645</v>
      </c>
      <c r="J67" t="s">
        <v>1645</v>
      </c>
      <c r="K67" t="s">
        <v>1645</v>
      </c>
      <c r="L67" t="s">
        <v>1763</v>
      </c>
      <c r="M67" t="s">
        <v>1764</v>
      </c>
      <c r="N67" t="s">
        <v>192</v>
      </c>
      <c r="O67" t="s">
        <v>1731</v>
      </c>
      <c r="P67" t="s">
        <v>1737</v>
      </c>
      <c r="Q67" t="s">
        <v>1644</v>
      </c>
      <c r="R67" t="s">
        <v>1644</v>
      </c>
      <c r="S67" t="s">
        <v>1644</v>
      </c>
      <c r="T67" t="s">
        <v>1644</v>
      </c>
      <c r="U67" t="s">
        <v>1645</v>
      </c>
    </row>
    <row r="68" spans="1:21" x14ac:dyDescent="0.2">
      <c r="A68" t="s">
        <v>1650</v>
      </c>
      <c r="B68" t="s">
        <v>1658</v>
      </c>
      <c r="C68" t="s">
        <v>1642</v>
      </c>
      <c r="D68" t="s">
        <v>1643</v>
      </c>
      <c r="E68" t="s">
        <v>1644</v>
      </c>
      <c r="F68" t="s">
        <v>1644</v>
      </c>
      <c r="G68" t="s">
        <v>1645</v>
      </c>
      <c r="H68" t="s">
        <v>1645</v>
      </c>
      <c r="I68" t="s">
        <v>1645</v>
      </c>
      <c r="J68" t="s">
        <v>1645</v>
      </c>
      <c r="K68" t="s">
        <v>1645</v>
      </c>
      <c r="L68" t="s">
        <v>1763</v>
      </c>
      <c r="M68" t="s">
        <v>1764</v>
      </c>
      <c r="N68" t="s">
        <v>192</v>
      </c>
      <c r="O68" t="s">
        <v>1731</v>
      </c>
      <c r="P68" t="s">
        <v>1737</v>
      </c>
      <c r="Q68" t="s">
        <v>1644</v>
      </c>
      <c r="R68" t="s">
        <v>1644</v>
      </c>
      <c r="S68" t="s">
        <v>1644</v>
      </c>
      <c r="T68" t="s">
        <v>1644</v>
      </c>
      <c r="U68" t="s">
        <v>1645</v>
      </c>
    </row>
    <row r="69" spans="1:21" x14ac:dyDescent="0.2">
      <c r="A69" t="s">
        <v>1652</v>
      </c>
      <c r="B69" t="s">
        <v>1660</v>
      </c>
      <c r="C69" t="s">
        <v>1642</v>
      </c>
      <c r="D69" t="s">
        <v>1643</v>
      </c>
      <c r="E69" t="s">
        <v>1644</v>
      </c>
      <c r="F69" t="s">
        <v>1644</v>
      </c>
      <c r="G69" t="s">
        <v>1645</v>
      </c>
      <c r="H69" t="s">
        <v>1645</v>
      </c>
      <c r="I69" t="s">
        <v>1645</v>
      </c>
      <c r="J69" t="s">
        <v>1645</v>
      </c>
      <c r="K69" t="s">
        <v>1645</v>
      </c>
      <c r="L69" t="s">
        <v>1763</v>
      </c>
      <c r="M69" t="s">
        <v>1764</v>
      </c>
      <c r="N69" t="s">
        <v>192</v>
      </c>
      <c r="O69" t="s">
        <v>1731</v>
      </c>
      <c r="P69" t="s">
        <v>1737</v>
      </c>
      <c r="Q69" t="s">
        <v>1644</v>
      </c>
      <c r="R69" t="s">
        <v>1644</v>
      </c>
      <c r="S69" t="s">
        <v>1644</v>
      </c>
      <c r="T69" t="s">
        <v>1644</v>
      </c>
      <c r="U69" t="s">
        <v>1645</v>
      </c>
    </row>
    <row r="70" spans="1:21" x14ac:dyDescent="0.2">
      <c r="A70" t="s">
        <v>1654</v>
      </c>
      <c r="B70" t="s">
        <v>1662</v>
      </c>
      <c r="C70" t="s">
        <v>1642</v>
      </c>
      <c r="D70" t="s">
        <v>1643</v>
      </c>
      <c r="E70" t="s">
        <v>1644</v>
      </c>
      <c r="F70" t="s">
        <v>1644</v>
      </c>
      <c r="G70" t="s">
        <v>1645</v>
      </c>
      <c r="H70" t="s">
        <v>1645</v>
      </c>
      <c r="I70" t="s">
        <v>1645</v>
      </c>
      <c r="J70" t="s">
        <v>1645</v>
      </c>
      <c r="K70" t="s">
        <v>1645</v>
      </c>
      <c r="L70" t="s">
        <v>1763</v>
      </c>
      <c r="M70" t="s">
        <v>1764</v>
      </c>
      <c r="N70" t="s">
        <v>192</v>
      </c>
      <c r="O70" t="s">
        <v>1731</v>
      </c>
      <c r="P70" t="s">
        <v>1737</v>
      </c>
      <c r="Q70" t="s">
        <v>1644</v>
      </c>
      <c r="R70" t="s">
        <v>1644</v>
      </c>
      <c r="S70" t="s">
        <v>1644</v>
      </c>
      <c r="T70" t="s">
        <v>1644</v>
      </c>
      <c r="U70" t="s">
        <v>1645</v>
      </c>
    </row>
    <row r="71" spans="1:21" x14ac:dyDescent="0.2">
      <c r="A71" t="s">
        <v>1656</v>
      </c>
      <c r="B71" t="s">
        <v>1664</v>
      </c>
      <c r="C71" t="s">
        <v>1642</v>
      </c>
      <c r="D71" t="s">
        <v>1643</v>
      </c>
      <c r="E71" t="s">
        <v>1644</v>
      </c>
      <c r="F71" t="s">
        <v>1644</v>
      </c>
      <c r="G71" t="s">
        <v>1645</v>
      </c>
      <c r="H71" t="s">
        <v>1645</v>
      </c>
      <c r="I71" t="s">
        <v>1645</v>
      </c>
      <c r="J71" t="s">
        <v>1645</v>
      </c>
      <c r="K71" t="s">
        <v>1645</v>
      </c>
      <c r="L71" t="s">
        <v>1763</v>
      </c>
      <c r="M71" t="s">
        <v>1764</v>
      </c>
      <c r="N71" t="s">
        <v>192</v>
      </c>
      <c r="O71" t="s">
        <v>1731</v>
      </c>
      <c r="P71" t="s">
        <v>1737</v>
      </c>
      <c r="Q71" t="s">
        <v>1644</v>
      </c>
      <c r="R71" t="s">
        <v>1644</v>
      </c>
      <c r="S71" t="s">
        <v>1644</v>
      </c>
      <c r="T71" t="s">
        <v>1644</v>
      </c>
      <c r="U71" t="s">
        <v>1645</v>
      </c>
    </row>
    <row r="72" spans="1:21" x14ac:dyDescent="0.2">
      <c r="A72" t="s">
        <v>1658</v>
      </c>
      <c r="B72" t="s">
        <v>1666</v>
      </c>
      <c r="C72" t="s">
        <v>1642</v>
      </c>
      <c r="D72" t="s">
        <v>1643</v>
      </c>
      <c r="E72" t="s">
        <v>1644</v>
      </c>
      <c r="F72" t="s">
        <v>1644</v>
      </c>
      <c r="G72" t="s">
        <v>1645</v>
      </c>
      <c r="H72" t="s">
        <v>1645</v>
      </c>
      <c r="I72" t="s">
        <v>1645</v>
      </c>
      <c r="J72" t="s">
        <v>1645</v>
      </c>
      <c r="K72" t="s">
        <v>1645</v>
      </c>
      <c r="L72" t="s">
        <v>1763</v>
      </c>
      <c r="M72" t="s">
        <v>1764</v>
      </c>
      <c r="N72" t="s">
        <v>192</v>
      </c>
      <c r="O72" t="s">
        <v>1731</v>
      </c>
      <c r="P72" t="s">
        <v>1737</v>
      </c>
      <c r="Q72" t="s">
        <v>1644</v>
      </c>
      <c r="R72" t="s">
        <v>1644</v>
      </c>
      <c r="S72" t="s">
        <v>1644</v>
      </c>
      <c r="T72" t="s">
        <v>1644</v>
      </c>
      <c r="U72" t="s">
        <v>1645</v>
      </c>
    </row>
    <row r="73" spans="1:21" x14ac:dyDescent="0.2">
      <c r="A73" t="s">
        <v>1660</v>
      </c>
      <c r="B73" t="s">
        <v>1668</v>
      </c>
      <c r="C73" t="s">
        <v>1642</v>
      </c>
      <c r="D73" t="s">
        <v>1643</v>
      </c>
      <c r="E73" t="s">
        <v>1644</v>
      </c>
      <c r="F73" t="s">
        <v>1644</v>
      </c>
      <c r="G73" t="s">
        <v>1645</v>
      </c>
      <c r="H73" t="s">
        <v>1645</v>
      </c>
      <c r="I73" t="s">
        <v>1645</v>
      </c>
      <c r="J73" t="s">
        <v>1645</v>
      </c>
      <c r="K73" t="s">
        <v>1645</v>
      </c>
      <c r="L73" t="s">
        <v>1763</v>
      </c>
      <c r="M73" t="s">
        <v>1764</v>
      </c>
      <c r="N73" t="s">
        <v>192</v>
      </c>
      <c r="O73" t="s">
        <v>1731</v>
      </c>
      <c r="P73" t="s">
        <v>1737</v>
      </c>
      <c r="Q73" t="s">
        <v>1644</v>
      </c>
      <c r="R73" t="s">
        <v>1644</v>
      </c>
      <c r="S73" t="s">
        <v>1644</v>
      </c>
      <c r="T73" t="s">
        <v>1644</v>
      </c>
      <c r="U73" t="s">
        <v>1645</v>
      </c>
    </row>
    <row r="74" spans="1:21" x14ac:dyDescent="0.2">
      <c r="A74" t="s">
        <v>1662</v>
      </c>
      <c r="B74" t="s">
        <v>1670</v>
      </c>
      <c r="C74" t="s">
        <v>1642</v>
      </c>
      <c r="D74" t="s">
        <v>1643</v>
      </c>
      <c r="E74" t="s">
        <v>1644</v>
      </c>
      <c r="F74" t="s">
        <v>1644</v>
      </c>
      <c r="G74" t="s">
        <v>1645</v>
      </c>
      <c r="H74" t="s">
        <v>1645</v>
      </c>
      <c r="I74" t="s">
        <v>1645</v>
      </c>
      <c r="J74" t="s">
        <v>1645</v>
      </c>
      <c r="K74" t="s">
        <v>1645</v>
      </c>
      <c r="L74" t="s">
        <v>1763</v>
      </c>
      <c r="M74" t="s">
        <v>1764</v>
      </c>
      <c r="N74" t="s">
        <v>192</v>
      </c>
      <c r="O74" t="s">
        <v>1731</v>
      </c>
      <c r="P74" t="s">
        <v>1737</v>
      </c>
      <c r="Q74" t="s">
        <v>1644</v>
      </c>
      <c r="R74" t="s">
        <v>1644</v>
      </c>
      <c r="S74" t="s">
        <v>1644</v>
      </c>
      <c r="T74" t="s">
        <v>1644</v>
      </c>
      <c r="U74" t="s">
        <v>1645</v>
      </c>
    </row>
    <row r="75" spans="1:21" x14ac:dyDescent="0.2">
      <c r="A75" t="s">
        <v>1664</v>
      </c>
      <c r="B75" t="s">
        <v>1648</v>
      </c>
      <c r="C75" t="s">
        <v>1642</v>
      </c>
      <c r="D75" t="s">
        <v>1643</v>
      </c>
      <c r="E75" t="s">
        <v>1644</v>
      </c>
      <c r="F75" t="s">
        <v>1644</v>
      </c>
      <c r="G75" t="s">
        <v>1645</v>
      </c>
      <c r="H75" t="s">
        <v>1645</v>
      </c>
      <c r="I75" t="s">
        <v>1645</v>
      </c>
      <c r="J75" t="s">
        <v>1645</v>
      </c>
      <c r="K75" t="s">
        <v>1645</v>
      </c>
      <c r="L75" t="s">
        <v>1763</v>
      </c>
      <c r="M75" t="s">
        <v>1764</v>
      </c>
      <c r="N75" t="s">
        <v>192</v>
      </c>
      <c r="O75" t="s">
        <v>1731</v>
      </c>
      <c r="P75" t="s">
        <v>1737</v>
      </c>
      <c r="Q75" t="s">
        <v>1644</v>
      </c>
      <c r="R75" t="s">
        <v>1644</v>
      </c>
      <c r="S75" t="s">
        <v>1644</v>
      </c>
      <c r="T75" t="s">
        <v>1644</v>
      </c>
      <c r="U75" t="s">
        <v>1645</v>
      </c>
    </row>
    <row r="76" spans="1:21" x14ac:dyDescent="0.2">
      <c r="A76" t="s">
        <v>1666</v>
      </c>
      <c r="B76" t="s">
        <v>1673</v>
      </c>
      <c r="C76" t="s">
        <v>1642</v>
      </c>
      <c r="D76" t="s">
        <v>1643</v>
      </c>
      <c r="E76" t="s">
        <v>1644</v>
      </c>
      <c r="F76" t="s">
        <v>1644</v>
      </c>
      <c r="G76" t="s">
        <v>1645</v>
      </c>
      <c r="H76" t="s">
        <v>1645</v>
      </c>
      <c r="I76" t="s">
        <v>1645</v>
      </c>
      <c r="J76" t="s">
        <v>1645</v>
      </c>
      <c r="K76" t="s">
        <v>1645</v>
      </c>
      <c r="L76" t="s">
        <v>1763</v>
      </c>
      <c r="M76" t="s">
        <v>1764</v>
      </c>
      <c r="N76" t="s">
        <v>192</v>
      </c>
      <c r="O76" t="s">
        <v>1731</v>
      </c>
      <c r="P76" t="s">
        <v>1737</v>
      </c>
      <c r="Q76" t="s">
        <v>1644</v>
      </c>
      <c r="R76" t="s">
        <v>1644</v>
      </c>
      <c r="S76" t="s">
        <v>1644</v>
      </c>
      <c r="T76" t="s">
        <v>1644</v>
      </c>
      <c r="U76" t="s">
        <v>1645</v>
      </c>
    </row>
    <row r="77" spans="1:21" x14ac:dyDescent="0.2">
      <c r="A77" t="s">
        <v>1668</v>
      </c>
      <c r="B77" t="s">
        <v>1675</v>
      </c>
      <c r="C77" t="s">
        <v>1642</v>
      </c>
      <c r="D77" t="s">
        <v>1643</v>
      </c>
      <c r="E77" t="s">
        <v>1644</v>
      </c>
      <c r="F77" t="s">
        <v>1644</v>
      </c>
      <c r="G77" t="s">
        <v>1645</v>
      </c>
      <c r="H77" t="s">
        <v>1645</v>
      </c>
      <c r="I77" t="s">
        <v>1645</v>
      </c>
      <c r="J77" t="s">
        <v>1645</v>
      </c>
      <c r="K77" t="s">
        <v>1645</v>
      </c>
      <c r="L77" t="s">
        <v>1763</v>
      </c>
      <c r="M77" t="s">
        <v>1764</v>
      </c>
      <c r="N77" t="s">
        <v>192</v>
      </c>
      <c r="O77" t="s">
        <v>1731</v>
      </c>
      <c r="P77" t="s">
        <v>1737</v>
      </c>
      <c r="Q77" t="s">
        <v>1644</v>
      </c>
      <c r="R77" t="s">
        <v>1644</v>
      </c>
      <c r="S77" t="s">
        <v>1644</v>
      </c>
      <c r="T77" t="s">
        <v>1644</v>
      </c>
      <c r="U77" t="s">
        <v>1645</v>
      </c>
    </row>
    <row r="78" spans="1:21" x14ac:dyDescent="0.2">
      <c r="A78" t="s">
        <v>1670</v>
      </c>
      <c r="B78" t="s">
        <v>1677</v>
      </c>
      <c r="C78" t="s">
        <v>1642</v>
      </c>
      <c r="D78" t="s">
        <v>1643</v>
      </c>
      <c r="E78" t="s">
        <v>1644</v>
      </c>
      <c r="F78" t="s">
        <v>1644</v>
      </c>
      <c r="G78" t="s">
        <v>1645</v>
      </c>
      <c r="H78" t="s">
        <v>1645</v>
      </c>
      <c r="I78" t="s">
        <v>1645</v>
      </c>
      <c r="J78" t="s">
        <v>1645</v>
      </c>
      <c r="K78" t="s">
        <v>1645</v>
      </c>
      <c r="L78" t="s">
        <v>1763</v>
      </c>
      <c r="M78" t="s">
        <v>1764</v>
      </c>
      <c r="N78" t="s">
        <v>192</v>
      </c>
      <c r="O78" t="s">
        <v>1731</v>
      </c>
      <c r="P78" t="s">
        <v>1737</v>
      </c>
      <c r="Q78" t="s">
        <v>1644</v>
      </c>
      <c r="R78" t="s">
        <v>1644</v>
      </c>
      <c r="S78" t="s">
        <v>1644</v>
      </c>
      <c r="T78" t="s">
        <v>1644</v>
      </c>
      <c r="U78" t="s">
        <v>1645</v>
      </c>
    </row>
    <row r="79" spans="1:21" x14ac:dyDescent="0.2">
      <c r="A79" t="s">
        <v>1648</v>
      </c>
      <c r="B79" t="s">
        <v>1679</v>
      </c>
      <c r="C79" t="s">
        <v>1642</v>
      </c>
      <c r="D79" t="s">
        <v>1643</v>
      </c>
      <c r="E79" t="s">
        <v>1644</v>
      </c>
      <c r="F79" t="s">
        <v>1644</v>
      </c>
      <c r="G79" t="s">
        <v>1645</v>
      </c>
      <c r="H79" t="s">
        <v>1645</v>
      </c>
      <c r="I79" t="s">
        <v>1645</v>
      </c>
      <c r="J79" t="s">
        <v>1645</v>
      </c>
      <c r="K79" t="s">
        <v>1645</v>
      </c>
      <c r="L79" t="s">
        <v>1763</v>
      </c>
      <c r="M79" t="s">
        <v>1764</v>
      </c>
      <c r="N79" t="s">
        <v>192</v>
      </c>
      <c r="O79" t="s">
        <v>1731</v>
      </c>
      <c r="P79" t="s">
        <v>1737</v>
      </c>
      <c r="Q79" t="s">
        <v>1644</v>
      </c>
      <c r="R79" t="s">
        <v>1644</v>
      </c>
      <c r="S79" t="s">
        <v>1644</v>
      </c>
      <c r="T79" t="s">
        <v>1644</v>
      </c>
      <c r="U79" t="s">
        <v>1645</v>
      </c>
    </row>
    <row r="80" spans="1:21" x14ac:dyDescent="0.2">
      <c r="A80" t="s">
        <v>1673</v>
      </c>
      <c r="B80" t="s">
        <v>1681</v>
      </c>
      <c r="C80" t="s">
        <v>1642</v>
      </c>
      <c r="D80" t="s">
        <v>1643</v>
      </c>
      <c r="E80" t="s">
        <v>1644</v>
      </c>
      <c r="F80" t="s">
        <v>1644</v>
      </c>
      <c r="G80" t="s">
        <v>1645</v>
      </c>
      <c r="H80" t="s">
        <v>1645</v>
      </c>
      <c r="I80" t="s">
        <v>1645</v>
      </c>
      <c r="J80" t="s">
        <v>1645</v>
      </c>
      <c r="K80" t="s">
        <v>1645</v>
      </c>
      <c r="L80" t="s">
        <v>1763</v>
      </c>
      <c r="M80" t="s">
        <v>1764</v>
      </c>
      <c r="N80" t="s">
        <v>192</v>
      </c>
      <c r="O80" t="s">
        <v>1731</v>
      </c>
      <c r="P80" t="s">
        <v>1737</v>
      </c>
      <c r="Q80" t="s">
        <v>1644</v>
      </c>
      <c r="R80" t="s">
        <v>1644</v>
      </c>
      <c r="S80" t="s">
        <v>1644</v>
      </c>
      <c r="T80" t="s">
        <v>1644</v>
      </c>
      <c r="U80" t="s">
        <v>1645</v>
      </c>
    </row>
    <row r="81" spans="1:21" x14ac:dyDescent="0.2">
      <c r="A81" t="s">
        <v>1675</v>
      </c>
      <c r="B81" t="s">
        <v>1683</v>
      </c>
      <c r="C81" t="s">
        <v>1642</v>
      </c>
      <c r="D81" t="s">
        <v>1643</v>
      </c>
      <c r="E81" t="s">
        <v>1644</v>
      </c>
      <c r="F81" t="s">
        <v>1644</v>
      </c>
      <c r="G81" t="s">
        <v>1645</v>
      </c>
      <c r="H81" t="s">
        <v>1645</v>
      </c>
      <c r="I81" t="s">
        <v>1645</v>
      </c>
      <c r="J81" t="s">
        <v>1645</v>
      </c>
      <c r="K81" t="s">
        <v>1645</v>
      </c>
      <c r="L81" t="s">
        <v>1763</v>
      </c>
      <c r="M81" t="s">
        <v>1764</v>
      </c>
      <c r="N81" t="s">
        <v>192</v>
      </c>
      <c r="O81" t="s">
        <v>1731</v>
      </c>
      <c r="P81" t="s">
        <v>1737</v>
      </c>
      <c r="Q81" t="s">
        <v>1644</v>
      </c>
      <c r="R81" t="s">
        <v>1644</v>
      </c>
      <c r="S81" t="s">
        <v>1644</v>
      </c>
      <c r="T81" t="s">
        <v>1644</v>
      </c>
      <c r="U81" t="s">
        <v>1645</v>
      </c>
    </row>
    <row r="82" spans="1:21" x14ac:dyDescent="0.2">
      <c r="A82" t="s">
        <v>1677</v>
      </c>
      <c r="B82" t="s">
        <v>1685</v>
      </c>
      <c r="C82" t="s">
        <v>1642</v>
      </c>
      <c r="D82" t="s">
        <v>1643</v>
      </c>
      <c r="E82" t="s">
        <v>1644</v>
      </c>
      <c r="F82" t="s">
        <v>1644</v>
      </c>
      <c r="G82" t="s">
        <v>1645</v>
      </c>
      <c r="H82" t="s">
        <v>1645</v>
      </c>
      <c r="I82" t="s">
        <v>1645</v>
      </c>
      <c r="J82" t="s">
        <v>1645</v>
      </c>
      <c r="K82" t="s">
        <v>1645</v>
      </c>
      <c r="L82" t="s">
        <v>1763</v>
      </c>
      <c r="M82" t="s">
        <v>1764</v>
      </c>
      <c r="N82" t="s">
        <v>192</v>
      </c>
      <c r="O82" t="s">
        <v>1731</v>
      </c>
      <c r="P82" t="s">
        <v>1737</v>
      </c>
      <c r="Q82" t="s">
        <v>1644</v>
      </c>
      <c r="R82" t="s">
        <v>1644</v>
      </c>
      <c r="S82" t="s">
        <v>1644</v>
      </c>
      <c r="T82" t="s">
        <v>1644</v>
      </c>
      <c r="U82" t="s">
        <v>1645</v>
      </c>
    </row>
    <row r="83" spans="1:21" x14ac:dyDescent="0.2">
      <c r="A83" t="s">
        <v>1679</v>
      </c>
      <c r="B83" t="s">
        <v>1687</v>
      </c>
      <c r="C83" t="s">
        <v>1642</v>
      </c>
      <c r="D83" t="s">
        <v>1643</v>
      </c>
      <c r="E83" t="s">
        <v>1644</v>
      </c>
      <c r="F83" t="s">
        <v>1644</v>
      </c>
      <c r="G83" t="s">
        <v>1645</v>
      </c>
      <c r="H83" t="s">
        <v>1645</v>
      </c>
      <c r="I83" t="s">
        <v>1645</v>
      </c>
      <c r="J83" t="s">
        <v>1645</v>
      </c>
      <c r="K83" t="s">
        <v>1645</v>
      </c>
      <c r="L83" t="s">
        <v>1763</v>
      </c>
      <c r="M83" t="s">
        <v>1764</v>
      </c>
      <c r="N83" t="s">
        <v>192</v>
      </c>
      <c r="O83" t="s">
        <v>1731</v>
      </c>
      <c r="P83" t="s">
        <v>1737</v>
      </c>
      <c r="Q83" t="s">
        <v>1644</v>
      </c>
      <c r="R83" t="s">
        <v>1644</v>
      </c>
      <c r="S83" t="s">
        <v>1644</v>
      </c>
      <c r="T83" t="s">
        <v>1644</v>
      </c>
      <c r="U83" t="s">
        <v>1645</v>
      </c>
    </row>
    <row r="84" spans="1:21" x14ac:dyDescent="0.2">
      <c r="A84" t="s">
        <v>1681</v>
      </c>
      <c r="B84" t="s">
        <v>1689</v>
      </c>
      <c r="C84" t="s">
        <v>1642</v>
      </c>
      <c r="D84" t="s">
        <v>1643</v>
      </c>
      <c r="E84" t="s">
        <v>1644</v>
      </c>
      <c r="F84" t="s">
        <v>1644</v>
      </c>
      <c r="G84" t="s">
        <v>1645</v>
      </c>
      <c r="H84" t="s">
        <v>1645</v>
      </c>
      <c r="I84" t="s">
        <v>1645</v>
      </c>
      <c r="J84" t="s">
        <v>1645</v>
      </c>
      <c r="K84" t="s">
        <v>1645</v>
      </c>
      <c r="L84" t="s">
        <v>1763</v>
      </c>
      <c r="M84" t="s">
        <v>1764</v>
      </c>
      <c r="N84" t="s">
        <v>192</v>
      </c>
      <c r="O84" t="s">
        <v>1731</v>
      </c>
      <c r="P84" t="s">
        <v>1737</v>
      </c>
      <c r="Q84" t="s">
        <v>1644</v>
      </c>
      <c r="R84" t="s">
        <v>1644</v>
      </c>
      <c r="S84" t="s">
        <v>1644</v>
      </c>
      <c r="T84" t="s">
        <v>1644</v>
      </c>
      <c r="U84" t="s">
        <v>1645</v>
      </c>
    </row>
    <row r="85" spans="1:21" x14ac:dyDescent="0.2">
      <c r="A85" t="s">
        <v>1683</v>
      </c>
      <c r="B85" t="s">
        <v>1691</v>
      </c>
      <c r="C85" t="s">
        <v>1642</v>
      </c>
      <c r="D85" t="s">
        <v>1643</v>
      </c>
      <c r="E85" t="s">
        <v>1644</v>
      </c>
      <c r="F85" t="s">
        <v>1644</v>
      </c>
      <c r="G85" t="s">
        <v>1645</v>
      </c>
      <c r="H85" t="s">
        <v>1645</v>
      </c>
      <c r="I85" t="s">
        <v>1645</v>
      </c>
      <c r="J85" t="s">
        <v>1645</v>
      </c>
      <c r="K85" t="s">
        <v>1645</v>
      </c>
      <c r="L85" t="s">
        <v>1763</v>
      </c>
      <c r="M85" t="s">
        <v>1764</v>
      </c>
      <c r="N85" t="s">
        <v>192</v>
      </c>
      <c r="O85" t="s">
        <v>1731</v>
      </c>
      <c r="P85" t="s">
        <v>1737</v>
      </c>
      <c r="Q85" t="s">
        <v>1644</v>
      </c>
      <c r="R85" t="s">
        <v>1644</v>
      </c>
      <c r="S85" t="s">
        <v>1644</v>
      </c>
      <c r="T85" t="s">
        <v>1644</v>
      </c>
      <c r="U85" t="s">
        <v>1645</v>
      </c>
    </row>
    <row r="86" spans="1:21" x14ac:dyDescent="0.2">
      <c r="A86" t="s">
        <v>1685</v>
      </c>
      <c r="B86" t="s">
        <v>1693</v>
      </c>
      <c r="C86" t="s">
        <v>1642</v>
      </c>
      <c r="D86" t="s">
        <v>1643</v>
      </c>
      <c r="E86" t="s">
        <v>1644</v>
      </c>
      <c r="F86" t="s">
        <v>1644</v>
      </c>
      <c r="G86" t="s">
        <v>1645</v>
      </c>
      <c r="H86" t="s">
        <v>1645</v>
      </c>
      <c r="I86" t="s">
        <v>1645</v>
      </c>
      <c r="J86" t="s">
        <v>1645</v>
      </c>
      <c r="K86" t="s">
        <v>1645</v>
      </c>
      <c r="L86" t="s">
        <v>1763</v>
      </c>
      <c r="M86" t="s">
        <v>1764</v>
      </c>
      <c r="N86" t="s">
        <v>192</v>
      </c>
      <c r="O86" t="s">
        <v>1731</v>
      </c>
      <c r="P86" t="s">
        <v>1737</v>
      </c>
      <c r="Q86" t="s">
        <v>1644</v>
      </c>
      <c r="R86" t="s">
        <v>1644</v>
      </c>
      <c r="S86" t="s">
        <v>1644</v>
      </c>
      <c r="T86" t="s">
        <v>1644</v>
      </c>
      <c r="U86" t="s">
        <v>1645</v>
      </c>
    </row>
    <row r="87" spans="1:21" x14ac:dyDescent="0.2">
      <c r="A87" t="s">
        <v>1687</v>
      </c>
      <c r="B87" t="s">
        <v>1695</v>
      </c>
      <c r="C87" t="s">
        <v>1642</v>
      </c>
      <c r="D87" t="s">
        <v>1643</v>
      </c>
      <c r="E87" t="s">
        <v>1644</v>
      </c>
      <c r="F87" t="s">
        <v>1644</v>
      </c>
      <c r="G87" t="s">
        <v>1645</v>
      </c>
      <c r="H87" t="s">
        <v>1645</v>
      </c>
      <c r="I87" t="s">
        <v>1645</v>
      </c>
      <c r="J87" t="s">
        <v>1645</v>
      </c>
      <c r="K87" t="s">
        <v>1645</v>
      </c>
      <c r="L87" t="s">
        <v>1763</v>
      </c>
      <c r="M87" t="s">
        <v>1764</v>
      </c>
      <c r="N87" t="s">
        <v>192</v>
      </c>
      <c r="O87" t="s">
        <v>1731</v>
      </c>
      <c r="P87" t="s">
        <v>1737</v>
      </c>
      <c r="Q87" t="s">
        <v>1644</v>
      </c>
      <c r="R87" t="s">
        <v>1644</v>
      </c>
      <c r="S87" t="s">
        <v>1644</v>
      </c>
      <c r="T87" t="s">
        <v>1644</v>
      </c>
      <c r="U87" t="s">
        <v>1645</v>
      </c>
    </row>
    <row r="88" spans="1:21" x14ac:dyDescent="0.2">
      <c r="A88" t="s">
        <v>1689</v>
      </c>
      <c r="B88" t="s">
        <v>1697</v>
      </c>
      <c r="C88" t="s">
        <v>1642</v>
      </c>
      <c r="D88" t="s">
        <v>1643</v>
      </c>
      <c r="E88" t="s">
        <v>1644</v>
      </c>
      <c r="F88" t="s">
        <v>1644</v>
      </c>
      <c r="G88" t="s">
        <v>1645</v>
      </c>
      <c r="H88" t="s">
        <v>1645</v>
      </c>
      <c r="I88" t="s">
        <v>1645</v>
      </c>
      <c r="J88" t="s">
        <v>1645</v>
      </c>
      <c r="K88" t="s">
        <v>1645</v>
      </c>
      <c r="L88" t="s">
        <v>1763</v>
      </c>
      <c r="M88" t="s">
        <v>1764</v>
      </c>
      <c r="N88" t="s">
        <v>192</v>
      </c>
      <c r="O88" t="s">
        <v>1731</v>
      </c>
      <c r="P88" t="s">
        <v>1737</v>
      </c>
      <c r="Q88" t="s">
        <v>1644</v>
      </c>
      <c r="R88" t="s">
        <v>1644</v>
      </c>
      <c r="S88" t="s">
        <v>1644</v>
      </c>
      <c r="T88" t="s">
        <v>1644</v>
      </c>
      <c r="U88" t="s">
        <v>1645</v>
      </c>
    </row>
    <row r="89" spans="1:21" x14ac:dyDescent="0.2">
      <c r="A89" t="s">
        <v>1691</v>
      </c>
      <c r="B89" t="s">
        <v>1699</v>
      </c>
      <c r="C89" t="s">
        <v>1642</v>
      </c>
      <c r="D89" t="s">
        <v>1643</v>
      </c>
      <c r="E89" t="s">
        <v>1644</v>
      </c>
      <c r="F89" t="s">
        <v>1644</v>
      </c>
      <c r="G89" t="s">
        <v>1645</v>
      </c>
      <c r="H89" t="s">
        <v>1645</v>
      </c>
      <c r="I89" t="s">
        <v>1645</v>
      </c>
      <c r="J89" t="s">
        <v>1645</v>
      </c>
      <c r="K89" t="s">
        <v>1645</v>
      </c>
      <c r="L89" t="s">
        <v>1763</v>
      </c>
      <c r="M89" t="s">
        <v>1764</v>
      </c>
      <c r="N89" t="s">
        <v>192</v>
      </c>
      <c r="O89" t="s">
        <v>1731</v>
      </c>
      <c r="P89" t="s">
        <v>1737</v>
      </c>
      <c r="Q89" t="s">
        <v>1644</v>
      </c>
      <c r="R89" t="s">
        <v>1644</v>
      </c>
      <c r="S89" t="s">
        <v>1644</v>
      </c>
      <c r="T89" t="s">
        <v>1644</v>
      </c>
      <c r="U89" t="s">
        <v>1645</v>
      </c>
    </row>
    <row r="90" spans="1:21" x14ac:dyDescent="0.2">
      <c r="A90" t="s">
        <v>1693</v>
      </c>
      <c r="B90" t="s">
        <v>1701</v>
      </c>
      <c r="C90" t="s">
        <v>1642</v>
      </c>
      <c r="D90" t="s">
        <v>1643</v>
      </c>
      <c r="E90" t="s">
        <v>1644</v>
      </c>
      <c r="F90" t="s">
        <v>1644</v>
      </c>
      <c r="G90" t="s">
        <v>1645</v>
      </c>
      <c r="H90" t="s">
        <v>1645</v>
      </c>
      <c r="I90" t="s">
        <v>1645</v>
      </c>
      <c r="J90" t="s">
        <v>1645</v>
      </c>
      <c r="K90" t="s">
        <v>1645</v>
      </c>
      <c r="L90" t="s">
        <v>1763</v>
      </c>
      <c r="M90" t="s">
        <v>1764</v>
      </c>
      <c r="N90" t="s">
        <v>192</v>
      </c>
      <c r="O90" t="s">
        <v>1731</v>
      </c>
      <c r="P90" t="s">
        <v>1737</v>
      </c>
      <c r="Q90" t="s">
        <v>1644</v>
      </c>
      <c r="R90" t="s">
        <v>1644</v>
      </c>
      <c r="S90" t="s">
        <v>1644</v>
      </c>
      <c r="T90" t="s">
        <v>1644</v>
      </c>
      <c r="U90" t="s">
        <v>1645</v>
      </c>
    </row>
    <row r="91" spans="1:21" x14ac:dyDescent="0.2">
      <c r="A91" t="s">
        <v>1695</v>
      </c>
      <c r="B91" t="s">
        <v>1703</v>
      </c>
      <c r="C91" t="s">
        <v>1642</v>
      </c>
      <c r="D91" t="s">
        <v>1643</v>
      </c>
      <c r="E91" t="s">
        <v>1644</v>
      </c>
      <c r="F91" t="s">
        <v>1644</v>
      </c>
      <c r="G91" t="s">
        <v>1645</v>
      </c>
      <c r="H91" t="s">
        <v>1645</v>
      </c>
      <c r="I91" t="s">
        <v>1645</v>
      </c>
      <c r="J91" t="s">
        <v>1645</v>
      </c>
      <c r="K91" t="s">
        <v>1645</v>
      </c>
      <c r="L91" t="s">
        <v>1763</v>
      </c>
      <c r="M91" t="s">
        <v>1764</v>
      </c>
      <c r="N91" t="s">
        <v>192</v>
      </c>
      <c r="O91" t="s">
        <v>1731</v>
      </c>
      <c r="P91" t="s">
        <v>1737</v>
      </c>
      <c r="Q91" t="s">
        <v>1644</v>
      </c>
      <c r="R91" t="s">
        <v>1644</v>
      </c>
      <c r="S91" t="s">
        <v>1644</v>
      </c>
      <c r="T91" t="s">
        <v>1644</v>
      </c>
      <c r="U91" t="s">
        <v>1645</v>
      </c>
    </row>
    <row r="92" spans="1:21" x14ac:dyDescent="0.2">
      <c r="A92" t="s">
        <v>1697</v>
      </c>
      <c r="B92" t="s">
        <v>1705</v>
      </c>
      <c r="C92" t="s">
        <v>1642</v>
      </c>
      <c r="D92" t="s">
        <v>1643</v>
      </c>
      <c r="E92" t="s">
        <v>1644</v>
      </c>
      <c r="F92" t="s">
        <v>1644</v>
      </c>
      <c r="G92" t="s">
        <v>1645</v>
      </c>
      <c r="H92" t="s">
        <v>1645</v>
      </c>
      <c r="I92" t="s">
        <v>1645</v>
      </c>
      <c r="J92" t="s">
        <v>1645</v>
      </c>
      <c r="K92" t="s">
        <v>1645</v>
      </c>
      <c r="L92" t="s">
        <v>1763</v>
      </c>
      <c r="M92" t="s">
        <v>1764</v>
      </c>
      <c r="N92" t="s">
        <v>192</v>
      </c>
      <c r="O92" t="s">
        <v>1731</v>
      </c>
      <c r="P92" t="s">
        <v>1737</v>
      </c>
      <c r="Q92" t="s">
        <v>1644</v>
      </c>
      <c r="R92" t="s">
        <v>1644</v>
      </c>
      <c r="S92" t="s">
        <v>1644</v>
      </c>
      <c r="T92" t="s">
        <v>1644</v>
      </c>
      <c r="U92" t="s">
        <v>1645</v>
      </c>
    </row>
    <row r="93" spans="1:21" x14ac:dyDescent="0.2">
      <c r="A93" t="s">
        <v>1699</v>
      </c>
      <c r="B93" t="s">
        <v>1707</v>
      </c>
      <c r="C93" t="s">
        <v>1642</v>
      </c>
      <c r="D93" t="s">
        <v>1643</v>
      </c>
      <c r="E93" t="s">
        <v>1644</v>
      </c>
      <c r="F93" t="s">
        <v>1644</v>
      </c>
      <c r="G93" t="s">
        <v>1645</v>
      </c>
      <c r="H93" t="s">
        <v>1645</v>
      </c>
      <c r="I93" t="s">
        <v>1645</v>
      </c>
      <c r="J93" t="s">
        <v>1645</v>
      </c>
      <c r="K93" t="s">
        <v>1645</v>
      </c>
      <c r="L93" t="s">
        <v>1763</v>
      </c>
      <c r="M93" t="s">
        <v>1764</v>
      </c>
      <c r="N93" t="s">
        <v>192</v>
      </c>
      <c r="O93" t="s">
        <v>1731</v>
      </c>
      <c r="P93" t="s">
        <v>1737</v>
      </c>
      <c r="Q93" t="s">
        <v>1644</v>
      </c>
      <c r="R93" t="s">
        <v>1644</v>
      </c>
      <c r="S93" t="s">
        <v>1644</v>
      </c>
      <c r="T93" t="s">
        <v>1644</v>
      </c>
      <c r="U93" t="s">
        <v>1645</v>
      </c>
    </row>
    <row r="94" spans="1:21" x14ac:dyDescent="0.2">
      <c r="A94" t="s">
        <v>1701</v>
      </c>
      <c r="B94" t="s">
        <v>1709</v>
      </c>
      <c r="C94" t="s">
        <v>1642</v>
      </c>
      <c r="D94" t="s">
        <v>1643</v>
      </c>
      <c r="E94" t="s">
        <v>1644</v>
      </c>
      <c r="F94" t="s">
        <v>1644</v>
      </c>
      <c r="G94" t="s">
        <v>1645</v>
      </c>
      <c r="H94" t="s">
        <v>1645</v>
      </c>
      <c r="I94" t="s">
        <v>1645</v>
      </c>
      <c r="J94" t="s">
        <v>1645</v>
      </c>
      <c r="K94" t="s">
        <v>1645</v>
      </c>
      <c r="L94" t="s">
        <v>1763</v>
      </c>
      <c r="M94" t="s">
        <v>1764</v>
      </c>
      <c r="N94" t="s">
        <v>192</v>
      </c>
      <c r="O94" t="s">
        <v>1731</v>
      </c>
      <c r="P94" t="s">
        <v>1737</v>
      </c>
      <c r="Q94" t="s">
        <v>1644</v>
      </c>
      <c r="R94" t="s">
        <v>1644</v>
      </c>
      <c r="S94" t="s">
        <v>1644</v>
      </c>
      <c r="T94" t="s">
        <v>1644</v>
      </c>
      <c r="U94" t="s">
        <v>1645</v>
      </c>
    </row>
    <row r="95" spans="1:21" x14ac:dyDescent="0.2">
      <c r="A95" t="s">
        <v>1703</v>
      </c>
      <c r="B95" t="s">
        <v>1711</v>
      </c>
      <c r="C95" t="s">
        <v>1642</v>
      </c>
      <c r="D95" t="s">
        <v>1643</v>
      </c>
      <c r="E95" t="s">
        <v>1644</v>
      </c>
      <c r="F95" t="s">
        <v>1644</v>
      </c>
      <c r="G95" t="s">
        <v>1645</v>
      </c>
      <c r="H95" t="s">
        <v>1645</v>
      </c>
      <c r="I95" t="s">
        <v>1645</v>
      </c>
      <c r="J95" t="s">
        <v>1645</v>
      </c>
      <c r="K95" t="s">
        <v>1645</v>
      </c>
      <c r="L95" t="s">
        <v>1763</v>
      </c>
      <c r="M95" t="s">
        <v>1764</v>
      </c>
      <c r="N95" t="s">
        <v>192</v>
      </c>
      <c r="O95" t="s">
        <v>1731</v>
      </c>
      <c r="P95" t="s">
        <v>1737</v>
      </c>
      <c r="Q95" t="s">
        <v>1644</v>
      </c>
      <c r="R95" t="s">
        <v>1644</v>
      </c>
      <c r="S95" t="s">
        <v>1644</v>
      </c>
      <c r="T95" t="s">
        <v>1644</v>
      </c>
      <c r="U95" t="s">
        <v>1645</v>
      </c>
    </row>
    <row r="96" spans="1:21" x14ac:dyDescent="0.2">
      <c r="A96" t="s">
        <v>1705</v>
      </c>
      <c r="B96" t="s">
        <v>1713</v>
      </c>
      <c r="C96" t="s">
        <v>1642</v>
      </c>
      <c r="D96" t="s">
        <v>1643</v>
      </c>
      <c r="E96" t="s">
        <v>1644</v>
      </c>
      <c r="F96" t="s">
        <v>1644</v>
      </c>
      <c r="G96" t="s">
        <v>1645</v>
      </c>
      <c r="H96" t="s">
        <v>1645</v>
      </c>
      <c r="I96" t="s">
        <v>1645</v>
      </c>
      <c r="J96" t="s">
        <v>1645</v>
      </c>
      <c r="K96" t="s">
        <v>1645</v>
      </c>
      <c r="L96" t="s">
        <v>1763</v>
      </c>
      <c r="M96" t="s">
        <v>1764</v>
      </c>
      <c r="N96" t="s">
        <v>192</v>
      </c>
      <c r="O96" t="s">
        <v>1731</v>
      </c>
      <c r="P96" t="s">
        <v>1737</v>
      </c>
      <c r="Q96" t="s">
        <v>1644</v>
      </c>
      <c r="R96" t="s">
        <v>1644</v>
      </c>
      <c r="S96" t="s">
        <v>1644</v>
      </c>
      <c r="T96" t="s">
        <v>1644</v>
      </c>
      <c r="U96" t="s">
        <v>1645</v>
      </c>
    </row>
    <row r="97" spans="1:21" x14ac:dyDescent="0.2">
      <c r="A97" t="s">
        <v>1707</v>
      </c>
      <c r="B97" t="s">
        <v>1715</v>
      </c>
      <c r="C97" t="s">
        <v>1642</v>
      </c>
      <c r="D97" t="s">
        <v>1643</v>
      </c>
      <c r="E97" t="s">
        <v>1644</v>
      </c>
      <c r="F97" t="s">
        <v>1644</v>
      </c>
      <c r="G97" t="s">
        <v>1645</v>
      </c>
      <c r="H97" t="s">
        <v>1645</v>
      </c>
      <c r="I97" t="s">
        <v>1645</v>
      </c>
      <c r="J97" t="s">
        <v>1645</v>
      </c>
      <c r="K97" t="s">
        <v>1645</v>
      </c>
      <c r="L97" t="s">
        <v>1763</v>
      </c>
      <c r="M97" t="s">
        <v>1764</v>
      </c>
      <c r="N97" t="s">
        <v>192</v>
      </c>
      <c r="O97" t="s">
        <v>1731</v>
      </c>
      <c r="P97" t="s">
        <v>1737</v>
      </c>
      <c r="Q97" t="s">
        <v>1644</v>
      </c>
      <c r="R97" t="s">
        <v>1644</v>
      </c>
      <c r="S97" t="s">
        <v>1644</v>
      </c>
      <c r="T97" t="s">
        <v>1644</v>
      </c>
      <c r="U97" t="s">
        <v>1645</v>
      </c>
    </row>
    <row r="98" spans="1:21" x14ac:dyDescent="0.2">
      <c r="A98" t="s">
        <v>1709</v>
      </c>
      <c r="B98" t="s">
        <v>1717</v>
      </c>
      <c r="C98" t="s">
        <v>1642</v>
      </c>
      <c r="D98" t="s">
        <v>1643</v>
      </c>
      <c r="E98" t="s">
        <v>1644</v>
      </c>
      <c r="F98" t="s">
        <v>1644</v>
      </c>
      <c r="G98" t="s">
        <v>1645</v>
      </c>
      <c r="H98" t="s">
        <v>1645</v>
      </c>
      <c r="I98" t="s">
        <v>1645</v>
      </c>
      <c r="J98" t="s">
        <v>1645</v>
      </c>
      <c r="K98" t="s">
        <v>1645</v>
      </c>
      <c r="L98" t="s">
        <v>1763</v>
      </c>
      <c r="M98" t="s">
        <v>1764</v>
      </c>
      <c r="N98" t="s">
        <v>192</v>
      </c>
      <c r="O98" t="s">
        <v>1731</v>
      </c>
      <c r="P98" t="s">
        <v>1737</v>
      </c>
      <c r="Q98" t="s">
        <v>1644</v>
      </c>
      <c r="R98" t="s">
        <v>1644</v>
      </c>
      <c r="S98" t="s">
        <v>1644</v>
      </c>
      <c r="T98" t="s">
        <v>1644</v>
      </c>
      <c r="U98" t="s">
        <v>1645</v>
      </c>
    </row>
    <row r="99" spans="1:21" x14ac:dyDescent="0.2">
      <c r="A99" t="s">
        <v>1711</v>
      </c>
      <c r="B99" t="s">
        <v>1719</v>
      </c>
      <c r="C99" t="s">
        <v>1642</v>
      </c>
      <c r="D99" t="s">
        <v>1643</v>
      </c>
      <c r="E99" t="s">
        <v>1644</v>
      </c>
      <c r="F99" t="s">
        <v>1644</v>
      </c>
      <c r="G99" t="s">
        <v>1645</v>
      </c>
      <c r="H99" t="s">
        <v>1645</v>
      </c>
      <c r="I99" t="s">
        <v>1645</v>
      </c>
      <c r="J99" t="s">
        <v>1645</v>
      </c>
      <c r="K99" t="s">
        <v>1645</v>
      </c>
      <c r="L99" t="s">
        <v>1763</v>
      </c>
      <c r="M99" t="s">
        <v>1764</v>
      </c>
      <c r="N99" t="s">
        <v>192</v>
      </c>
      <c r="O99" t="s">
        <v>1731</v>
      </c>
      <c r="P99" t="s">
        <v>1737</v>
      </c>
      <c r="Q99" t="s">
        <v>1644</v>
      </c>
      <c r="R99" t="s">
        <v>1644</v>
      </c>
      <c r="S99" t="s">
        <v>1644</v>
      </c>
      <c r="T99" t="s">
        <v>1644</v>
      </c>
      <c r="U99" t="s">
        <v>1645</v>
      </c>
    </row>
    <row r="100" spans="1:21" x14ac:dyDescent="0.2">
      <c r="A100" t="s">
        <v>1713</v>
      </c>
      <c r="B100" t="s">
        <v>1721</v>
      </c>
      <c r="C100" t="s">
        <v>1642</v>
      </c>
      <c r="D100" t="s">
        <v>1643</v>
      </c>
      <c r="E100" t="s">
        <v>1644</v>
      </c>
      <c r="F100" t="s">
        <v>1644</v>
      </c>
      <c r="G100" t="s">
        <v>1645</v>
      </c>
      <c r="H100" t="s">
        <v>1645</v>
      </c>
      <c r="I100" t="s">
        <v>1645</v>
      </c>
      <c r="J100" t="s">
        <v>1645</v>
      </c>
      <c r="K100" t="s">
        <v>1645</v>
      </c>
      <c r="L100" t="s">
        <v>1763</v>
      </c>
      <c r="M100" t="s">
        <v>1764</v>
      </c>
      <c r="N100" t="s">
        <v>192</v>
      </c>
      <c r="O100" t="s">
        <v>1731</v>
      </c>
      <c r="P100" t="s">
        <v>1737</v>
      </c>
      <c r="Q100" t="s">
        <v>1644</v>
      </c>
      <c r="R100" t="s">
        <v>1644</v>
      </c>
      <c r="S100" t="s">
        <v>1644</v>
      </c>
      <c r="T100" t="s">
        <v>1644</v>
      </c>
      <c r="U100" t="s">
        <v>1645</v>
      </c>
    </row>
    <row r="101" spans="1:21" x14ac:dyDescent="0.2">
      <c r="A101" t="s">
        <v>1715</v>
      </c>
      <c r="B101" t="s">
        <v>1723</v>
      </c>
      <c r="C101" t="s">
        <v>1642</v>
      </c>
      <c r="D101" t="s">
        <v>1643</v>
      </c>
      <c r="E101" t="s">
        <v>1644</v>
      </c>
      <c r="F101" t="s">
        <v>1644</v>
      </c>
      <c r="G101" t="s">
        <v>1645</v>
      </c>
      <c r="H101" t="s">
        <v>1645</v>
      </c>
      <c r="I101" t="s">
        <v>1645</v>
      </c>
      <c r="J101" t="s">
        <v>1645</v>
      </c>
      <c r="K101" t="s">
        <v>1645</v>
      </c>
      <c r="L101" t="s">
        <v>1763</v>
      </c>
      <c r="M101" t="s">
        <v>1764</v>
      </c>
      <c r="N101" t="s">
        <v>192</v>
      </c>
      <c r="O101" t="s">
        <v>1731</v>
      </c>
      <c r="P101" t="s">
        <v>1737</v>
      </c>
      <c r="Q101" t="s">
        <v>1644</v>
      </c>
      <c r="R101" t="s">
        <v>1644</v>
      </c>
      <c r="S101" t="s">
        <v>1644</v>
      </c>
      <c r="T101" t="s">
        <v>1644</v>
      </c>
      <c r="U101" t="s">
        <v>1645</v>
      </c>
    </row>
    <row r="102" spans="1:21" x14ac:dyDescent="0.2">
      <c r="A102" t="s">
        <v>1717</v>
      </c>
      <c r="B102" t="s">
        <v>1725</v>
      </c>
      <c r="C102" t="s">
        <v>1642</v>
      </c>
      <c r="D102" t="s">
        <v>1643</v>
      </c>
      <c r="E102" t="s">
        <v>1644</v>
      </c>
      <c r="F102" t="s">
        <v>1644</v>
      </c>
      <c r="G102" t="s">
        <v>1645</v>
      </c>
      <c r="H102" t="s">
        <v>1645</v>
      </c>
      <c r="I102" t="s">
        <v>1645</v>
      </c>
      <c r="J102" t="s">
        <v>1645</v>
      </c>
      <c r="K102" t="s">
        <v>1645</v>
      </c>
      <c r="L102" t="s">
        <v>1763</v>
      </c>
      <c r="M102" t="s">
        <v>1764</v>
      </c>
      <c r="N102" t="s">
        <v>192</v>
      </c>
      <c r="O102" t="s">
        <v>1731</v>
      </c>
      <c r="P102" t="s">
        <v>1737</v>
      </c>
      <c r="Q102" t="s">
        <v>1644</v>
      </c>
      <c r="R102" t="s">
        <v>1644</v>
      </c>
      <c r="S102" t="s">
        <v>1644</v>
      </c>
      <c r="T102" t="s">
        <v>1644</v>
      </c>
      <c r="U102" t="s">
        <v>1645</v>
      </c>
    </row>
    <row r="103" spans="1:21" x14ac:dyDescent="0.2">
      <c r="A103" t="s">
        <v>1719</v>
      </c>
      <c r="B103" t="s">
        <v>1727</v>
      </c>
      <c r="C103" t="s">
        <v>1642</v>
      </c>
      <c r="D103" t="s">
        <v>1643</v>
      </c>
      <c r="E103" t="s">
        <v>1644</v>
      </c>
      <c r="F103" t="s">
        <v>1644</v>
      </c>
      <c r="G103" t="s">
        <v>1645</v>
      </c>
      <c r="H103" t="s">
        <v>1645</v>
      </c>
      <c r="I103" t="s">
        <v>1645</v>
      </c>
      <c r="J103" t="s">
        <v>1645</v>
      </c>
      <c r="K103" t="s">
        <v>1645</v>
      </c>
      <c r="L103" t="s">
        <v>1763</v>
      </c>
      <c r="M103" t="s">
        <v>1764</v>
      </c>
      <c r="N103" t="s">
        <v>192</v>
      </c>
      <c r="O103" t="s">
        <v>1731</v>
      </c>
      <c r="P103" t="s">
        <v>1737</v>
      </c>
      <c r="Q103" t="s">
        <v>1644</v>
      </c>
      <c r="R103" t="s">
        <v>1644</v>
      </c>
      <c r="S103" t="s">
        <v>1644</v>
      </c>
      <c r="T103" t="s">
        <v>1644</v>
      </c>
      <c r="U103" t="s">
        <v>1645</v>
      </c>
    </row>
    <row r="104" spans="1:21" x14ac:dyDescent="0.2">
      <c r="A104" t="s">
        <v>1721</v>
      </c>
      <c r="B104" t="s">
        <v>1729</v>
      </c>
      <c r="C104" t="s">
        <v>1642</v>
      </c>
      <c r="D104" t="s">
        <v>1643</v>
      </c>
      <c r="E104" t="s">
        <v>1644</v>
      </c>
      <c r="F104" t="s">
        <v>1644</v>
      </c>
      <c r="G104" t="s">
        <v>1645</v>
      </c>
      <c r="H104" t="s">
        <v>1645</v>
      </c>
      <c r="I104" t="s">
        <v>1645</v>
      </c>
      <c r="J104" t="s">
        <v>1645</v>
      </c>
      <c r="K104" t="s">
        <v>1645</v>
      </c>
      <c r="L104" t="s">
        <v>1763</v>
      </c>
      <c r="M104" t="s">
        <v>1764</v>
      </c>
      <c r="N104" t="s">
        <v>192</v>
      </c>
      <c r="O104" t="s">
        <v>1731</v>
      </c>
      <c r="P104" t="s">
        <v>1737</v>
      </c>
      <c r="Q104" t="s">
        <v>1644</v>
      </c>
      <c r="R104" t="s">
        <v>1644</v>
      </c>
      <c r="S104" t="s">
        <v>1644</v>
      </c>
      <c r="T104" t="s">
        <v>1644</v>
      </c>
      <c r="U104" t="s">
        <v>1645</v>
      </c>
    </row>
    <row r="105" spans="1:21" x14ac:dyDescent="0.2">
      <c r="A105" t="s">
        <v>1723</v>
      </c>
      <c r="B105" t="s">
        <v>1731</v>
      </c>
      <c r="C105" t="s">
        <v>1642</v>
      </c>
      <c r="D105" t="s">
        <v>1643</v>
      </c>
      <c r="E105" t="s">
        <v>1644</v>
      </c>
      <c r="F105" t="s">
        <v>1644</v>
      </c>
      <c r="G105" t="s">
        <v>1645</v>
      </c>
      <c r="H105" t="s">
        <v>1645</v>
      </c>
      <c r="I105" t="s">
        <v>1645</v>
      </c>
      <c r="J105" t="s">
        <v>1645</v>
      </c>
      <c r="K105" t="s">
        <v>1645</v>
      </c>
      <c r="L105" t="s">
        <v>1763</v>
      </c>
      <c r="M105" t="s">
        <v>1764</v>
      </c>
      <c r="N105" t="s">
        <v>192</v>
      </c>
      <c r="O105" t="s">
        <v>1731</v>
      </c>
      <c r="P105" t="s">
        <v>1737</v>
      </c>
      <c r="Q105" t="s">
        <v>1644</v>
      </c>
      <c r="R105" t="s">
        <v>1644</v>
      </c>
      <c r="S105" t="s">
        <v>1644</v>
      </c>
      <c r="T105" t="s">
        <v>1644</v>
      </c>
      <c r="U105" t="s">
        <v>1645</v>
      </c>
    </row>
    <row r="106" spans="1:21" x14ac:dyDescent="0.2">
      <c r="A106" t="s">
        <v>1725</v>
      </c>
      <c r="B106" t="s">
        <v>1733</v>
      </c>
      <c r="C106" t="s">
        <v>1642</v>
      </c>
      <c r="D106" t="s">
        <v>1643</v>
      </c>
      <c r="E106" t="s">
        <v>1644</v>
      </c>
      <c r="F106" t="s">
        <v>1644</v>
      </c>
      <c r="G106" t="s">
        <v>1645</v>
      </c>
      <c r="H106" t="s">
        <v>1645</v>
      </c>
      <c r="I106" t="s">
        <v>1645</v>
      </c>
      <c r="J106" t="s">
        <v>1645</v>
      </c>
      <c r="K106" t="s">
        <v>1645</v>
      </c>
      <c r="L106" t="s">
        <v>1763</v>
      </c>
      <c r="M106" t="s">
        <v>1764</v>
      </c>
      <c r="N106" t="s">
        <v>192</v>
      </c>
      <c r="O106" t="s">
        <v>1731</v>
      </c>
      <c r="P106" t="s">
        <v>1737</v>
      </c>
      <c r="Q106" t="s">
        <v>1644</v>
      </c>
      <c r="R106" t="s">
        <v>1644</v>
      </c>
      <c r="S106" t="s">
        <v>1644</v>
      </c>
      <c r="T106" t="s">
        <v>1644</v>
      </c>
      <c r="U106" t="s">
        <v>1645</v>
      </c>
    </row>
    <row r="107" spans="1:21" x14ac:dyDescent="0.2">
      <c r="A107" t="s">
        <v>1727</v>
      </c>
      <c r="B107" t="s">
        <v>1735</v>
      </c>
      <c r="C107" t="s">
        <v>1642</v>
      </c>
      <c r="D107" t="s">
        <v>1643</v>
      </c>
      <c r="E107" t="s">
        <v>1644</v>
      </c>
      <c r="F107" t="s">
        <v>1644</v>
      </c>
      <c r="G107" t="s">
        <v>1645</v>
      </c>
      <c r="H107" t="s">
        <v>1645</v>
      </c>
      <c r="I107" t="s">
        <v>1645</v>
      </c>
      <c r="J107" t="s">
        <v>1645</v>
      </c>
      <c r="K107" t="s">
        <v>1645</v>
      </c>
      <c r="L107" t="s">
        <v>1763</v>
      </c>
      <c r="M107" t="s">
        <v>1764</v>
      </c>
      <c r="N107" t="s">
        <v>192</v>
      </c>
      <c r="O107" t="s">
        <v>1731</v>
      </c>
      <c r="P107" t="s">
        <v>1737</v>
      </c>
      <c r="Q107" t="s">
        <v>1644</v>
      </c>
      <c r="R107" t="s">
        <v>1644</v>
      </c>
      <c r="S107" t="s">
        <v>1644</v>
      </c>
      <c r="T107" t="s">
        <v>1644</v>
      </c>
      <c r="U107" t="s">
        <v>1645</v>
      </c>
    </row>
    <row r="108" spans="1:21" x14ac:dyDescent="0.2">
      <c r="A108" t="s">
        <v>1729</v>
      </c>
      <c r="B108" t="s">
        <v>1737</v>
      </c>
      <c r="C108" t="s">
        <v>1642</v>
      </c>
      <c r="D108" t="s">
        <v>1643</v>
      </c>
      <c r="E108" t="s">
        <v>1644</v>
      </c>
      <c r="F108" t="s">
        <v>1644</v>
      </c>
      <c r="G108" t="s">
        <v>1645</v>
      </c>
      <c r="H108" t="s">
        <v>1645</v>
      </c>
      <c r="I108" t="s">
        <v>1645</v>
      </c>
      <c r="J108" t="s">
        <v>1645</v>
      </c>
      <c r="K108" t="s">
        <v>1645</v>
      </c>
      <c r="L108" t="s">
        <v>1763</v>
      </c>
      <c r="M108" t="s">
        <v>1764</v>
      </c>
      <c r="N108" t="s">
        <v>192</v>
      </c>
      <c r="O108" t="s">
        <v>1731</v>
      </c>
      <c r="P108" t="s">
        <v>1737</v>
      </c>
      <c r="Q108" t="s">
        <v>1644</v>
      </c>
      <c r="R108" t="s">
        <v>1644</v>
      </c>
      <c r="S108" t="s">
        <v>1644</v>
      </c>
      <c r="T108" t="s">
        <v>1644</v>
      </c>
      <c r="U108" t="s">
        <v>1645</v>
      </c>
    </row>
    <row r="109" spans="1:21" x14ac:dyDescent="0.2">
      <c r="A109" t="s">
        <v>1731</v>
      </c>
      <c r="B109" t="s">
        <v>1739</v>
      </c>
      <c r="C109" t="s">
        <v>1642</v>
      </c>
      <c r="D109" t="s">
        <v>1643</v>
      </c>
      <c r="E109" t="s">
        <v>1644</v>
      </c>
      <c r="F109" t="s">
        <v>1644</v>
      </c>
      <c r="G109" t="s">
        <v>1645</v>
      </c>
      <c r="H109" t="s">
        <v>1645</v>
      </c>
      <c r="I109" t="s">
        <v>1645</v>
      </c>
      <c r="J109" t="s">
        <v>1645</v>
      </c>
      <c r="K109" t="s">
        <v>1645</v>
      </c>
      <c r="L109" t="s">
        <v>1763</v>
      </c>
      <c r="M109" t="s">
        <v>1764</v>
      </c>
      <c r="N109" t="s">
        <v>192</v>
      </c>
      <c r="O109" t="s">
        <v>1731</v>
      </c>
      <c r="P109" t="s">
        <v>1737</v>
      </c>
      <c r="Q109" t="s">
        <v>1644</v>
      </c>
      <c r="R109" t="s">
        <v>1644</v>
      </c>
      <c r="S109" t="s">
        <v>1644</v>
      </c>
      <c r="T109" t="s">
        <v>1644</v>
      </c>
      <c r="U109" t="s">
        <v>1645</v>
      </c>
    </row>
    <row r="110" spans="1:21" x14ac:dyDescent="0.2">
      <c r="A110" t="s">
        <v>1733</v>
      </c>
      <c r="B110" t="s">
        <v>1741</v>
      </c>
      <c r="C110" t="s">
        <v>1642</v>
      </c>
      <c r="D110" t="s">
        <v>1643</v>
      </c>
      <c r="E110" t="s">
        <v>1644</v>
      </c>
      <c r="F110" t="s">
        <v>1644</v>
      </c>
      <c r="G110" t="s">
        <v>1645</v>
      </c>
      <c r="H110" t="s">
        <v>1645</v>
      </c>
      <c r="I110" t="s">
        <v>1645</v>
      </c>
      <c r="J110" t="s">
        <v>1645</v>
      </c>
      <c r="K110" t="s">
        <v>1645</v>
      </c>
      <c r="L110" t="s">
        <v>1763</v>
      </c>
      <c r="M110" t="s">
        <v>1764</v>
      </c>
      <c r="N110" t="s">
        <v>192</v>
      </c>
      <c r="O110" t="s">
        <v>1731</v>
      </c>
      <c r="P110" t="s">
        <v>1737</v>
      </c>
      <c r="Q110" t="s">
        <v>1644</v>
      </c>
      <c r="R110" t="s">
        <v>1644</v>
      </c>
      <c r="S110" t="s">
        <v>1644</v>
      </c>
      <c r="T110" t="s">
        <v>1644</v>
      </c>
      <c r="U110" t="s">
        <v>1645</v>
      </c>
    </row>
    <row r="111" spans="1:21" x14ac:dyDescent="0.2">
      <c r="A111" t="s">
        <v>1735</v>
      </c>
      <c r="B111" t="s">
        <v>1743</v>
      </c>
      <c r="C111" t="s">
        <v>1642</v>
      </c>
      <c r="D111" t="s">
        <v>1643</v>
      </c>
      <c r="E111" t="s">
        <v>1644</v>
      </c>
      <c r="F111" t="s">
        <v>1644</v>
      </c>
      <c r="G111" t="s">
        <v>1645</v>
      </c>
      <c r="H111" t="s">
        <v>1645</v>
      </c>
      <c r="I111" t="s">
        <v>1645</v>
      </c>
      <c r="J111" t="s">
        <v>1645</v>
      </c>
      <c r="K111" t="s">
        <v>1645</v>
      </c>
      <c r="L111" t="s">
        <v>1763</v>
      </c>
      <c r="M111" t="s">
        <v>1764</v>
      </c>
      <c r="N111" t="s">
        <v>192</v>
      </c>
      <c r="O111" t="s">
        <v>1731</v>
      </c>
      <c r="P111" t="s">
        <v>1737</v>
      </c>
      <c r="Q111" t="s">
        <v>1644</v>
      </c>
      <c r="R111" t="s">
        <v>1644</v>
      </c>
      <c r="S111" t="s">
        <v>1644</v>
      </c>
      <c r="T111" t="s">
        <v>1644</v>
      </c>
      <c r="U111" t="s">
        <v>1645</v>
      </c>
    </row>
    <row r="112" spans="1:21" x14ac:dyDescent="0.2">
      <c r="A112" t="s">
        <v>1737</v>
      </c>
      <c r="B112" t="s">
        <v>1745</v>
      </c>
      <c r="C112" t="s">
        <v>1642</v>
      </c>
      <c r="D112" t="s">
        <v>1643</v>
      </c>
      <c r="E112" t="s">
        <v>1644</v>
      </c>
      <c r="F112" t="s">
        <v>1644</v>
      </c>
      <c r="G112" t="s">
        <v>1645</v>
      </c>
      <c r="H112" t="s">
        <v>1645</v>
      </c>
      <c r="I112" t="s">
        <v>1645</v>
      </c>
      <c r="J112" t="s">
        <v>1645</v>
      </c>
      <c r="K112" t="s">
        <v>1645</v>
      </c>
      <c r="L112" t="s">
        <v>1763</v>
      </c>
      <c r="M112" t="s">
        <v>1764</v>
      </c>
      <c r="N112" t="s">
        <v>192</v>
      </c>
      <c r="O112" t="s">
        <v>1731</v>
      </c>
      <c r="P112" t="s">
        <v>1737</v>
      </c>
      <c r="Q112" t="s">
        <v>1644</v>
      </c>
      <c r="R112" t="s">
        <v>1644</v>
      </c>
      <c r="S112" t="s">
        <v>1644</v>
      </c>
      <c r="T112" t="s">
        <v>1644</v>
      </c>
      <c r="U112" t="s">
        <v>1645</v>
      </c>
    </row>
    <row r="113" spans="1:21" x14ac:dyDescent="0.2">
      <c r="A113" t="s">
        <v>1739</v>
      </c>
      <c r="B113" t="s">
        <v>1766</v>
      </c>
      <c r="C113" t="s">
        <v>1642</v>
      </c>
      <c r="D113" t="s">
        <v>1643</v>
      </c>
      <c r="E113" t="s">
        <v>1644</v>
      </c>
      <c r="F113" t="s">
        <v>1644</v>
      </c>
      <c r="G113" t="s">
        <v>1645</v>
      </c>
      <c r="H113" t="s">
        <v>1645</v>
      </c>
      <c r="I113" t="s">
        <v>1645</v>
      </c>
      <c r="J113" t="s">
        <v>1645</v>
      </c>
      <c r="K113" t="s">
        <v>1645</v>
      </c>
      <c r="L113" t="s">
        <v>1763</v>
      </c>
      <c r="M113" t="s">
        <v>1764</v>
      </c>
      <c r="N113" t="s">
        <v>192</v>
      </c>
      <c r="O113" t="s">
        <v>1731</v>
      </c>
      <c r="P113" t="s">
        <v>1737</v>
      </c>
      <c r="Q113" t="s">
        <v>1644</v>
      </c>
      <c r="R113" t="s">
        <v>1644</v>
      </c>
      <c r="S113" t="s">
        <v>1644</v>
      </c>
      <c r="T113" t="s">
        <v>1644</v>
      </c>
      <c r="U113" t="s">
        <v>1645</v>
      </c>
    </row>
    <row r="114" spans="1:21" x14ac:dyDescent="0.2">
      <c r="A114" t="s">
        <v>1741</v>
      </c>
      <c r="B114" t="s">
        <v>1767</v>
      </c>
      <c r="C114" t="s">
        <v>1642</v>
      </c>
      <c r="D114" t="s">
        <v>1643</v>
      </c>
      <c r="E114" t="s">
        <v>1644</v>
      </c>
      <c r="F114" t="s">
        <v>1644</v>
      </c>
      <c r="G114" t="s">
        <v>1645</v>
      </c>
      <c r="H114" t="s">
        <v>1645</v>
      </c>
      <c r="I114" t="s">
        <v>1645</v>
      </c>
      <c r="J114" t="s">
        <v>1645</v>
      </c>
      <c r="K114" t="s">
        <v>1645</v>
      </c>
      <c r="L114" t="s">
        <v>1763</v>
      </c>
      <c r="M114" t="s">
        <v>1764</v>
      </c>
      <c r="N114" t="s">
        <v>192</v>
      </c>
      <c r="O114" t="s">
        <v>1731</v>
      </c>
      <c r="P114" t="s">
        <v>1737</v>
      </c>
      <c r="Q114" t="s">
        <v>1644</v>
      </c>
      <c r="R114" t="s">
        <v>1644</v>
      </c>
      <c r="S114" t="s">
        <v>1644</v>
      </c>
      <c r="T114" t="s">
        <v>1644</v>
      </c>
      <c r="U114" t="s">
        <v>1645</v>
      </c>
    </row>
    <row r="115" spans="1:21" x14ac:dyDescent="0.2">
      <c r="A115" t="s">
        <v>1620</v>
      </c>
      <c r="B115" t="s">
        <v>1749</v>
      </c>
      <c r="C115" t="s">
        <v>1750</v>
      </c>
      <c r="D115" t="s">
        <v>1643</v>
      </c>
      <c r="E115" t="s">
        <v>1644</v>
      </c>
      <c r="F115" t="s">
        <v>1644</v>
      </c>
      <c r="G115" t="s">
        <v>1751</v>
      </c>
      <c r="H115" t="s">
        <v>1645</v>
      </c>
      <c r="I115" t="s">
        <v>1645</v>
      </c>
      <c r="J115" t="s">
        <v>1645</v>
      </c>
      <c r="K115" t="s">
        <v>1645</v>
      </c>
      <c r="L115" t="s">
        <v>1920</v>
      </c>
      <c r="M115" t="s">
        <v>1921</v>
      </c>
      <c r="N115" t="s">
        <v>192</v>
      </c>
      <c r="O115" t="s">
        <v>1754</v>
      </c>
      <c r="P115" t="s">
        <v>1755</v>
      </c>
      <c r="Q115" t="s">
        <v>1644</v>
      </c>
      <c r="R115" t="s">
        <v>1644</v>
      </c>
      <c r="S115" t="s">
        <v>1644</v>
      </c>
      <c r="T115" t="s">
        <v>1644</v>
      </c>
      <c r="U115" t="s">
        <v>1645</v>
      </c>
    </row>
    <row r="116" spans="1:21" x14ac:dyDescent="0.2">
      <c r="A116" t="s">
        <v>1620</v>
      </c>
      <c r="B116" t="s">
        <v>1749</v>
      </c>
      <c r="C116" t="s">
        <v>1750</v>
      </c>
      <c r="D116" t="s">
        <v>1643</v>
      </c>
      <c r="E116" t="s">
        <v>1644</v>
      </c>
      <c r="F116" t="s">
        <v>1644</v>
      </c>
      <c r="G116" t="s">
        <v>1751</v>
      </c>
      <c r="H116" t="s">
        <v>1645</v>
      </c>
      <c r="I116" t="s">
        <v>1645</v>
      </c>
      <c r="J116" t="s">
        <v>1645</v>
      </c>
      <c r="K116" t="s">
        <v>1645</v>
      </c>
      <c r="L116" t="s">
        <v>1922</v>
      </c>
      <c r="M116" t="s">
        <v>1923</v>
      </c>
      <c r="N116" t="s">
        <v>192</v>
      </c>
      <c r="O116" t="s">
        <v>1924</v>
      </c>
      <c r="P116" t="s">
        <v>1925</v>
      </c>
      <c r="Q116" t="s">
        <v>1644</v>
      </c>
      <c r="R116" t="s">
        <v>1644</v>
      </c>
      <c r="S116" t="s">
        <v>1644</v>
      </c>
      <c r="T116" t="s">
        <v>1644</v>
      </c>
      <c r="U116" t="s">
        <v>1645</v>
      </c>
    </row>
    <row r="117" spans="1:21" x14ac:dyDescent="0.2">
      <c r="A117" t="s">
        <v>1620</v>
      </c>
      <c r="B117" t="s">
        <v>1749</v>
      </c>
      <c r="C117" t="s">
        <v>1750</v>
      </c>
      <c r="D117" t="s">
        <v>1643</v>
      </c>
      <c r="E117" t="s">
        <v>1644</v>
      </c>
      <c r="F117" t="s">
        <v>1644</v>
      </c>
      <c r="G117" t="s">
        <v>1751</v>
      </c>
      <c r="H117" t="s">
        <v>1645</v>
      </c>
      <c r="I117" t="s">
        <v>1645</v>
      </c>
      <c r="J117" t="s">
        <v>1645</v>
      </c>
      <c r="K117" t="s">
        <v>1645</v>
      </c>
      <c r="L117" t="s">
        <v>1926</v>
      </c>
      <c r="M117" t="s">
        <v>1927</v>
      </c>
      <c r="N117" t="s">
        <v>192</v>
      </c>
      <c r="O117" t="s">
        <v>1928</v>
      </c>
      <c r="P117" t="s">
        <v>1929</v>
      </c>
      <c r="Q117" t="s">
        <v>1644</v>
      </c>
      <c r="R117" t="s">
        <v>1644</v>
      </c>
      <c r="S117" t="s">
        <v>1644</v>
      </c>
      <c r="T117" t="s">
        <v>1644</v>
      </c>
      <c r="U117" t="s">
        <v>1645</v>
      </c>
    </row>
    <row r="118" spans="1:21" x14ac:dyDescent="0.2">
      <c r="A118" t="s">
        <v>1620</v>
      </c>
      <c r="B118" t="s">
        <v>1749</v>
      </c>
      <c r="C118" t="s">
        <v>1750</v>
      </c>
      <c r="D118" t="s">
        <v>1643</v>
      </c>
      <c r="E118" t="s">
        <v>1644</v>
      </c>
      <c r="F118" t="s">
        <v>1644</v>
      </c>
      <c r="G118" t="s">
        <v>1751</v>
      </c>
      <c r="H118" t="s">
        <v>1645</v>
      </c>
      <c r="I118" t="s">
        <v>1645</v>
      </c>
      <c r="J118" t="s">
        <v>1645</v>
      </c>
      <c r="K118" t="s">
        <v>1645</v>
      </c>
      <c r="L118" t="s">
        <v>1930</v>
      </c>
      <c r="M118" t="s">
        <v>1931</v>
      </c>
      <c r="N118" t="s">
        <v>192</v>
      </c>
      <c r="O118" t="s">
        <v>1932</v>
      </c>
      <c r="P118" t="s">
        <v>1933</v>
      </c>
      <c r="Q118" t="s">
        <v>1644</v>
      </c>
      <c r="R118" t="s">
        <v>1644</v>
      </c>
      <c r="S118" t="s">
        <v>1644</v>
      </c>
      <c r="T118" t="s">
        <v>1644</v>
      </c>
      <c r="U118" t="s">
        <v>1645</v>
      </c>
    </row>
    <row r="119" spans="1:21" x14ac:dyDescent="0.2">
      <c r="A119" t="s">
        <v>1768</v>
      </c>
      <c r="B119" t="s">
        <v>1749</v>
      </c>
      <c r="C119" t="s">
        <v>1750</v>
      </c>
      <c r="D119" t="s">
        <v>1643</v>
      </c>
      <c r="E119" t="s">
        <v>1644</v>
      </c>
      <c r="F119" t="s">
        <v>1644</v>
      </c>
      <c r="G119" t="s">
        <v>1751</v>
      </c>
      <c r="H119" t="s">
        <v>1645</v>
      </c>
      <c r="I119" t="s">
        <v>1645</v>
      </c>
      <c r="J119" t="s">
        <v>1645</v>
      </c>
      <c r="K119" t="s">
        <v>1645</v>
      </c>
      <c r="L119" t="s">
        <v>1769</v>
      </c>
      <c r="M119" t="s">
        <v>1770</v>
      </c>
      <c r="N119" t="s">
        <v>192</v>
      </c>
      <c r="O119" t="s">
        <v>1771</v>
      </c>
      <c r="P119" t="s">
        <v>1772</v>
      </c>
      <c r="Q119" t="s">
        <v>1644</v>
      </c>
      <c r="R119" t="s">
        <v>1644</v>
      </c>
      <c r="S119" t="s">
        <v>1644</v>
      </c>
      <c r="T119" t="s">
        <v>1644</v>
      </c>
      <c r="U119" t="s">
        <v>1645</v>
      </c>
    </row>
    <row r="120" spans="1:21" x14ac:dyDescent="0.2">
      <c r="A120" t="s">
        <v>1756</v>
      </c>
      <c r="B120" t="s">
        <v>1641</v>
      </c>
      <c r="C120" t="s">
        <v>1642</v>
      </c>
      <c r="D120" t="s">
        <v>1643</v>
      </c>
      <c r="E120" t="s">
        <v>1644</v>
      </c>
      <c r="F120" t="s">
        <v>1644</v>
      </c>
      <c r="G120" t="s">
        <v>1645</v>
      </c>
      <c r="H120" t="s">
        <v>1645</v>
      </c>
      <c r="I120" t="s">
        <v>1645</v>
      </c>
      <c r="J120" t="s">
        <v>1645</v>
      </c>
      <c r="K120" t="s">
        <v>1645</v>
      </c>
      <c r="L120" t="s">
        <v>1769</v>
      </c>
      <c r="M120" t="s">
        <v>1770</v>
      </c>
      <c r="N120" t="s">
        <v>192</v>
      </c>
      <c r="O120" t="s">
        <v>1771</v>
      </c>
      <c r="P120" t="s">
        <v>1772</v>
      </c>
      <c r="Q120" t="s">
        <v>1644</v>
      </c>
      <c r="R120" t="s">
        <v>1644</v>
      </c>
      <c r="S120" t="s">
        <v>1644</v>
      </c>
      <c r="T120" t="s">
        <v>1644</v>
      </c>
      <c r="U120" t="s">
        <v>1645</v>
      </c>
    </row>
    <row r="121" spans="1:21" x14ac:dyDescent="0.2">
      <c r="A121" t="s">
        <v>1773</v>
      </c>
      <c r="B121" t="s">
        <v>1749</v>
      </c>
      <c r="C121" t="s">
        <v>1746</v>
      </c>
      <c r="D121" t="s">
        <v>1643</v>
      </c>
      <c r="E121" t="s">
        <v>1644</v>
      </c>
      <c r="F121" t="s">
        <v>1644</v>
      </c>
      <c r="G121" t="s">
        <v>1645</v>
      </c>
      <c r="H121" t="s">
        <v>1645</v>
      </c>
      <c r="I121" t="s">
        <v>1645</v>
      </c>
      <c r="J121" t="s">
        <v>1645</v>
      </c>
      <c r="K121" t="s">
        <v>1645</v>
      </c>
      <c r="L121" t="s">
        <v>1934</v>
      </c>
      <c r="M121" t="s">
        <v>1774</v>
      </c>
      <c r="N121" t="s">
        <v>192</v>
      </c>
      <c r="O121" t="s">
        <v>1775</v>
      </c>
      <c r="P121" t="s">
        <v>1776</v>
      </c>
      <c r="Q121" t="s">
        <v>1644</v>
      </c>
      <c r="R121" t="s">
        <v>1644</v>
      </c>
      <c r="S121" t="s">
        <v>1644</v>
      </c>
      <c r="T121" t="s">
        <v>1644</v>
      </c>
      <c r="U121" t="s">
        <v>1645</v>
      </c>
    </row>
    <row r="122" spans="1:21" x14ac:dyDescent="0.2">
      <c r="A122" t="s">
        <v>1777</v>
      </c>
      <c r="B122" t="s">
        <v>1656</v>
      </c>
      <c r="C122" t="s">
        <v>1642</v>
      </c>
      <c r="D122" t="s">
        <v>1643</v>
      </c>
      <c r="E122" t="s">
        <v>1644</v>
      </c>
      <c r="F122" t="s">
        <v>1644</v>
      </c>
      <c r="G122" t="s">
        <v>1645</v>
      </c>
      <c r="H122" t="s">
        <v>1645</v>
      </c>
      <c r="I122" t="s">
        <v>1645</v>
      </c>
      <c r="J122" t="s">
        <v>1645</v>
      </c>
      <c r="K122" t="s">
        <v>1645</v>
      </c>
      <c r="L122" t="s">
        <v>1934</v>
      </c>
      <c r="M122" t="s">
        <v>1774</v>
      </c>
      <c r="N122" t="s">
        <v>192</v>
      </c>
      <c r="O122" t="s">
        <v>1775</v>
      </c>
      <c r="P122" t="s">
        <v>1776</v>
      </c>
      <c r="Q122" t="s">
        <v>1644</v>
      </c>
      <c r="R122" t="s">
        <v>1644</v>
      </c>
      <c r="S122" t="s">
        <v>1644</v>
      </c>
      <c r="T122" t="s">
        <v>1644</v>
      </c>
      <c r="U122" t="s">
        <v>1645</v>
      </c>
    </row>
    <row r="123" spans="1:21" x14ac:dyDescent="0.2">
      <c r="A123" t="s">
        <v>1778</v>
      </c>
      <c r="B123" t="s">
        <v>1658</v>
      </c>
      <c r="C123" t="s">
        <v>1642</v>
      </c>
      <c r="D123" t="s">
        <v>1643</v>
      </c>
      <c r="E123" t="s">
        <v>1644</v>
      </c>
      <c r="F123" t="s">
        <v>1644</v>
      </c>
      <c r="G123" t="s">
        <v>1645</v>
      </c>
      <c r="H123" t="s">
        <v>1645</v>
      </c>
      <c r="I123" t="s">
        <v>1645</v>
      </c>
      <c r="J123" t="s">
        <v>1645</v>
      </c>
      <c r="K123" t="s">
        <v>1645</v>
      </c>
      <c r="L123" t="s">
        <v>1934</v>
      </c>
      <c r="M123" t="s">
        <v>1774</v>
      </c>
      <c r="N123" t="s">
        <v>192</v>
      </c>
      <c r="O123" t="s">
        <v>1775</v>
      </c>
      <c r="P123" t="s">
        <v>1776</v>
      </c>
      <c r="Q123" t="s">
        <v>1644</v>
      </c>
      <c r="R123" t="s">
        <v>1644</v>
      </c>
      <c r="S123" t="s">
        <v>1644</v>
      </c>
      <c r="T123" t="s">
        <v>1644</v>
      </c>
      <c r="U123" t="s">
        <v>1645</v>
      </c>
    </row>
    <row r="124" spans="1:21" x14ac:dyDescent="0.2">
      <c r="A124" t="s">
        <v>1773</v>
      </c>
      <c r="B124" t="s">
        <v>1749</v>
      </c>
      <c r="C124" t="s">
        <v>1746</v>
      </c>
      <c r="D124" t="s">
        <v>1643</v>
      </c>
      <c r="E124" t="s">
        <v>1644</v>
      </c>
      <c r="F124" t="s">
        <v>1644</v>
      </c>
      <c r="G124" t="s">
        <v>1645</v>
      </c>
      <c r="H124" t="s">
        <v>1645</v>
      </c>
      <c r="I124" t="s">
        <v>1645</v>
      </c>
      <c r="J124" t="s">
        <v>1645</v>
      </c>
      <c r="K124" t="s">
        <v>1645</v>
      </c>
      <c r="L124" t="s">
        <v>1935</v>
      </c>
      <c r="M124" t="s">
        <v>1774</v>
      </c>
      <c r="N124" t="s">
        <v>192</v>
      </c>
      <c r="O124" t="s">
        <v>1775</v>
      </c>
      <c r="P124" t="s">
        <v>1776</v>
      </c>
      <c r="Q124" t="s">
        <v>1644</v>
      </c>
      <c r="R124" t="s">
        <v>1644</v>
      </c>
      <c r="S124" t="s">
        <v>1644</v>
      </c>
      <c r="T124" t="s">
        <v>1644</v>
      </c>
      <c r="U124" t="s">
        <v>1645</v>
      </c>
    </row>
    <row r="125" spans="1:21" x14ac:dyDescent="0.2">
      <c r="A125" t="s">
        <v>1777</v>
      </c>
      <c r="B125" t="s">
        <v>1660</v>
      </c>
      <c r="C125" t="s">
        <v>1642</v>
      </c>
      <c r="D125" t="s">
        <v>1643</v>
      </c>
      <c r="E125" t="s">
        <v>1644</v>
      </c>
      <c r="F125" t="s">
        <v>1644</v>
      </c>
      <c r="G125" t="s">
        <v>1645</v>
      </c>
      <c r="H125" t="s">
        <v>1645</v>
      </c>
      <c r="I125" t="s">
        <v>1645</v>
      </c>
      <c r="J125" t="s">
        <v>1645</v>
      </c>
      <c r="K125" t="s">
        <v>1645</v>
      </c>
      <c r="L125" t="s">
        <v>1935</v>
      </c>
      <c r="M125" t="s">
        <v>1774</v>
      </c>
      <c r="N125" t="s">
        <v>192</v>
      </c>
      <c r="O125" t="s">
        <v>1775</v>
      </c>
      <c r="P125" t="s">
        <v>1776</v>
      </c>
      <c r="Q125" t="s">
        <v>1644</v>
      </c>
      <c r="R125" t="s">
        <v>1644</v>
      </c>
      <c r="S125" t="s">
        <v>1644</v>
      </c>
      <c r="T125" t="s">
        <v>1644</v>
      </c>
      <c r="U125" t="s">
        <v>1645</v>
      </c>
    </row>
    <row r="126" spans="1:21" x14ac:dyDescent="0.2">
      <c r="A126" t="s">
        <v>1778</v>
      </c>
      <c r="B126" t="s">
        <v>1662</v>
      </c>
      <c r="C126" t="s">
        <v>1642</v>
      </c>
      <c r="D126" t="s">
        <v>1643</v>
      </c>
      <c r="E126" t="s">
        <v>1644</v>
      </c>
      <c r="F126" t="s">
        <v>1644</v>
      </c>
      <c r="G126" t="s">
        <v>1645</v>
      </c>
      <c r="H126" t="s">
        <v>1645</v>
      </c>
      <c r="I126" t="s">
        <v>1645</v>
      </c>
      <c r="J126" t="s">
        <v>1645</v>
      </c>
      <c r="K126" t="s">
        <v>1645</v>
      </c>
      <c r="L126" t="s">
        <v>1935</v>
      </c>
      <c r="M126" t="s">
        <v>1774</v>
      </c>
      <c r="N126" t="s">
        <v>192</v>
      </c>
      <c r="O126" t="s">
        <v>1775</v>
      </c>
      <c r="P126" t="s">
        <v>1776</v>
      </c>
      <c r="Q126" t="s">
        <v>1644</v>
      </c>
      <c r="R126" t="s">
        <v>1644</v>
      </c>
      <c r="S126" t="s">
        <v>1644</v>
      </c>
      <c r="T126" t="s">
        <v>1644</v>
      </c>
      <c r="U126" t="s">
        <v>1645</v>
      </c>
    </row>
    <row r="127" spans="1:21" x14ac:dyDescent="0.2">
      <c r="A127" t="s">
        <v>1773</v>
      </c>
      <c r="B127" t="s">
        <v>1749</v>
      </c>
      <c r="C127" t="s">
        <v>1746</v>
      </c>
      <c r="D127" t="s">
        <v>1643</v>
      </c>
      <c r="E127" t="s">
        <v>1644</v>
      </c>
      <c r="F127" t="s">
        <v>1644</v>
      </c>
      <c r="G127" t="s">
        <v>1645</v>
      </c>
      <c r="H127" t="s">
        <v>1645</v>
      </c>
      <c r="I127" t="s">
        <v>1645</v>
      </c>
      <c r="J127" t="s">
        <v>1645</v>
      </c>
      <c r="K127" t="s">
        <v>1645</v>
      </c>
      <c r="L127" t="s">
        <v>1936</v>
      </c>
      <c r="M127" t="s">
        <v>1774</v>
      </c>
      <c r="N127" t="s">
        <v>192</v>
      </c>
      <c r="O127" t="s">
        <v>1775</v>
      </c>
      <c r="P127" t="s">
        <v>1776</v>
      </c>
      <c r="Q127" t="s">
        <v>1644</v>
      </c>
      <c r="R127" t="s">
        <v>1644</v>
      </c>
      <c r="S127" t="s">
        <v>1644</v>
      </c>
      <c r="T127" t="s">
        <v>1644</v>
      </c>
      <c r="U127" t="s">
        <v>1645</v>
      </c>
    </row>
    <row r="128" spans="1:21" x14ac:dyDescent="0.2">
      <c r="A128" t="s">
        <v>1777</v>
      </c>
      <c r="B128" t="s">
        <v>1664</v>
      </c>
      <c r="C128" t="s">
        <v>1642</v>
      </c>
      <c r="D128" t="s">
        <v>1643</v>
      </c>
      <c r="E128" t="s">
        <v>1644</v>
      </c>
      <c r="F128" t="s">
        <v>1644</v>
      </c>
      <c r="G128" t="s">
        <v>1645</v>
      </c>
      <c r="H128" t="s">
        <v>1645</v>
      </c>
      <c r="I128" t="s">
        <v>1645</v>
      </c>
      <c r="J128" t="s">
        <v>1645</v>
      </c>
      <c r="K128" t="s">
        <v>1645</v>
      </c>
      <c r="L128" t="s">
        <v>1936</v>
      </c>
      <c r="M128" t="s">
        <v>1774</v>
      </c>
      <c r="N128" t="s">
        <v>192</v>
      </c>
      <c r="O128" t="s">
        <v>1775</v>
      </c>
      <c r="P128" t="s">
        <v>1776</v>
      </c>
      <c r="Q128" t="s">
        <v>1644</v>
      </c>
      <c r="R128" t="s">
        <v>1644</v>
      </c>
      <c r="S128" t="s">
        <v>1644</v>
      </c>
      <c r="T128" t="s">
        <v>1644</v>
      </c>
      <c r="U128" t="s">
        <v>1645</v>
      </c>
    </row>
    <row r="129" spans="1:21" x14ac:dyDescent="0.2">
      <c r="A129" t="s">
        <v>1778</v>
      </c>
      <c r="B129" t="s">
        <v>1666</v>
      </c>
      <c r="C129" t="s">
        <v>1642</v>
      </c>
      <c r="D129" t="s">
        <v>1643</v>
      </c>
      <c r="E129" t="s">
        <v>1644</v>
      </c>
      <c r="F129" t="s">
        <v>1644</v>
      </c>
      <c r="G129" t="s">
        <v>1645</v>
      </c>
      <c r="H129" t="s">
        <v>1645</v>
      </c>
      <c r="I129" t="s">
        <v>1645</v>
      </c>
      <c r="J129" t="s">
        <v>1645</v>
      </c>
      <c r="K129" t="s">
        <v>1645</v>
      </c>
      <c r="L129" t="s">
        <v>1936</v>
      </c>
      <c r="M129" t="s">
        <v>1774</v>
      </c>
      <c r="N129" t="s">
        <v>192</v>
      </c>
      <c r="O129" t="s">
        <v>1775</v>
      </c>
      <c r="P129" t="s">
        <v>1776</v>
      </c>
      <c r="Q129" t="s">
        <v>1644</v>
      </c>
      <c r="R129" t="s">
        <v>1644</v>
      </c>
      <c r="S129" t="s">
        <v>1644</v>
      </c>
      <c r="T129" t="s">
        <v>1644</v>
      </c>
      <c r="U129" t="s">
        <v>1645</v>
      </c>
    </row>
    <row r="130" spans="1:21" x14ac:dyDescent="0.2">
      <c r="A130" t="s">
        <v>1773</v>
      </c>
      <c r="B130" t="s">
        <v>1749</v>
      </c>
      <c r="C130" t="s">
        <v>1746</v>
      </c>
      <c r="D130" t="s">
        <v>1643</v>
      </c>
      <c r="E130" t="s">
        <v>1644</v>
      </c>
      <c r="F130" t="s">
        <v>1644</v>
      </c>
      <c r="G130" t="s">
        <v>1645</v>
      </c>
      <c r="H130" t="s">
        <v>1645</v>
      </c>
      <c r="I130" t="s">
        <v>1645</v>
      </c>
      <c r="J130" t="s">
        <v>1645</v>
      </c>
      <c r="K130" t="s">
        <v>1645</v>
      </c>
      <c r="L130" t="s">
        <v>1937</v>
      </c>
      <c r="M130" t="s">
        <v>1774</v>
      </c>
      <c r="N130" t="s">
        <v>192</v>
      </c>
      <c r="O130" t="s">
        <v>1775</v>
      </c>
      <c r="P130" t="s">
        <v>1776</v>
      </c>
      <c r="Q130" t="s">
        <v>1644</v>
      </c>
      <c r="R130" t="s">
        <v>1644</v>
      </c>
      <c r="S130" t="s">
        <v>1644</v>
      </c>
      <c r="T130" t="s">
        <v>1644</v>
      </c>
      <c r="U130" t="s">
        <v>1645</v>
      </c>
    </row>
    <row r="131" spans="1:21" x14ac:dyDescent="0.2">
      <c r="A131" t="s">
        <v>1777</v>
      </c>
      <c r="B131" t="s">
        <v>1668</v>
      </c>
      <c r="C131" t="s">
        <v>1642</v>
      </c>
      <c r="D131" t="s">
        <v>1643</v>
      </c>
      <c r="E131" t="s">
        <v>1644</v>
      </c>
      <c r="F131" t="s">
        <v>1644</v>
      </c>
      <c r="G131" t="s">
        <v>1645</v>
      </c>
      <c r="H131" t="s">
        <v>1645</v>
      </c>
      <c r="I131" t="s">
        <v>1645</v>
      </c>
      <c r="J131" t="s">
        <v>1645</v>
      </c>
      <c r="K131" t="s">
        <v>1645</v>
      </c>
      <c r="L131" t="s">
        <v>1937</v>
      </c>
      <c r="M131" t="s">
        <v>1774</v>
      </c>
      <c r="N131" t="s">
        <v>192</v>
      </c>
      <c r="O131" t="s">
        <v>1775</v>
      </c>
      <c r="P131" t="s">
        <v>1776</v>
      </c>
      <c r="Q131" t="s">
        <v>1644</v>
      </c>
      <c r="R131" t="s">
        <v>1644</v>
      </c>
      <c r="S131" t="s">
        <v>1644</v>
      </c>
      <c r="T131" t="s">
        <v>1644</v>
      </c>
      <c r="U131" t="s">
        <v>1645</v>
      </c>
    </row>
    <row r="132" spans="1:21" x14ac:dyDescent="0.2">
      <c r="A132" t="s">
        <v>1778</v>
      </c>
      <c r="B132" t="s">
        <v>1670</v>
      </c>
      <c r="C132" t="s">
        <v>1642</v>
      </c>
      <c r="D132" t="s">
        <v>1643</v>
      </c>
      <c r="E132" t="s">
        <v>1644</v>
      </c>
      <c r="F132" t="s">
        <v>1644</v>
      </c>
      <c r="G132" t="s">
        <v>1645</v>
      </c>
      <c r="H132" t="s">
        <v>1645</v>
      </c>
      <c r="I132" t="s">
        <v>1645</v>
      </c>
      <c r="J132" t="s">
        <v>1645</v>
      </c>
      <c r="K132" t="s">
        <v>1645</v>
      </c>
      <c r="L132" t="s">
        <v>1937</v>
      </c>
      <c r="M132" t="s">
        <v>1774</v>
      </c>
      <c r="N132" t="s">
        <v>192</v>
      </c>
      <c r="O132" t="s">
        <v>1775</v>
      </c>
      <c r="P132" t="s">
        <v>1776</v>
      </c>
      <c r="Q132" t="s">
        <v>1644</v>
      </c>
      <c r="R132" t="s">
        <v>1644</v>
      </c>
      <c r="S132" t="s">
        <v>1644</v>
      </c>
      <c r="T132" t="s">
        <v>1644</v>
      </c>
      <c r="U132" t="s">
        <v>1645</v>
      </c>
    </row>
    <row r="133" spans="1:21" x14ac:dyDescent="0.2">
      <c r="A133" t="s">
        <v>1773</v>
      </c>
      <c r="B133" t="s">
        <v>1749</v>
      </c>
      <c r="C133" t="s">
        <v>1746</v>
      </c>
      <c r="D133" t="s">
        <v>1643</v>
      </c>
      <c r="E133" t="s">
        <v>1644</v>
      </c>
      <c r="F133" t="s">
        <v>1644</v>
      </c>
      <c r="G133" t="s">
        <v>1645</v>
      </c>
      <c r="H133" t="s">
        <v>1645</v>
      </c>
      <c r="I133" t="s">
        <v>1645</v>
      </c>
      <c r="J133" t="s">
        <v>1645</v>
      </c>
      <c r="K133" t="s">
        <v>1645</v>
      </c>
      <c r="L133" t="s">
        <v>1938</v>
      </c>
      <c r="M133" t="s">
        <v>1774</v>
      </c>
      <c r="N133" t="s">
        <v>192</v>
      </c>
      <c r="O133" t="s">
        <v>1775</v>
      </c>
      <c r="P133" t="s">
        <v>1776</v>
      </c>
      <c r="Q133" t="s">
        <v>1644</v>
      </c>
      <c r="R133" t="s">
        <v>1644</v>
      </c>
      <c r="S133" t="s">
        <v>1644</v>
      </c>
      <c r="T133" t="s">
        <v>1644</v>
      </c>
      <c r="U133" t="s">
        <v>1645</v>
      </c>
    </row>
    <row r="134" spans="1:21" x14ac:dyDescent="0.2">
      <c r="A134" t="s">
        <v>1777</v>
      </c>
      <c r="B134" t="s">
        <v>1648</v>
      </c>
      <c r="C134" t="s">
        <v>1642</v>
      </c>
      <c r="D134" t="s">
        <v>1643</v>
      </c>
      <c r="E134" t="s">
        <v>1644</v>
      </c>
      <c r="F134" t="s">
        <v>1644</v>
      </c>
      <c r="G134" t="s">
        <v>1645</v>
      </c>
      <c r="H134" t="s">
        <v>1645</v>
      </c>
      <c r="I134" t="s">
        <v>1645</v>
      </c>
      <c r="J134" t="s">
        <v>1645</v>
      </c>
      <c r="K134" t="s">
        <v>1645</v>
      </c>
      <c r="L134" t="s">
        <v>1938</v>
      </c>
      <c r="M134" t="s">
        <v>1774</v>
      </c>
      <c r="N134" t="s">
        <v>192</v>
      </c>
      <c r="O134" t="s">
        <v>1775</v>
      </c>
      <c r="P134" t="s">
        <v>1776</v>
      </c>
      <c r="Q134" t="s">
        <v>1644</v>
      </c>
      <c r="R134" t="s">
        <v>1644</v>
      </c>
      <c r="S134" t="s">
        <v>1644</v>
      </c>
      <c r="T134" t="s">
        <v>1644</v>
      </c>
      <c r="U134" t="s">
        <v>1645</v>
      </c>
    </row>
    <row r="135" spans="1:21" x14ac:dyDescent="0.2">
      <c r="A135" t="s">
        <v>1778</v>
      </c>
      <c r="B135" t="s">
        <v>1673</v>
      </c>
      <c r="C135" t="s">
        <v>1642</v>
      </c>
      <c r="D135" t="s">
        <v>1643</v>
      </c>
      <c r="E135" t="s">
        <v>1644</v>
      </c>
      <c r="F135" t="s">
        <v>1644</v>
      </c>
      <c r="G135" t="s">
        <v>1645</v>
      </c>
      <c r="H135" t="s">
        <v>1645</v>
      </c>
      <c r="I135" t="s">
        <v>1645</v>
      </c>
      <c r="J135" t="s">
        <v>1645</v>
      </c>
      <c r="K135" t="s">
        <v>1645</v>
      </c>
      <c r="L135" t="s">
        <v>1938</v>
      </c>
      <c r="M135" t="s">
        <v>1774</v>
      </c>
      <c r="N135" t="s">
        <v>192</v>
      </c>
      <c r="O135" t="s">
        <v>1775</v>
      </c>
      <c r="P135" t="s">
        <v>1776</v>
      </c>
      <c r="Q135" t="s">
        <v>1644</v>
      </c>
      <c r="R135" t="s">
        <v>1644</v>
      </c>
      <c r="S135" t="s">
        <v>1644</v>
      </c>
      <c r="T135" t="s">
        <v>1644</v>
      </c>
      <c r="U135" t="s">
        <v>1645</v>
      </c>
    </row>
    <row r="136" spans="1:21" x14ac:dyDescent="0.2">
      <c r="A136" t="s">
        <v>1773</v>
      </c>
      <c r="B136" t="s">
        <v>1749</v>
      </c>
      <c r="C136" t="s">
        <v>1746</v>
      </c>
      <c r="D136" t="s">
        <v>1643</v>
      </c>
      <c r="E136" t="s">
        <v>1644</v>
      </c>
      <c r="F136" t="s">
        <v>1644</v>
      </c>
      <c r="G136" t="s">
        <v>1645</v>
      </c>
      <c r="H136" t="s">
        <v>1645</v>
      </c>
      <c r="I136" t="s">
        <v>1645</v>
      </c>
      <c r="J136" t="s">
        <v>1645</v>
      </c>
      <c r="K136" t="s">
        <v>1645</v>
      </c>
      <c r="L136" t="s">
        <v>1939</v>
      </c>
      <c r="M136" t="s">
        <v>1774</v>
      </c>
      <c r="N136" t="s">
        <v>192</v>
      </c>
      <c r="O136" t="s">
        <v>1775</v>
      </c>
      <c r="P136" t="s">
        <v>1776</v>
      </c>
      <c r="Q136" t="s">
        <v>1644</v>
      </c>
      <c r="R136" t="s">
        <v>1644</v>
      </c>
      <c r="S136" t="s">
        <v>1644</v>
      </c>
      <c r="T136" t="s">
        <v>1644</v>
      </c>
      <c r="U136" t="s">
        <v>1645</v>
      </c>
    </row>
    <row r="137" spans="1:21" x14ac:dyDescent="0.2">
      <c r="A137" t="s">
        <v>1777</v>
      </c>
      <c r="B137" t="s">
        <v>1675</v>
      </c>
      <c r="C137" t="s">
        <v>1642</v>
      </c>
      <c r="D137" t="s">
        <v>1643</v>
      </c>
      <c r="E137" t="s">
        <v>1644</v>
      </c>
      <c r="F137" t="s">
        <v>1644</v>
      </c>
      <c r="G137" t="s">
        <v>1645</v>
      </c>
      <c r="H137" t="s">
        <v>1645</v>
      </c>
      <c r="I137" t="s">
        <v>1645</v>
      </c>
      <c r="J137" t="s">
        <v>1645</v>
      </c>
      <c r="K137" t="s">
        <v>1645</v>
      </c>
      <c r="L137" t="s">
        <v>1939</v>
      </c>
      <c r="M137" t="s">
        <v>1774</v>
      </c>
      <c r="N137" t="s">
        <v>192</v>
      </c>
      <c r="O137" t="s">
        <v>1775</v>
      </c>
      <c r="P137" t="s">
        <v>1776</v>
      </c>
      <c r="Q137" t="s">
        <v>1644</v>
      </c>
      <c r="R137" t="s">
        <v>1644</v>
      </c>
      <c r="S137" t="s">
        <v>1644</v>
      </c>
      <c r="T137" t="s">
        <v>1644</v>
      </c>
      <c r="U137" t="s">
        <v>1645</v>
      </c>
    </row>
    <row r="138" spans="1:21" x14ac:dyDescent="0.2">
      <c r="A138" t="s">
        <v>1778</v>
      </c>
      <c r="B138" t="s">
        <v>1677</v>
      </c>
      <c r="C138" t="s">
        <v>1642</v>
      </c>
      <c r="D138" t="s">
        <v>1643</v>
      </c>
      <c r="E138" t="s">
        <v>1644</v>
      </c>
      <c r="F138" t="s">
        <v>1644</v>
      </c>
      <c r="G138" t="s">
        <v>1645</v>
      </c>
      <c r="H138" t="s">
        <v>1645</v>
      </c>
      <c r="I138" t="s">
        <v>1645</v>
      </c>
      <c r="J138" t="s">
        <v>1645</v>
      </c>
      <c r="K138" t="s">
        <v>1645</v>
      </c>
      <c r="L138" t="s">
        <v>1939</v>
      </c>
      <c r="M138" t="s">
        <v>1774</v>
      </c>
      <c r="N138" t="s">
        <v>192</v>
      </c>
      <c r="O138" t="s">
        <v>1775</v>
      </c>
      <c r="P138" t="s">
        <v>1776</v>
      </c>
      <c r="Q138" t="s">
        <v>1644</v>
      </c>
      <c r="R138" t="s">
        <v>1644</v>
      </c>
      <c r="S138" t="s">
        <v>1644</v>
      </c>
      <c r="T138" t="s">
        <v>1644</v>
      </c>
      <c r="U138" t="s">
        <v>1645</v>
      </c>
    </row>
    <row r="139" spans="1:21" x14ac:dyDescent="0.2">
      <c r="A139" t="s">
        <v>1773</v>
      </c>
      <c r="B139" t="s">
        <v>1749</v>
      </c>
      <c r="C139" t="s">
        <v>1746</v>
      </c>
      <c r="D139" t="s">
        <v>1643</v>
      </c>
      <c r="E139" t="s">
        <v>1644</v>
      </c>
      <c r="F139" t="s">
        <v>1644</v>
      </c>
      <c r="G139" t="s">
        <v>1645</v>
      </c>
      <c r="H139" t="s">
        <v>1645</v>
      </c>
      <c r="I139" t="s">
        <v>1645</v>
      </c>
      <c r="J139" t="s">
        <v>1645</v>
      </c>
      <c r="K139" t="s">
        <v>1645</v>
      </c>
      <c r="L139" t="s">
        <v>1940</v>
      </c>
      <c r="M139" t="s">
        <v>1774</v>
      </c>
      <c r="N139" t="s">
        <v>192</v>
      </c>
      <c r="O139" t="s">
        <v>1775</v>
      </c>
      <c r="P139" t="s">
        <v>1776</v>
      </c>
      <c r="Q139" t="s">
        <v>1644</v>
      </c>
      <c r="R139" t="s">
        <v>1644</v>
      </c>
      <c r="S139" t="s">
        <v>1644</v>
      </c>
      <c r="T139" t="s">
        <v>1644</v>
      </c>
      <c r="U139" t="s">
        <v>1645</v>
      </c>
    </row>
    <row r="140" spans="1:21" x14ac:dyDescent="0.2">
      <c r="A140" t="s">
        <v>1777</v>
      </c>
      <c r="B140" t="s">
        <v>1679</v>
      </c>
      <c r="C140" t="s">
        <v>1642</v>
      </c>
      <c r="D140" t="s">
        <v>1643</v>
      </c>
      <c r="E140" t="s">
        <v>1644</v>
      </c>
      <c r="F140" t="s">
        <v>1644</v>
      </c>
      <c r="G140" t="s">
        <v>1645</v>
      </c>
      <c r="H140" t="s">
        <v>1645</v>
      </c>
      <c r="I140" t="s">
        <v>1645</v>
      </c>
      <c r="J140" t="s">
        <v>1645</v>
      </c>
      <c r="K140" t="s">
        <v>1645</v>
      </c>
      <c r="L140" t="s">
        <v>1940</v>
      </c>
      <c r="M140" t="s">
        <v>1774</v>
      </c>
      <c r="N140" t="s">
        <v>192</v>
      </c>
      <c r="O140" t="s">
        <v>1775</v>
      </c>
      <c r="P140" t="s">
        <v>1776</v>
      </c>
      <c r="Q140" t="s">
        <v>1644</v>
      </c>
      <c r="R140" t="s">
        <v>1644</v>
      </c>
      <c r="S140" t="s">
        <v>1644</v>
      </c>
      <c r="T140" t="s">
        <v>1644</v>
      </c>
      <c r="U140" t="s">
        <v>1645</v>
      </c>
    </row>
    <row r="141" spans="1:21" x14ac:dyDescent="0.2">
      <c r="A141" t="s">
        <v>1778</v>
      </c>
      <c r="B141" t="s">
        <v>1681</v>
      </c>
      <c r="C141" t="s">
        <v>1642</v>
      </c>
      <c r="D141" t="s">
        <v>1643</v>
      </c>
      <c r="E141" t="s">
        <v>1644</v>
      </c>
      <c r="F141" t="s">
        <v>1644</v>
      </c>
      <c r="G141" t="s">
        <v>1645</v>
      </c>
      <c r="H141" t="s">
        <v>1645</v>
      </c>
      <c r="I141" t="s">
        <v>1645</v>
      </c>
      <c r="J141" t="s">
        <v>1645</v>
      </c>
      <c r="K141" t="s">
        <v>1645</v>
      </c>
      <c r="L141" t="s">
        <v>1940</v>
      </c>
      <c r="M141" t="s">
        <v>1774</v>
      </c>
      <c r="N141" t="s">
        <v>192</v>
      </c>
      <c r="O141" t="s">
        <v>1775</v>
      </c>
      <c r="P141" t="s">
        <v>1776</v>
      </c>
      <c r="Q141" t="s">
        <v>1644</v>
      </c>
      <c r="R141" t="s">
        <v>1644</v>
      </c>
      <c r="S141" t="s">
        <v>1644</v>
      </c>
      <c r="T141" t="s">
        <v>1644</v>
      </c>
      <c r="U141" t="s">
        <v>1645</v>
      </c>
    </row>
    <row r="142" spans="1:21" x14ac:dyDescent="0.2">
      <c r="A142" t="s">
        <v>1773</v>
      </c>
      <c r="B142" t="s">
        <v>1749</v>
      </c>
      <c r="C142" t="s">
        <v>1746</v>
      </c>
      <c r="D142" t="s">
        <v>1643</v>
      </c>
      <c r="E142" t="s">
        <v>1644</v>
      </c>
      <c r="F142" t="s">
        <v>1644</v>
      </c>
      <c r="G142" t="s">
        <v>1645</v>
      </c>
      <c r="H142" t="s">
        <v>1645</v>
      </c>
      <c r="I142" t="s">
        <v>1645</v>
      </c>
      <c r="J142" t="s">
        <v>1645</v>
      </c>
      <c r="K142" t="s">
        <v>1645</v>
      </c>
      <c r="L142" t="s">
        <v>1941</v>
      </c>
      <c r="M142" t="s">
        <v>1774</v>
      </c>
      <c r="N142" t="s">
        <v>192</v>
      </c>
      <c r="O142" t="s">
        <v>1775</v>
      </c>
      <c r="P142" t="s">
        <v>1776</v>
      </c>
      <c r="Q142" t="s">
        <v>1644</v>
      </c>
      <c r="R142" t="s">
        <v>1644</v>
      </c>
      <c r="S142" t="s">
        <v>1644</v>
      </c>
      <c r="T142" t="s">
        <v>1644</v>
      </c>
      <c r="U142" t="s">
        <v>1645</v>
      </c>
    </row>
    <row r="143" spans="1:21" x14ac:dyDescent="0.2">
      <c r="A143" t="s">
        <v>1777</v>
      </c>
      <c r="B143" t="s">
        <v>1683</v>
      </c>
      <c r="C143" t="s">
        <v>1642</v>
      </c>
      <c r="D143" t="s">
        <v>1643</v>
      </c>
      <c r="E143" t="s">
        <v>1644</v>
      </c>
      <c r="F143" t="s">
        <v>1644</v>
      </c>
      <c r="G143" t="s">
        <v>1645</v>
      </c>
      <c r="H143" t="s">
        <v>1645</v>
      </c>
      <c r="I143" t="s">
        <v>1645</v>
      </c>
      <c r="J143" t="s">
        <v>1645</v>
      </c>
      <c r="K143" t="s">
        <v>1645</v>
      </c>
      <c r="L143" t="s">
        <v>1941</v>
      </c>
      <c r="M143" t="s">
        <v>1774</v>
      </c>
      <c r="N143" t="s">
        <v>192</v>
      </c>
      <c r="O143" t="s">
        <v>1775</v>
      </c>
      <c r="P143" t="s">
        <v>1776</v>
      </c>
      <c r="Q143" t="s">
        <v>1644</v>
      </c>
      <c r="R143" t="s">
        <v>1644</v>
      </c>
      <c r="S143" t="s">
        <v>1644</v>
      </c>
      <c r="T143" t="s">
        <v>1644</v>
      </c>
      <c r="U143" t="s">
        <v>1645</v>
      </c>
    </row>
    <row r="144" spans="1:21" x14ac:dyDescent="0.2">
      <c r="A144" t="s">
        <v>1778</v>
      </c>
      <c r="B144" t="s">
        <v>1685</v>
      </c>
      <c r="C144" t="s">
        <v>1642</v>
      </c>
      <c r="D144" t="s">
        <v>1643</v>
      </c>
      <c r="E144" t="s">
        <v>1644</v>
      </c>
      <c r="F144" t="s">
        <v>1644</v>
      </c>
      <c r="G144" t="s">
        <v>1645</v>
      </c>
      <c r="H144" t="s">
        <v>1645</v>
      </c>
      <c r="I144" t="s">
        <v>1645</v>
      </c>
      <c r="J144" t="s">
        <v>1645</v>
      </c>
      <c r="K144" t="s">
        <v>1645</v>
      </c>
      <c r="L144" t="s">
        <v>1941</v>
      </c>
      <c r="M144" t="s">
        <v>1774</v>
      </c>
      <c r="N144" t="s">
        <v>192</v>
      </c>
      <c r="O144" t="s">
        <v>1775</v>
      </c>
      <c r="P144" t="s">
        <v>1776</v>
      </c>
      <c r="Q144" t="s">
        <v>1644</v>
      </c>
      <c r="R144" t="s">
        <v>1644</v>
      </c>
      <c r="S144" t="s">
        <v>1644</v>
      </c>
      <c r="T144" t="s">
        <v>1644</v>
      </c>
      <c r="U144" t="s">
        <v>1645</v>
      </c>
    </row>
    <row r="145" spans="1:21" x14ac:dyDescent="0.2">
      <c r="A145" t="s">
        <v>1773</v>
      </c>
      <c r="B145" t="s">
        <v>1749</v>
      </c>
      <c r="C145" t="s">
        <v>1746</v>
      </c>
      <c r="D145" t="s">
        <v>1643</v>
      </c>
      <c r="E145" t="s">
        <v>1644</v>
      </c>
      <c r="F145" t="s">
        <v>1644</v>
      </c>
      <c r="G145" t="s">
        <v>1645</v>
      </c>
      <c r="H145" t="s">
        <v>1645</v>
      </c>
      <c r="I145" t="s">
        <v>1645</v>
      </c>
      <c r="J145" t="s">
        <v>1645</v>
      </c>
      <c r="K145" t="s">
        <v>1645</v>
      </c>
      <c r="L145" t="s">
        <v>1942</v>
      </c>
      <c r="M145" t="s">
        <v>1774</v>
      </c>
      <c r="N145" t="s">
        <v>192</v>
      </c>
      <c r="O145" t="s">
        <v>1775</v>
      </c>
      <c r="P145" t="s">
        <v>1776</v>
      </c>
      <c r="Q145" t="s">
        <v>1644</v>
      </c>
      <c r="R145" t="s">
        <v>1644</v>
      </c>
      <c r="S145" t="s">
        <v>1644</v>
      </c>
      <c r="T145" t="s">
        <v>1644</v>
      </c>
      <c r="U145" t="s">
        <v>1645</v>
      </c>
    </row>
    <row r="146" spans="1:21" x14ac:dyDescent="0.2">
      <c r="A146" t="s">
        <v>1777</v>
      </c>
      <c r="B146" t="s">
        <v>1687</v>
      </c>
      <c r="C146" t="s">
        <v>1642</v>
      </c>
      <c r="D146" t="s">
        <v>1643</v>
      </c>
      <c r="E146" t="s">
        <v>1644</v>
      </c>
      <c r="F146" t="s">
        <v>1644</v>
      </c>
      <c r="G146" t="s">
        <v>1645</v>
      </c>
      <c r="H146" t="s">
        <v>1645</v>
      </c>
      <c r="I146" t="s">
        <v>1645</v>
      </c>
      <c r="J146" t="s">
        <v>1645</v>
      </c>
      <c r="K146" t="s">
        <v>1645</v>
      </c>
      <c r="L146" t="s">
        <v>1942</v>
      </c>
      <c r="M146" t="s">
        <v>1774</v>
      </c>
      <c r="N146" t="s">
        <v>192</v>
      </c>
      <c r="O146" t="s">
        <v>1775</v>
      </c>
      <c r="P146" t="s">
        <v>1776</v>
      </c>
      <c r="Q146" t="s">
        <v>1644</v>
      </c>
      <c r="R146" t="s">
        <v>1644</v>
      </c>
      <c r="S146" t="s">
        <v>1644</v>
      </c>
      <c r="T146" t="s">
        <v>1644</v>
      </c>
      <c r="U146" t="s">
        <v>1645</v>
      </c>
    </row>
    <row r="147" spans="1:21" x14ac:dyDescent="0.2">
      <c r="A147" t="s">
        <v>1778</v>
      </c>
      <c r="B147" t="s">
        <v>1689</v>
      </c>
      <c r="C147" t="s">
        <v>1642</v>
      </c>
      <c r="D147" t="s">
        <v>1643</v>
      </c>
      <c r="E147" t="s">
        <v>1644</v>
      </c>
      <c r="F147" t="s">
        <v>1644</v>
      </c>
      <c r="G147" t="s">
        <v>1645</v>
      </c>
      <c r="H147" t="s">
        <v>1645</v>
      </c>
      <c r="I147" t="s">
        <v>1645</v>
      </c>
      <c r="J147" t="s">
        <v>1645</v>
      </c>
      <c r="K147" t="s">
        <v>1645</v>
      </c>
      <c r="L147" t="s">
        <v>1942</v>
      </c>
      <c r="M147" t="s">
        <v>1774</v>
      </c>
      <c r="N147" t="s">
        <v>192</v>
      </c>
      <c r="O147" t="s">
        <v>1775</v>
      </c>
      <c r="P147" t="s">
        <v>1776</v>
      </c>
      <c r="Q147" t="s">
        <v>1644</v>
      </c>
      <c r="R147" t="s">
        <v>1644</v>
      </c>
      <c r="S147" t="s">
        <v>1644</v>
      </c>
      <c r="T147" t="s">
        <v>1644</v>
      </c>
      <c r="U147" t="s">
        <v>1645</v>
      </c>
    </row>
    <row r="148" spans="1:21" x14ac:dyDescent="0.2">
      <c r="A148" t="s">
        <v>1773</v>
      </c>
      <c r="B148" t="s">
        <v>1749</v>
      </c>
      <c r="C148" t="s">
        <v>1746</v>
      </c>
      <c r="D148" t="s">
        <v>1643</v>
      </c>
      <c r="E148" t="s">
        <v>1644</v>
      </c>
      <c r="F148" t="s">
        <v>1644</v>
      </c>
      <c r="G148" t="s">
        <v>1645</v>
      </c>
      <c r="H148" t="s">
        <v>1645</v>
      </c>
      <c r="I148" t="s">
        <v>1645</v>
      </c>
      <c r="J148" t="s">
        <v>1645</v>
      </c>
      <c r="K148" t="s">
        <v>1645</v>
      </c>
      <c r="L148" t="s">
        <v>1943</v>
      </c>
      <c r="M148" t="s">
        <v>1774</v>
      </c>
      <c r="N148" t="s">
        <v>192</v>
      </c>
      <c r="O148" t="s">
        <v>1775</v>
      </c>
      <c r="P148" t="s">
        <v>1776</v>
      </c>
      <c r="Q148" t="s">
        <v>1644</v>
      </c>
      <c r="R148" t="s">
        <v>1644</v>
      </c>
      <c r="S148" t="s">
        <v>1644</v>
      </c>
      <c r="T148" t="s">
        <v>1644</v>
      </c>
      <c r="U148" t="s">
        <v>1645</v>
      </c>
    </row>
    <row r="149" spans="1:21" x14ac:dyDescent="0.2">
      <c r="A149" t="s">
        <v>1777</v>
      </c>
      <c r="B149" t="s">
        <v>1691</v>
      </c>
      <c r="C149" t="s">
        <v>1642</v>
      </c>
      <c r="D149" t="s">
        <v>1643</v>
      </c>
      <c r="E149" t="s">
        <v>1644</v>
      </c>
      <c r="F149" t="s">
        <v>1644</v>
      </c>
      <c r="G149" t="s">
        <v>1645</v>
      </c>
      <c r="H149" t="s">
        <v>1645</v>
      </c>
      <c r="I149" t="s">
        <v>1645</v>
      </c>
      <c r="J149" t="s">
        <v>1645</v>
      </c>
      <c r="K149" t="s">
        <v>1645</v>
      </c>
      <c r="L149" t="s">
        <v>1943</v>
      </c>
      <c r="M149" t="s">
        <v>1774</v>
      </c>
      <c r="N149" t="s">
        <v>192</v>
      </c>
      <c r="O149" t="s">
        <v>1775</v>
      </c>
      <c r="P149" t="s">
        <v>1776</v>
      </c>
      <c r="Q149" t="s">
        <v>1644</v>
      </c>
      <c r="R149" t="s">
        <v>1644</v>
      </c>
      <c r="S149" t="s">
        <v>1644</v>
      </c>
      <c r="T149" t="s">
        <v>1644</v>
      </c>
      <c r="U149" t="s">
        <v>1645</v>
      </c>
    </row>
    <row r="150" spans="1:21" x14ac:dyDescent="0.2">
      <c r="A150" t="s">
        <v>1778</v>
      </c>
      <c r="B150" t="s">
        <v>1693</v>
      </c>
      <c r="C150" t="s">
        <v>1642</v>
      </c>
      <c r="D150" t="s">
        <v>1643</v>
      </c>
      <c r="E150" t="s">
        <v>1644</v>
      </c>
      <c r="F150" t="s">
        <v>1644</v>
      </c>
      <c r="G150" t="s">
        <v>1645</v>
      </c>
      <c r="H150" t="s">
        <v>1645</v>
      </c>
      <c r="I150" t="s">
        <v>1645</v>
      </c>
      <c r="J150" t="s">
        <v>1645</v>
      </c>
      <c r="K150" t="s">
        <v>1645</v>
      </c>
      <c r="L150" t="s">
        <v>1943</v>
      </c>
      <c r="M150" t="s">
        <v>1774</v>
      </c>
      <c r="N150" t="s">
        <v>192</v>
      </c>
      <c r="O150" t="s">
        <v>1775</v>
      </c>
      <c r="P150" t="s">
        <v>1776</v>
      </c>
      <c r="Q150" t="s">
        <v>1644</v>
      </c>
      <c r="R150" t="s">
        <v>1644</v>
      </c>
      <c r="S150" t="s">
        <v>1644</v>
      </c>
      <c r="T150" t="s">
        <v>1644</v>
      </c>
      <c r="U150" t="s">
        <v>1645</v>
      </c>
    </row>
    <row r="151" spans="1:21" x14ac:dyDescent="0.2">
      <c r="A151" t="s">
        <v>1773</v>
      </c>
      <c r="B151" t="s">
        <v>1749</v>
      </c>
      <c r="C151" t="s">
        <v>1746</v>
      </c>
      <c r="D151" t="s">
        <v>1643</v>
      </c>
      <c r="E151" t="s">
        <v>1644</v>
      </c>
      <c r="F151" t="s">
        <v>1644</v>
      </c>
      <c r="G151" t="s">
        <v>1645</v>
      </c>
      <c r="H151" t="s">
        <v>1645</v>
      </c>
      <c r="I151" t="s">
        <v>1645</v>
      </c>
      <c r="J151" t="s">
        <v>1645</v>
      </c>
      <c r="K151" t="s">
        <v>1645</v>
      </c>
      <c r="L151" t="s">
        <v>1944</v>
      </c>
      <c r="M151" t="s">
        <v>1774</v>
      </c>
      <c r="N151" t="s">
        <v>192</v>
      </c>
      <c r="O151" t="s">
        <v>1775</v>
      </c>
      <c r="P151" t="s">
        <v>1776</v>
      </c>
      <c r="Q151" t="s">
        <v>1644</v>
      </c>
      <c r="R151" t="s">
        <v>1644</v>
      </c>
      <c r="S151" t="s">
        <v>1644</v>
      </c>
      <c r="T151" t="s">
        <v>1644</v>
      </c>
      <c r="U151" t="s">
        <v>1645</v>
      </c>
    </row>
    <row r="152" spans="1:21" x14ac:dyDescent="0.2">
      <c r="A152" t="s">
        <v>1777</v>
      </c>
      <c r="B152" t="s">
        <v>1695</v>
      </c>
      <c r="C152" t="s">
        <v>1642</v>
      </c>
      <c r="D152" t="s">
        <v>1643</v>
      </c>
      <c r="E152" t="s">
        <v>1644</v>
      </c>
      <c r="F152" t="s">
        <v>1644</v>
      </c>
      <c r="G152" t="s">
        <v>1645</v>
      </c>
      <c r="H152" t="s">
        <v>1645</v>
      </c>
      <c r="I152" t="s">
        <v>1645</v>
      </c>
      <c r="J152" t="s">
        <v>1645</v>
      </c>
      <c r="K152" t="s">
        <v>1645</v>
      </c>
      <c r="L152" t="s">
        <v>1944</v>
      </c>
      <c r="M152" t="s">
        <v>1774</v>
      </c>
      <c r="N152" t="s">
        <v>192</v>
      </c>
      <c r="O152" t="s">
        <v>1775</v>
      </c>
      <c r="P152" t="s">
        <v>1776</v>
      </c>
      <c r="Q152" t="s">
        <v>1644</v>
      </c>
      <c r="R152" t="s">
        <v>1644</v>
      </c>
      <c r="S152" t="s">
        <v>1644</v>
      </c>
      <c r="T152" t="s">
        <v>1644</v>
      </c>
      <c r="U152" t="s">
        <v>1645</v>
      </c>
    </row>
    <row r="153" spans="1:21" x14ac:dyDescent="0.2">
      <c r="A153" t="s">
        <v>1778</v>
      </c>
      <c r="B153" t="s">
        <v>1697</v>
      </c>
      <c r="C153" t="s">
        <v>1642</v>
      </c>
      <c r="D153" t="s">
        <v>1643</v>
      </c>
      <c r="E153" t="s">
        <v>1644</v>
      </c>
      <c r="F153" t="s">
        <v>1644</v>
      </c>
      <c r="G153" t="s">
        <v>1645</v>
      </c>
      <c r="H153" t="s">
        <v>1645</v>
      </c>
      <c r="I153" t="s">
        <v>1645</v>
      </c>
      <c r="J153" t="s">
        <v>1645</v>
      </c>
      <c r="K153" t="s">
        <v>1645</v>
      </c>
      <c r="L153" t="s">
        <v>1944</v>
      </c>
      <c r="M153" t="s">
        <v>1774</v>
      </c>
      <c r="N153" t="s">
        <v>192</v>
      </c>
      <c r="O153" t="s">
        <v>1775</v>
      </c>
      <c r="P153" t="s">
        <v>1776</v>
      </c>
      <c r="Q153" t="s">
        <v>1644</v>
      </c>
      <c r="R153" t="s">
        <v>1644</v>
      </c>
      <c r="S153" t="s">
        <v>1644</v>
      </c>
      <c r="T153" t="s">
        <v>1644</v>
      </c>
      <c r="U153" t="s">
        <v>1645</v>
      </c>
    </row>
    <row r="154" spans="1:21" x14ac:dyDescent="0.2">
      <c r="A154" t="s">
        <v>1773</v>
      </c>
      <c r="B154" t="s">
        <v>1749</v>
      </c>
      <c r="C154" t="s">
        <v>1746</v>
      </c>
      <c r="D154" t="s">
        <v>1643</v>
      </c>
      <c r="E154" t="s">
        <v>1644</v>
      </c>
      <c r="F154" t="s">
        <v>1644</v>
      </c>
      <c r="G154" t="s">
        <v>1645</v>
      </c>
      <c r="H154" t="s">
        <v>1645</v>
      </c>
      <c r="I154" t="s">
        <v>1645</v>
      </c>
      <c r="J154" t="s">
        <v>1645</v>
      </c>
      <c r="K154" t="s">
        <v>1645</v>
      </c>
      <c r="L154" t="s">
        <v>1945</v>
      </c>
      <c r="M154" t="s">
        <v>1774</v>
      </c>
      <c r="N154" t="s">
        <v>192</v>
      </c>
      <c r="O154" t="s">
        <v>1775</v>
      </c>
      <c r="P154" t="s">
        <v>1776</v>
      </c>
      <c r="Q154" t="s">
        <v>1644</v>
      </c>
      <c r="R154" t="s">
        <v>1644</v>
      </c>
      <c r="S154" t="s">
        <v>1644</v>
      </c>
      <c r="T154" t="s">
        <v>1644</v>
      </c>
      <c r="U154" t="s">
        <v>1645</v>
      </c>
    </row>
    <row r="155" spans="1:21" x14ac:dyDescent="0.2">
      <c r="A155" t="s">
        <v>1777</v>
      </c>
      <c r="B155" t="s">
        <v>1699</v>
      </c>
      <c r="C155" t="s">
        <v>1642</v>
      </c>
      <c r="D155" t="s">
        <v>1643</v>
      </c>
      <c r="E155" t="s">
        <v>1644</v>
      </c>
      <c r="F155" t="s">
        <v>1644</v>
      </c>
      <c r="G155" t="s">
        <v>1645</v>
      </c>
      <c r="H155" t="s">
        <v>1645</v>
      </c>
      <c r="I155" t="s">
        <v>1645</v>
      </c>
      <c r="J155" t="s">
        <v>1645</v>
      </c>
      <c r="K155" t="s">
        <v>1645</v>
      </c>
      <c r="L155" t="s">
        <v>1945</v>
      </c>
      <c r="M155" t="s">
        <v>1774</v>
      </c>
      <c r="N155" t="s">
        <v>192</v>
      </c>
      <c r="O155" t="s">
        <v>1775</v>
      </c>
      <c r="P155" t="s">
        <v>1776</v>
      </c>
      <c r="Q155" t="s">
        <v>1644</v>
      </c>
      <c r="R155" t="s">
        <v>1644</v>
      </c>
      <c r="S155" t="s">
        <v>1644</v>
      </c>
      <c r="T155" t="s">
        <v>1644</v>
      </c>
      <c r="U155" t="s">
        <v>1645</v>
      </c>
    </row>
    <row r="156" spans="1:21" x14ac:dyDescent="0.2">
      <c r="A156" t="s">
        <v>1778</v>
      </c>
      <c r="B156" t="s">
        <v>1701</v>
      </c>
      <c r="C156" t="s">
        <v>1642</v>
      </c>
      <c r="D156" t="s">
        <v>1643</v>
      </c>
      <c r="E156" t="s">
        <v>1644</v>
      </c>
      <c r="F156" t="s">
        <v>1644</v>
      </c>
      <c r="G156" t="s">
        <v>1645</v>
      </c>
      <c r="H156" t="s">
        <v>1645</v>
      </c>
      <c r="I156" t="s">
        <v>1645</v>
      </c>
      <c r="J156" t="s">
        <v>1645</v>
      </c>
      <c r="K156" t="s">
        <v>1645</v>
      </c>
      <c r="L156" t="s">
        <v>1945</v>
      </c>
      <c r="M156" t="s">
        <v>1774</v>
      </c>
      <c r="N156" t="s">
        <v>192</v>
      </c>
      <c r="O156" t="s">
        <v>1775</v>
      </c>
      <c r="P156" t="s">
        <v>1776</v>
      </c>
      <c r="Q156" t="s">
        <v>1644</v>
      </c>
      <c r="R156" t="s">
        <v>1644</v>
      </c>
      <c r="S156" t="s">
        <v>1644</v>
      </c>
      <c r="T156" t="s">
        <v>1644</v>
      </c>
      <c r="U156" t="s">
        <v>1645</v>
      </c>
    </row>
    <row r="157" spans="1:21" x14ac:dyDescent="0.2">
      <c r="A157" t="s">
        <v>1773</v>
      </c>
      <c r="B157" t="s">
        <v>1749</v>
      </c>
      <c r="C157" t="s">
        <v>1746</v>
      </c>
      <c r="D157" t="s">
        <v>1643</v>
      </c>
      <c r="E157" t="s">
        <v>1644</v>
      </c>
      <c r="F157" t="s">
        <v>1644</v>
      </c>
      <c r="G157" t="s">
        <v>1645</v>
      </c>
      <c r="H157" t="s">
        <v>1645</v>
      </c>
      <c r="I157" t="s">
        <v>1645</v>
      </c>
      <c r="J157" t="s">
        <v>1645</v>
      </c>
      <c r="K157" t="s">
        <v>1645</v>
      </c>
      <c r="L157" t="s">
        <v>1946</v>
      </c>
      <c r="M157" t="s">
        <v>1774</v>
      </c>
      <c r="N157" t="s">
        <v>192</v>
      </c>
      <c r="O157" t="s">
        <v>1775</v>
      </c>
      <c r="P157" t="s">
        <v>1776</v>
      </c>
      <c r="Q157" t="s">
        <v>1644</v>
      </c>
      <c r="R157" t="s">
        <v>1644</v>
      </c>
      <c r="S157" t="s">
        <v>1644</v>
      </c>
      <c r="T157" t="s">
        <v>1644</v>
      </c>
      <c r="U157" t="s">
        <v>1645</v>
      </c>
    </row>
    <row r="158" spans="1:21" x14ac:dyDescent="0.2">
      <c r="A158" t="s">
        <v>1777</v>
      </c>
      <c r="B158" t="s">
        <v>1703</v>
      </c>
      <c r="C158" t="s">
        <v>1642</v>
      </c>
      <c r="D158" t="s">
        <v>1643</v>
      </c>
      <c r="E158" t="s">
        <v>1644</v>
      </c>
      <c r="F158" t="s">
        <v>1644</v>
      </c>
      <c r="G158" t="s">
        <v>1645</v>
      </c>
      <c r="H158" t="s">
        <v>1645</v>
      </c>
      <c r="I158" t="s">
        <v>1645</v>
      </c>
      <c r="J158" t="s">
        <v>1645</v>
      </c>
      <c r="K158" t="s">
        <v>1645</v>
      </c>
      <c r="L158" t="s">
        <v>1946</v>
      </c>
      <c r="M158" t="s">
        <v>1774</v>
      </c>
      <c r="N158" t="s">
        <v>192</v>
      </c>
      <c r="O158" t="s">
        <v>1775</v>
      </c>
      <c r="P158" t="s">
        <v>1776</v>
      </c>
      <c r="Q158" t="s">
        <v>1644</v>
      </c>
      <c r="R158" t="s">
        <v>1644</v>
      </c>
      <c r="S158" t="s">
        <v>1644</v>
      </c>
      <c r="T158" t="s">
        <v>1644</v>
      </c>
      <c r="U158" t="s">
        <v>1645</v>
      </c>
    </row>
    <row r="159" spans="1:21" x14ac:dyDescent="0.2">
      <c r="A159" t="s">
        <v>1778</v>
      </c>
      <c r="B159" t="s">
        <v>1705</v>
      </c>
      <c r="C159" t="s">
        <v>1642</v>
      </c>
      <c r="D159" t="s">
        <v>1643</v>
      </c>
      <c r="E159" t="s">
        <v>1644</v>
      </c>
      <c r="F159" t="s">
        <v>1644</v>
      </c>
      <c r="G159" t="s">
        <v>1645</v>
      </c>
      <c r="H159" t="s">
        <v>1645</v>
      </c>
      <c r="I159" t="s">
        <v>1645</v>
      </c>
      <c r="J159" t="s">
        <v>1645</v>
      </c>
      <c r="K159" t="s">
        <v>1645</v>
      </c>
      <c r="L159" t="s">
        <v>1946</v>
      </c>
      <c r="M159" t="s">
        <v>1774</v>
      </c>
      <c r="N159" t="s">
        <v>192</v>
      </c>
      <c r="O159" t="s">
        <v>1775</v>
      </c>
      <c r="P159" t="s">
        <v>1776</v>
      </c>
      <c r="Q159" t="s">
        <v>1644</v>
      </c>
      <c r="R159" t="s">
        <v>1644</v>
      </c>
      <c r="S159" t="s">
        <v>1644</v>
      </c>
      <c r="T159" t="s">
        <v>1644</v>
      </c>
      <c r="U159" t="s">
        <v>1645</v>
      </c>
    </row>
    <row r="160" spans="1:21" x14ac:dyDescent="0.2">
      <c r="A160" t="s">
        <v>1773</v>
      </c>
      <c r="B160" t="s">
        <v>1749</v>
      </c>
      <c r="C160" t="s">
        <v>1746</v>
      </c>
      <c r="D160" t="s">
        <v>1643</v>
      </c>
      <c r="E160" t="s">
        <v>1644</v>
      </c>
      <c r="F160" t="s">
        <v>1644</v>
      </c>
      <c r="G160" t="s">
        <v>1645</v>
      </c>
      <c r="H160" t="s">
        <v>1645</v>
      </c>
      <c r="I160" t="s">
        <v>1645</v>
      </c>
      <c r="J160" t="s">
        <v>1645</v>
      </c>
      <c r="K160" t="s">
        <v>1645</v>
      </c>
      <c r="L160" t="s">
        <v>1947</v>
      </c>
      <c r="M160" t="s">
        <v>1774</v>
      </c>
      <c r="N160" t="s">
        <v>192</v>
      </c>
      <c r="O160" t="s">
        <v>1775</v>
      </c>
      <c r="P160" t="s">
        <v>1776</v>
      </c>
      <c r="Q160" t="s">
        <v>1644</v>
      </c>
      <c r="R160" t="s">
        <v>1644</v>
      </c>
      <c r="S160" t="s">
        <v>1644</v>
      </c>
      <c r="T160" t="s">
        <v>1644</v>
      </c>
      <c r="U160" t="s">
        <v>1645</v>
      </c>
    </row>
    <row r="161" spans="1:21" x14ac:dyDescent="0.2">
      <c r="A161" t="s">
        <v>1777</v>
      </c>
      <c r="B161" t="s">
        <v>1707</v>
      </c>
      <c r="C161" t="s">
        <v>1642</v>
      </c>
      <c r="D161" t="s">
        <v>1643</v>
      </c>
      <c r="E161" t="s">
        <v>1644</v>
      </c>
      <c r="F161" t="s">
        <v>1644</v>
      </c>
      <c r="G161" t="s">
        <v>1645</v>
      </c>
      <c r="H161" t="s">
        <v>1645</v>
      </c>
      <c r="I161" t="s">
        <v>1645</v>
      </c>
      <c r="J161" t="s">
        <v>1645</v>
      </c>
      <c r="K161" t="s">
        <v>1645</v>
      </c>
      <c r="L161" t="s">
        <v>1947</v>
      </c>
      <c r="M161" t="s">
        <v>1774</v>
      </c>
      <c r="N161" t="s">
        <v>192</v>
      </c>
      <c r="O161" t="s">
        <v>1775</v>
      </c>
      <c r="P161" t="s">
        <v>1776</v>
      </c>
      <c r="Q161" t="s">
        <v>1644</v>
      </c>
      <c r="R161" t="s">
        <v>1644</v>
      </c>
      <c r="S161" t="s">
        <v>1644</v>
      </c>
      <c r="T161" t="s">
        <v>1644</v>
      </c>
      <c r="U161" t="s">
        <v>1645</v>
      </c>
    </row>
    <row r="162" spans="1:21" x14ac:dyDescent="0.2">
      <c r="A162" t="s">
        <v>1778</v>
      </c>
      <c r="B162" t="s">
        <v>1709</v>
      </c>
      <c r="C162" t="s">
        <v>1642</v>
      </c>
      <c r="D162" t="s">
        <v>1643</v>
      </c>
      <c r="E162" t="s">
        <v>1644</v>
      </c>
      <c r="F162" t="s">
        <v>1644</v>
      </c>
      <c r="G162" t="s">
        <v>1645</v>
      </c>
      <c r="H162" t="s">
        <v>1645</v>
      </c>
      <c r="I162" t="s">
        <v>1645</v>
      </c>
      <c r="J162" t="s">
        <v>1645</v>
      </c>
      <c r="K162" t="s">
        <v>1645</v>
      </c>
      <c r="L162" t="s">
        <v>1947</v>
      </c>
      <c r="M162" t="s">
        <v>1774</v>
      </c>
      <c r="N162" t="s">
        <v>192</v>
      </c>
      <c r="O162" t="s">
        <v>1775</v>
      </c>
      <c r="P162" t="s">
        <v>1776</v>
      </c>
      <c r="Q162" t="s">
        <v>1644</v>
      </c>
      <c r="R162" t="s">
        <v>1644</v>
      </c>
      <c r="S162" t="s">
        <v>1644</v>
      </c>
      <c r="T162" t="s">
        <v>1644</v>
      </c>
      <c r="U162" t="s">
        <v>1645</v>
      </c>
    </row>
    <row r="163" spans="1:21" x14ac:dyDescent="0.2">
      <c r="A163" t="s">
        <v>1773</v>
      </c>
      <c r="B163" t="s">
        <v>1749</v>
      </c>
      <c r="C163" t="s">
        <v>1746</v>
      </c>
      <c r="D163" t="s">
        <v>1643</v>
      </c>
      <c r="E163" t="s">
        <v>1644</v>
      </c>
      <c r="F163" t="s">
        <v>1644</v>
      </c>
      <c r="G163" t="s">
        <v>1645</v>
      </c>
      <c r="H163" t="s">
        <v>1645</v>
      </c>
      <c r="I163" t="s">
        <v>1645</v>
      </c>
      <c r="J163" t="s">
        <v>1645</v>
      </c>
      <c r="K163" t="s">
        <v>1645</v>
      </c>
      <c r="L163" t="s">
        <v>1779</v>
      </c>
      <c r="M163" t="s">
        <v>1780</v>
      </c>
      <c r="N163" t="s">
        <v>192</v>
      </c>
      <c r="O163" t="s">
        <v>1775</v>
      </c>
      <c r="P163" t="s">
        <v>1776</v>
      </c>
      <c r="Q163" t="s">
        <v>1644</v>
      </c>
      <c r="R163" t="s">
        <v>1644</v>
      </c>
      <c r="S163" t="s">
        <v>1644</v>
      </c>
      <c r="T163" t="s">
        <v>1644</v>
      </c>
      <c r="U163" t="s">
        <v>1645</v>
      </c>
    </row>
    <row r="164" spans="1:21" x14ac:dyDescent="0.2">
      <c r="A164" t="s">
        <v>1777</v>
      </c>
      <c r="B164" t="s">
        <v>1652</v>
      </c>
      <c r="C164" t="s">
        <v>1642</v>
      </c>
      <c r="D164" t="s">
        <v>1643</v>
      </c>
      <c r="E164" t="s">
        <v>1644</v>
      </c>
      <c r="F164" t="s">
        <v>1644</v>
      </c>
      <c r="G164" t="s">
        <v>1645</v>
      </c>
      <c r="H164" t="s">
        <v>1645</v>
      </c>
      <c r="I164" t="s">
        <v>1645</v>
      </c>
      <c r="J164" t="s">
        <v>1645</v>
      </c>
      <c r="K164" t="s">
        <v>1645</v>
      </c>
      <c r="L164" t="s">
        <v>1779</v>
      </c>
      <c r="M164" t="s">
        <v>1780</v>
      </c>
      <c r="N164" t="s">
        <v>192</v>
      </c>
      <c r="O164" t="s">
        <v>1775</v>
      </c>
      <c r="P164" t="s">
        <v>1776</v>
      </c>
      <c r="Q164" t="s">
        <v>1644</v>
      </c>
      <c r="R164" t="s">
        <v>1644</v>
      </c>
      <c r="S164" t="s">
        <v>1644</v>
      </c>
      <c r="T164" t="s">
        <v>1644</v>
      </c>
      <c r="U164" t="s">
        <v>1645</v>
      </c>
    </row>
    <row r="165" spans="1:21" x14ac:dyDescent="0.2">
      <c r="A165" t="s">
        <v>1778</v>
      </c>
      <c r="B165" t="s">
        <v>1654</v>
      </c>
      <c r="C165" t="s">
        <v>1642</v>
      </c>
      <c r="D165" t="s">
        <v>1643</v>
      </c>
      <c r="E165" t="s">
        <v>1644</v>
      </c>
      <c r="F165" t="s">
        <v>1644</v>
      </c>
      <c r="G165" t="s">
        <v>1645</v>
      </c>
      <c r="H165" t="s">
        <v>1645</v>
      </c>
      <c r="I165" t="s">
        <v>1645</v>
      </c>
      <c r="J165" t="s">
        <v>1645</v>
      </c>
      <c r="K165" t="s">
        <v>1645</v>
      </c>
      <c r="L165" t="s">
        <v>1779</v>
      </c>
      <c r="M165" t="s">
        <v>1780</v>
      </c>
      <c r="N165" t="s">
        <v>192</v>
      </c>
      <c r="O165" t="s">
        <v>1775</v>
      </c>
      <c r="P165" t="s">
        <v>1776</v>
      </c>
      <c r="Q165" t="s">
        <v>1644</v>
      </c>
      <c r="R165" t="s">
        <v>1644</v>
      </c>
      <c r="S165" t="s">
        <v>1644</v>
      </c>
      <c r="T165" t="s">
        <v>1644</v>
      </c>
      <c r="U165" t="s">
        <v>1645</v>
      </c>
    </row>
    <row r="166" spans="1:21" x14ac:dyDescent="0.2">
      <c r="A166" t="s">
        <v>1773</v>
      </c>
      <c r="B166" t="s">
        <v>1749</v>
      </c>
      <c r="C166" t="s">
        <v>1746</v>
      </c>
      <c r="D166" t="s">
        <v>1643</v>
      </c>
      <c r="E166" t="s">
        <v>1644</v>
      </c>
      <c r="F166" t="s">
        <v>1644</v>
      </c>
      <c r="G166" t="s">
        <v>1645</v>
      </c>
      <c r="H166" t="s">
        <v>1645</v>
      </c>
      <c r="I166" t="s">
        <v>1645</v>
      </c>
      <c r="J166" t="s">
        <v>1645</v>
      </c>
      <c r="K166" t="s">
        <v>1645</v>
      </c>
      <c r="L166" t="s">
        <v>1781</v>
      </c>
      <c r="M166" t="s">
        <v>1782</v>
      </c>
      <c r="N166" t="s">
        <v>192</v>
      </c>
      <c r="O166" t="s">
        <v>1775</v>
      </c>
      <c r="P166" t="s">
        <v>1776</v>
      </c>
      <c r="Q166" t="s">
        <v>1644</v>
      </c>
      <c r="R166" t="s">
        <v>1644</v>
      </c>
      <c r="S166" t="s">
        <v>1644</v>
      </c>
      <c r="T166" t="s">
        <v>1644</v>
      </c>
      <c r="U166" t="s">
        <v>1645</v>
      </c>
    </row>
    <row r="167" spans="1:21" x14ac:dyDescent="0.2">
      <c r="A167" t="s">
        <v>1777</v>
      </c>
      <c r="B167" t="s">
        <v>1711</v>
      </c>
      <c r="C167" t="s">
        <v>1642</v>
      </c>
      <c r="D167" t="s">
        <v>1643</v>
      </c>
      <c r="E167" t="s">
        <v>1644</v>
      </c>
      <c r="F167" t="s">
        <v>1644</v>
      </c>
      <c r="G167" t="s">
        <v>1645</v>
      </c>
      <c r="H167" t="s">
        <v>1645</v>
      </c>
      <c r="I167" t="s">
        <v>1645</v>
      </c>
      <c r="J167" t="s">
        <v>1645</v>
      </c>
      <c r="K167" t="s">
        <v>1645</v>
      </c>
      <c r="L167" t="s">
        <v>1781</v>
      </c>
      <c r="M167" t="s">
        <v>1782</v>
      </c>
      <c r="N167" t="s">
        <v>192</v>
      </c>
      <c r="O167" t="s">
        <v>1775</v>
      </c>
      <c r="P167" t="s">
        <v>1776</v>
      </c>
      <c r="Q167" t="s">
        <v>1644</v>
      </c>
      <c r="R167" t="s">
        <v>1644</v>
      </c>
      <c r="S167" t="s">
        <v>1644</v>
      </c>
      <c r="T167" t="s">
        <v>1644</v>
      </c>
      <c r="U167" t="s">
        <v>1645</v>
      </c>
    </row>
    <row r="168" spans="1:21" x14ac:dyDescent="0.2">
      <c r="A168" t="s">
        <v>1778</v>
      </c>
      <c r="B168" t="s">
        <v>1713</v>
      </c>
      <c r="C168" t="s">
        <v>1642</v>
      </c>
      <c r="D168" t="s">
        <v>1643</v>
      </c>
      <c r="E168" t="s">
        <v>1644</v>
      </c>
      <c r="F168" t="s">
        <v>1644</v>
      </c>
      <c r="G168" t="s">
        <v>1645</v>
      </c>
      <c r="H168" t="s">
        <v>1645</v>
      </c>
      <c r="I168" t="s">
        <v>1645</v>
      </c>
      <c r="J168" t="s">
        <v>1645</v>
      </c>
      <c r="K168" t="s">
        <v>1645</v>
      </c>
      <c r="L168" t="s">
        <v>1781</v>
      </c>
      <c r="M168" t="s">
        <v>1782</v>
      </c>
      <c r="N168" t="s">
        <v>192</v>
      </c>
      <c r="O168" t="s">
        <v>1775</v>
      </c>
      <c r="P168" t="s">
        <v>1776</v>
      </c>
      <c r="Q168" t="s">
        <v>1644</v>
      </c>
      <c r="R168" t="s">
        <v>1644</v>
      </c>
      <c r="S168" t="s">
        <v>1644</v>
      </c>
      <c r="T168" t="s">
        <v>1644</v>
      </c>
      <c r="U168" t="s">
        <v>1645</v>
      </c>
    </row>
    <row r="169" spans="1:21" x14ac:dyDescent="0.2">
      <c r="A169" t="s">
        <v>1620</v>
      </c>
      <c r="B169" t="s">
        <v>1749</v>
      </c>
      <c r="C169" t="s">
        <v>1750</v>
      </c>
      <c r="D169" t="s">
        <v>1643</v>
      </c>
      <c r="E169" t="s">
        <v>1644</v>
      </c>
      <c r="F169" t="s">
        <v>1644</v>
      </c>
      <c r="G169" t="s">
        <v>1751</v>
      </c>
      <c r="H169" t="s">
        <v>1645</v>
      </c>
      <c r="I169" t="s">
        <v>1645</v>
      </c>
      <c r="J169" t="s">
        <v>1645</v>
      </c>
      <c r="K169" t="s">
        <v>1645</v>
      </c>
      <c r="L169" t="s">
        <v>1783</v>
      </c>
      <c r="M169" t="s">
        <v>1784</v>
      </c>
      <c r="N169" t="s">
        <v>192</v>
      </c>
      <c r="O169" t="s">
        <v>1785</v>
      </c>
      <c r="P169" t="s">
        <v>1786</v>
      </c>
      <c r="Q169" t="s">
        <v>1644</v>
      </c>
      <c r="R169" t="s">
        <v>1644</v>
      </c>
      <c r="S169" t="s">
        <v>1644</v>
      </c>
      <c r="T169" t="s">
        <v>1644</v>
      </c>
      <c r="U169" t="s">
        <v>1645</v>
      </c>
    </row>
    <row r="170" spans="1:21" x14ac:dyDescent="0.2">
      <c r="A170" t="s">
        <v>1640</v>
      </c>
      <c r="B170" t="s">
        <v>1641</v>
      </c>
      <c r="C170" t="s">
        <v>1642</v>
      </c>
      <c r="D170" t="s">
        <v>1643</v>
      </c>
      <c r="E170" t="s">
        <v>1644</v>
      </c>
      <c r="F170" t="s">
        <v>1644</v>
      </c>
      <c r="G170" t="s">
        <v>1645</v>
      </c>
      <c r="H170" t="s">
        <v>1645</v>
      </c>
      <c r="I170" t="s">
        <v>1645</v>
      </c>
      <c r="J170" t="s">
        <v>1645</v>
      </c>
      <c r="K170" t="s">
        <v>1645</v>
      </c>
      <c r="L170" t="s">
        <v>1783</v>
      </c>
      <c r="M170" t="s">
        <v>1784</v>
      </c>
      <c r="N170" t="s">
        <v>192</v>
      </c>
      <c r="O170" t="s">
        <v>1785</v>
      </c>
      <c r="P170" t="s">
        <v>1786</v>
      </c>
      <c r="Q170" t="s">
        <v>1644</v>
      </c>
      <c r="R170" t="s">
        <v>1644</v>
      </c>
      <c r="S170" t="s">
        <v>1644</v>
      </c>
      <c r="T170" t="s">
        <v>1644</v>
      </c>
      <c r="U170" t="s">
        <v>1645</v>
      </c>
    </row>
    <row r="171" spans="1:21" x14ac:dyDescent="0.2">
      <c r="A171" t="s">
        <v>1649</v>
      </c>
      <c r="B171" t="s">
        <v>1650</v>
      </c>
      <c r="C171" t="s">
        <v>1642</v>
      </c>
      <c r="D171" t="s">
        <v>1643</v>
      </c>
      <c r="E171" t="s">
        <v>1644</v>
      </c>
      <c r="F171" t="s">
        <v>1644</v>
      </c>
      <c r="G171" t="s">
        <v>1645</v>
      </c>
      <c r="H171" t="s">
        <v>1645</v>
      </c>
      <c r="I171" t="s">
        <v>1645</v>
      </c>
      <c r="J171" t="s">
        <v>1645</v>
      </c>
      <c r="K171" t="s">
        <v>1645</v>
      </c>
      <c r="L171" t="s">
        <v>1783</v>
      </c>
      <c r="M171" t="s">
        <v>1784</v>
      </c>
      <c r="N171" t="s">
        <v>192</v>
      </c>
      <c r="O171" t="s">
        <v>1785</v>
      </c>
      <c r="P171" t="s">
        <v>1786</v>
      </c>
      <c r="Q171" t="s">
        <v>1644</v>
      </c>
      <c r="R171" t="s">
        <v>1644</v>
      </c>
      <c r="S171" t="s">
        <v>1644</v>
      </c>
      <c r="T171" t="s">
        <v>1644</v>
      </c>
      <c r="U171" t="s">
        <v>1645</v>
      </c>
    </row>
    <row r="172" spans="1:21" x14ac:dyDescent="0.2">
      <c r="A172" t="s">
        <v>1651</v>
      </c>
      <c r="B172" t="s">
        <v>1652</v>
      </c>
      <c r="C172" t="s">
        <v>1642</v>
      </c>
      <c r="D172" t="s">
        <v>1643</v>
      </c>
      <c r="E172" t="s">
        <v>1644</v>
      </c>
      <c r="F172" t="s">
        <v>1644</v>
      </c>
      <c r="G172" t="s">
        <v>1645</v>
      </c>
      <c r="H172" t="s">
        <v>1645</v>
      </c>
      <c r="I172" t="s">
        <v>1645</v>
      </c>
      <c r="J172" t="s">
        <v>1645</v>
      </c>
      <c r="K172" t="s">
        <v>1645</v>
      </c>
      <c r="L172" t="s">
        <v>1783</v>
      </c>
      <c r="M172" t="s">
        <v>1784</v>
      </c>
      <c r="N172" t="s">
        <v>192</v>
      </c>
      <c r="O172" t="s">
        <v>1785</v>
      </c>
      <c r="P172" t="s">
        <v>1786</v>
      </c>
      <c r="Q172" t="s">
        <v>1644</v>
      </c>
      <c r="R172" t="s">
        <v>1644</v>
      </c>
      <c r="S172" t="s">
        <v>1644</v>
      </c>
      <c r="T172" t="s">
        <v>1644</v>
      </c>
      <c r="U172" t="s">
        <v>1645</v>
      </c>
    </row>
    <row r="173" spans="1:21" x14ac:dyDescent="0.2">
      <c r="A173" t="s">
        <v>1653</v>
      </c>
      <c r="B173" t="s">
        <v>1654</v>
      </c>
      <c r="C173" t="s">
        <v>1642</v>
      </c>
      <c r="D173" t="s">
        <v>1643</v>
      </c>
      <c r="E173" t="s">
        <v>1644</v>
      </c>
      <c r="F173" t="s">
        <v>1644</v>
      </c>
      <c r="G173" t="s">
        <v>1645</v>
      </c>
      <c r="H173" t="s">
        <v>1645</v>
      </c>
      <c r="I173" t="s">
        <v>1645</v>
      </c>
      <c r="J173" t="s">
        <v>1645</v>
      </c>
      <c r="K173" t="s">
        <v>1645</v>
      </c>
      <c r="L173" t="s">
        <v>1783</v>
      </c>
      <c r="M173" t="s">
        <v>1784</v>
      </c>
      <c r="N173" t="s">
        <v>192</v>
      </c>
      <c r="O173" t="s">
        <v>1785</v>
      </c>
      <c r="P173" t="s">
        <v>1786</v>
      </c>
      <c r="Q173" t="s">
        <v>1644</v>
      </c>
      <c r="R173" t="s">
        <v>1644</v>
      </c>
      <c r="S173" t="s">
        <v>1644</v>
      </c>
      <c r="T173" t="s">
        <v>1644</v>
      </c>
      <c r="U173" t="s">
        <v>1645</v>
      </c>
    </row>
    <row r="174" spans="1:21" x14ac:dyDescent="0.2">
      <c r="A174" t="s">
        <v>1655</v>
      </c>
      <c r="B174" t="s">
        <v>1656</v>
      </c>
      <c r="C174" t="s">
        <v>1642</v>
      </c>
      <c r="D174" t="s">
        <v>1643</v>
      </c>
      <c r="E174" t="s">
        <v>1644</v>
      </c>
      <c r="F174" t="s">
        <v>1644</v>
      </c>
      <c r="G174" t="s">
        <v>1645</v>
      </c>
      <c r="H174" t="s">
        <v>1645</v>
      </c>
      <c r="I174" t="s">
        <v>1645</v>
      </c>
      <c r="J174" t="s">
        <v>1645</v>
      </c>
      <c r="K174" t="s">
        <v>1645</v>
      </c>
      <c r="L174" t="s">
        <v>1783</v>
      </c>
      <c r="M174" t="s">
        <v>1784</v>
      </c>
      <c r="N174" t="s">
        <v>192</v>
      </c>
      <c r="O174" t="s">
        <v>1785</v>
      </c>
      <c r="P174" t="s">
        <v>1786</v>
      </c>
      <c r="Q174" t="s">
        <v>1644</v>
      </c>
      <c r="R174" t="s">
        <v>1644</v>
      </c>
      <c r="S174" t="s">
        <v>1644</v>
      </c>
      <c r="T174" t="s">
        <v>1644</v>
      </c>
      <c r="U174" t="s">
        <v>1645</v>
      </c>
    </row>
    <row r="175" spans="1:21" x14ac:dyDescent="0.2">
      <c r="A175" t="s">
        <v>1657</v>
      </c>
      <c r="B175" t="s">
        <v>1658</v>
      </c>
      <c r="C175" t="s">
        <v>1642</v>
      </c>
      <c r="D175" t="s">
        <v>1643</v>
      </c>
      <c r="E175" t="s">
        <v>1644</v>
      </c>
      <c r="F175" t="s">
        <v>1644</v>
      </c>
      <c r="G175" t="s">
        <v>1645</v>
      </c>
      <c r="H175" t="s">
        <v>1645</v>
      </c>
      <c r="I175" t="s">
        <v>1645</v>
      </c>
      <c r="J175" t="s">
        <v>1645</v>
      </c>
      <c r="K175" t="s">
        <v>1645</v>
      </c>
      <c r="L175" t="s">
        <v>1783</v>
      </c>
      <c r="M175" t="s">
        <v>1784</v>
      </c>
      <c r="N175" t="s">
        <v>192</v>
      </c>
      <c r="O175" t="s">
        <v>1785</v>
      </c>
      <c r="P175" t="s">
        <v>1786</v>
      </c>
      <c r="Q175" t="s">
        <v>1644</v>
      </c>
      <c r="R175" t="s">
        <v>1644</v>
      </c>
      <c r="S175" t="s">
        <v>1644</v>
      </c>
      <c r="T175" t="s">
        <v>1644</v>
      </c>
      <c r="U175" t="s">
        <v>1645</v>
      </c>
    </row>
    <row r="176" spans="1:21" x14ac:dyDescent="0.2">
      <c r="A176" t="s">
        <v>1659</v>
      </c>
      <c r="B176" t="s">
        <v>1660</v>
      </c>
      <c r="C176" t="s">
        <v>1642</v>
      </c>
      <c r="D176" t="s">
        <v>1643</v>
      </c>
      <c r="E176" t="s">
        <v>1644</v>
      </c>
      <c r="F176" t="s">
        <v>1644</v>
      </c>
      <c r="G176" t="s">
        <v>1645</v>
      </c>
      <c r="H176" t="s">
        <v>1645</v>
      </c>
      <c r="I176" t="s">
        <v>1645</v>
      </c>
      <c r="J176" t="s">
        <v>1645</v>
      </c>
      <c r="K176" t="s">
        <v>1645</v>
      </c>
      <c r="L176" t="s">
        <v>1783</v>
      </c>
      <c r="M176" t="s">
        <v>1784</v>
      </c>
      <c r="N176" t="s">
        <v>192</v>
      </c>
      <c r="O176" t="s">
        <v>1785</v>
      </c>
      <c r="P176" t="s">
        <v>1786</v>
      </c>
      <c r="Q176" t="s">
        <v>1644</v>
      </c>
      <c r="R176" t="s">
        <v>1644</v>
      </c>
      <c r="S176" t="s">
        <v>1644</v>
      </c>
      <c r="T176" t="s">
        <v>1644</v>
      </c>
      <c r="U176" t="s">
        <v>1645</v>
      </c>
    </row>
    <row r="177" spans="1:21" x14ac:dyDescent="0.2">
      <c r="A177" t="s">
        <v>1661</v>
      </c>
      <c r="B177" t="s">
        <v>1662</v>
      </c>
      <c r="C177" t="s">
        <v>1642</v>
      </c>
      <c r="D177" t="s">
        <v>1643</v>
      </c>
      <c r="E177" t="s">
        <v>1644</v>
      </c>
      <c r="F177" t="s">
        <v>1644</v>
      </c>
      <c r="G177" t="s">
        <v>1645</v>
      </c>
      <c r="H177" t="s">
        <v>1645</v>
      </c>
      <c r="I177" t="s">
        <v>1645</v>
      </c>
      <c r="J177" t="s">
        <v>1645</v>
      </c>
      <c r="K177" t="s">
        <v>1645</v>
      </c>
      <c r="L177" t="s">
        <v>1783</v>
      </c>
      <c r="M177" t="s">
        <v>1784</v>
      </c>
      <c r="N177" t="s">
        <v>192</v>
      </c>
      <c r="O177" t="s">
        <v>1785</v>
      </c>
      <c r="P177" t="s">
        <v>1786</v>
      </c>
      <c r="Q177" t="s">
        <v>1644</v>
      </c>
      <c r="R177" t="s">
        <v>1644</v>
      </c>
      <c r="S177" t="s">
        <v>1644</v>
      </c>
      <c r="T177" t="s">
        <v>1644</v>
      </c>
      <c r="U177" t="s">
        <v>1645</v>
      </c>
    </row>
    <row r="178" spans="1:21" x14ac:dyDescent="0.2">
      <c r="A178" t="s">
        <v>1663</v>
      </c>
      <c r="B178" t="s">
        <v>1664</v>
      </c>
      <c r="C178" t="s">
        <v>1642</v>
      </c>
      <c r="D178" t="s">
        <v>1643</v>
      </c>
      <c r="E178" t="s">
        <v>1644</v>
      </c>
      <c r="F178" t="s">
        <v>1644</v>
      </c>
      <c r="G178" t="s">
        <v>1645</v>
      </c>
      <c r="H178" t="s">
        <v>1645</v>
      </c>
      <c r="I178" t="s">
        <v>1645</v>
      </c>
      <c r="J178" t="s">
        <v>1645</v>
      </c>
      <c r="K178" t="s">
        <v>1645</v>
      </c>
      <c r="L178" t="s">
        <v>1783</v>
      </c>
      <c r="M178" t="s">
        <v>1784</v>
      </c>
      <c r="N178" t="s">
        <v>192</v>
      </c>
      <c r="O178" t="s">
        <v>1785</v>
      </c>
      <c r="P178" t="s">
        <v>1786</v>
      </c>
      <c r="Q178" t="s">
        <v>1644</v>
      </c>
      <c r="R178" t="s">
        <v>1644</v>
      </c>
      <c r="S178" t="s">
        <v>1644</v>
      </c>
      <c r="T178" t="s">
        <v>1644</v>
      </c>
      <c r="U178" t="s">
        <v>1645</v>
      </c>
    </row>
    <row r="179" spans="1:21" x14ac:dyDescent="0.2">
      <c r="A179" t="s">
        <v>1665</v>
      </c>
      <c r="B179" t="s">
        <v>1666</v>
      </c>
      <c r="C179" t="s">
        <v>1642</v>
      </c>
      <c r="D179" t="s">
        <v>1643</v>
      </c>
      <c r="E179" t="s">
        <v>1644</v>
      </c>
      <c r="F179" t="s">
        <v>1644</v>
      </c>
      <c r="G179" t="s">
        <v>1645</v>
      </c>
      <c r="H179" t="s">
        <v>1645</v>
      </c>
      <c r="I179" t="s">
        <v>1645</v>
      </c>
      <c r="J179" t="s">
        <v>1645</v>
      </c>
      <c r="K179" t="s">
        <v>1645</v>
      </c>
      <c r="L179" t="s">
        <v>1783</v>
      </c>
      <c r="M179" t="s">
        <v>1784</v>
      </c>
      <c r="N179" t="s">
        <v>192</v>
      </c>
      <c r="O179" t="s">
        <v>1785</v>
      </c>
      <c r="P179" t="s">
        <v>1786</v>
      </c>
      <c r="Q179" t="s">
        <v>1644</v>
      </c>
      <c r="R179" t="s">
        <v>1644</v>
      </c>
      <c r="S179" t="s">
        <v>1644</v>
      </c>
      <c r="T179" t="s">
        <v>1644</v>
      </c>
      <c r="U179" t="s">
        <v>1645</v>
      </c>
    </row>
    <row r="180" spans="1:21" x14ac:dyDescent="0.2">
      <c r="A180" t="s">
        <v>1667</v>
      </c>
      <c r="B180" t="s">
        <v>1668</v>
      </c>
      <c r="C180" t="s">
        <v>1642</v>
      </c>
      <c r="D180" t="s">
        <v>1643</v>
      </c>
      <c r="E180" t="s">
        <v>1644</v>
      </c>
      <c r="F180" t="s">
        <v>1644</v>
      </c>
      <c r="G180" t="s">
        <v>1645</v>
      </c>
      <c r="H180" t="s">
        <v>1645</v>
      </c>
      <c r="I180" t="s">
        <v>1645</v>
      </c>
      <c r="J180" t="s">
        <v>1645</v>
      </c>
      <c r="K180" t="s">
        <v>1645</v>
      </c>
      <c r="L180" t="s">
        <v>1783</v>
      </c>
      <c r="M180" t="s">
        <v>1784</v>
      </c>
      <c r="N180" t="s">
        <v>192</v>
      </c>
      <c r="O180" t="s">
        <v>1785</v>
      </c>
      <c r="P180" t="s">
        <v>1786</v>
      </c>
      <c r="Q180" t="s">
        <v>1644</v>
      </c>
      <c r="R180" t="s">
        <v>1644</v>
      </c>
      <c r="S180" t="s">
        <v>1644</v>
      </c>
      <c r="T180" t="s">
        <v>1644</v>
      </c>
      <c r="U180" t="s">
        <v>1645</v>
      </c>
    </row>
    <row r="181" spans="1:21" x14ac:dyDescent="0.2">
      <c r="A181" t="s">
        <v>1669</v>
      </c>
      <c r="B181" t="s">
        <v>1670</v>
      </c>
      <c r="C181" t="s">
        <v>1642</v>
      </c>
      <c r="D181" t="s">
        <v>1643</v>
      </c>
      <c r="E181" t="s">
        <v>1644</v>
      </c>
      <c r="F181" t="s">
        <v>1644</v>
      </c>
      <c r="G181" t="s">
        <v>1645</v>
      </c>
      <c r="H181" t="s">
        <v>1645</v>
      </c>
      <c r="I181" t="s">
        <v>1645</v>
      </c>
      <c r="J181" t="s">
        <v>1645</v>
      </c>
      <c r="K181" t="s">
        <v>1645</v>
      </c>
      <c r="L181" t="s">
        <v>1783</v>
      </c>
      <c r="M181" t="s">
        <v>1784</v>
      </c>
      <c r="N181" t="s">
        <v>192</v>
      </c>
      <c r="O181" t="s">
        <v>1785</v>
      </c>
      <c r="P181" t="s">
        <v>1786</v>
      </c>
      <c r="Q181" t="s">
        <v>1644</v>
      </c>
      <c r="R181" t="s">
        <v>1644</v>
      </c>
      <c r="S181" t="s">
        <v>1644</v>
      </c>
      <c r="T181" t="s">
        <v>1644</v>
      </c>
      <c r="U181" t="s">
        <v>1645</v>
      </c>
    </row>
    <row r="182" spans="1:21" x14ac:dyDescent="0.2">
      <c r="A182" t="s">
        <v>1671</v>
      </c>
      <c r="B182" t="s">
        <v>1648</v>
      </c>
      <c r="C182" t="s">
        <v>1642</v>
      </c>
      <c r="D182" t="s">
        <v>1643</v>
      </c>
      <c r="E182" t="s">
        <v>1644</v>
      </c>
      <c r="F182" t="s">
        <v>1644</v>
      </c>
      <c r="G182" t="s">
        <v>1645</v>
      </c>
      <c r="H182" t="s">
        <v>1645</v>
      </c>
      <c r="I182" t="s">
        <v>1645</v>
      </c>
      <c r="J182" t="s">
        <v>1645</v>
      </c>
      <c r="K182" t="s">
        <v>1645</v>
      </c>
      <c r="L182" t="s">
        <v>1783</v>
      </c>
      <c r="M182" t="s">
        <v>1784</v>
      </c>
      <c r="N182" t="s">
        <v>192</v>
      </c>
      <c r="O182" t="s">
        <v>1785</v>
      </c>
      <c r="P182" t="s">
        <v>1786</v>
      </c>
      <c r="Q182" t="s">
        <v>1644</v>
      </c>
      <c r="R182" t="s">
        <v>1644</v>
      </c>
      <c r="S182" t="s">
        <v>1644</v>
      </c>
      <c r="T182" t="s">
        <v>1644</v>
      </c>
      <c r="U182" t="s">
        <v>1645</v>
      </c>
    </row>
    <row r="183" spans="1:21" x14ac:dyDescent="0.2">
      <c r="A183" t="s">
        <v>1672</v>
      </c>
      <c r="B183" t="s">
        <v>1673</v>
      </c>
      <c r="C183" t="s">
        <v>1642</v>
      </c>
      <c r="D183" t="s">
        <v>1643</v>
      </c>
      <c r="E183" t="s">
        <v>1644</v>
      </c>
      <c r="F183" t="s">
        <v>1644</v>
      </c>
      <c r="G183" t="s">
        <v>1645</v>
      </c>
      <c r="H183" t="s">
        <v>1645</v>
      </c>
      <c r="I183" t="s">
        <v>1645</v>
      </c>
      <c r="J183" t="s">
        <v>1645</v>
      </c>
      <c r="K183" t="s">
        <v>1645</v>
      </c>
      <c r="L183" t="s">
        <v>1783</v>
      </c>
      <c r="M183" t="s">
        <v>1784</v>
      </c>
      <c r="N183" t="s">
        <v>192</v>
      </c>
      <c r="O183" t="s">
        <v>1785</v>
      </c>
      <c r="P183" t="s">
        <v>1786</v>
      </c>
      <c r="Q183" t="s">
        <v>1644</v>
      </c>
      <c r="R183" t="s">
        <v>1644</v>
      </c>
      <c r="S183" t="s">
        <v>1644</v>
      </c>
      <c r="T183" t="s">
        <v>1644</v>
      </c>
      <c r="U183" t="s">
        <v>1645</v>
      </c>
    </row>
    <row r="184" spans="1:21" x14ac:dyDescent="0.2">
      <c r="A184" t="s">
        <v>1674</v>
      </c>
      <c r="B184" t="s">
        <v>1675</v>
      </c>
      <c r="C184" t="s">
        <v>1642</v>
      </c>
      <c r="D184" t="s">
        <v>1643</v>
      </c>
      <c r="E184" t="s">
        <v>1644</v>
      </c>
      <c r="F184" t="s">
        <v>1644</v>
      </c>
      <c r="G184" t="s">
        <v>1645</v>
      </c>
      <c r="H184" t="s">
        <v>1645</v>
      </c>
      <c r="I184" t="s">
        <v>1645</v>
      </c>
      <c r="J184" t="s">
        <v>1645</v>
      </c>
      <c r="K184" t="s">
        <v>1645</v>
      </c>
      <c r="L184" t="s">
        <v>1783</v>
      </c>
      <c r="M184" t="s">
        <v>1784</v>
      </c>
      <c r="N184" t="s">
        <v>192</v>
      </c>
      <c r="O184" t="s">
        <v>1785</v>
      </c>
      <c r="P184" t="s">
        <v>1786</v>
      </c>
      <c r="Q184" t="s">
        <v>1644</v>
      </c>
      <c r="R184" t="s">
        <v>1644</v>
      </c>
      <c r="S184" t="s">
        <v>1644</v>
      </c>
      <c r="T184" t="s">
        <v>1644</v>
      </c>
      <c r="U184" t="s">
        <v>1645</v>
      </c>
    </row>
    <row r="185" spans="1:21" x14ac:dyDescent="0.2">
      <c r="A185" t="s">
        <v>1676</v>
      </c>
      <c r="B185" t="s">
        <v>1677</v>
      </c>
      <c r="C185" t="s">
        <v>1642</v>
      </c>
      <c r="D185" t="s">
        <v>1643</v>
      </c>
      <c r="E185" t="s">
        <v>1644</v>
      </c>
      <c r="F185" t="s">
        <v>1644</v>
      </c>
      <c r="G185" t="s">
        <v>1645</v>
      </c>
      <c r="H185" t="s">
        <v>1645</v>
      </c>
      <c r="I185" t="s">
        <v>1645</v>
      </c>
      <c r="J185" t="s">
        <v>1645</v>
      </c>
      <c r="K185" t="s">
        <v>1645</v>
      </c>
      <c r="L185" t="s">
        <v>1783</v>
      </c>
      <c r="M185" t="s">
        <v>1784</v>
      </c>
      <c r="N185" t="s">
        <v>192</v>
      </c>
      <c r="O185" t="s">
        <v>1785</v>
      </c>
      <c r="P185" t="s">
        <v>1786</v>
      </c>
      <c r="Q185" t="s">
        <v>1644</v>
      </c>
      <c r="R185" t="s">
        <v>1644</v>
      </c>
      <c r="S185" t="s">
        <v>1644</v>
      </c>
      <c r="T185" t="s">
        <v>1644</v>
      </c>
      <c r="U185" t="s">
        <v>1645</v>
      </c>
    </row>
    <row r="186" spans="1:21" x14ac:dyDescent="0.2">
      <c r="A186" t="s">
        <v>1678</v>
      </c>
      <c r="B186" t="s">
        <v>1679</v>
      </c>
      <c r="C186" t="s">
        <v>1642</v>
      </c>
      <c r="D186" t="s">
        <v>1643</v>
      </c>
      <c r="E186" t="s">
        <v>1644</v>
      </c>
      <c r="F186" t="s">
        <v>1644</v>
      </c>
      <c r="G186" t="s">
        <v>1645</v>
      </c>
      <c r="H186" t="s">
        <v>1645</v>
      </c>
      <c r="I186" t="s">
        <v>1645</v>
      </c>
      <c r="J186" t="s">
        <v>1645</v>
      </c>
      <c r="K186" t="s">
        <v>1645</v>
      </c>
      <c r="L186" t="s">
        <v>1783</v>
      </c>
      <c r="M186" t="s">
        <v>1784</v>
      </c>
      <c r="N186" t="s">
        <v>192</v>
      </c>
      <c r="O186" t="s">
        <v>1785</v>
      </c>
      <c r="P186" t="s">
        <v>1786</v>
      </c>
      <c r="Q186" t="s">
        <v>1644</v>
      </c>
      <c r="R186" t="s">
        <v>1644</v>
      </c>
      <c r="S186" t="s">
        <v>1644</v>
      </c>
      <c r="T186" t="s">
        <v>1644</v>
      </c>
      <c r="U186" t="s">
        <v>1645</v>
      </c>
    </row>
    <row r="187" spans="1:21" x14ac:dyDescent="0.2">
      <c r="A187" t="s">
        <v>1680</v>
      </c>
      <c r="B187" t="s">
        <v>1681</v>
      </c>
      <c r="C187" t="s">
        <v>1642</v>
      </c>
      <c r="D187" t="s">
        <v>1643</v>
      </c>
      <c r="E187" t="s">
        <v>1644</v>
      </c>
      <c r="F187" t="s">
        <v>1644</v>
      </c>
      <c r="G187" t="s">
        <v>1645</v>
      </c>
      <c r="H187" t="s">
        <v>1645</v>
      </c>
      <c r="I187" t="s">
        <v>1645</v>
      </c>
      <c r="J187" t="s">
        <v>1645</v>
      </c>
      <c r="K187" t="s">
        <v>1645</v>
      </c>
      <c r="L187" t="s">
        <v>1783</v>
      </c>
      <c r="M187" t="s">
        <v>1784</v>
      </c>
      <c r="N187" t="s">
        <v>192</v>
      </c>
      <c r="O187" t="s">
        <v>1785</v>
      </c>
      <c r="P187" t="s">
        <v>1786</v>
      </c>
      <c r="Q187" t="s">
        <v>1644</v>
      </c>
      <c r="R187" t="s">
        <v>1644</v>
      </c>
      <c r="S187" t="s">
        <v>1644</v>
      </c>
      <c r="T187" t="s">
        <v>1644</v>
      </c>
      <c r="U187" t="s">
        <v>1645</v>
      </c>
    </row>
    <row r="188" spans="1:21" x14ac:dyDescent="0.2">
      <c r="A188" t="s">
        <v>1682</v>
      </c>
      <c r="B188" t="s">
        <v>1683</v>
      </c>
      <c r="C188" t="s">
        <v>1642</v>
      </c>
      <c r="D188" t="s">
        <v>1643</v>
      </c>
      <c r="E188" t="s">
        <v>1644</v>
      </c>
      <c r="F188" t="s">
        <v>1644</v>
      </c>
      <c r="G188" t="s">
        <v>1645</v>
      </c>
      <c r="H188" t="s">
        <v>1645</v>
      </c>
      <c r="I188" t="s">
        <v>1645</v>
      </c>
      <c r="J188" t="s">
        <v>1645</v>
      </c>
      <c r="K188" t="s">
        <v>1645</v>
      </c>
      <c r="L188" t="s">
        <v>1783</v>
      </c>
      <c r="M188" t="s">
        <v>1784</v>
      </c>
      <c r="N188" t="s">
        <v>192</v>
      </c>
      <c r="O188" t="s">
        <v>1785</v>
      </c>
      <c r="P188" t="s">
        <v>1786</v>
      </c>
      <c r="Q188" t="s">
        <v>1644</v>
      </c>
      <c r="R188" t="s">
        <v>1644</v>
      </c>
      <c r="S188" t="s">
        <v>1644</v>
      </c>
      <c r="T188" t="s">
        <v>1644</v>
      </c>
      <c r="U188" t="s">
        <v>1645</v>
      </c>
    </row>
    <row r="189" spans="1:21" x14ac:dyDescent="0.2">
      <c r="A189" t="s">
        <v>1684</v>
      </c>
      <c r="B189" t="s">
        <v>1685</v>
      </c>
      <c r="C189" t="s">
        <v>1642</v>
      </c>
      <c r="D189" t="s">
        <v>1643</v>
      </c>
      <c r="E189" t="s">
        <v>1644</v>
      </c>
      <c r="F189" t="s">
        <v>1644</v>
      </c>
      <c r="G189" t="s">
        <v>1645</v>
      </c>
      <c r="H189" t="s">
        <v>1645</v>
      </c>
      <c r="I189" t="s">
        <v>1645</v>
      </c>
      <c r="J189" t="s">
        <v>1645</v>
      </c>
      <c r="K189" t="s">
        <v>1645</v>
      </c>
      <c r="L189" t="s">
        <v>1783</v>
      </c>
      <c r="M189" t="s">
        <v>1784</v>
      </c>
      <c r="N189" t="s">
        <v>192</v>
      </c>
      <c r="O189" t="s">
        <v>1785</v>
      </c>
      <c r="P189" t="s">
        <v>1786</v>
      </c>
      <c r="Q189" t="s">
        <v>1644</v>
      </c>
      <c r="R189" t="s">
        <v>1644</v>
      </c>
      <c r="S189" t="s">
        <v>1644</v>
      </c>
      <c r="T189" t="s">
        <v>1644</v>
      </c>
      <c r="U189" t="s">
        <v>1645</v>
      </c>
    </row>
    <row r="190" spans="1:21" x14ac:dyDescent="0.2">
      <c r="A190" t="s">
        <v>1686</v>
      </c>
      <c r="B190" t="s">
        <v>1687</v>
      </c>
      <c r="C190" t="s">
        <v>1642</v>
      </c>
      <c r="D190" t="s">
        <v>1643</v>
      </c>
      <c r="E190" t="s">
        <v>1644</v>
      </c>
      <c r="F190" t="s">
        <v>1644</v>
      </c>
      <c r="G190" t="s">
        <v>1645</v>
      </c>
      <c r="H190" t="s">
        <v>1645</v>
      </c>
      <c r="I190" t="s">
        <v>1645</v>
      </c>
      <c r="J190" t="s">
        <v>1645</v>
      </c>
      <c r="K190" t="s">
        <v>1645</v>
      </c>
      <c r="L190" t="s">
        <v>1783</v>
      </c>
      <c r="M190" t="s">
        <v>1784</v>
      </c>
      <c r="N190" t="s">
        <v>192</v>
      </c>
      <c r="O190" t="s">
        <v>1785</v>
      </c>
      <c r="P190" t="s">
        <v>1786</v>
      </c>
      <c r="Q190" t="s">
        <v>1644</v>
      </c>
      <c r="R190" t="s">
        <v>1644</v>
      </c>
      <c r="S190" t="s">
        <v>1644</v>
      </c>
      <c r="T190" t="s">
        <v>1644</v>
      </c>
      <c r="U190" t="s">
        <v>1645</v>
      </c>
    </row>
    <row r="191" spans="1:21" x14ac:dyDescent="0.2">
      <c r="A191" t="s">
        <v>1688</v>
      </c>
      <c r="B191" t="s">
        <v>1689</v>
      </c>
      <c r="C191" t="s">
        <v>1642</v>
      </c>
      <c r="D191" t="s">
        <v>1643</v>
      </c>
      <c r="E191" t="s">
        <v>1644</v>
      </c>
      <c r="F191" t="s">
        <v>1644</v>
      </c>
      <c r="G191" t="s">
        <v>1645</v>
      </c>
      <c r="H191" t="s">
        <v>1645</v>
      </c>
      <c r="I191" t="s">
        <v>1645</v>
      </c>
      <c r="J191" t="s">
        <v>1645</v>
      </c>
      <c r="K191" t="s">
        <v>1645</v>
      </c>
      <c r="L191" t="s">
        <v>1783</v>
      </c>
      <c r="M191" t="s">
        <v>1784</v>
      </c>
      <c r="N191" t="s">
        <v>192</v>
      </c>
      <c r="O191" t="s">
        <v>1785</v>
      </c>
      <c r="P191" t="s">
        <v>1786</v>
      </c>
      <c r="Q191" t="s">
        <v>1644</v>
      </c>
      <c r="R191" t="s">
        <v>1644</v>
      </c>
      <c r="S191" t="s">
        <v>1644</v>
      </c>
      <c r="T191" t="s">
        <v>1644</v>
      </c>
      <c r="U191" t="s">
        <v>1645</v>
      </c>
    </row>
    <row r="192" spans="1:21" x14ac:dyDescent="0.2">
      <c r="A192" t="s">
        <v>1690</v>
      </c>
      <c r="B192" t="s">
        <v>1691</v>
      </c>
      <c r="C192" t="s">
        <v>1642</v>
      </c>
      <c r="D192" t="s">
        <v>1643</v>
      </c>
      <c r="E192" t="s">
        <v>1644</v>
      </c>
      <c r="F192" t="s">
        <v>1644</v>
      </c>
      <c r="G192" t="s">
        <v>1645</v>
      </c>
      <c r="H192" t="s">
        <v>1645</v>
      </c>
      <c r="I192" t="s">
        <v>1645</v>
      </c>
      <c r="J192" t="s">
        <v>1645</v>
      </c>
      <c r="K192" t="s">
        <v>1645</v>
      </c>
      <c r="L192" t="s">
        <v>1783</v>
      </c>
      <c r="M192" t="s">
        <v>1784</v>
      </c>
      <c r="N192" t="s">
        <v>192</v>
      </c>
      <c r="O192" t="s">
        <v>1785</v>
      </c>
      <c r="P192" t="s">
        <v>1786</v>
      </c>
      <c r="Q192" t="s">
        <v>1644</v>
      </c>
      <c r="R192" t="s">
        <v>1644</v>
      </c>
      <c r="S192" t="s">
        <v>1644</v>
      </c>
      <c r="T192" t="s">
        <v>1644</v>
      </c>
      <c r="U192" t="s">
        <v>1645</v>
      </c>
    </row>
    <row r="193" spans="1:21" x14ac:dyDescent="0.2">
      <c r="A193" t="s">
        <v>1692</v>
      </c>
      <c r="B193" t="s">
        <v>1693</v>
      </c>
      <c r="C193" t="s">
        <v>1642</v>
      </c>
      <c r="D193" t="s">
        <v>1643</v>
      </c>
      <c r="E193" t="s">
        <v>1644</v>
      </c>
      <c r="F193" t="s">
        <v>1644</v>
      </c>
      <c r="G193" t="s">
        <v>1645</v>
      </c>
      <c r="H193" t="s">
        <v>1645</v>
      </c>
      <c r="I193" t="s">
        <v>1645</v>
      </c>
      <c r="J193" t="s">
        <v>1645</v>
      </c>
      <c r="K193" t="s">
        <v>1645</v>
      </c>
      <c r="L193" t="s">
        <v>1783</v>
      </c>
      <c r="M193" t="s">
        <v>1784</v>
      </c>
      <c r="N193" t="s">
        <v>192</v>
      </c>
      <c r="O193" t="s">
        <v>1785</v>
      </c>
      <c r="P193" t="s">
        <v>1786</v>
      </c>
      <c r="Q193" t="s">
        <v>1644</v>
      </c>
      <c r="R193" t="s">
        <v>1644</v>
      </c>
      <c r="S193" t="s">
        <v>1644</v>
      </c>
      <c r="T193" t="s">
        <v>1644</v>
      </c>
      <c r="U193" t="s">
        <v>1645</v>
      </c>
    </row>
    <row r="194" spans="1:21" x14ac:dyDescent="0.2">
      <c r="A194" t="s">
        <v>1694</v>
      </c>
      <c r="B194" t="s">
        <v>1695</v>
      </c>
      <c r="C194" t="s">
        <v>1642</v>
      </c>
      <c r="D194" t="s">
        <v>1643</v>
      </c>
      <c r="E194" t="s">
        <v>1644</v>
      </c>
      <c r="F194" t="s">
        <v>1644</v>
      </c>
      <c r="G194" t="s">
        <v>1645</v>
      </c>
      <c r="H194" t="s">
        <v>1645</v>
      </c>
      <c r="I194" t="s">
        <v>1645</v>
      </c>
      <c r="J194" t="s">
        <v>1645</v>
      </c>
      <c r="K194" t="s">
        <v>1645</v>
      </c>
      <c r="L194" t="s">
        <v>1783</v>
      </c>
      <c r="M194" t="s">
        <v>1784</v>
      </c>
      <c r="N194" t="s">
        <v>192</v>
      </c>
      <c r="O194" t="s">
        <v>1785</v>
      </c>
      <c r="P194" t="s">
        <v>1786</v>
      </c>
      <c r="Q194" t="s">
        <v>1644</v>
      </c>
      <c r="R194" t="s">
        <v>1644</v>
      </c>
      <c r="S194" t="s">
        <v>1644</v>
      </c>
      <c r="T194" t="s">
        <v>1644</v>
      </c>
      <c r="U194" t="s">
        <v>1645</v>
      </c>
    </row>
    <row r="195" spans="1:21" x14ac:dyDescent="0.2">
      <c r="A195" t="s">
        <v>1696</v>
      </c>
      <c r="B195" t="s">
        <v>1697</v>
      </c>
      <c r="C195" t="s">
        <v>1642</v>
      </c>
      <c r="D195" t="s">
        <v>1643</v>
      </c>
      <c r="E195" t="s">
        <v>1644</v>
      </c>
      <c r="F195" t="s">
        <v>1644</v>
      </c>
      <c r="G195" t="s">
        <v>1645</v>
      </c>
      <c r="H195" t="s">
        <v>1645</v>
      </c>
      <c r="I195" t="s">
        <v>1645</v>
      </c>
      <c r="J195" t="s">
        <v>1645</v>
      </c>
      <c r="K195" t="s">
        <v>1645</v>
      </c>
      <c r="L195" t="s">
        <v>1783</v>
      </c>
      <c r="M195" t="s">
        <v>1784</v>
      </c>
      <c r="N195" t="s">
        <v>192</v>
      </c>
      <c r="O195" t="s">
        <v>1785</v>
      </c>
      <c r="P195" t="s">
        <v>1786</v>
      </c>
      <c r="Q195" t="s">
        <v>1644</v>
      </c>
      <c r="R195" t="s">
        <v>1644</v>
      </c>
      <c r="S195" t="s">
        <v>1644</v>
      </c>
      <c r="T195" t="s">
        <v>1644</v>
      </c>
      <c r="U195" t="s">
        <v>1645</v>
      </c>
    </row>
    <row r="196" spans="1:21" x14ac:dyDescent="0.2">
      <c r="A196" t="s">
        <v>1698</v>
      </c>
      <c r="B196" t="s">
        <v>1699</v>
      </c>
      <c r="C196" t="s">
        <v>1642</v>
      </c>
      <c r="D196" t="s">
        <v>1643</v>
      </c>
      <c r="E196" t="s">
        <v>1644</v>
      </c>
      <c r="F196" t="s">
        <v>1644</v>
      </c>
      <c r="G196" t="s">
        <v>1645</v>
      </c>
      <c r="H196" t="s">
        <v>1645</v>
      </c>
      <c r="I196" t="s">
        <v>1645</v>
      </c>
      <c r="J196" t="s">
        <v>1645</v>
      </c>
      <c r="K196" t="s">
        <v>1645</v>
      </c>
      <c r="L196" t="s">
        <v>1783</v>
      </c>
      <c r="M196" t="s">
        <v>1784</v>
      </c>
      <c r="N196" t="s">
        <v>192</v>
      </c>
      <c r="O196" t="s">
        <v>1785</v>
      </c>
      <c r="P196" t="s">
        <v>1786</v>
      </c>
      <c r="Q196" t="s">
        <v>1644</v>
      </c>
      <c r="R196" t="s">
        <v>1644</v>
      </c>
      <c r="S196" t="s">
        <v>1644</v>
      </c>
      <c r="T196" t="s">
        <v>1644</v>
      </c>
      <c r="U196" t="s">
        <v>1645</v>
      </c>
    </row>
    <row r="197" spans="1:21" x14ac:dyDescent="0.2">
      <c r="A197" t="s">
        <v>1700</v>
      </c>
      <c r="B197" t="s">
        <v>1701</v>
      </c>
      <c r="C197" t="s">
        <v>1642</v>
      </c>
      <c r="D197" t="s">
        <v>1643</v>
      </c>
      <c r="E197" t="s">
        <v>1644</v>
      </c>
      <c r="F197" t="s">
        <v>1644</v>
      </c>
      <c r="G197" t="s">
        <v>1645</v>
      </c>
      <c r="H197" t="s">
        <v>1645</v>
      </c>
      <c r="I197" t="s">
        <v>1645</v>
      </c>
      <c r="J197" t="s">
        <v>1645</v>
      </c>
      <c r="K197" t="s">
        <v>1645</v>
      </c>
      <c r="L197" t="s">
        <v>1783</v>
      </c>
      <c r="M197" t="s">
        <v>1784</v>
      </c>
      <c r="N197" t="s">
        <v>192</v>
      </c>
      <c r="O197" t="s">
        <v>1785</v>
      </c>
      <c r="P197" t="s">
        <v>1786</v>
      </c>
      <c r="Q197" t="s">
        <v>1644</v>
      </c>
      <c r="R197" t="s">
        <v>1644</v>
      </c>
      <c r="S197" t="s">
        <v>1644</v>
      </c>
      <c r="T197" t="s">
        <v>1644</v>
      </c>
      <c r="U197" t="s">
        <v>1645</v>
      </c>
    </row>
    <row r="198" spans="1:21" x14ac:dyDescent="0.2">
      <c r="A198" t="s">
        <v>1702</v>
      </c>
      <c r="B198" t="s">
        <v>1703</v>
      </c>
      <c r="C198" t="s">
        <v>1642</v>
      </c>
      <c r="D198" t="s">
        <v>1643</v>
      </c>
      <c r="E198" t="s">
        <v>1644</v>
      </c>
      <c r="F198" t="s">
        <v>1644</v>
      </c>
      <c r="G198" t="s">
        <v>1645</v>
      </c>
      <c r="H198" t="s">
        <v>1645</v>
      </c>
      <c r="I198" t="s">
        <v>1645</v>
      </c>
      <c r="J198" t="s">
        <v>1645</v>
      </c>
      <c r="K198" t="s">
        <v>1645</v>
      </c>
      <c r="L198" t="s">
        <v>1783</v>
      </c>
      <c r="M198" t="s">
        <v>1784</v>
      </c>
      <c r="N198" t="s">
        <v>192</v>
      </c>
      <c r="O198" t="s">
        <v>1785</v>
      </c>
      <c r="P198" t="s">
        <v>1786</v>
      </c>
      <c r="Q198" t="s">
        <v>1644</v>
      </c>
      <c r="R198" t="s">
        <v>1644</v>
      </c>
      <c r="S198" t="s">
        <v>1644</v>
      </c>
      <c r="T198" t="s">
        <v>1644</v>
      </c>
      <c r="U198" t="s">
        <v>1645</v>
      </c>
    </row>
    <row r="199" spans="1:21" x14ac:dyDescent="0.2">
      <c r="A199" t="s">
        <v>1704</v>
      </c>
      <c r="B199" t="s">
        <v>1705</v>
      </c>
      <c r="C199" t="s">
        <v>1642</v>
      </c>
      <c r="D199" t="s">
        <v>1643</v>
      </c>
      <c r="E199" t="s">
        <v>1644</v>
      </c>
      <c r="F199" t="s">
        <v>1644</v>
      </c>
      <c r="G199" t="s">
        <v>1645</v>
      </c>
      <c r="H199" t="s">
        <v>1645</v>
      </c>
      <c r="I199" t="s">
        <v>1645</v>
      </c>
      <c r="J199" t="s">
        <v>1645</v>
      </c>
      <c r="K199" t="s">
        <v>1645</v>
      </c>
      <c r="L199" t="s">
        <v>1783</v>
      </c>
      <c r="M199" t="s">
        <v>1784</v>
      </c>
      <c r="N199" t="s">
        <v>192</v>
      </c>
      <c r="O199" t="s">
        <v>1785</v>
      </c>
      <c r="P199" t="s">
        <v>1786</v>
      </c>
      <c r="Q199" t="s">
        <v>1644</v>
      </c>
      <c r="R199" t="s">
        <v>1644</v>
      </c>
      <c r="S199" t="s">
        <v>1644</v>
      </c>
      <c r="T199" t="s">
        <v>1644</v>
      </c>
      <c r="U199" t="s">
        <v>1645</v>
      </c>
    </row>
    <row r="200" spans="1:21" x14ac:dyDescent="0.2">
      <c r="A200" t="s">
        <v>1706</v>
      </c>
      <c r="B200" t="s">
        <v>1707</v>
      </c>
      <c r="C200" t="s">
        <v>1642</v>
      </c>
      <c r="D200" t="s">
        <v>1643</v>
      </c>
      <c r="E200" t="s">
        <v>1644</v>
      </c>
      <c r="F200" t="s">
        <v>1644</v>
      </c>
      <c r="G200" t="s">
        <v>1645</v>
      </c>
      <c r="H200" t="s">
        <v>1645</v>
      </c>
      <c r="I200" t="s">
        <v>1645</v>
      </c>
      <c r="J200" t="s">
        <v>1645</v>
      </c>
      <c r="K200" t="s">
        <v>1645</v>
      </c>
      <c r="L200" t="s">
        <v>1783</v>
      </c>
      <c r="M200" t="s">
        <v>1784</v>
      </c>
      <c r="N200" t="s">
        <v>192</v>
      </c>
      <c r="O200" t="s">
        <v>1785</v>
      </c>
      <c r="P200" t="s">
        <v>1786</v>
      </c>
      <c r="Q200" t="s">
        <v>1644</v>
      </c>
      <c r="R200" t="s">
        <v>1644</v>
      </c>
      <c r="S200" t="s">
        <v>1644</v>
      </c>
      <c r="T200" t="s">
        <v>1644</v>
      </c>
      <c r="U200" t="s">
        <v>1645</v>
      </c>
    </row>
    <row r="201" spans="1:21" x14ac:dyDescent="0.2">
      <c r="A201" t="s">
        <v>1708</v>
      </c>
      <c r="B201" t="s">
        <v>1709</v>
      </c>
      <c r="C201" t="s">
        <v>1642</v>
      </c>
      <c r="D201" t="s">
        <v>1643</v>
      </c>
      <c r="E201" t="s">
        <v>1644</v>
      </c>
      <c r="F201" t="s">
        <v>1644</v>
      </c>
      <c r="G201" t="s">
        <v>1645</v>
      </c>
      <c r="H201" t="s">
        <v>1645</v>
      </c>
      <c r="I201" t="s">
        <v>1645</v>
      </c>
      <c r="J201" t="s">
        <v>1645</v>
      </c>
      <c r="K201" t="s">
        <v>1645</v>
      </c>
      <c r="L201" t="s">
        <v>1783</v>
      </c>
      <c r="M201" t="s">
        <v>1784</v>
      </c>
      <c r="N201" t="s">
        <v>192</v>
      </c>
      <c r="O201" t="s">
        <v>1785</v>
      </c>
      <c r="P201" t="s">
        <v>1786</v>
      </c>
      <c r="Q201" t="s">
        <v>1644</v>
      </c>
      <c r="R201" t="s">
        <v>1644</v>
      </c>
      <c r="S201" t="s">
        <v>1644</v>
      </c>
      <c r="T201" t="s">
        <v>1644</v>
      </c>
      <c r="U201" t="s">
        <v>1645</v>
      </c>
    </row>
    <row r="202" spans="1:21" x14ac:dyDescent="0.2">
      <c r="A202" t="s">
        <v>1710</v>
      </c>
      <c r="B202" t="s">
        <v>1711</v>
      </c>
      <c r="C202" t="s">
        <v>1642</v>
      </c>
      <c r="D202" t="s">
        <v>1643</v>
      </c>
      <c r="E202" t="s">
        <v>1644</v>
      </c>
      <c r="F202" t="s">
        <v>1644</v>
      </c>
      <c r="G202" t="s">
        <v>1645</v>
      </c>
      <c r="H202" t="s">
        <v>1645</v>
      </c>
      <c r="I202" t="s">
        <v>1645</v>
      </c>
      <c r="J202" t="s">
        <v>1645</v>
      </c>
      <c r="K202" t="s">
        <v>1645</v>
      </c>
      <c r="L202" t="s">
        <v>1783</v>
      </c>
      <c r="M202" t="s">
        <v>1784</v>
      </c>
      <c r="N202" t="s">
        <v>192</v>
      </c>
      <c r="O202" t="s">
        <v>1785</v>
      </c>
      <c r="P202" t="s">
        <v>1786</v>
      </c>
      <c r="Q202" t="s">
        <v>1644</v>
      </c>
      <c r="R202" t="s">
        <v>1644</v>
      </c>
      <c r="S202" t="s">
        <v>1644</v>
      </c>
      <c r="T202" t="s">
        <v>1644</v>
      </c>
      <c r="U202" t="s">
        <v>1645</v>
      </c>
    </row>
    <row r="203" spans="1:21" x14ac:dyDescent="0.2">
      <c r="A203" t="s">
        <v>1712</v>
      </c>
      <c r="B203" t="s">
        <v>1713</v>
      </c>
      <c r="C203" t="s">
        <v>1642</v>
      </c>
      <c r="D203" t="s">
        <v>1643</v>
      </c>
      <c r="E203" t="s">
        <v>1644</v>
      </c>
      <c r="F203" t="s">
        <v>1644</v>
      </c>
      <c r="G203" t="s">
        <v>1645</v>
      </c>
      <c r="H203" t="s">
        <v>1645</v>
      </c>
      <c r="I203" t="s">
        <v>1645</v>
      </c>
      <c r="J203" t="s">
        <v>1645</v>
      </c>
      <c r="K203" t="s">
        <v>1645</v>
      </c>
      <c r="L203" t="s">
        <v>1783</v>
      </c>
      <c r="M203" t="s">
        <v>1784</v>
      </c>
      <c r="N203" t="s">
        <v>192</v>
      </c>
      <c r="O203" t="s">
        <v>1785</v>
      </c>
      <c r="P203" t="s">
        <v>1786</v>
      </c>
      <c r="Q203" t="s">
        <v>1644</v>
      </c>
      <c r="R203" t="s">
        <v>1644</v>
      </c>
      <c r="S203" t="s">
        <v>1644</v>
      </c>
      <c r="T203" t="s">
        <v>1644</v>
      </c>
      <c r="U203" t="s">
        <v>1645</v>
      </c>
    </row>
    <row r="204" spans="1:21" x14ac:dyDescent="0.2">
      <c r="A204" t="s">
        <v>1714</v>
      </c>
      <c r="B204" t="s">
        <v>1715</v>
      </c>
      <c r="C204" t="s">
        <v>1642</v>
      </c>
      <c r="D204" t="s">
        <v>1643</v>
      </c>
      <c r="E204" t="s">
        <v>1644</v>
      </c>
      <c r="F204" t="s">
        <v>1644</v>
      </c>
      <c r="G204" t="s">
        <v>1645</v>
      </c>
      <c r="H204" t="s">
        <v>1645</v>
      </c>
      <c r="I204" t="s">
        <v>1645</v>
      </c>
      <c r="J204" t="s">
        <v>1645</v>
      </c>
      <c r="K204" t="s">
        <v>1645</v>
      </c>
      <c r="L204" t="s">
        <v>1783</v>
      </c>
      <c r="M204" t="s">
        <v>1784</v>
      </c>
      <c r="N204" t="s">
        <v>192</v>
      </c>
      <c r="O204" t="s">
        <v>1785</v>
      </c>
      <c r="P204" t="s">
        <v>1786</v>
      </c>
      <c r="Q204" t="s">
        <v>1644</v>
      </c>
      <c r="R204" t="s">
        <v>1644</v>
      </c>
      <c r="S204" t="s">
        <v>1644</v>
      </c>
      <c r="T204" t="s">
        <v>1644</v>
      </c>
      <c r="U204" t="s">
        <v>1645</v>
      </c>
    </row>
    <row r="205" spans="1:21" x14ac:dyDescent="0.2">
      <c r="A205" t="s">
        <v>1716</v>
      </c>
      <c r="B205" t="s">
        <v>1717</v>
      </c>
      <c r="C205" t="s">
        <v>1642</v>
      </c>
      <c r="D205" t="s">
        <v>1643</v>
      </c>
      <c r="E205" t="s">
        <v>1644</v>
      </c>
      <c r="F205" t="s">
        <v>1644</v>
      </c>
      <c r="G205" t="s">
        <v>1645</v>
      </c>
      <c r="H205" t="s">
        <v>1645</v>
      </c>
      <c r="I205" t="s">
        <v>1645</v>
      </c>
      <c r="J205" t="s">
        <v>1645</v>
      </c>
      <c r="K205" t="s">
        <v>1645</v>
      </c>
      <c r="L205" t="s">
        <v>1783</v>
      </c>
      <c r="M205" t="s">
        <v>1784</v>
      </c>
      <c r="N205" t="s">
        <v>192</v>
      </c>
      <c r="O205" t="s">
        <v>1785</v>
      </c>
      <c r="P205" t="s">
        <v>1786</v>
      </c>
      <c r="Q205" t="s">
        <v>1644</v>
      </c>
      <c r="R205" t="s">
        <v>1644</v>
      </c>
      <c r="S205" t="s">
        <v>1644</v>
      </c>
      <c r="T205" t="s">
        <v>1644</v>
      </c>
      <c r="U205" t="s">
        <v>1645</v>
      </c>
    </row>
    <row r="206" spans="1:21" x14ac:dyDescent="0.2">
      <c r="A206" t="s">
        <v>1718</v>
      </c>
      <c r="B206" t="s">
        <v>1719</v>
      </c>
      <c r="C206" t="s">
        <v>1642</v>
      </c>
      <c r="D206" t="s">
        <v>1643</v>
      </c>
      <c r="E206" t="s">
        <v>1644</v>
      </c>
      <c r="F206" t="s">
        <v>1644</v>
      </c>
      <c r="G206" t="s">
        <v>1645</v>
      </c>
      <c r="H206" t="s">
        <v>1645</v>
      </c>
      <c r="I206" t="s">
        <v>1645</v>
      </c>
      <c r="J206" t="s">
        <v>1645</v>
      </c>
      <c r="K206" t="s">
        <v>1645</v>
      </c>
      <c r="L206" t="s">
        <v>1783</v>
      </c>
      <c r="M206" t="s">
        <v>1784</v>
      </c>
      <c r="N206" t="s">
        <v>192</v>
      </c>
      <c r="O206" t="s">
        <v>1785</v>
      </c>
      <c r="P206" t="s">
        <v>1786</v>
      </c>
      <c r="Q206" t="s">
        <v>1644</v>
      </c>
      <c r="R206" t="s">
        <v>1644</v>
      </c>
      <c r="S206" t="s">
        <v>1644</v>
      </c>
      <c r="T206" t="s">
        <v>1644</v>
      </c>
      <c r="U206" t="s">
        <v>1645</v>
      </c>
    </row>
    <row r="207" spans="1:21" x14ac:dyDescent="0.2">
      <c r="A207" t="s">
        <v>1720</v>
      </c>
      <c r="B207" t="s">
        <v>1721</v>
      </c>
      <c r="C207" t="s">
        <v>1642</v>
      </c>
      <c r="D207" t="s">
        <v>1643</v>
      </c>
      <c r="E207" t="s">
        <v>1644</v>
      </c>
      <c r="F207" t="s">
        <v>1644</v>
      </c>
      <c r="G207" t="s">
        <v>1645</v>
      </c>
      <c r="H207" t="s">
        <v>1645</v>
      </c>
      <c r="I207" t="s">
        <v>1645</v>
      </c>
      <c r="J207" t="s">
        <v>1645</v>
      </c>
      <c r="K207" t="s">
        <v>1645</v>
      </c>
      <c r="L207" t="s">
        <v>1783</v>
      </c>
      <c r="M207" t="s">
        <v>1784</v>
      </c>
      <c r="N207" t="s">
        <v>192</v>
      </c>
      <c r="O207" t="s">
        <v>1785</v>
      </c>
      <c r="P207" t="s">
        <v>1786</v>
      </c>
      <c r="Q207" t="s">
        <v>1644</v>
      </c>
      <c r="R207" t="s">
        <v>1644</v>
      </c>
      <c r="S207" t="s">
        <v>1644</v>
      </c>
      <c r="T207" t="s">
        <v>1644</v>
      </c>
      <c r="U207" t="s">
        <v>1645</v>
      </c>
    </row>
    <row r="208" spans="1:21" x14ac:dyDescent="0.2">
      <c r="A208" t="s">
        <v>1722</v>
      </c>
      <c r="B208" t="s">
        <v>1723</v>
      </c>
      <c r="C208" t="s">
        <v>1642</v>
      </c>
      <c r="D208" t="s">
        <v>1643</v>
      </c>
      <c r="E208" t="s">
        <v>1644</v>
      </c>
      <c r="F208" t="s">
        <v>1644</v>
      </c>
      <c r="G208" t="s">
        <v>1645</v>
      </c>
      <c r="H208" t="s">
        <v>1645</v>
      </c>
      <c r="I208" t="s">
        <v>1645</v>
      </c>
      <c r="J208" t="s">
        <v>1645</v>
      </c>
      <c r="K208" t="s">
        <v>1645</v>
      </c>
      <c r="L208" t="s">
        <v>1783</v>
      </c>
      <c r="M208" t="s">
        <v>1784</v>
      </c>
      <c r="N208" t="s">
        <v>192</v>
      </c>
      <c r="O208" t="s">
        <v>1785</v>
      </c>
      <c r="P208" t="s">
        <v>1786</v>
      </c>
      <c r="Q208" t="s">
        <v>1644</v>
      </c>
      <c r="R208" t="s">
        <v>1644</v>
      </c>
      <c r="S208" t="s">
        <v>1644</v>
      </c>
      <c r="T208" t="s">
        <v>1644</v>
      </c>
      <c r="U208" t="s">
        <v>1645</v>
      </c>
    </row>
    <row r="209" spans="1:21" x14ac:dyDescent="0.2">
      <c r="A209" t="s">
        <v>1724</v>
      </c>
      <c r="B209" t="s">
        <v>1725</v>
      </c>
      <c r="C209" t="s">
        <v>1642</v>
      </c>
      <c r="D209" t="s">
        <v>1643</v>
      </c>
      <c r="E209" t="s">
        <v>1644</v>
      </c>
      <c r="F209" t="s">
        <v>1644</v>
      </c>
      <c r="G209" t="s">
        <v>1645</v>
      </c>
      <c r="H209" t="s">
        <v>1645</v>
      </c>
      <c r="I209" t="s">
        <v>1645</v>
      </c>
      <c r="J209" t="s">
        <v>1645</v>
      </c>
      <c r="K209" t="s">
        <v>1645</v>
      </c>
      <c r="L209" t="s">
        <v>1783</v>
      </c>
      <c r="M209" t="s">
        <v>1784</v>
      </c>
      <c r="N209" t="s">
        <v>192</v>
      </c>
      <c r="O209" t="s">
        <v>1785</v>
      </c>
      <c r="P209" t="s">
        <v>1786</v>
      </c>
      <c r="Q209" t="s">
        <v>1644</v>
      </c>
      <c r="R209" t="s">
        <v>1644</v>
      </c>
      <c r="S209" t="s">
        <v>1644</v>
      </c>
      <c r="T209" t="s">
        <v>1644</v>
      </c>
      <c r="U209" t="s">
        <v>1645</v>
      </c>
    </row>
    <row r="210" spans="1:21" x14ac:dyDescent="0.2">
      <c r="A210" t="s">
        <v>1726</v>
      </c>
      <c r="B210" t="s">
        <v>1727</v>
      </c>
      <c r="C210" t="s">
        <v>1642</v>
      </c>
      <c r="D210" t="s">
        <v>1643</v>
      </c>
      <c r="E210" t="s">
        <v>1644</v>
      </c>
      <c r="F210" t="s">
        <v>1644</v>
      </c>
      <c r="G210" t="s">
        <v>1645</v>
      </c>
      <c r="H210" t="s">
        <v>1645</v>
      </c>
      <c r="I210" t="s">
        <v>1645</v>
      </c>
      <c r="J210" t="s">
        <v>1645</v>
      </c>
      <c r="K210" t="s">
        <v>1645</v>
      </c>
      <c r="L210" t="s">
        <v>1783</v>
      </c>
      <c r="M210" t="s">
        <v>1784</v>
      </c>
      <c r="N210" t="s">
        <v>192</v>
      </c>
      <c r="O210" t="s">
        <v>1785</v>
      </c>
      <c r="P210" t="s">
        <v>1786</v>
      </c>
      <c r="Q210" t="s">
        <v>1644</v>
      </c>
      <c r="R210" t="s">
        <v>1644</v>
      </c>
      <c r="S210" t="s">
        <v>1644</v>
      </c>
      <c r="T210" t="s">
        <v>1644</v>
      </c>
      <c r="U210" t="s">
        <v>1645</v>
      </c>
    </row>
    <row r="211" spans="1:21" x14ac:dyDescent="0.2">
      <c r="A211" t="s">
        <v>1728</v>
      </c>
      <c r="B211" t="s">
        <v>1729</v>
      </c>
      <c r="C211" t="s">
        <v>1642</v>
      </c>
      <c r="D211" t="s">
        <v>1643</v>
      </c>
      <c r="E211" t="s">
        <v>1644</v>
      </c>
      <c r="F211" t="s">
        <v>1644</v>
      </c>
      <c r="G211" t="s">
        <v>1645</v>
      </c>
      <c r="H211" t="s">
        <v>1645</v>
      </c>
      <c r="I211" t="s">
        <v>1645</v>
      </c>
      <c r="J211" t="s">
        <v>1645</v>
      </c>
      <c r="K211" t="s">
        <v>1645</v>
      </c>
      <c r="L211" t="s">
        <v>1783</v>
      </c>
      <c r="M211" t="s">
        <v>1784</v>
      </c>
      <c r="N211" t="s">
        <v>192</v>
      </c>
      <c r="O211" t="s">
        <v>1785</v>
      </c>
      <c r="P211" t="s">
        <v>1786</v>
      </c>
      <c r="Q211" t="s">
        <v>1644</v>
      </c>
      <c r="R211" t="s">
        <v>1644</v>
      </c>
      <c r="S211" t="s">
        <v>1644</v>
      </c>
      <c r="T211" t="s">
        <v>1644</v>
      </c>
      <c r="U211" t="s">
        <v>1645</v>
      </c>
    </row>
    <row r="212" spans="1:21" x14ac:dyDescent="0.2">
      <c r="A212" t="s">
        <v>1730</v>
      </c>
      <c r="B212" t="s">
        <v>1731</v>
      </c>
      <c r="C212" t="s">
        <v>1642</v>
      </c>
      <c r="D212" t="s">
        <v>1643</v>
      </c>
      <c r="E212" t="s">
        <v>1644</v>
      </c>
      <c r="F212" t="s">
        <v>1644</v>
      </c>
      <c r="G212" t="s">
        <v>1645</v>
      </c>
      <c r="H212" t="s">
        <v>1645</v>
      </c>
      <c r="I212" t="s">
        <v>1645</v>
      </c>
      <c r="J212" t="s">
        <v>1645</v>
      </c>
      <c r="K212" t="s">
        <v>1645</v>
      </c>
      <c r="L212" t="s">
        <v>1783</v>
      </c>
      <c r="M212" t="s">
        <v>1784</v>
      </c>
      <c r="N212" t="s">
        <v>192</v>
      </c>
      <c r="O212" t="s">
        <v>1785</v>
      </c>
      <c r="P212" t="s">
        <v>1786</v>
      </c>
      <c r="Q212" t="s">
        <v>1644</v>
      </c>
      <c r="R212" t="s">
        <v>1644</v>
      </c>
      <c r="S212" t="s">
        <v>1644</v>
      </c>
      <c r="T212" t="s">
        <v>1644</v>
      </c>
      <c r="U212" t="s">
        <v>1645</v>
      </c>
    </row>
    <row r="213" spans="1:21" x14ac:dyDescent="0.2">
      <c r="A213" t="s">
        <v>1732</v>
      </c>
      <c r="B213" t="s">
        <v>1733</v>
      </c>
      <c r="C213" t="s">
        <v>1642</v>
      </c>
      <c r="D213" t="s">
        <v>1643</v>
      </c>
      <c r="E213" t="s">
        <v>1644</v>
      </c>
      <c r="F213" t="s">
        <v>1644</v>
      </c>
      <c r="G213" t="s">
        <v>1645</v>
      </c>
      <c r="H213" t="s">
        <v>1645</v>
      </c>
      <c r="I213" t="s">
        <v>1645</v>
      </c>
      <c r="J213" t="s">
        <v>1645</v>
      </c>
      <c r="K213" t="s">
        <v>1645</v>
      </c>
      <c r="L213" t="s">
        <v>1783</v>
      </c>
      <c r="M213" t="s">
        <v>1784</v>
      </c>
      <c r="N213" t="s">
        <v>192</v>
      </c>
      <c r="O213" t="s">
        <v>1785</v>
      </c>
      <c r="P213" t="s">
        <v>1786</v>
      </c>
      <c r="Q213" t="s">
        <v>1644</v>
      </c>
      <c r="R213" t="s">
        <v>1644</v>
      </c>
      <c r="S213" t="s">
        <v>1644</v>
      </c>
      <c r="T213" t="s">
        <v>1644</v>
      </c>
      <c r="U213" t="s">
        <v>1645</v>
      </c>
    </row>
    <row r="214" spans="1:21" x14ac:dyDescent="0.2">
      <c r="A214" t="s">
        <v>1734</v>
      </c>
      <c r="B214" t="s">
        <v>1735</v>
      </c>
      <c r="C214" t="s">
        <v>1642</v>
      </c>
      <c r="D214" t="s">
        <v>1643</v>
      </c>
      <c r="E214" t="s">
        <v>1644</v>
      </c>
      <c r="F214" t="s">
        <v>1644</v>
      </c>
      <c r="G214" t="s">
        <v>1645</v>
      </c>
      <c r="H214" t="s">
        <v>1645</v>
      </c>
      <c r="I214" t="s">
        <v>1645</v>
      </c>
      <c r="J214" t="s">
        <v>1645</v>
      </c>
      <c r="K214" t="s">
        <v>1645</v>
      </c>
      <c r="L214" t="s">
        <v>1783</v>
      </c>
      <c r="M214" t="s">
        <v>1784</v>
      </c>
      <c r="N214" t="s">
        <v>192</v>
      </c>
      <c r="O214" t="s">
        <v>1785</v>
      </c>
      <c r="P214" t="s">
        <v>1786</v>
      </c>
      <c r="Q214" t="s">
        <v>1644</v>
      </c>
      <c r="R214" t="s">
        <v>1644</v>
      </c>
      <c r="S214" t="s">
        <v>1644</v>
      </c>
      <c r="T214" t="s">
        <v>1644</v>
      </c>
      <c r="U214" t="s">
        <v>1645</v>
      </c>
    </row>
    <row r="215" spans="1:21" x14ac:dyDescent="0.2">
      <c r="A215" t="s">
        <v>1736</v>
      </c>
      <c r="B215" t="s">
        <v>1737</v>
      </c>
      <c r="C215" t="s">
        <v>1642</v>
      </c>
      <c r="D215" t="s">
        <v>1643</v>
      </c>
      <c r="E215" t="s">
        <v>1644</v>
      </c>
      <c r="F215" t="s">
        <v>1644</v>
      </c>
      <c r="G215" t="s">
        <v>1645</v>
      </c>
      <c r="H215" t="s">
        <v>1645</v>
      </c>
      <c r="I215" t="s">
        <v>1645</v>
      </c>
      <c r="J215" t="s">
        <v>1645</v>
      </c>
      <c r="K215" t="s">
        <v>1645</v>
      </c>
      <c r="L215" t="s">
        <v>1783</v>
      </c>
      <c r="M215" t="s">
        <v>1784</v>
      </c>
      <c r="N215" t="s">
        <v>192</v>
      </c>
      <c r="O215" t="s">
        <v>1785</v>
      </c>
      <c r="P215" t="s">
        <v>1786</v>
      </c>
      <c r="Q215" t="s">
        <v>1644</v>
      </c>
      <c r="R215" t="s">
        <v>1644</v>
      </c>
      <c r="S215" t="s">
        <v>1644</v>
      </c>
      <c r="T215" t="s">
        <v>1644</v>
      </c>
      <c r="U215" t="s">
        <v>1645</v>
      </c>
    </row>
    <row r="216" spans="1:21" x14ac:dyDescent="0.2">
      <c r="A216" t="s">
        <v>1738</v>
      </c>
      <c r="B216" t="s">
        <v>1739</v>
      </c>
      <c r="C216" t="s">
        <v>1642</v>
      </c>
      <c r="D216" t="s">
        <v>1643</v>
      </c>
      <c r="E216" t="s">
        <v>1644</v>
      </c>
      <c r="F216" t="s">
        <v>1644</v>
      </c>
      <c r="G216" t="s">
        <v>1645</v>
      </c>
      <c r="H216" t="s">
        <v>1645</v>
      </c>
      <c r="I216" t="s">
        <v>1645</v>
      </c>
      <c r="J216" t="s">
        <v>1645</v>
      </c>
      <c r="K216" t="s">
        <v>1645</v>
      </c>
      <c r="L216" t="s">
        <v>1783</v>
      </c>
      <c r="M216" t="s">
        <v>1784</v>
      </c>
      <c r="N216" t="s">
        <v>192</v>
      </c>
      <c r="O216" t="s">
        <v>1785</v>
      </c>
      <c r="P216" t="s">
        <v>1786</v>
      </c>
      <c r="Q216" t="s">
        <v>1644</v>
      </c>
      <c r="R216" t="s">
        <v>1644</v>
      </c>
      <c r="S216" t="s">
        <v>1644</v>
      </c>
      <c r="T216" t="s">
        <v>1644</v>
      </c>
      <c r="U216" t="s">
        <v>1645</v>
      </c>
    </row>
    <row r="217" spans="1:21" x14ac:dyDescent="0.2">
      <c r="A217" t="s">
        <v>1740</v>
      </c>
      <c r="B217" t="s">
        <v>1741</v>
      </c>
      <c r="C217" t="s">
        <v>1642</v>
      </c>
      <c r="D217" t="s">
        <v>1643</v>
      </c>
      <c r="E217" t="s">
        <v>1644</v>
      </c>
      <c r="F217" t="s">
        <v>1644</v>
      </c>
      <c r="G217" t="s">
        <v>1645</v>
      </c>
      <c r="H217" t="s">
        <v>1645</v>
      </c>
      <c r="I217" t="s">
        <v>1645</v>
      </c>
      <c r="J217" t="s">
        <v>1645</v>
      </c>
      <c r="K217" t="s">
        <v>1645</v>
      </c>
      <c r="L217" t="s">
        <v>1783</v>
      </c>
      <c r="M217" t="s">
        <v>1784</v>
      </c>
      <c r="N217" t="s">
        <v>192</v>
      </c>
      <c r="O217" t="s">
        <v>1785</v>
      </c>
      <c r="P217" t="s">
        <v>1786</v>
      </c>
      <c r="Q217" t="s">
        <v>1644</v>
      </c>
      <c r="R217" t="s">
        <v>1644</v>
      </c>
      <c r="S217" t="s">
        <v>1644</v>
      </c>
      <c r="T217" t="s">
        <v>1644</v>
      </c>
      <c r="U217" t="s">
        <v>1645</v>
      </c>
    </row>
    <row r="218" spans="1:21" x14ac:dyDescent="0.2">
      <c r="A218" t="s">
        <v>1742</v>
      </c>
      <c r="B218" t="s">
        <v>1743</v>
      </c>
      <c r="C218" t="s">
        <v>1642</v>
      </c>
      <c r="D218" t="s">
        <v>1643</v>
      </c>
      <c r="E218" t="s">
        <v>1644</v>
      </c>
      <c r="F218" t="s">
        <v>1644</v>
      </c>
      <c r="G218" t="s">
        <v>1645</v>
      </c>
      <c r="H218" t="s">
        <v>1645</v>
      </c>
      <c r="I218" t="s">
        <v>1645</v>
      </c>
      <c r="J218" t="s">
        <v>1645</v>
      </c>
      <c r="K218" t="s">
        <v>1645</v>
      </c>
      <c r="L218" t="s">
        <v>1783</v>
      </c>
      <c r="M218" t="s">
        <v>1784</v>
      </c>
      <c r="N218" t="s">
        <v>192</v>
      </c>
      <c r="O218" t="s">
        <v>1785</v>
      </c>
      <c r="P218" t="s">
        <v>1786</v>
      </c>
      <c r="Q218" t="s">
        <v>1644</v>
      </c>
      <c r="R218" t="s">
        <v>1644</v>
      </c>
      <c r="S218" t="s">
        <v>1644</v>
      </c>
      <c r="T218" t="s">
        <v>1644</v>
      </c>
      <c r="U218" t="s">
        <v>1645</v>
      </c>
    </row>
    <row r="219" spans="1:21" x14ac:dyDescent="0.2">
      <c r="A219" t="s">
        <v>1744</v>
      </c>
      <c r="B219" t="s">
        <v>1745</v>
      </c>
      <c r="C219" t="s">
        <v>1642</v>
      </c>
      <c r="D219" t="s">
        <v>1643</v>
      </c>
      <c r="E219" t="s">
        <v>1644</v>
      </c>
      <c r="F219" t="s">
        <v>1644</v>
      </c>
      <c r="G219" t="s">
        <v>1645</v>
      </c>
      <c r="H219" t="s">
        <v>1645</v>
      </c>
      <c r="I219" t="s">
        <v>1645</v>
      </c>
      <c r="J219" t="s">
        <v>1645</v>
      </c>
      <c r="K219" t="s">
        <v>1645</v>
      </c>
      <c r="L219" t="s">
        <v>1783</v>
      </c>
      <c r="M219" t="s">
        <v>1784</v>
      </c>
      <c r="N219" t="s">
        <v>192</v>
      </c>
      <c r="O219" t="s">
        <v>1785</v>
      </c>
      <c r="P219" t="s">
        <v>1786</v>
      </c>
      <c r="Q219" t="s">
        <v>1644</v>
      </c>
      <c r="R219" t="s">
        <v>1644</v>
      </c>
      <c r="S219" t="s">
        <v>1644</v>
      </c>
      <c r="T219" t="s">
        <v>1644</v>
      </c>
      <c r="U219" t="s">
        <v>1645</v>
      </c>
    </row>
    <row r="220" spans="1:21" x14ac:dyDescent="0.2">
      <c r="A220" t="s">
        <v>1787</v>
      </c>
      <c r="B220" t="s">
        <v>1641</v>
      </c>
      <c r="C220" t="s">
        <v>1642</v>
      </c>
      <c r="D220" t="s">
        <v>1643</v>
      </c>
      <c r="E220" t="s">
        <v>1644</v>
      </c>
      <c r="F220" t="s">
        <v>1644</v>
      </c>
      <c r="G220" t="s">
        <v>1645</v>
      </c>
      <c r="H220" t="s">
        <v>1645</v>
      </c>
      <c r="I220" t="s">
        <v>1645</v>
      </c>
      <c r="J220" t="s">
        <v>1645</v>
      </c>
      <c r="K220" t="s">
        <v>1645</v>
      </c>
      <c r="L220" t="s">
        <v>1788</v>
      </c>
      <c r="M220" t="s">
        <v>1789</v>
      </c>
      <c r="N220" t="s">
        <v>192</v>
      </c>
      <c r="O220" t="s">
        <v>1790</v>
      </c>
      <c r="P220" t="s">
        <v>1790</v>
      </c>
      <c r="Q220" t="s">
        <v>1644</v>
      </c>
      <c r="R220" t="s">
        <v>1644</v>
      </c>
      <c r="S220" t="s">
        <v>1644</v>
      </c>
      <c r="T220" t="s">
        <v>1644</v>
      </c>
      <c r="U220" t="s">
        <v>1645</v>
      </c>
    </row>
    <row r="221" spans="1:21" x14ac:dyDescent="0.2">
      <c r="A221" t="s">
        <v>1620</v>
      </c>
      <c r="B221" t="s">
        <v>1749</v>
      </c>
      <c r="C221" t="s">
        <v>1750</v>
      </c>
      <c r="D221" t="s">
        <v>1643</v>
      </c>
      <c r="E221" t="s">
        <v>1644</v>
      </c>
      <c r="F221" t="s">
        <v>1644</v>
      </c>
      <c r="G221" t="s">
        <v>1751</v>
      </c>
      <c r="H221" t="s">
        <v>1645</v>
      </c>
      <c r="I221" t="s">
        <v>1645</v>
      </c>
      <c r="J221" t="s">
        <v>1645</v>
      </c>
      <c r="K221" t="s">
        <v>1645</v>
      </c>
      <c r="L221" t="s">
        <v>1791</v>
      </c>
      <c r="M221" t="s">
        <v>1792</v>
      </c>
      <c r="N221" t="s">
        <v>380</v>
      </c>
      <c r="O221" t="s">
        <v>1793</v>
      </c>
      <c r="P221" t="s">
        <v>1794</v>
      </c>
      <c r="Q221" t="s">
        <v>1644</v>
      </c>
      <c r="R221" t="s">
        <v>1644</v>
      </c>
      <c r="S221" t="s">
        <v>1644</v>
      </c>
      <c r="T221" t="s">
        <v>1644</v>
      </c>
      <c r="U221" t="s">
        <v>1645</v>
      </c>
    </row>
    <row r="222" spans="1:21" x14ac:dyDescent="0.2">
      <c r="A222" t="s">
        <v>1791</v>
      </c>
      <c r="B222" t="s">
        <v>1650</v>
      </c>
      <c r="C222" t="s">
        <v>1642</v>
      </c>
      <c r="D222" t="s">
        <v>1643</v>
      </c>
      <c r="E222" t="s">
        <v>1644</v>
      </c>
      <c r="F222" t="s">
        <v>1644</v>
      </c>
      <c r="G222" t="s">
        <v>1645</v>
      </c>
      <c r="H222" t="s">
        <v>1645</v>
      </c>
      <c r="I222" t="s">
        <v>1645</v>
      </c>
      <c r="J222" t="s">
        <v>1645</v>
      </c>
      <c r="K222" t="s">
        <v>1645</v>
      </c>
      <c r="L222" t="s">
        <v>1791</v>
      </c>
      <c r="M222" t="s">
        <v>1792</v>
      </c>
      <c r="N222" t="s">
        <v>380</v>
      </c>
      <c r="O222" t="s">
        <v>1793</v>
      </c>
      <c r="P222" t="s">
        <v>1794</v>
      </c>
      <c r="Q222" t="s">
        <v>1644</v>
      </c>
      <c r="R222" t="s">
        <v>1644</v>
      </c>
      <c r="S222" t="s">
        <v>1644</v>
      </c>
      <c r="T222" t="s">
        <v>1644</v>
      </c>
      <c r="U222" t="s">
        <v>1645</v>
      </c>
    </row>
    <row r="223" spans="1:21" x14ac:dyDescent="0.2">
      <c r="A223" t="s">
        <v>1773</v>
      </c>
      <c r="B223" t="s">
        <v>1749</v>
      </c>
      <c r="C223" t="s">
        <v>1746</v>
      </c>
      <c r="D223" t="s">
        <v>1643</v>
      </c>
      <c r="E223" t="s">
        <v>1644</v>
      </c>
      <c r="F223" t="s">
        <v>1644</v>
      </c>
      <c r="G223" t="s">
        <v>1645</v>
      </c>
      <c r="H223" t="s">
        <v>1645</v>
      </c>
      <c r="I223" t="s">
        <v>1645</v>
      </c>
      <c r="J223" t="s">
        <v>1645</v>
      </c>
      <c r="K223" t="s">
        <v>1645</v>
      </c>
      <c r="L223" t="s">
        <v>1795</v>
      </c>
      <c r="M223" t="s">
        <v>1796</v>
      </c>
      <c r="N223" t="s">
        <v>1797</v>
      </c>
      <c r="O223" t="s">
        <v>1648</v>
      </c>
      <c r="P223" t="s">
        <v>1645</v>
      </c>
      <c r="Q223" t="s">
        <v>1644</v>
      </c>
      <c r="R223" t="s">
        <v>1644</v>
      </c>
      <c r="S223" t="s">
        <v>1644</v>
      </c>
      <c r="T223" t="s">
        <v>1644</v>
      </c>
      <c r="U223" t="s">
        <v>1645</v>
      </c>
    </row>
    <row r="224" spans="1:21" x14ac:dyDescent="0.2">
      <c r="A224" t="s">
        <v>1777</v>
      </c>
      <c r="B224" t="s">
        <v>1660</v>
      </c>
      <c r="C224" t="s">
        <v>1642</v>
      </c>
      <c r="D224" t="s">
        <v>1643</v>
      </c>
      <c r="E224" t="s">
        <v>1644</v>
      </c>
      <c r="F224" t="s">
        <v>1644</v>
      </c>
      <c r="G224" t="s">
        <v>1645</v>
      </c>
      <c r="H224" t="s">
        <v>1645</v>
      </c>
      <c r="I224" t="s">
        <v>1645</v>
      </c>
      <c r="J224" t="s">
        <v>1645</v>
      </c>
      <c r="K224" t="s">
        <v>1645</v>
      </c>
      <c r="L224" t="s">
        <v>1795</v>
      </c>
      <c r="M224" t="s">
        <v>1796</v>
      </c>
      <c r="N224" t="s">
        <v>1797</v>
      </c>
      <c r="O224" t="s">
        <v>1648</v>
      </c>
      <c r="P224" t="s">
        <v>1645</v>
      </c>
      <c r="Q224" t="s">
        <v>1644</v>
      </c>
      <c r="R224" t="s">
        <v>1644</v>
      </c>
      <c r="S224" t="s">
        <v>1644</v>
      </c>
      <c r="T224" t="s">
        <v>1644</v>
      </c>
      <c r="U224" t="s">
        <v>1645</v>
      </c>
    </row>
    <row r="225" spans="1:21" x14ac:dyDescent="0.2">
      <c r="A225" t="s">
        <v>1778</v>
      </c>
      <c r="B225" t="s">
        <v>1662</v>
      </c>
      <c r="C225" t="s">
        <v>1642</v>
      </c>
      <c r="D225" t="s">
        <v>1643</v>
      </c>
      <c r="E225" t="s">
        <v>1644</v>
      </c>
      <c r="F225" t="s">
        <v>1644</v>
      </c>
      <c r="G225" t="s">
        <v>1645</v>
      </c>
      <c r="H225" t="s">
        <v>1645</v>
      </c>
      <c r="I225" t="s">
        <v>1645</v>
      </c>
      <c r="J225" t="s">
        <v>1645</v>
      </c>
      <c r="K225" t="s">
        <v>1645</v>
      </c>
      <c r="L225" t="s">
        <v>1795</v>
      </c>
      <c r="M225" t="s">
        <v>1796</v>
      </c>
      <c r="N225" t="s">
        <v>1797</v>
      </c>
      <c r="O225" t="s">
        <v>1648</v>
      </c>
      <c r="P225" t="s">
        <v>1645</v>
      </c>
      <c r="Q225" t="s">
        <v>1644</v>
      </c>
      <c r="R225" t="s">
        <v>1644</v>
      </c>
      <c r="S225" t="s">
        <v>1644</v>
      </c>
      <c r="T225" t="s">
        <v>1644</v>
      </c>
      <c r="U225" t="s">
        <v>1645</v>
      </c>
    </row>
    <row r="226" spans="1:21" x14ac:dyDescent="0.2">
      <c r="A226" t="s">
        <v>1798</v>
      </c>
      <c r="B226" t="s">
        <v>1664</v>
      </c>
      <c r="C226" t="s">
        <v>1642</v>
      </c>
      <c r="D226" t="s">
        <v>1643</v>
      </c>
      <c r="E226" t="s">
        <v>1644</v>
      </c>
      <c r="F226" t="s">
        <v>1644</v>
      </c>
      <c r="G226" t="s">
        <v>1645</v>
      </c>
      <c r="H226" t="s">
        <v>1645</v>
      </c>
      <c r="I226" t="s">
        <v>1645</v>
      </c>
      <c r="J226" t="s">
        <v>1645</v>
      </c>
      <c r="K226" t="s">
        <v>1645</v>
      </c>
      <c r="L226" t="s">
        <v>1795</v>
      </c>
      <c r="M226" t="s">
        <v>1796</v>
      </c>
      <c r="N226" t="s">
        <v>1797</v>
      </c>
      <c r="O226" t="s">
        <v>1648</v>
      </c>
      <c r="P226" t="s">
        <v>1645</v>
      </c>
      <c r="Q226" t="s">
        <v>1644</v>
      </c>
      <c r="R226" t="s">
        <v>1644</v>
      </c>
      <c r="S226" t="s">
        <v>1644</v>
      </c>
      <c r="T226" t="s">
        <v>1644</v>
      </c>
      <c r="U226" t="s">
        <v>1645</v>
      </c>
    </row>
    <row r="227" spans="1:21" x14ac:dyDescent="0.2">
      <c r="A227" t="s">
        <v>1799</v>
      </c>
      <c r="B227" t="s">
        <v>1666</v>
      </c>
      <c r="C227" t="s">
        <v>1642</v>
      </c>
      <c r="D227" t="s">
        <v>1643</v>
      </c>
      <c r="E227" t="s">
        <v>1644</v>
      </c>
      <c r="F227" t="s">
        <v>1644</v>
      </c>
      <c r="G227" t="s">
        <v>1645</v>
      </c>
      <c r="H227" t="s">
        <v>1645</v>
      </c>
      <c r="I227" t="s">
        <v>1645</v>
      </c>
      <c r="J227" t="s">
        <v>1645</v>
      </c>
      <c r="K227" t="s">
        <v>1645</v>
      </c>
      <c r="L227" t="s">
        <v>1795</v>
      </c>
      <c r="M227" t="s">
        <v>1796</v>
      </c>
      <c r="N227" t="s">
        <v>1797</v>
      </c>
      <c r="O227" t="s">
        <v>1648</v>
      </c>
      <c r="P227" t="s">
        <v>1645</v>
      </c>
      <c r="Q227" t="s">
        <v>1644</v>
      </c>
      <c r="R227" t="s">
        <v>1644</v>
      </c>
      <c r="S227" t="s">
        <v>1644</v>
      </c>
      <c r="T227" t="s">
        <v>1644</v>
      </c>
      <c r="U227" t="s">
        <v>1645</v>
      </c>
    </row>
    <row r="228" spans="1:21" x14ac:dyDescent="0.2">
      <c r="A228" t="s">
        <v>1773</v>
      </c>
      <c r="B228" t="s">
        <v>1749</v>
      </c>
      <c r="C228" t="s">
        <v>1746</v>
      </c>
      <c r="D228" t="s">
        <v>1643</v>
      </c>
      <c r="E228" t="s">
        <v>1644</v>
      </c>
      <c r="F228" t="s">
        <v>1644</v>
      </c>
      <c r="G228" t="s">
        <v>1645</v>
      </c>
      <c r="H228" t="s">
        <v>1645</v>
      </c>
      <c r="I228" t="s">
        <v>1645</v>
      </c>
      <c r="J228" t="s">
        <v>1645</v>
      </c>
      <c r="K228" t="s">
        <v>1645</v>
      </c>
      <c r="L228" t="s">
        <v>1800</v>
      </c>
      <c r="M228" t="s">
        <v>1801</v>
      </c>
      <c r="N228" t="s">
        <v>1797</v>
      </c>
      <c r="O228" t="s">
        <v>1648</v>
      </c>
      <c r="P228" t="s">
        <v>1645</v>
      </c>
      <c r="Q228" t="s">
        <v>1644</v>
      </c>
      <c r="R228" t="s">
        <v>1644</v>
      </c>
      <c r="S228" t="s">
        <v>1644</v>
      </c>
      <c r="T228" t="s">
        <v>1644</v>
      </c>
      <c r="U228" t="s">
        <v>1645</v>
      </c>
    </row>
    <row r="229" spans="1:21" x14ac:dyDescent="0.2">
      <c r="A229" t="s">
        <v>1777</v>
      </c>
      <c r="B229" t="s">
        <v>1689</v>
      </c>
      <c r="C229" t="s">
        <v>1642</v>
      </c>
      <c r="D229" t="s">
        <v>1643</v>
      </c>
      <c r="E229" t="s">
        <v>1644</v>
      </c>
      <c r="F229" t="s">
        <v>1644</v>
      </c>
      <c r="G229" t="s">
        <v>1645</v>
      </c>
      <c r="H229" t="s">
        <v>1645</v>
      </c>
      <c r="I229" t="s">
        <v>1645</v>
      </c>
      <c r="J229" t="s">
        <v>1645</v>
      </c>
      <c r="K229" t="s">
        <v>1645</v>
      </c>
      <c r="L229" t="s">
        <v>1800</v>
      </c>
      <c r="M229" t="s">
        <v>1801</v>
      </c>
      <c r="N229" t="s">
        <v>1797</v>
      </c>
      <c r="O229" t="s">
        <v>1648</v>
      </c>
      <c r="P229" t="s">
        <v>1645</v>
      </c>
      <c r="Q229" t="s">
        <v>1644</v>
      </c>
      <c r="R229" t="s">
        <v>1644</v>
      </c>
      <c r="S229" t="s">
        <v>1644</v>
      </c>
      <c r="T229" t="s">
        <v>1644</v>
      </c>
      <c r="U229" t="s">
        <v>1645</v>
      </c>
    </row>
    <row r="230" spans="1:21" x14ac:dyDescent="0.2">
      <c r="A230" t="s">
        <v>1778</v>
      </c>
      <c r="B230" t="s">
        <v>1691</v>
      </c>
      <c r="C230" t="s">
        <v>1642</v>
      </c>
      <c r="D230" t="s">
        <v>1643</v>
      </c>
      <c r="E230" t="s">
        <v>1644</v>
      </c>
      <c r="F230" t="s">
        <v>1644</v>
      </c>
      <c r="G230" t="s">
        <v>1645</v>
      </c>
      <c r="H230" t="s">
        <v>1645</v>
      </c>
      <c r="I230" t="s">
        <v>1645</v>
      </c>
      <c r="J230" t="s">
        <v>1645</v>
      </c>
      <c r="K230" t="s">
        <v>1645</v>
      </c>
      <c r="L230" t="s">
        <v>1800</v>
      </c>
      <c r="M230" t="s">
        <v>1801</v>
      </c>
      <c r="N230" t="s">
        <v>1797</v>
      </c>
      <c r="O230" t="s">
        <v>1648</v>
      </c>
      <c r="P230" t="s">
        <v>1645</v>
      </c>
      <c r="Q230" t="s">
        <v>1644</v>
      </c>
      <c r="R230" t="s">
        <v>1644</v>
      </c>
      <c r="S230" t="s">
        <v>1644</v>
      </c>
      <c r="T230" t="s">
        <v>1644</v>
      </c>
      <c r="U230" t="s">
        <v>1645</v>
      </c>
    </row>
    <row r="231" spans="1:21" x14ac:dyDescent="0.2">
      <c r="A231" t="s">
        <v>1773</v>
      </c>
      <c r="B231" t="s">
        <v>1749</v>
      </c>
      <c r="C231" t="s">
        <v>1746</v>
      </c>
      <c r="D231" t="s">
        <v>1643</v>
      </c>
      <c r="E231" t="s">
        <v>1644</v>
      </c>
      <c r="F231" t="s">
        <v>1644</v>
      </c>
      <c r="G231" t="s">
        <v>1645</v>
      </c>
      <c r="H231" t="s">
        <v>1645</v>
      </c>
      <c r="I231" t="s">
        <v>1645</v>
      </c>
      <c r="J231" t="s">
        <v>1645</v>
      </c>
      <c r="K231" t="s">
        <v>1645</v>
      </c>
      <c r="L231" t="s">
        <v>1802</v>
      </c>
      <c r="M231" t="s">
        <v>1803</v>
      </c>
      <c r="N231" t="s">
        <v>1797</v>
      </c>
      <c r="O231" t="s">
        <v>1648</v>
      </c>
      <c r="P231" t="s">
        <v>1645</v>
      </c>
      <c r="Q231" t="s">
        <v>1644</v>
      </c>
      <c r="R231" t="s">
        <v>1644</v>
      </c>
      <c r="S231" t="s">
        <v>1644</v>
      </c>
      <c r="T231" t="s">
        <v>1644</v>
      </c>
      <c r="U231" t="s">
        <v>1645</v>
      </c>
    </row>
    <row r="232" spans="1:21" x14ac:dyDescent="0.2">
      <c r="A232" t="s">
        <v>1777</v>
      </c>
      <c r="B232" t="s">
        <v>2062</v>
      </c>
      <c r="C232" t="s">
        <v>1642</v>
      </c>
      <c r="D232" t="s">
        <v>1643</v>
      </c>
      <c r="E232" t="s">
        <v>1644</v>
      </c>
      <c r="F232" t="s">
        <v>1644</v>
      </c>
      <c r="G232" t="s">
        <v>1645</v>
      </c>
      <c r="H232" t="s">
        <v>1645</v>
      </c>
      <c r="I232" t="s">
        <v>1645</v>
      </c>
      <c r="J232" t="s">
        <v>1645</v>
      </c>
      <c r="K232" t="s">
        <v>1645</v>
      </c>
      <c r="L232" t="s">
        <v>1802</v>
      </c>
      <c r="M232" t="s">
        <v>1803</v>
      </c>
      <c r="N232" t="s">
        <v>1797</v>
      </c>
      <c r="O232" t="s">
        <v>1648</v>
      </c>
      <c r="P232" t="s">
        <v>1645</v>
      </c>
      <c r="Q232" t="s">
        <v>1644</v>
      </c>
      <c r="R232" t="s">
        <v>1644</v>
      </c>
      <c r="S232" t="s">
        <v>1644</v>
      </c>
      <c r="T232" t="s">
        <v>1644</v>
      </c>
      <c r="U232" t="s">
        <v>1645</v>
      </c>
    </row>
    <row r="233" spans="1:21" x14ac:dyDescent="0.2">
      <c r="A233" t="s">
        <v>1778</v>
      </c>
      <c r="B233" t="s">
        <v>2063</v>
      </c>
      <c r="C233" t="s">
        <v>1642</v>
      </c>
      <c r="D233" t="s">
        <v>1643</v>
      </c>
      <c r="E233" t="s">
        <v>1644</v>
      </c>
      <c r="F233" t="s">
        <v>1644</v>
      </c>
      <c r="G233" t="s">
        <v>1645</v>
      </c>
      <c r="H233" t="s">
        <v>1645</v>
      </c>
      <c r="I233" t="s">
        <v>1645</v>
      </c>
      <c r="J233" t="s">
        <v>1645</v>
      </c>
      <c r="K233" t="s">
        <v>1645</v>
      </c>
      <c r="L233" t="s">
        <v>1802</v>
      </c>
      <c r="M233" t="s">
        <v>1803</v>
      </c>
      <c r="N233" t="s">
        <v>1797</v>
      </c>
      <c r="O233" t="s">
        <v>1648</v>
      </c>
      <c r="P233" t="s">
        <v>1645</v>
      </c>
      <c r="Q233" t="s">
        <v>1644</v>
      </c>
      <c r="R233" t="s">
        <v>1644</v>
      </c>
      <c r="S233" t="s">
        <v>1644</v>
      </c>
      <c r="T233" t="s">
        <v>1644</v>
      </c>
      <c r="U233" t="s">
        <v>1645</v>
      </c>
    </row>
    <row r="234" spans="1:21" x14ac:dyDescent="0.2">
      <c r="A234" t="s">
        <v>1773</v>
      </c>
      <c r="B234" t="s">
        <v>1749</v>
      </c>
      <c r="C234" t="s">
        <v>1746</v>
      </c>
      <c r="D234" t="s">
        <v>1643</v>
      </c>
      <c r="E234" t="s">
        <v>1644</v>
      </c>
      <c r="F234" t="s">
        <v>1644</v>
      </c>
      <c r="G234" t="s">
        <v>1645</v>
      </c>
      <c r="H234" t="s">
        <v>1645</v>
      </c>
      <c r="I234" t="s">
        <v>1645</v>
      </c>
      <c r="J234" t="s">
        <v>1645</v>
      </c>
      <c r="K234" t="s">
        <v>1645</v>
      </c>
      <c r="L234" t="s">
        <v>1948</v>
      </c>
      <c r="M234" t="s">
        <v>1949</v>
      </c>
      <c r="N234" t="s">
        <v>1797</v>
      </c>
      <c r="O234" t="s">
        <v>1648</v>
      </c>
      <c r="P234" t="s">
        <v>1645</v>
      </c>
      <c r="Q234" t="s">
        <v>1644</v>
      </c>
      <c r="R234" t="s">
        <v>1644</v>
      </c>
      <c r="S234" t="s">
        <v>1644</v>
      </c>
      <c r="T234" t="s">
        <v>1644</v>
      </c>
      <c r="U234" t="s">
        <v>1645</v>
      </c>
    </row>
    <row r="235" spans="1:21" x14ac:dyDescent="0.2">
      <c r="A235" t="s">
        <v>1777</v>
      </c>
      <c r="B235" t="s">
        <v>1703</v>
      </c>
      <c r="C235" t="s">
        <v>1642</v>
      </c>
      <c r="D235" t="s">
        <v>1643</v>
      </c>
      <c r="E235" t="s">
        <v>1644</v>
      </c>
      <c r="F235" t="s">
        <v>1644</v>
      </c>
      <c r="G235" t="s">
        <v>1645</v>
      </c>
      <c r="H235" t="s">
        <v>1645</v>
      </c>
      <c r="I235" t="s">
        <v>1645</v>
      </c>
      <c r="J235" t="s">
        <v>1645</v>
      </c>
      <c r="K235" t="s">
        <v>1645</v>
      </c>
      <c r="L235" t="s">
        <v>1948</v>
      </c>
      <c r="M235" t="s">
        <v>1949</v>
      </c>
      <c r="N235" t="s">
        <v>1797</v>
      </c>
      <c r="O235" t="s">
        <v>1648</v>
      </c>
      <c r="P235" t="s">
        <v>1645</v>
      </c>
      <c r="Q235" t="s">
        <v>1644</v>
      </c>
      <c r="R235" t="s">
        <v>1644</v>
      </c>
      <c r="S235" t="s">
        <v>1644</v>
      </c>
      <c r="T235" t="s">
        <v>1644</v>
      </c>
      <c r="U235" t="s">
        <v>1645</v>
      </c>
    </row>
    <row r="236" spans="1:21" x14ac:dyDescent="0.2">
      <c r="A236" t="s">
        <v>1778</v>
      </c>
      <c r="B236" t="s">
        <v>1705</v>
      </c>
      <c r="C236" t="s">
        <v>1642</v>
      </c>
      <c r="D236" t="s">
        <v>1643</v>
      </c>
      <c r="E236" t="s">
        <v>1644</v>
      </c>
      <c r="F236" t="s">
        <v>1644</v>
      </c>
      <c r="G236" t="s">
        <v>1645</v>
      </c>
      <c r="H236" t="s">
        <v>1645</v>
      </c>
      <c r="I236" t="s">
        <v>1645</v>
      </c>
      <c r="J236" t="s">
        <v>1645</v>
      </c>
      <c r="K236" t="s">
        <v>1645</v>
      </c>
      <c r="L236" t="s">
        <v>1948</v>
      </c>
      <c r="M236" t="s">
        <v>1949</v>
      </c>
      <c r="N236" t="s">
        <v>1797</v>
      </c>
      <c r="O236" t="s">
        <v>1648</v>
      </c>
      <c r="P236" t="s">
        <v>1645</v>
      </c>
      <c r="Q236" t="s">
        <v>1644</v>
      </c>
      <c r="R236" t="s">
        <v>1644</v>
      </c>
      <c r="S236" t="s">
        <v>1644</v>
      </c>
      <c r="T236" t="s">
        <v>1644</v>
      </c>
      <c r="U236" t="s">
        <v>1645</v>
      </c>
    </row>
    <row r="237" spans="1:21" x14ac:dyDescent="0.2">
      <c r="A237" t="s">
        <v>1773</v>
      </c>
      <c r="B237" t="s">
        <v>1749</v>
      </c>
      <c r="C237" t="s">
        <v>1746</v>
      </c>
      <c r="D237" t="s">
        <v>1643</v>
      </c>
      <c r="E237" t="s">
        <v>1644</v>
      </c>
      <c r="F237" t="s">
        <v>1644</v>
      </c>
      <c r="G237" t="s">
        <v>1645</v>
      </c>
      <c r="H237" t="s">
        <v>1645</v>
      </c>
      <c r="I237" t="s">
        <v>1645</v>
      </c>
      <c r="J237" t="s">
        <v>1645</v>
      </c>
      <c r="K237" t="s">
        <v>1645</v>
      </c>
      <c r="L237" t="s">
        <v>1950</v>
      </c>
      <c r="M237" t="s">
        <v>1951</v>
      </c>
      <c r="N237" t="s">
        <v>1797</v>
      </c>
      <c r="O237" t="s">
        <v>1648</v>
      </c>
      <c r="P237" t="s">
        <v>1645</v>
      </c>
      <c r="Q237" t="s">
        <v>1644</v>
      </c>
      <c r="R237" t="s">
        <v>1644</v>
      </c>
      <c r="S237" t="s">
        <v>1644</v>
      </c>
      <c r="T237" t="s">
        <v>1644</v>
      </c>
      <c r="U237" t="s">
        <v>1645</v>
      </c>
    </row>
    <row r="238" spans="1:21" x14ac:dyDescent="0.2">
      <c r="A238" t="s">
        <v>1777</v>
      </c>
      <c r="B238" t="s">
        <v>1664</v>
      </c>
      <c r="C238" t="s">
        <v>1642</v>
      </c>
      <c r="D238" t="s">
        <v>1643</v>
      </c>
      <c r="E238" t="s">
        <v>1644</v>
      </c>
      <c r="F238" t="s">
        <v>1644</v>
      </c>
      <c r="G238" t="s">
        <v>1645</v>
      </c>
      <c r="H238" t="s">
        <v>1645</v>
      </c>
      <c r="I238" t="s">
        <v>1645</v>
      </c>
      <c r="J238" t="s">
        <v>1645</v>
      </c>
      <c r="K238" t="s">
        <v>1645</v>
      </c>
      <c r="L238" t="s">
        <v>1950</v>
      </c>
      <c r="M238" t="s">
        <v>1951</v>
      </c>
      <c r="N238" t="s">
        <v>1797</v>
      </c>
      <c r="O238" t="s">
        <v>1648</v>
      </c>
      <c r="P238" t="s">
        <v>1645</v>
      </c>
      <c r="Q238" t="s">
        <v>1644</v>
      </c>
      <c r="R238" t="s">
        <v>1644</v>
      </c>
      <c r="S238" t="s">
        <v>1644</v>
      </c>
      <c r="T238" t="s">
        <v>1644</v>
      </c>
      <c r="U238" t="s">
        <v>1645</v>
      </c>
    </row>
    <row r="239" spans="1:21" x14ac:dyDescent="0.2">
      <c r="A239" t="s">
        <v>1778</v>
      </c>
      <c r="B239" t="s">
        <v>1666</v>
      </c>
      <c r="C239" t="s">
        <v>1642</v>
      </c>
      <c r="D239" t="s">
        <v>1643</v>
      </c>
      <c r="E239" t="s">
        <v>1644</v>
      </c>
      <c r="F239" t="s">
        <v>1644</v>
      </c>
      <c r="G239" t="s">
        <v>1645</v>
      </c>
      <c r="H239" t="s">
        <v>1645</v>
      </c>
      <c r="I239" t="s">
        <v>1645</v>
      </c>
      <c r="J239" t="s">
        <v>1645</v>
      </c>
      <c r="K239" t="s">
        <v>1645</v>
      </c>
      <c r="L239" t="s">
        <v>1950</v>
      </c>
      <c r="M239" t="s">
        <v>1951</v>
      </c>
      <c r="N239" t="s">
        <v>1797</v>
      </c>
      <c r="O239" t="s">
        <v>1648</v>
      </c>
      <c r="P239" t="s">
        <v>1645</v>
      </c>
      <c r="Q239" t="s">
        <v>1644</v>
      </c>
      <c r="R239" t="s">
        <v>1644</v>
      </c>
      <c r="S239" t="s">
        <v>1644</v>
      </c>
      <c r="T239" t="s">
        <v>1644</v>
      </c>
      <c r="U239" t="s">
        <v>1645</v>
      </c>
    </row>
    <row r="240" spans="1:21" x14ac:dyDescent="0.2">
      <c r="A240" t="s">
        <v>1773</v>
      </c>
      <c r="B240" t="s">
        <v>1749</v>
      </c>
      <c r="C240" t="s">
        <v>1746</v>
      </c>
      <c r="D240" t="s">
        <v>1643</v>
      </c>
      <c r="E240" t="s">
        <v>1644</v>
      </c>
      <c r="F240" t="s">
        <v>1644</v>
      </c>
      <c r="G240" t="s">
        <v>1645</v>
      </c>
      <c r="H240" t="s">
        <v>1645</v>
      </c>
      <c r="I240" t="s">
        <v>1645</v>
      </c>
      <c r="J240" t="s">
        <v>1645</v>
      </c>
      <c r="K240" t="s">
        <v>1645</v>
      </c>
      <c r="L240" t="s">
        <v>1952</v>
      </c>
      <c r="M240" t="s">
        <v>1953</v>
      </c>
      <c r="N240" t="s">
        <v>1797</v>
      </c>
      <c r="O240" t="s">
        <v>1648</v>
      </c>
      <c r="P240" t="s">
        <v>1645</v>
      </c>
      <c r="Q240" t="s">
        <v>1644</v>
      </c>
      <c r="R240" t="s">
        <v>1644</v>
      </c>
      <c r="S240" t="s">
        <v>1644</v>
      </c>
      <c r="T240" t="s">
        <v>1644</v>
      </c>
      <c r="U240" t="s">
        <v>1645</v>
      </c>
    </row>
    <row r="241" spans="1:21" x14ac:dyDescent="0.2">
      <c r="A241" t="s">
        <v>1777</v>
      </c>
      <c r="B241" t="s">
        <v>1668</v>
      </c>
      <c r="C241" t="s">
        <v>1642</v>
      </c>
      <c r="D241" t="s">
        <v>1643</v>
      </c>
      <c r="E241" t="s">
        <v>1644</v>
      </c>
      <c r="F241" t="s">
        <v>1644</v>
      </c>
      <c r="G241" t="s">
        <v>1645</v>
      </c>
      <c r="H241" t="s">
        <v>1645</v>
      </c>
      <c r="I241" t="s">
        <v>1645</v>
      </c>
      <c r="J241" t="s">
        <v>1645</v>
      </c>
      <c r="K241" t="s">
        <v>1645</v>
      </c>
      <c r="L241" t="s">
        <v>1952</v>
      </c>
      <c r="M241" t="s">
        <v>1953</v>
      </c>
      <c r="N241" t="s">
        <v>1797</v>
      </c>
      <c r="O241" t="s">
        <v>1648</v>
      </c>
      <c r="P241" t="s">
        <v>1645</v>
      </c>
      <c r="Q241" t="s">
        <v>1644</v>
      </c>
      <c r="R241" t="s">
        <v>1644</v>
      </c>
      <c r="S241" t="s">
        <v>1644</v>
      </c>
      <c r="T241" t="s">
        <v>1644</v>
      </c>
      <c r="U241" t="s">
        <v>1645</v>
      </c>
    </row>
    <row r="242" spans="1:21" x14ac:dyDescent="0.2">
      <c r="A242" t="s">
        <v>1778</v>
      </c>
      <c r="B242" t="s">
        <v>1670</v>
      </c>
      <c r="C242" t="s">
        <v>1642</v>
      </c>
      <c r="D242" t="s">
        <v>1643</v>
      </c>
      <c r="E242" t="s">
        <v>1644</v>
      </c>
      <c r="F242" t="s">
        <v>1644</v>
      </c>
      <c r="G242" t="s">
        <v>1645</v>
      </c>
      <c r="H242" t="s">
        <v>1645</v>
      </c>
      <c r="I242" t="s">
        <v>1645</v>
      </c>
      <c r="J242" t="s">
        <v>1645</v>
      </c>
      <c r="K242" t="s">
        <v>1645</v>
      </c>
      <c r="L242" t="s">
        <v>1952</v>
      </c>
      <c r="M242" t="s">
        <v>1953</v>
      </c>
      <c r="N242" t="s">
        <v>1797</v>
      </c>
      <c r="O242" t="s">
        <v>1648</v>
      </c>
      <c r="P242" t="s">
        <v>1645</v>
      </c>
      <c r="Q242" t="s">
        <v>1644</v>
      </c>
      <c r="R242" t="s">
        <v>1644</v>
      </c>
      <c r="S242" t="s">
        <v>1644</v>
      </c>
      <c r="T242" t="s">
        <v>1644</v>
      </c>
      <c r="U242" t="s">
        <v>1645</v>
      </c>
    </row>
    <row r="243" spans="1:21" x14ac:dyDescent="0.2">
      <c r="A243" t="s">
        <v>1773</v>
      </c>
      <c r="B243" t="s">
        <v>1749</v>
      </c>
      <c r="C243" t="s">
        <v>1746</v>
      </c>
      <c r="D243" t="s">
        <v>1643</v>
      </c>
      <c r="E243" t="s">
        <v>1644</v>
      </c>
      <c r="F243" t="s">
        <v>1644</v>
      </c>
      <c r="G243" t="s">
        <v>1645</v>
      </c>
      <c r="H243" t="s">
        <v>1645</v>
      </c>
      <c r="I243" t="s">
        <v>1645</v>
      </c>
      <c r="J243" t="s">
        <v>1645</v>
      </c>
      <c r="K243" t="s">
        <v>1645</v>
      </c>
      <c r="L243" t="s">
        <v>1804</v>
      </c>
      <c r="M243" t="s">
        <v>1805</v>
      </c>
      <c r="N243" t="s">
        <v>1806</v>
      </c>
      <c r="O243" t="s">
        <v>1648</v>
      </c>
      <c r="P243" t="s">
        <v>1645</v>
      </c>
      <c r="Q243" t="s">
        <v>1644</v>
      </c>
      <c r="R243" t="s">
        <v>1644</v>
      </c>
      <c r="S243" t="s">
        <v>1644</v>
      </c>
      <c r="T243" t="s">
        <v>1644</v>
      </c>
      <c r="U243" t="s">
        <v>1645</v>
      </c>
    </row>
    <row r="244" spans="1:21" x14ac:dyDescent="0.2">
      <c r="A244" t="s">
        <v>1777</v>
      </c>
      <c r="B244" t="s">
        <v>1660</v>
      </c>
      <c r="C244" t="s">
        <v>1642</v>
      </c>
      <c r="D244" t="s">
        <v>1643</v>
      </c>
      <c r="E244" t="s">
        <v>1644</v>
      </c>
      <c r="F244" t="s">
        <v>1644</v>
      </c>
      <c r="G244" t="s">
        <v>1645</v>
      </c>
      <c r="H244" t="s">
        <v>1645</v>
      </c>
      <c r="I244" t="s">
        <v>1645</v>
      </c>
      <c r="J244" t="s">
        <v>1645</v>
      </c>
      <c r="K244" t="s">
        <v>1645</v>
      </c>
      <c r="L244" t="s">
        <v>1804</v>
      </c>
      <c r="M244" t="s">
        <v>1805</v>
      </c>
      <c r="N244" t="s">
        <v>1806</v>
      </c>
      <c r="O244" t="s">
        <v>1648</v>
      </c>
      <c r="P244" t="s">
        <v>1645</v>
      </c>
      <c r="Q244" t="s">
        <v>1644</v>
      </c>
      <c r="R244" t="s">
        <v>1644</v>
      </c>
      <c r="S244" t="s">
        <v>1644</v>
      </c>
      <c r="T244" t="s">
        <v>1644</v>
      </c>
      <c r="U244" t="s">
        <v>1645</v>
      </c>
    </row>
    <row r="245" spans="1:21" x14ac:dyDescent="0.2">
      <c r="A245" t="s">
        <v>1778</v>
      </c>
      <c r="B245" t="s">
        <v>1662</v>
      </c>
      <c r="C245" t="s">
        <v>1642</v>
      </c>
      <c r="D245" t="s">
        <v>1643</v>
      </c>
      <c r="E245" t="s">
        <v>1644</v>
      </c>
      <c r="F245" t="s">
        <v>1644</v>
      </c>
      <c r="G245" t="s">
        <v>1645</v>
      </c>
      <c r="H245" t="s">
        <v>1645</v>
      </c>
      <c r="I245" t="s">
        <v>1645</v>
      </c>
      <c r="J245" t="s">
        <v>1645</v>
      </c>
      <c r="K245" t="s">
        <v>1645</v>
      </c>
      <c r="L245" t="s">
        <v>1804</v>
      </c>
      <c r="M245" t="s">
        <v>1805</v>
      </c>
      <c r="N245" t="s">
        <v>1806</v>
      </c>
      <c r="O245" t="s">
        <v>1648</v>
      </c>
      <c r="P245" t="s">
        <v>1645</v>
      </c>
      <c r="Q245" t="s">
        <v>1644</v>
      </c>
      <c r="R245" t="s">
        <v>1644</v>
      </c>
      <c r="S245" t="s">
        <v>1644</v>
      </c>
      <c r="T245" t="s">
        <v>1644</v>
      </c>
      <c r="U245" t="s">
        <v>1645</v>
      </c>
    </row>
    <row r="246" spans="1:21" x14ac:dyDescent="0.2">
      <c r="A246" t="s">
        <v>1798</v>
      </c>
      <c r="B246" t="s">
        <v>1664</v>
      </c>
      <c r="C246" t="s">
        <v>1642</v>
      </c>
      <c r="D246" t="s">
        <v>1643</v>
      </c>
      <c r="E246" t="s">
        <v>1644</v>
      </c>
      <c r="F246" t="s">
        <v>1644</v>
      </c>
      <c r="G246" t="s">
        <v>1645</v>
      </c>
      <c r="H246" t="s">
        <v>1645</v>
      </c>
      <c r="I246" t="s">
        <v>1645</v>
      </c>
      <c r="J246" t="s">
        <v>1645</v>
      </c>
      <c r="K246" t="s">
        <v>1645</v>
      </c>
      <c r="L246" t="s">
        <v>1804</v>
      </c>
      <c r="M246" t="s">
        <v>1805</v>
      </c>
      <c r="N246" t="s">
        <v>1806</v>
      </c>
      <c r="O246" t="s">
        <v>1648</v>
      </c>
      <c r="P246" t="s">
        <v>1645</v>
      </c>
      <c r="Q246" t="s">
        <v>1644</v>
      </c>
      <c r="R246" t="s">
        <v>1644</v>
      </c>
      <c r="S246" t="s">
        <v>1644</v>
      </c>
      <c r="T246" t="s">
        <v>1644</v>
      </c>
      <c r="U246" t="s">
        <v>1645</v>
      </c>
    </row>
    <row r="247" spans="1:21" x14ac:dyDescent="0.2">
      <c r="A247" t="s">
        <v>1799</v>
      </c>
      <c r="B247" t="s">
        <v>1666</v>
      </c>
      <c r="C247" t="s">
        <v>1642</v>
      </c>
      <c r="D247" t="s">
        <v>1643</v>
      </c>
      <c r="E247" t="s">
        <v>1644</v>
      </c>
      <c r="F247" t="s">
        <v>1644</v>
      </c>
      <c r="G247" t="s">
        <v>1645</v>
      </c>
      <c r="H247" t="s">
        <v>1645</v>
      </c>
      <c r="I247" t="s">
        <v>1645</v>
      </c>
      <c r="J247" t="s">
        <v>1645</v>
      </c>
      <c r="K247" t="s">
        <v>1645</v>
      </c>
      <c r="L247" t="s">
        <v>1804</v>
      </c>
      <c r="M247" t="s">
        <v>1805</v>
      </c>
      <c r="N247" t="s">
        <v>1806</v>
      </c>
      <c r="O247" t="s">
        <v>1648</v>
      </c>
      <c r="P247" t="s">
        <v>1645</v>
      </c>
      <c r="Q247" t="s">
        <v>1644</v>
      </c>
      <c r="R247" t="s">
        <v>1644</v>
      </c>
      <c r="S247" t="s">
        <v>1644</v>
      </c>
      <c r="T247" t="s">
        <v>1644</v>
      </c>
      <c r="U247" t="s">
        <v>1645</v>
      </c>
    </row>
    <row r="248" spans="1:21" x14ac:dyDescent="0.2">
      <c r="A248" t="s">
        <v>1773</v>
      </c>
      <c r="B248" t="s">
        <v>1749</v>
      </c>
      <c r="C248" t="s">
        <v>1746</v>
      </c>
      <c r="D248" t="s">
        <v>1643</v>
      </c>
      <c r="E248" t="s">
        <v>1644</v>
      </c>
      <c r="F248" t="s">
        <v>1644</v>
      </c>
      <c r="G248" t="s">
        <v>1645</v>
      </c>
      <c r="H248" t="s">
        <v>1645</v>
      </c>
      <c r="I248" t="s">
        <v>1645</v>
      </c>
      <c r="J248" t="s">
        <v>1645</v>
      </c>
      <c r="K248" t="s">
        <v>1645</v>
      </c>
      <c r="L248" t="s">
        <v>1807</v>
      </c>
      <c r="M248" t="s">
        <v>1808</v>
      </c>
      <c r="N248" t="s">
        <v>1806</v>
      </c>
      <c r="O248" t="s">
        <v>1648</v>
      </c>
      <c r="P248" t="s">
        <v>1645</v>
      </c>
      <c r="Q248" t="s">
        <v>1644</v>
      </c>
      <c r="R248" t="s">
        <v>1644</v>
      </c>
      <c r="S248" t="s">
        <v>1644</v>
      </c>
      <c r="T248" t="s">
        <v>1644</v>
      </c>
      <c r="U248" t="s">
        <v>1645</v>
      </c>
    </row>
    <row r="249" spans="1:21" x14ac:dyDescent="0.2">
      <c r="A249" t="s">
        <v>1777</v>
      </c>
      <c r="B249" t="s">
        <v>1689</v>
      </c>
      <c r="C249" t="s">
        <v>1642</v>
      </c>
      <c r="D249" t="s">
        <v>1643</v>
      </c>
      <c r="E249" t="s">
        <v>1644</v>
      </c>
      <c r="F249" t="s">
        <v>1644</v>
      </c>
      <c r="G249" t="s">
        <v>1645</v>
      </c>
      <c r="H249" t="s">
        <v>1645</v>
      </c>
      <c r="I249" t="s">
        <v>1645</v>
      </c>
      <c r="J249" t="s">
        <v>1645</v>
      </c>
      <c r="K249" t="s">
        <v>1645</v>
      </c>
      <c r="L249" t="s">
        <v>1807</v>
      </c>
      <c r="M249" t="s">
        <v>1808</v>
      </c>
      <c r="N249" t="s">
        <v>1806</v>
      </c>
      <c r="O249" t="s">
        <v>1648</v>
      </c>
      <c r="P249" t="s">
        <v>1645</v>
      </c>
      <c r="Q249" t="s">
        <v>1644</v>
      </c>
      <c r="R249" t="s">
        <v>1644</v>
      </c>
      <c r="S249" t="s">
        <v>1644</v>
      </c>
      <c r="T249" t="s">
        <v>1644</v>
      </c>
      <c r="U249" t="s">
        <v>1645</v>
      </c>
    </row>
    <row r="250" spans="1:21" x14ac:dyDescent="0.2">
      <c r="A250" t="s">
        <v>1778</v>
      </c>
      <c r="B250" t="s">
        <v>1691</v>
      </c>
      <c r="C250" t="s">
        <v>1642</v>
      </c>
      <c r="D250" t="s">
        <v>1643</v>
      </c>
      <c r="E250" t="s">
        <v>1644</v>
      </c>
      <c r="F250" t="s">
        <v>1644</v>
      </c>
      <c r="G250" t="s">
        <v>1645</v>
      </c>
      <c r="H250" t="s">
        <v>1645</v>
      </c>
      <c r="I250" t="s">
        <v>1645</v>
      </c>
      <c r="J250" t="s">
        <v>1645</v>
      </c>
      <c r="K250" t="s">
        <v>1645</v>
      </c>
      <c r="L250" t="s">
        <v>1807</v>
      </c>
      <c r="M250" t="s">
        <v>1808</v>
      </c>
      <c r="N250" t="s">
        <v>1806</v>
      </c>
      <c r="O250" t="s">
        <v>1648</v>
      </c>
      <c r="P250" t="s">
        <v>1645</v>
      </c>
      <c r="Q250" t="s">
        <v>1644</v>
      </c>
      <c r="R250" t="s">
        <v>1644</v>
      </c>
      <c r="S250" t="s">
        <v>1644</v>
      </c>
      <c r="T250" t="s">
        <v>1644</v>
      </c>
      <c r="U250" t="s">
        <v>1645</v>
      </c>
    </row>
    <row r="251" spans="1:21" x14ac:dyDescent="0.2">
      <c r="A251" t="s">
        <v>1773</v>
      </c>
      <c r="B251" t="s">
        <v>1749</v>
      </c>
      <c r="C251" t="s">
        <v>1746</v>
      </c>
      <c r="D251" t="s">
        <v>1643</v>
      </c>
      <c r="E251" t="s">
        <v>1644</v>
      </c>
      <c r="F251" t="s">
        <v>1644</v>
      </c>
      <c r="G251" t="s">
        <v>1645</v>
      </c>
      <c r="H251" t="s">
        <v>1645</v>
      </c>
      <c r="I251" t="s">
        <v>1645</v>
      </c>
      <c r="J251" t="s">
        <v>1645</v>
      </c>
      <c r="K251" t="s">
        <v>1645</v>
      </c>
      <c r="L251" t="s">
        <v>1809</v>
      </c>
      <c r="M251" t="s">
        <v>1810</v>
      </c>
      <c r="N251" t="s">
        <v>1806</v>
      </c>
      <c r="O251" t="s">
        <v>1648</v>
      </c>
      <c r="P251" t="s">
        <v>1645</v>
      </c>
      <c r="Q251" t="s">
        <v>1644</v>
      </c>
      <c r="R251" t="s">
        <v>1644</v>
      </c>
      <c r="S251" t="s">
        <v>1644</v>
      </c>
      <c r="T251" t="s">
        <v>1644</v>
      </c>
      <c r="U251" t="s">
        <v>1645</v>
      </c>
    </row>
    <row r="252" spans="1:21" x14ac:dyDescent="0.2">
      <c r="A252" t="s">
        <v>1777</v>
      </c>
      <c r="B252" t="s">
        <v>2062</v>
      </c>
      <c r="C252" t="s">
        <v>1642</v>
      </c>
      <c r="D252" t="s">
        <v>1643</v>
      </c>
      <c r="E252" t="s">
        <v>1644</v>
      </c>
      <c r="F252" t="s">
        <v>1644</v>
      </c>
      <c r="G252" t="s">
        <v>1645</v>
      </c>
      <c r="H252" t="s">
        <v>1645</v>
      </c>
      <c r="I252" t="s">
        <v>1645</v>
      </c>
      <c r="J252" t="s">
        <v>1645</v>
      </c>
      <c r="K252" t="s">
        <v>1645</v>
      </c>
      <c r="L252" t="s">
        <v>1809</v>
      </c>
      <c r="M252" t="s">
        <v>1810</v>
      </c>
      <c r="N252" t="s">
        <v>1806</v>
      </c>
      <c r="O252" t="s">
        <v>1648</v>
      </c>
      <c r="P252" t="s">
        <v>1645</v>
      </c>
      <c r="Q252" t="s">
        <v>1644</v>
      </c>
      <c r="R252" t="s">
        <v>1644</v>
      </c>
      <c r="S252" t="s">
        <v>1644</v>
      </c>
      <c r="T252" t="s">
        <v>1644</v>
      </c>
      <c r="U252" t="s">
        <v>1645</v>
      </c>
    </row>
    <row r="253" spans="1:21" x14ac:dyDescent="0.2">
      <c r="A253" t="s">
        <v>1778</v>
      </c>
      <c r="B253" t="s">
        <v>2063</v>
      </c>
      <c r="C253" t="s">
        <v>1642</v>
      </c>
      <c r="D253" t="s">
        <v>1643</v>
      </c>
      <c r="E253" t="s">
        <v>1644</v>
      </c>
      <c r="F253" t="s">
        <v>1644</v>
      </c>
      <c r="G253" t="s">
        <v>1645</v>
      </c>
      <c r="H253" t="s">
        <v>1645</v>
      </c>
      <c r="I253" t="s">
        <v>1645</v>
      </c>
      <c r="J253" t="s">
        <v>1645</v>
      </c>
      <c r="K253" t="s">
        <v>1645</v>
      </c>
      <c r="L253" t="s">
        <v>1809</v>
      </c>
      <c r="M253" t="s">
        <v>1810</v>
      </c>
      <c r="N253" t="s">
        <v>1806</v>
      </c>
      <c r="O253" t="s">
        <v>1648</v>
      </c>
      <c r="P253" t="s">
        <v>1645</v>
      </c>
      <c r="Q253" t="s">
        <v>1644</v>
      </c>
      <c r="R253" t="s">
        <v>1644</v>
      </c>
      <c r="S253" t="s">
        <v>1644</v>
      </c>
      <c r="T253" t="s">
        <v>1644</v>
      </c>
      <c r="U253" t="s">
        <v>1645</v>
      </c>
    </row>
    <row r="254" spans="1:21" x14ac:dyDescent="0.2">
      <c r="A254" t="s">
        <v>1773</v>
      </c>
      <c r="B254" t="s">
        <v>1749</v>
      </c>
      <c r="C254" t="s">
        <v>1746</v>
      </c>
      <c r="D254" t="s">
        <v>1643</v>
      </c>
      <c r="E254" t="s">
        <v>1644</v>
      </c>
      <c r="F254" t="s">
        <v>1644</v>
      </c>
      <c r="G254" t="s">
        <v>1645</v>
      </c>
      <c r="H254" t="s">
        <v>1645</v>
      </c>
      <c r="I254" t="s">
        <v>1645</v>
      </c>
      <c r="J254" t="s">
        <v>1645</v>
      </c>
      <c r="K254" t="s">
        <v>1645</v>
      </c>
      <c r="L254" t="s">
        <v>1954</v>
      </c>
      <c r="M254" t="s">
        <v>1955</v>
      </c>
      <c r="N254" t="s">
        <v>1806</v>
      </c>
      <c r="O254" t="s">
        <v>1648</v>
      </c>
      <c r="P254" t="s">
        <v>1645</v>
      </c>
      <c r="Q254" t="s">
        <v>1644</v>
      </c>
      <c r="R254" t="s">
        <v>1644</v>
      </c>
      <c r="S254" t="s">
        <v>1644</v>
      </c>
      <c r="T254" t="s">
        <v>1644</v>
      </c>
      <c r="U254" t="s">
        <v>1645</v>
      </c>
    </row>
    <row r="255" spans="1:21" x14ac:dyDescent="0.2">
      <c r="A255" t="s">
        <v>1777</v>
      </c>
      <c r="B255" t="s">
        <v>1703</v>
      </c>
      <c r="C255" t="s">
        <v>1642</v>
      </c>
      <c r="D255" t="s">
        <v>1643</v>
      </c>
      <c r="E255" t="s">
        <v>1644</v>
      </c>
      <c r="F255" t="s">
        <v>1644</v>
      </c>
      <c r="G255" t="s">
        <v>1645</v>
      </c>
      <c r="H255" t="s">
        <v>1645</v>
      </c>
      <c r="I255" t="s">
        <v>1645</v>
      </c>
      <c r="J255" t="s">
        <v>1645</v>
      </c>
      <c r="K255" t="s">
        <v>1645</v>
      </c>
      <c r="L255" t="s">
        <v>1954</v>
      </c>
      <c r="M255" t="s">
        <v>1955</v>
      </c>
      <c r="N255" t="s">
        <v>1806</v>
      </c>
      <c r="O255" t="s">
        <v>1648</v>
      </c>
      <c r="P255" t="s">
        <v>1645</v>
      </c>
      <c r="Q255" t="s">
        <v>1644</v>
      </c>
      <c r="R255" t="s">
        <v>1644</v>
      </c>
      <c r="S255" t="s">
        <v>1644</v>
      </c>
      <c r="T255" t="s">
        <v>1644</v>
      </c>
      <c r="U255" t="s">
        <v>1645</v>
      </c>
    </row>
    <row r="256" spans="1:21" x14ac:dyDescent="0.2">
      <c r="A256" t="s">
        <v>1778</v>
      </c>
      <c r="B256" t="s">
        <v>1705</v>
      </c>
      <c r="C256" t="s">
        <v>1642</v>
      </c>
      <c r="D256" t="s">
        <v>1643</v>
      </c>
      <c r="E256" t="s">
        <v>1644</v>
      </c>
      <c r="F256" t="s">
        <v>1644</v>
      </c>
      <c r="G256" t="s">
        <v>1645</v>
      </c>
      <c r="H256" t="s">
        <v>1645</v>
      </c>
      <c r="I256" t="s">
        <v>1645</v>
      </c>
      <c r="J256" t="s">
        <v>1645</v>
      </c>
      <c r="K256" t="s">
        <v>1645</v>
      </c>
      <c r="L256" t="s">
        <v>1954</v>
      </c>
      <c r="M256" t="s">
        <v>1955</v>
      </c>
      <c r="N256" t="s">
        <v>1806</v>
      </c>
      <c r="O256" t="s">
        <v>1648</v>
      </c>
      <c r="P256" t="s">
        <v>1645</v>
      </c>
      <c r="Q256" t="s">
        <v>1644</v>
      </c>
      <c r="R256" t="s">
        <v>1644</v>
      </c>
      <c r="S256" t="s">
        <v>1644</v>
      </c>
      <c r="T256" t="s">
        <v>1644</v>
      </c>
      <c r="U256" t="s">
        <v>1645</v>
      </c>
    </row>
    <row r="257" spans="1:21" x14ac:dyDescent="0.2">
      <c r="A257" t="s">
        <v>1773</v>
      </c>
      <c r="B257" t="s">
        <v>1749</v>
      </c>
      <c r="C257" t="s">
        <v>1746</v>
      </c>
      <c r="D257" t="s">
        <v>1643</v>
      </c>
      <c r="E257" t="s">
        <v>1644</v>
      </c>
      <c r="F257" t="s">
        <v>1644</v>
      </c>
      <c r="G257" t="s">
        <v>1645</v>
      </c>
      <c r="H257" t="s">
        <v>1645</v>
      </c>
      <c r="I257" t="s">
        <v>1645</v>
      </c>
      <c r="J257" t="s">
        <v>1645</v>
      </c>
      <c r="K257" t="s">
        <v>1645</v>
      </c>
      <c r="L257" t="s">
        <v>1956</v>
      </c>
      <c r="M257" t="s">
        <v>1957</v>
      </c>
      <c r="N257" t="s">
        <v>1806</v>
      </c>
      <c r="O257" t="s">
        <v>1648</v>
      </c>
      <c r="P257" t="s">
        <v>1645</v>
      </c>
      <c r="Q257" t="s">
        <v>1644</v>
      </c>
      <c r="R257" t="s">
        <v>1644</v>
      </c>
      <c r="S257" t="s">
        <v>1644</v>
      </c>
      <c r="T257" t="s">
        <v>1644</v>
      </c>
      <c r="U257" t="s">
        <v>1645</v>
      </c>
    </row>
    <row r="258" spans="1:21" x14ac:dyDescent="0.2">
      <c r="A258" t="s">
        <v>1777</v>
      </c>
      <c r="B258" t="s">
        <v>1664</v>
      </c>
      <c r="C258" t="s">
        <v>1642</v>
      </c>
      <c r="D258" t="s">
        <v>1643</v>
      </c>
      <c r="E258" t="s">
        <v>1644</v>
      </c>
      <c r="F258" t="s">
        <v>1644</v>
      </c>
      <c r="G258" t="s">
        <v>1645</v>
      </c>
      <c r="H258" t="s">
        <v>1645</v>
      </c>
      <c r="I258" t="s">
        <v>1645</v>
      </c>
      <c r="J258" t="s">
        <v>1645</v>
      </c>
      <c r="K258" t="s">
        <v>1645</v>
      </c>
      <c r="L258" t="s">
        <v>1956</v>
      </c>
      <c r="M258" t="s">
        <v>1957</v>
      </c>
      <c r="N258" t="s">
        <v>1806</v>
      </c>
      <c r="O258" t="s">
        <v>1648</v>
      </c>
      <c r="P258" t="s">
        <v>1645</v>
      </c>
      <c r="Q258" t="s">
        <v>1644</v>
      </c>
      <c r="R258" t="s">
        <v>1644</v>
      </c>
      <c r="S258" t="s">
        <v>1644</v>
      </c>
      <c r="T258" t="s">
        <v>1644</v>
      </c>
      <c r="U258" t="s">
        <v>1645</v>
      </c>
    </row>
    <row r="259" spans="1:21" x14ac:dyDescent="0.2">
      <c r="A259" t="s">
        <v>1778</v>
      </c>
      <c r="B259" t="s">
        <v>1666</v>
      </c>
      <c r="C259" t="s">
        <v>1642</v>
      </c>
      <c r="D259" t="s">
        <v>1643</v>
      </c>
      <c r="E259" t="s">
        <v>1644</v>
      </c>
      <c r="F259" t="s">
        <v>1644</v>
      </c>
      <c r="G259" t="s">
        <v>1645</v>
      </c>
      <c r="H259" t="s">
        <v>1645</v>
      </c>
      <c r="I259" t="s">
        <v>1645</v>
      </c>
      <c r="J259" t="s">
        <v>1645</v>
      </c>
      <c r="K259" t="s">
        <v>1645</v>
      </c>
      <c r="L259" t="s">
        <v>1956</v>
      </c>
      <c r="M259" t="s">
        <v>1957</v>
      </c>
      <c r="N259" t="s">
        <v>1806</v>
      </c>
      <c r="O259" t="s">
        <v>1648</v>
      </c>
      <c r="P259" t="s">
        <v>1645</v>
      </c>
      <c r="Q259" t="s">
        <v>1644</v>
      </c>
      <c r="R259" t="s">
        <v>1644</v>
      </c>
      <c r="S259" t="s">
        <v>1644</v>
      </c>
      <c r="T259" t="s">
        <v>1644</v>
      </c>
      <c r="U259" t="s">
        <v>1645</v>
      </c>
    </row>
    <row r="260" spans="1:21" x14ac:dyDescent="0.2">
      <c r="A260" t="s">
        <v>1773</v>
      </c>
      <c r="B260" t="s">
        <v>1749</v>
      </c>
      <c r="C260" t="s">
        <v>1746</v>
      </c>
      <c r="D260" t="s">
        <v>1643</v>
      </c>
      <c r="E260" t="s">
        <v>1644</v>
      </c>
      <c r="F260" t="s">
        <v>1644</v>
      </c>
      <c r="G260" t="s">
        <v>1645</v>
      </c>
      <c r="H260" t="s">
        <v>1645</v>
      </c>
      <c r="I260" t="s">
        <v>1645</v>
      </c>
      <c r="J260" t="s">
        <v>1645</v>
      </c>
      <c r="K260" t="s">
        <v>1645</v>
      </c>
      <c r="L260" t="s">
        <v>1958</v>
      </c>
      <c r="M260" t="s">
        <v>1959</v>
      </c>
      <c r="N260" t="s">
        <v>1806</v>
      </c>
      <c r="O260" t="s">
        <v>1648</v>
      </c>
      <c r="P260" t="s">
        <v>1645</v>
      </c>
      <c r="Q260" t="s">
        <v>1644</v>
      </c>
      <c r="R260" t="s">
        <v>1644</v>
      </c>
      <c r="S260" t="s">
        <v>1644</v>
      </c>
      <c r="T260" t="s">
        <v>1644</v>
      </c>
      <c r="U260" t="s">
        <v>1645</v>
      </c>
    </row>
    <row r="261" spans="1:21" x14ac:dyDescent="0.2">
      <c r="A261" t="s">
        <v>1777</v>
      </c>
      <c r="B261" t="s">
        <v>1668</v>
      </c>
      <c r="C261" t="s">
        <v>1642</v>
      </c>
      <c r="D261" t="s">
        <v>1643</v>
      </c>
      <c r="E261" t="s">
        <v>1644</v>
      </c>
      <c r="F261" t="s">
        <v>1644</v>
      </c>
      <c r="G261" t="s">
        <v>1645</v>
      </c>
      <c r="H261" t="s">
        <v>1645</v>
      </c>
      <c r="I261" t="s">
        <v>1645</v>
      </c>
      <c r="J261" t="s">
        <v>1645</v>
      </c>
      <c r="K261" t="s">
        <v>1645</v>
      </c>
      <c r="L261" t="s">
        <v>1958</v>
      </c>
      <c r="M261" t="s">
        <v>1959</v>
      </c>
      <c r="N261" t="s">
        <v>1806</v>
      </c>
      <c r="O261" t="s">
        <v>1648</v>
      </c>
      <c r="P261" t="s">
        <v>1645</v>
      </c>
      <c r="Q261" t="s">
        <v>1644</v>
      </c>
      <c r="R261" t="s">
        <v>1644</v>
      </c>
      <c r="S261" t="s">
        <v>1644</v>
      </c>
      <c r="T261" t="s">
        <v>1644</v>
      </c>
      <c r="U261" t="s">
        <v>1645</v>
      </c>
    </row>
    <row r="262" spans="1:21" x14ac:dyDescent="0.2">
      <c r="A262" t="s">
        <v>1778</v>
      </c>
      <c r="B262" t="s">
        <v>1670</v>
      </c>
      <c r="C262" t="s">
        <v>1642</v>
      </c>
      <c r="D262" t="s">
        <v>1643</v>
      </c>
      <c r="E262" t="s">
        <v>1644</v>
      </c>
      <c r="F262" t="s">
        <v>1644</v>
      </c>
      <c r="G262" t="s">
        <v>1645</v>
      </c>
      <c r="H262" t="s">
        <v>1645</v>
      </c>
      <c r="I262" t="s">
        <v>1645</v>
      </c>
      <c r="J262" t="s">
        <v>1645</v>
      </c>
      <c r="K262" t="s">
        <v>1645</v>
      </c>
      <c r="L262" t="s">
        <v>1958</v>
      </c>
      <c r="M262" t="s">
        <v>1959</v>
      </c>
      <c r="N262" t="s">
        <v>1806</v>
      </c>
      <c r="O262" t="s">
        <v>1648</v>
      </c>
      <c r="P262" t="s">
        <v>1645</v>
      </c>
      <c r="Q262" t="s">
        <v>1644</v>
      </c>
      <c r="R262" t="s">
        <v>1644</v>
      </c>
      <c r="S262" t="s">
        <v>1644</v>
      </c>
      <c r="T262" t="s">
        <v>1644</v>
      </c>
      <c r="U262" t="s">
        <v>1645</v>
      </c>
    </row>
    <row r="263" spans="1:21" x14ac:dyDescent="0.2">
      <c r="A263" t="s">
        <v>1773</v>
      </c>
      <c r="B263" t="s">
        <v>1749</v>
      </c>
      <c r="C263" t="s">
        <v>1746</v>
      </c>
      <c r="D263" t="s">
        <v>1643</v>
      </c>
      <c r="E263" t="s">
        <v>1644</v>
      </c>
      <c r="F263" t="s">
        <v>1644</v>
      </c>
      <c r="G263" t="s">
        <v>1645</v>
      </c>
      <c r="H263" t="s">
        <v>1645</v>
      </c>
      <c r="I263" t="s">
        <v>1645</v>
      </c>
      <c r="J263" t="s">
        <v>1645</v>
      </c>
      <c r="K263" t="s">
        <v>1645</v>
      </c>
      <c r="L263" t="s">
        <v>1811</v>
      </c>
      <c r="M263" t="s">
        <v>1812</v>
      </c>
      <c r="N263" t="s">
        <v>1813</v>
      </c>
      <c r="O263" t="s">
        <v>1648</v>
      </c>
      <c r="P263" t="s">
        <v>1645</v>
      </c>
      <c r="Q263" t="s">
        <v>1644</v>
      </c>
      <c r="R263" t="s">
        <v>1644</v>
      </c>
      <c r="S263" t="s">
        <v>1644</v>
      </c>
      <c r="T263" t="s">
        <v>1644</v>
      </c>
      <c r="U263" t="s">
        <v>1645</v>
      </c>
    </row>
    <row r="264" spans="1:21" x14ac:dyDescent="0.2">
      <c r="A264" t="s">
        <v>1777</v>
      </c>
      <c r="B264" t="s">
        <v>1660</v>
      </c>
      <c r="C264" t="s">
        <v>1642</v>
      </c>
      <c r="D264" t="s">
        <v>1643</v>
      </c>
      <c r="E264" t="s">
        <v>1644</v>
      </c>
      <c r="F264" t="s">
        <v>1644</v>
      </c>
      <c r="G264" t="s">
        <v>1645</v>
      </c>
      <c r="H264" t="s">
        <v>1645</v>
      </c>
      <c r="I264" t="s">
        <v>1645</v>
      </c>
      <c r="J264" t="s">
        <v>1645</v>
      </c>
      <c r="K264" t="s">
        <v>1645</v>
      </c>
      <c r="L264" t="s">
        <v>1811</v>
      </c>
      <c r="M264" t="s">
        <v>1812</v>
      </c>
      <c r="N264" t="s">
        <v>1813</v>
      </c>
      <c r="O264" t="s">
        <v>1648</v>
      </c>
      <c r="P264" t="s">
        <v>1645</v>
      </c>
      <c r="Q264" t="s">
        <v>1644</v>
      </c>
      <c r="R264" t="s">
        <v>1644</v>
      </c>
      <c r="S264" t="s">
        <v>1644</v>
      </c>
      <c r="T264" t="s">
        <v>1644</v>
      </c>
      <c r="U264" t="s">
        <v>1645</v>
      </c>
    </row>
    <row r="265" spans="1:21" x14ac:dyDescent="0.2">
      <c r="A265" t="s">
        <v>1778</v>
      </c>
      <c r="B265" t="s">
        <v>1662</v>
      </c>
      <c r="C265" t="s">
        <v>1642</v>
      </c>
      <c r="D265" t="s">
        <v>1643</v>
      </c>
      <c r="E265" t="s">
        <v>1644</v>
      </c>
      <c r="F265" t="s">
        <v>1644</v>
      </c>
      <c r="G265" t="s">
        <v>1645</v>
      </c>
      <c r="H265" t="s">
        <v>1645</v>
      </c>
      <c r="I265" t="s">
        <v>1645</v>
      </c>
      <c r="J265" t="s">
        <v>1645</v>
      </c>
      <c r="K265" t="s">
        <v>1645</v>
      </c>
      <c r="L265" t="s">
        <v>1811</v>
      </c>
      <c r="M265" t="s">
        <v>1812</v>
      </c>
      <c r="N265" t="s">
        <v>1813</v>
      </c>
      <c r="O265" t="s">
        <v>1648</v>
      </c>
      <c r="P265" t="s">
        <v>1645</v>
      </c>
      <c r="Q265" t="s">
        <v>1644</v>
      </c>
      <c r="R265" t="s">
        <v>1644</v>
      </c>
      <c r="S265" t="s">
        <v>1644</v>
      </c>
      <c r="T265" t="s">
        <v>1644</v>
      </c>
      <c r="U265" t="s">
        <v>1645</v>
      </c>
    </row>
    <row r="266" spans="1:21" x14ac:dyDescent="0.2">
      <c r="A266" t="s">
        <v>1798</v>
      </c>
      <c r="B266" t="s">
        <v>1664</v>
      </c>
      <c r="C266" t="s">
        <v>1642</v>
      </c>
      <c r="D266" t="s">
        <v>1643</v>
      </c>
      <c r="E266" t="s">
        <v>1644</v>
      </c>
      <c r="F266" t="s">
        <v>1644</v>
      </c>
      <c r="G266" t="s">
        <v>1645</v>
      </c>
      <c r="H266" t="s">
        <v>1645</v>
      </c>
      <c r="I266" t="s">
        <v>1645</v>
      </c>
      <c r="J266" t="s">
        <v>1645</v>
      </c>
      <c r="K266" t="s">
        <v>1645</v>
      </c>
      <c r="L266" t="s">
        <v>1811</v>
      </c>
      <c r="M266" t="s">
        <v>1812</v>
      </c>
      <c r="N266" t="s">
        <v>1813</v>
      </c>
      <c r="O266" t="s">
        <v>1648</v>
      </c>
      <c r="P266" t="s">
        <v>1645</v>
      </c>
      <c r="Q266" t="s">
        <v>1644</v>
      </c>
      <c r="R266" t="s">
        <v>1644</v>
      </c>
      <c r="S266" t="s">
        <v>1644</v>
      </c>
      <c r="T266" t="s">
        <v>1644</v>
      </c>
      <c r="U266" t="s">
        <v>1645</v>
      </c>
    </row>
    <row r="267" spans="1:21" x14ac:dyDescent="0.2">
      <c r="A267" t="s">
        <v>1799</v>
      </c>
      <c r="B267" t="s">
        <v>1666</v>
      </c>
      <c r="C267" t="s">
        <v>1642</v>
      </c>
      <c r="D267" t="s">
        <v>1643</v>
      </c>
      <c r="E267" t="s">
        <v>1644</v>
      </c>
      <c r="F267" t="s">
        <v>1644</v>
      </c>
      <c r="G267" t="s">
        <v>1645</v>
      </c>
      <c r="H267" t="s">
        <v>1645</v>
      </c>
      <c r="I267" t="s">
        <v>1645</v>
      </c>
      <c r="J267" t="s">
        <v>1645</v>
      </c>
      <c r="K267" t="s">
        <v>1645</v>
      </c>
      <c r="L267" t="s">
        <v>1811</v>
      </c>
      <c r="M267" t="s">
        <v>1812</v>
      </c>
      <c r="N267" t="s">
        <v>1813</v>
      </c>
      <c r="O267" t="s">
        <v>1648</v>
      </c>
      <c r="P267" t="s">
        <v>1645</v>
      </c>
      <c r="Q267" t="s">
        <v>1644</v>
      </c>
      <c r="R267" t="s">
        <v>1644</v>
      </c>
      <c r="S267" t="s">
        <v>1644</v>
      </c>
      <c r="T267" t="s">
        <v>1644</v>
      </c>
      <c r="U267" t="s">
        <v>1645</v>
      </c>
    </row>
    <row r="268" spans="1:21" x14ac:dyDescent="0.2">
      <c r="A268" t="s">
        <v>1773</v>
      </c>
      <c r="B268" t="s">
        <v>1749</v>
      </c>
      <c r="C268" t="s">
        <v>1746</v>
      </c>
      <c r="D268" t="s">
        <v>1643</v>
      </c>
      <c r="E268" t="s">
        <v>1644</v>
      </c>
      <c r="F268" t="s">
        <v>1644</v>
      </c>
      <c r="G268" t="s">
        <v>1645</v>
      </c>
      <c r="H268" t="s">
        <v>1645</v>
      </c>
      <c r="I268" t="s">
        <v>1645</v>
      </c>
      <c r="J268" t="s">
        <v>1645</v>
      </c>
      <c r="K268" t="s">
        <v>1645</v>
      </c>
      <c r="L268" t="s">
        <v>1814</v>
      </c>
      <c r="M268" t="s">
        <v>1815</v>
      </c>
      <c r="N268" t="s">
        <v>1813</v>
      </c>
      <c r="O268" t="s">
        <v>1648</v>
      </c>
      <c r="P268" t="s">
        <v>1645</v>
      </c>
      <c r="Q268" t="s">
        <v>1644</v>
      </c>
      <c r="R268" t="s">
        <v>1644</v>
      </c>
      <c r="S268" t="s">
        <v>1644</v>
      </c>
      <c r="T268" t="s">
        <v>1644</v>
      </c>
      <c r="U268" t="s">
        <v>1645</v>
      </c>
    </row>
    <row r="269" spans="1:21" x14ac:dyDescent="0.2">
      <c r="A269" t="s">
        <v>1777</v>
      </c>
      <c r="B269" t="s">
        <v>1689</v>
      </c>
      <c r="C269" t="s">
        <v>1642</v>
      </c>
      <c r="D269" t="s">
        <v>1643</v>
      </c>
      <c r="E269" t="s">
        <v>1644</v>
      </c>
      <c r="F269" t="s">
        <v>1644</v>
      </c>
      <c r="G269" t="s">
        <v>1645</v>
      </c>
      <c r="H269" t="s">
        <v>1645</v>
      </c>
      <c r="I269" t="s">
        <v>1645</v>
      </c>
      <c r="J269" t="s">
        <v>1645</v>
      </c>
      <c r="K269" t="s">
        <v>1645</v>
      </c>
      <c r="L269" t="s">
        <v>1814</v>
      </c>
      <c r="M269" t="s">
        <v>1815</v>
      </c>
      <c r="N269" t="s">
        <v>1813</v>
      </c>
      <c r="O269" t="s">
        <v>1648</v>
      </c>
      <c r="P269" t="s">
        <v>1645</v>
      </c>
      <c r="Q269" t="s">
        <v>1644</v>
      </c>
      <c r="R269" t="s">
        <v>1644</v>
      </c>
      <c r="S269" t="s">
        <v>1644</v>
      </c>
      <c r="T269" t="s">
        <v>1644</v>
      </c>
      <c r="U269" t="s">
        <v>1645</v>
      </c>
    </row>
    <row r="270" spans="1:21" x14ac:dyDescent="0.2">
      <c r="A270" t="s">
        <v>1778</v>
      </c>
      <c r="B270" t="s">
        <v>1691</v>
      </c>
      <c r="C270" t="s">
        <v>1642</v>
      </c>
      <c r="D270" t="s">
        <v>1643</v>
      </c>
      <c r="E270" t="s">
        <v>1644</v>
      </c>
      <c r="F270" t="s">
        <v>1644</v>
      </c>
      <c r="G270" t="s">
        <v>1645</v>
      </c>
      <c r="H270" t="s">
        <v>1645</v>
      </c>
      <c r="I270" t="s">
        <v>1645</v>
      </c>
      <c r="J270" t="s">
        <v>1645</v>
      </c>
      <c r="K270" t="s">
        <v>1645</v>
      </c>
      <c r="L270" t="s">
        <v>1814</v>
      </c>
      <c r="M270" t="s">
        <v>1815</v>
      </c>
      <c r="N270" t="s">
        <v>1813</v>
      </c>
      <c r="O270" t="s">
        <v>1648</v>
      </c>
      <c r="P270" t="s">
        <v>1645</v>
      </c>
      <c r="Q270" t="s">
        <v>1644</v>
      </c>
      <c r="R270" t="s">
        <v>1644</v>
      </c>
      <c r="S270" t="s">
        <v>1644</v>
      </c>
      <c r="T270" t="s">
        <v>1644</v>
      </c>
      <c r="U270" t="s">
        <v>1645</v>
      </c>
    </row>
    <row r="271" spans="1:21" x14ac:dyDescent="0.2">
      <c r="A271" t="s">
        <v>1773</v>
      </c>
      <c r="B271" t="s">
        <v>1749</v>
      </c>
      <c r="C271" t="s">
        <v>1746</v>
      </c>
      <c r="D271" t="s">
        <v>1643</v>
      </c>
      <c r="E271" t="s">
        <v>1644</v>
      </c>
      <c r="F271" t="s">
        <v>1644</v>
      </c>
      <c r="G271" t="s">
        <v>1645</v>
      </c>
      <c r="H271" t="s">
        <v>1645</v>
      </c>
      <c r="I271" t="s">
        <v>1645</v>
      </c>
      <c r="J271" t="s">
        <v>1645</v>
      </c>
      <c r="K271" t="s">
        <v>1645</v>
      </c>
      <c r="L271" t="s">
        <v>1816</v>
      </c>
      <c r="M271" t="s">
        <v>1817</v>
      </c>
      <c r="N271" t="s">
        <v>1813</v>
      </c>
      <c r="O271" t="s">
        <v>1648</v>
      </c>
      <c r="P271" t="s">
        <v>1645</v>
      </c>
      <c r="Q271" t="s">
        <v>1644</v>
      </c>
      <c r="R271" t="s">
        <v>1644</v>
      </c>
      <c r="S271" t="s">
        <v>1644</v>
      </c>
      <c r="T271" t="s">
        <v>1644</v>
      </c>
      <c r="U271" t="s">
        <v>1645</v>
      </c>
    </row>
    <row r="272" spans="1:21" x14ac:dyDescent="0.2">
      <c r="A272" t="s">
        <v>1777</v>
      </c>
      <c r="B272" t="s">
        <v>2062</v>
      </c>
      <c r="C272" t="s">
        <v>1642</v>
      </c>
      <c r="D272" t="s">
        <v>1643</v>
      </c>
      <c r="E272" t="s">
        <v>1644</v>
      </c>
      <c r="F272" t="s">
        <v>1644</v>
      </c>
      <c r="G272" t="s">
        <v>1645</v>
      </c>
      <c r="H272" t="s">
        <v>1645</v>
      </c>
      <c r="I272" t="s">
        <v>1645</v>
      </c>
      <c r="J272" t="s">
        <v>1645</v>
      </c>
      <c r="K272" t="s">
        <v>1645</v>
      </c>
      <c r="L272" t="s">
        <v>1816</v>
      </c>
      <c r="M272" t="s">
        <v>1817</v>
      </c>
      <c r="N272" t="s">
        <v>1813</v>
      </c>
      <c r="O272" t="s">
        <v>1648</v>
      </c>
      <c r="P272" t="s">
        <v>1645</v>
      </c>
      <c r="Q272" t="s">
        <v>1644</v>
      </c>
      <c r="R272" t="s">
        <v>1644</v>
      </c>
      <c r="S272" t="s">
        <v>1644</v>
      </c>
      <c r="T272" t="s">
        <v>1644</v>
      </c>
      <c r="U272" t="s">
        <v>1645</v>
      </c>
    </row>
    <row r="273" spans="1:21" x14ac:dyDescent="0.2">
      <c r="A273" t="s">
        <v>1778</v>
      </c>
      <c r="B273" t="s">
        <v>2063</v>
      </c>
      <c r="C273" t="s">
        <v>1642</v>
      </c>
      <c r="D273" t="s">
        <v>1643</v>
      </c>
      <c r="E273" t="s">
        <v>1644</v>
      </c>
      <c r="F273" t="s">
        <v>1644</v>
      </c>
      <c r="G273" t="s">
        <v>1645</v>
      </c>
      <c r="H273" t="s">
        <v>1645</v>
      </c>
      <c r="I273" t="s">
        <v>1645</v>
      </c>
      <c r="J273" t="s">
        <v>1645</v>
      </c>
      <c r="K273" t="s">
        <v>1645</v>
      </c>
      <c r="L273" t="s">
        <v>1816</v>
      </c>
      <c r="M273" t="s">
        <v>1817</v>
      </c>
      <c r="N273" t="s">
        <v>1813</v>
      </c>
      <c r="O273" t="s">
        <v>1648</v>
      </c>
      <c r="P273" t="s">
        <v>1645</v>
      </c>
      <c r="Q273" t="s">
        <v>1644</v>
      </c>
      <c r="R273" t="s">
        <v>1644</v>
      </c>
      <c r="S273" t="s">
        <v>1644</v>
      </c>
      <c r="T273" t="s">
        <v>1644</v>
      </c>
      <c r="U273" t="s">
        <v>1645</v>
      </c>
    </row>
    <row r="274" spans="1:21" x14ac:dyDescent="0.2">
      <c r="A274" t="s">
        <v>1773</v>
      </c>
      <c r="B274" t="s">
        <v>1749</v>
      </c>
      <c r="C274" t="s">
        <v>1746</v>
      </c>
      <c r="D274" t="s">
        <v>1643</v>
      </c>
      <c r="E274" t="s">
        <v>1644</v>
      </c>
      <c r="F274" t="s">
        <v>1644</v>
      </c>
      <c r="G274" t="s">
        <v>1645</v>
      </c>
      <c r="H274" t="s">
        <v>1645</v>
      </c>
      <c r="I274" t="s">
        <v>1645</v>
      </c>
      <c r="J274" t="s">
        <v>1645</v>
      </c>
      <c r="K274" t="s">
        <v>1645</v>
      </c>
      <c r="L274" t="s">
        <v>1960</v>
      </c>
      <c r="M274" t="s">
        <v>1961</v>
      </c>
      <c r="N274" t="s">
        <v>1813</v>
      </c>
      <c r="O274" t="s">
        <v>1648</v>
      </c>
      <c r="P274" t="s">
        <v>1645</v>
      </c>
      <c r="Q274" t="s">
        <v>1644</v>
      </c>
      <c r="R274" t="s">
        <v>1644</v>
      </c>
      <c r="S274" t="s">
        <v>1644</v>
      </c>
      <c r="T274" t="s">
        <v>1644</v>
      </c>
      <c r="U274" t="s">
        <v>1645</v>
      </c>
    </row>
    <row r="275" spans="1:21" x14ac:dyDescent="0.2">
      <c r="A275" t="s">
        <v>1777</v>
      </c>
      <c r="B275" t="s">
        <v>1703</v>
      </c>
      <c r="C275" t="s">
        <v>1642</v>
      </c>
      <c r="D275" t="s">
        <v>1643</v>
      </c>
      <c r="E275" t="s">
        <v>1644</v>
      </c>
      <c r="F275" t="s">
        <v>1644</v>
      </c>
      <c r="G275" t="s">
        <v>1645</v>
      </c>
      <c r="H275" t="s">
        <v>1645</v>
      </c>
      <c r="I275" t="s">
        <v>1645</v>
      </c>
      <c r="J275" t="s">
        <v>1645</v>
      </c>
      <c r="K275" t="s">
        <v>1645</v>
      </c>
      <c r="L275" t="s">
        <v>1960</v>
      </c>
      <c r="M275" t="s">
        <v>1961</v>
      </c>
      <c r="N275" t="s">
        <v>1813</v>
      </c>
      <c r="O275" t="s">
        <v>1648</v>
      </c>
      <c r="P275" t="s">
        <v>1645</v>
      </c>
      <c r="Q275" t="s">
        <v>1644</v>
      </c>
      <c r="R275" t="s">
        <v>1644</v>
      </c>
      <c r="S275" t="s">
        <v>1644</v>
      </c>
      <c r="T275" t="s">
        <v>1644</v>
      </c>
      <c r="U275" t="s">
        <v>1645</v>
      </c>
    </row>
    <row r="276" spans="1:21" x14ac:dyDescent="0.2">
      <c r="A276" t="s">
        <v>1778</v>
      </c>
      <c r="B276" t="s">
        <v>1705</v>
      </c>
      <c r="C276" t="s">
        <v>1642</v>
      </c>
      <c r="D276" t="s">
        <v>1643</v>
      </c>
      <c r="E276" t="s">
        <v>1644</v>
      </c>
      <c r="F276" t="s">
        <v>1644</v>
      </c>
      <c r="G276" t="s">
        <v>1645</v>
      </c>
      <c r="H276" t="s">
        <v>1645</v>
      </c>
      <c r="I276" t="s">
        <v>1645</v>
      </c>
      <c r="J276" t="s">
        <v>1645</v>
      </c>
      <c r="K276" t="s">
        <v>1645</v>
      </c>
      <c r="L276" t="s">
        <v>1960</v>
      </c>
      <c r="M276" t="s">
        <v>1961</v>
      </c>
      <c r="N276" t="s">
        <v>1813</v>
      </c>
      <c r="O276" t="s">
        <v>1648</v>
      </c>
      <c r="P276" t="s">
        <v>1645</v>
      </c>
      <c r="Q276" t="s">
        <v>1644</v>
      </c>
      <c r="R276" t="s">
        <v>1644</v>
      </c>
      <c r="S276" t="s">
        <v>1644</v>
      </c>
      <c r="T276" t="s">
        <v>1644</v>
      </c>
      <c r="U276" t="s">
        <v>1645</v>
      </c>
    </row>
    <row r="277" spans="1:21" x14ac:dyDescent="0.2">
      <c r="A277" t="s">
        <v>1773</v>
      </c>
      <c r="B277" t="s">
        <v>1749</v>
      </c>
      <c r="C277" t="s">
        <v>1746</v>
      </c>
      <c r="D277" t="s">
        <v>1643</v>
      </c>
      <c r="E277" t="s">
        <v>1644</v>
      </c>
      <c r="F277" t="s">
        <v>1644</v>
      </c>
      <c r="G277" t="s">
        <v>1645</v>
      </c>
      <c r="H277" t="s">
        <v>1645</v>
      </c>
      <c r="I277" t="s">
        <v>1645</v>
      </c>
      <c r="J277" t="s">
        <v>1645</v>
      </c>
      <c r="K277" t="s">
        <v>1645</v>
      </c>
      <c r="L277" t="s">
        <v>1962</v>
      </c>
      <c r="M277" t="s">
        <v>1963</v>
      </c>
      <c r="N277" t="s">
        <v>1813</v>
      </c>
      <c r="O277" t="s">
        <v>1648</v>
      </c>
      <c r="P277" t="s">
        <v>1645</v>
      </c>
      <c r="Q277" t="s">
        <v>1644</v>
      </c>
      <c r="R277" t="s">
        <v>1644</v>
      </c>
      <c r="S277" t="s">
        <v>1644</v>
      </c>
      <c r="T277" t="s">
        <v>1644</v>
      </c>
      <c r="U277" t="s">
        <v>1645</v>
      </c>
    </row>
    <row r="278" spans="1:21" x14ac:dyDescent="0.2">
      <c r="A278" t="s">
        <v>1777</v>
      </c>
      <c r="B278" t="s">
        <v>1664</v>
      </c>
      <c r="C278" t="s">
        <v>1642</v>
      </c>
      <c r="D278" t="s">
        <v>1643</v>
      </c>
      <c r="E278" t="s">
        <v>1644</v>
      </c>
      <c r="F278" t="s">
        <v>1644</v>
      </c>
      <c r="G278" t="s">
        <v>1645</v>
      </c>
      <c r="H278" t="s">
        <v>1645</v>
      </c>
      <c r="I278" t="s">
        <v>1645</v>
      </c>
      <c r="J278" t="s">
        <v>1645</v>
      </c>
      <c r="K278" t="s">
        <v>1645</v>
      </c>
      <c r="L278" t="s">
        <v>1962</v>
      </c>
      <c r="M278" t="s">
        <v>1963</v>
      </c>
      <c r="N278" t="s">
        <v>1813</v>
      </c>
      <c r="O278" t="s">
        <v>1648</v>
      </c>
      <c r="P278" t="s">
        <v>1645</v>
      </c>
      <c r="Q278" t="s">
        <v>1644</v>
      </c>
      <c r="R278" t="s">
        <v>1644</v>
      </c>
      <c r="S278" t="s">
        <v>1644</v>
      </c>
      <c r="T278" t="s">
        <v>1644</v>
      </c>
      <c r="U278" t="s">
        <v>1645</v>
      </c>
    </row>
    <row r="279" spans="1:21" x14ac:dyDescent="0.2">
      <c r="A279" t="s">
        <v>1778</v>
      </c>
      <c r="B279" t="s">
        <v>1666</v>
      </c>
      <c r="C279" t="s">
        <v>1642</v>
      </c>
      <c r="D279" t="s">
        <v>1643</v>
      </c>
      <c r="E279" t="s">
        <v>1644</v>
      </c>
      <c r="F279" t="s">
        <v>1644</v>
      </c>
      <c r="G279" t="s">
        <v>1645</v>
      </c>
      <c r="H279" t="s">
        <v>1645</v>
      </c>
      <c r="I279" t="s">
        <v>1645</v>
      </c>
      <c r="J279" t="s">
        <v>1645</v>
      </c>
      <c r="K279" t="s">
        <v>1645</v>
      </c>
      <c r="L279" t="s">
        <v>1962</v>
      </c>
      <c r="M279" t="s">
        <v>1963</v>
      </c>
      <c r="N279" t="s">
        <v>1813</v>
      </c>
      <c r="O279" t="s">
        <v>1648</v>
      </c>
      <c r="P279" t="s">
        <v>1645</v>
      </c>
      <c r="Q279" t="s">
        <v>1644</v>
      </c>
      <c r="R279" t="s">
        <v>1644</v>
      </c>
      <c r="S279" t="s">
        <v>1644</v>
      </c>
      <c r="T279" t="s">
        <v>1644</v>
      </c>
      <c r="U279" t="s">
        <v>1645</v>
      </c>
    </row>
    <row r="280" spans="1:21" x14ac:dyDescent="0.2">
      <c r="A280" t="s">
        <v>1773</v>
      </c>
      <c r="B280" t="s">
        <v>1749</v>
      </c>
      <c r="C280" t="s">
        <v>1746</v>
      </c>
      <c r="D280" t="s">
        <v>1643</v>
      </c>
      <c r="E280" t="s">
        <v>1644</v>
      </c>
      <c r="F280" t="s">
        <v>1644</v>
      </c>
      <c r="G280" t="s">
        <v>1645</v>
      </c>
      <c r="H280" t="s">
        <v>1645</v>
      </c>
      <c r="I280" t="s">
        <v>1645</v>
      </c>
      <c r="J280" t="s">
        <v>1645</v>
      </c>
      <c r="K280" t="s">
        <v>1645</v>
      </c>
      <c r="L280" t="s">
        <v>1964</v>
      </c>
      <c r="M280" t="s">
        <v>1965</v>
      </c>
      <c r="N280" t="s">
        <v>1813</v>
      </c>
      <c r="O280" t="s">
        <v>1648</v>
      </c>
      <c r="P280" t="s">
        <v>1645</v>
      </c>
      <c r="Q280" t="s">
        <v>1644</v>
      </c>
      <c r="R280" t="s">
        <v>1644</v>
      </c>
      <c r="S280" t="s">
        <v>1644</v>
      </c>
      <c r="T280" t="s">
        <v>1644</v>
      </c>
      <c r="U280" t="s">
        <v>1645</v>
      </c>
    </row>
    <row r="281" spans="1:21" x14ac:dyDescent="0.2">
      <c r="A281" t="s">
        <v>1777</v>
      </c>
      <c r="B281" t="s">
        <v>1668</v>
      </c>
      <c r="C281" t="s">
        <v>1642</v>
      </c>
      <c r="D281" t="s">
        <v>1643</v>
      </c>
      <c r="E281" t="s">
        <v>1644</v>
      </c>
      <c r="F281" t="s">
        <v>1644</v>
      </c>
      <c r="G281" t="s">
        <v>1645</v>
      </c>
      <c r="H281" t="s">
        <v>1645</v>
      </c>
      <c r="I281" t="s">
        <v>1645</v>
      </c>
      <c r="J281" t="s">
        <v>1645</v>
      </c>
      <c r="K281" t="s">
        <v>1645</v>
      </c>
      <c r="L281" t="s">
        <v>1964</v>
      </c>
      <c r="M281" t="s">
        <v>1965</v>
      </c>
      <c r="N281" t="s">
        <v>1813</v>
      </c>
      <c r="O281" t="s">
        <v>1648</v>
      </c>
      <c r="P281" t="s">
        <v>1645</v>
      </c>
      <c r="Q281" t="s">
        <v>1644</v>
      </c>
      <c r="R281" t="s">
        <v>1644</v>
      </c>
      <c r="S281" t="s">
        <v>1644</v>
      </c>
      <c r="T281" t="s">
        <v>1644</v>
      </c>
      <c r="U281" t="s">
        <v>1645</v>
      </c>
    </row>
    <row r="282" spans="1:21" x14ac:dyDescent="0.2">
      <c r="A282" t="s">
        <v>1778</v>
      </c>
      <c r="B282" t="s">
        <v>1670</v>
      </c>
      <c r="C282" t="s">
        <v>1642</v>
      </c>
      <c r="D282" t="s">
        <v>1643</v>
      </c>
      <c r="E282" t="s">
        <v>1644</v>
      </c>
      <c r="F282" t="s">
        <v>1644</v>
      </c>
      <c r="G282" t="s">
        <v>1645</v>
      </c>
      <c r="H282" t="s">
        <v>1645</v>
      </c>
      <c r="I282" t="s">
        <v>1645</v>
      </c>
      <c r="J282" t="s">
        <v>1645</v>
      </c>
      <c r="K282" t="s">
        <v>1645</v>
      </c>
      <c r="L282" t="s">
        <v>1964</v>
      </c>
      <c r="M282" t="s">
        <v>1965</v>
      </c>
      <c r="N282" t="s">
        <v>1813</v>
      </c>
      <c r="O282" t="s">
        <v>1648</v>
      </c>
      <c r="P282" t="s">
        <v>1645</v>
      </c>
      <c r="Q282" t="s">
        <v>1644</v>
      </c>
      <c r="R282" t="s">
        <v>1644</v>
      </c>
      <c r="S282" t="s">
        <v>1644</v>
      </c>
      <c r="T282" t="s">
        <v>1644</v>
      </c>
      <c r="U282" t="s">
        <v>1645</v>
      </c>
    </row>
    <row r="283" spans="1:21" x14ac:dyDescent="0.2">
      <c r="A283" t="s">
        <v>1773</v>
      </c>
      <c r="B283" t="s">
        <v>1749</v>
      </c>
      <c r="C283" t="s">
        <v>1746</v>
      </c>
      <c r="D283" t="s">
        <v>1643</v>
      </c>
      <c r="E283" t="s">
        <v>1644</v>
      </c>
      <c r="F283" t="s">
        <v>1644</v>
      </c>
      <c r="G283" t="s">
        <v>1645</v>
      </c>
      <c r="H283" t="s">
        <v>1645</v>
      </c>
      <c r="I283" t="s">
        <v>1645</v>
      </c>
      <c r="J283" t="s">
        <v>1645</v>
      </c>
      <c r="K283" t="s">
        <v>1645</v>
      </c>
      <c r="L283" t="s">
        <v>1818</v>
      </c>
      <c r="M283" t="s">
        <v>1819</v>
      </c>
      <c r="N283" t="s">
        <v>1820</v>
      </c>
      <c r="O283" t="s">
        <v>1648</v>
      </c>
      <c r="P283" t="s">
        <v>1645</v>
      </c>
      <c r="Q283" t="s">
        <v>1644</v>
      </c>
      <c r="R283" t="s">
        <v>1644</v>
      </c>
      <c r="S283" t="s">
        <v>1644</v>
      </c>
      <c r="T283" t="s">
        <v>1644</v>
      </c>
      <c r="U283" t="s">
        <v>1645</v>
      </c>
    </row>
    <row r="284" spans="1:21" x14ac:dyDescent="0.2">
      <c r="A284" t="s">
        <v>1777</v>
      </c>
      <c r="B284" t="s">
        <v>1660</v>
      </c>
      <c r="C284" t="s">
        <v>1642</v>
      </c>
      <c r="D284" t="s">
        <v>1643</v>
      </c>
      <c r="E284" t="s">
        <v>1644</v>
      </c>
      <c r="F284" t="s">
        <v>1644</v>
      </c>
      <c r="G284" t="s">
        <v>1645</v>
      </c>
      <c r="H284" t="s">
        <v>1645</v>
      </c>
      <c r="I284" t="s">
        <v>1645</v>
      </c>
      <c r="J284" t="s">
        <v>1645</v>
      </c>
      <c r="K284" t="s">
        <v>1645</v>
      </c>
      <c r="L284" t="s">
        <v>1818</v>
      </c>
      <c r="M284" t="s">
        <v>1819</v>
      </c>
      <c r="N284" t="s">
        <v>1820</v>
      </c>
      <c r="O284" t="s">
        <v>1648</v>
      </c>
      <c r="P284" t="s">
        <v>1645</v>
      </c>
      <c r="Q284" t="s">
        <v>1644</v>
      </c>
      <c r="R284" t="s">
        <v>1644</v>
      </c>
      <c r="S284" t="s">
        <v>1644</v>
      </c>
      <c r="T284" t="s">
        <v>1644</v>
      </c>
      <c r="U284" t="s">
        <v>1645</v>
      </c>
    </row>
    <row r="285" spans="1:21" x14ac:dyDescent="0.2">
      <c r="A285" t="s">
        <v>1778</v>
      </c>
      <c r="B285" t="s">
        <v>1662</v>
      </c>
      <c r="C285" t="s">
        <v>1642</v>
      </c>
      <c r="D285" t="s">
        <v>1643</v>
      </c>
      <c r="E285" t="s">
        <v>1644</v>
      </c>
      <c r="F285" t="s">
        <v>1644</v>
      </c>
      <c r="G285" t="s">
        <v>1645</v>
      </c>
      <c r="H285" t="s">
        <v>1645</v>
      </c>
      <c r="I285" t="s">
        <v>1645</v>
      </c>
      <c r="J285" t="s">
        <v>1645</v>
      </c>
      <c r="K285" t="s">
        <v>1645</v>
      </c>
      <c r="L285" t="s">
        <v>1818</v>
      </c>
      <c r="M285" t="s">
        <v>1819</v>
      </c>
      <c r="N285" t="s">
        <v>1820</v>
      </c>
      <c r="O285" t="s">
        <v>1648</v>
      </c>
      <c r="P285" t="s">
        <v>1645</v>
      </c>
      <c r="Q285" t="s">
        <v>1644</v>
      </c>
      <c r="R285" t="s">
        <v>1644</v>
      </c>
      <c r="S285" t="s">
        <v>1644</v>
      </c>
      <c r="T285" t="s">
        <v>1644</v>
      </c>
      <c r="U285" t="s">
        <v>1645</v>
      </c>
    </row>
    <row r="286" spans="1:21" x14ac:dyDescent="0.2">
      <c r="A286" t="s">
        <v>1798</v>
      </c>
      <c r="B286" t="s">
        <v>1664</v>
      </c>
      <c r="C286" t="s">
        <v>1642</v>
      </c>
      <c r="D286" t="s">
        <v>1643</v>
      </c>
      <c r="E286" t="s">
        <v>1644</v>
      </c>
      <c r="F286" t="s">
        <v>1644</v>
      </c>
      <c r="G286" t="s">
        <v>1645</v>
      </c>
      <c r="H286" t="s">
        <v>1645</v>
      </c>
      <c r="I286" t="s">
        <v>1645</v>
      </c>
      <c r="J286" t="s">
        <v>1645</v>
      </c>
      <c r="K286" t="s">
        <v>1645</v>
      </c>
      <c r="L286" t="s">
        <v>1818</v>
      </c>
      <c r="M286" t="s">
        <v>1819</v>
      </c>
      <c r="N286" t="s">
        <v>1820</v>
      </c>
      <c r="O286" t="s">
        <v>1648</v>
      </c>
      <c r="P286" t="s">
        <v>1645</v>
      </c>
      <c r="Q286" t="s">
        <v>1644</v>
      </c>
      <c r="R286" t="s">
        <v>1644</v>
      </c>
      <c r="S286" t="s">
        <v>1644</v>
      </c>
      <c r="T286" t="s">
        <v>1644</v>
      </c>
      <c r="U286" t="s">
        <v>1645</v>
      </c>
    </row>
    <row r="287" spans="1:21" x14ac:dyDescent="0.2">
      <c r="A287" t="s">
        <v>1799</v>
      </c>
      <c r="B287" t="s">
        <v>1666</v>
      </c>
      <c r="C287" t="s">
        <v>1642</v>
      </c>
      <c r="D287" t="s">
        <v>1643</v>
      </c>
      <c r="E287" t="s">
        <v>1644</v>
      </c>
      <c r="F287" t="s">
        <v>1644</v>
      </c>
      <c r="G287" t="s">
        <v>1645</v>
      </c>
      <c r="H287" t="s">
        <v>1645</v>
      </c>
      <c r="I287" t="s">
        <v>1645</v>
      </c>
      <c r="J287" t="s">
        <v>1645</v>
      </c>
      <c r="K287" t="s">
        <v>1645</v>
      </c>
      <c r="L287" t="s">
        <v>1818</v>
      </c>
      <c r="M287" t="s">
        <v>1819</v>
      </c>
      <c r="N287" t="s">
        <v>1820</v>
      </c>
      <c r="O287" t="s">
        <v>1648</v>
      </c>
      <c r="P287" t="s">
        <v>1645</v>
      </c>
      <c r="Q287" t="s">
        <v>1644</v>
      </c>
      <c r="R287" t="s">
        <v>1644</v>
      </c>
      <c r="S287" t="s">
        <v>1644</v>
      </c>
      <c r="T287" t="s">
        <v>1644</v>
      </c>
      <c r="U287" t="s">
        <v>1645</v>
      </c>
    </row>
    <row r="288" spans="1:21" x14ac:dyDescent="0.2">
      <c r="A288" t="s">
        <v>1773</v>
      </c>
      <c r="B288" t="s">
        <v>1749</v>
      </c>
      <c r="C288" t="s">
        <v>1746</v>
      </c>
      <c r="D288" t="s">
        <v>1643</v>
      </c>
      <c r="E288" t="s">
        <v>1644</v>
      </c>
      <c r="F288" t="s">
        <v>1644</v>
      </c>
      <c r="G288" t="s">
        <v>1645</v>
      </c>
      <c r="H288" t="s">
        <v>1645</v>
      </c>
      <c r="I288" t="s">
        <v>1645</v>
      </c>
      <c r="J288" t="s">
        <v>1645</v>
      </c>
      <c r="K288" t="s">
        <v>1645</v>
      </c>
      <c r="L288" t="s">
        <v>1821</v>
      </c>
      <c r="M288" t="s">
        <v>1822</v>
      </c>
      <c r="N288" t="s">
        <v>1820</v>
      </c>
      <c r="O288" t="s">
        <v>1648</v>
      </c>
      <c r="P288" t="s">
        <v>1645</v>
      </c>
      <c r="Q288" t="s">
        <v>1644</v>
      </c>
      <c r="R288" t="s">
        <v>1644</v>
      </c>
      <c r="S288" t="s">
        <v>1644</v>
      </c>
      <c r="T288" t="s">
        <v>1644</v>
      </c>
      <c r="U288" t="s">
        <v>1645</v>
      </c>
    </row>
    <row r="289" spans="1:21" x14ac:dyDescent="0.2">
      <c r="A289" t="s">
        <v>1777</v>
      </c>
      <c r="B289" t="s">
        <v>1689</v>
      </c>
      <c r="C289" t="s">
        <v>1642</v>
      </c>
      <c r="D289" t="s">
        <v>1643</v>
      </c>
      <c r="E289" t="s">
        <v>1644</v>
      </c>
      <c r="F289" t="s">
        <v>1644</v>
      </c>
      <c r="G289" t="s">
        <v>1645</v>
      </c>
      <c r="H289" t="s">
        <v>1645</v>
      </c>
      <c r="I289" t="s">
        <v>1645</v>
      </c>
      <c r="J289" t="s">
        <v>1645</v>
      </c>
      <c r="K289" t="s">
        <v>1645</v>
      </c>
      <c r="L289" t="s">
        <v>1821</v>
      </c>
      <c r="M289" t="s">
        <v>1822</v>
      </c>
      <c r="N289" t="s">
        <v>1820</v>
      </c>
      <c r="O289" t="s">
        <v>1648</v>
      </c>
      <c r="P289" t="s">
        <v>1645</v>
      </c>
      <c r="Q289" t="s">
        <v>1644</v>
      </c>
      <c r="R289" t="s">
        <v>1644</v>
      </c>
      <c r="S289" t="s">
        <v>1644</v>
      </c>
      <c r="T289" t="s">
        <v>1644</v>
      </c>
      <c r="U289" t="s">
        <v>1645</v>
      </c>
    </row>
    <row r="290" spans="1:21" x14ac:dyDescent="0.2">
      <c r="A290" t="s">
        <v>1778</v>
      </c>
      <c r="B290" t="s">
        <v>1691</v>
      </c>
      <c r="C290" t="s">
        <v>1642</v>
      </c>
      <c r="D290" t="s">
        <v>1643</v>
      </c>
      <c r="E290" t="s">
        <v>1644</v>
      </c>
      <c r="F290" t="s">
        <v>1644</v>
      </c>
      <c r="G290" t="s">
        <v>1645</v>
      </c>
      <c r="H290" t="s">
        <v>1645</v>
      </c>
      <c r="I290" t="s">
        <v>1645</v>
      </c>
      <c r="J290" t="s">
        <v>1645</v>
      </c>
      <c r="K290" t="s">
        <v>1645</v>
      </c>
      <c r="L290" t="s">
        <v>1821</v>
      </c>
      <c r="M290" t="s">
        <v>1822</v>
      </c>
      <c r="N290" t="s">
        <v>1820</v>
      </c>
      <c r="O290" t="s">
        <v>1648</v>
      </c>
      <c r="P290" t="s">
        <v>1645</v>
      </c>
      <c r="Q290" t="s">
        <v>1644</v>
      </c>
      <c r="R290" t="s">
        <v>1644</v>
      </c>
      <c r="S290" t="s">
        <v>1644</v>
      </c>
      <c r="T290" t="s">
        <v>1644</v>
      </c>
      <c r="U290" t="s">
        <v>1645</v>
      </c>
    </row>
    <row r="291" spans="1:21" x14ac:dyDescent="0.2">
      <c r="A291" t="s">
        <v>1773</v>
      </c>
      <c r="B291" t="s">
        <v>1749</v>
      </c>
      <c r="C291" t="s">
        <v>1746</v>
      </c>
      <c r="D291" t="s">
        <v>1643</v>
      </c>
      <c r="E291" t="s">
        <v>1644</v>
      </c>
      <c r="F291" t="s">
        <v>1644</v>
      </c>
      <c r="G291" t="s">
        <v>1645</v>
      </c>
      <c r="H291" t="s">
        <v>1645</v>
      </c>
      <c r="I291" t="s">
        <v>1645</v>
      </c>
      <c r="J291" t="s">
        <v>1645</v>
      </c>
      <c r="K291" t="s">
        <v>1645</v>
      </c>
      <c r="L291" t="s">
        <v>1823</v>
      </c>
      <c r="M291" t="s">
        <v>1824</v>
      </c>
      <c r="N291" t="s">
        <v>1820</v>
      </c>
      <c r="O291" t="s">
        <v>1648</v>
      </c>
      <c r="P291" t="s">
        <v>1645</v>
      </c>
      <c r="Q291" t="s">
        <v>1644</v>
      </c>
      <c r="R291" t="s">
        <v>1644</v>
      </c>
      <c r="S291" t="s">
        <v>1644</v>
      </c>
      <c r="T291" t="s">
        <v>1644</v>
      </c>
      <c r="U291" t="s">
        <v>1645</v>
      </c>
    </row>
    <row r="292" spans="1:21" x14ac:dyDescent="0.2">
      <c r="A292" t="s">
        <v>1777</v>
      </c>
      <c r="B292" t="s">
        <v>2062</v>
      </c>
      <c r="C292" t="s">
        <v>1642</v>
      </c>
      <c r="D292" t="s">
        <v>1643</v>
      </c>
      <c r="E292" t="s">
        <v>1644</v>
      </c>
      <c r="F292" t="s">
        <v>1644</v>
      </c>
      <c r="G292" t="s">
        <v>1645</v>
      </c>
      <c r="H292" t="s">
        <v>1645</v>
      </c>
      <c r="I292" t="s">
        <v>1645</v>
      </c>
      <c r="J292" t="s">
        <v>1645</v>
      </c>
      <c r="K292" t="s">
        <v>1645</v>
      </c>
      <c r="L292" t="s">
        <v>1823</v>
      </c>
      <c r="M292" t="s">
        <v>1824</v>
      </c>
      <c r="N292" t="s">
        <v>1820</v>
      </c>
      <c r="O292" t="s">
        <v>1648</v>
      </c>
      <c r="P292" t="s">
        <v>1645</v>
      </c>
      <c r="Q292" t="s">
        <v>1644</v>
      </c>
      <c r="R292" t="s">
        <v>1644</v>
      </c>
      <c r="S292" t="s">
        <v>1644</v>
      </c>
      <c r="T292" t="s">
        <v>1644</v>
      </c>
      <c r="U292" t="s">
        <v>1645</v>
      </c>
    </row>
    <row r="293" spans="1:21" x14ac:dyDescent="0.2">
      <c r="A293" t="s">
        <v>1778</v>
      </c>
      <c r="B293" t="s">
        <v>2063</v>
      </c>
      <c r="C293" t="s">
        <v>1642</v>
      </c>
      <c r="D293" t="s">
        <v>1643</v>
      </c>
      <c r="E293" t="s">
        <v>1644</v>
      </c>
      <c r="F293" t="s">
        <v>1644</v>
      </c>
      <c r="G293" t="s">
        <v>1645</v>
      </c>
      <c r="H293" t="s">
        <v>1645</v>
      </c>
      <c r="I293" t="s">
        <v>1645</v>
      </c>
      <c r="J293" t="s">
        <v>1645</v>
      </c>
      <c r="K293" t="s">
        <v>1645</v>
      </c>
      <c r="L293" t="s">
        <v>1823</v>
      </c>
      <c r="M293" t="s">
        <v>1824</v>
      </c>
      <c r="N293" t="s">
        <v>1820</v>
      </c>
      <c r="O293" t="s">
        <v>1648</v>
      </c>
      <c r="P293" t="s">
        <v>1645</v>
      </c>
      <c r="Q293" t="s">
        <v>1644</v>
      </c>
      <c r="R293" t="s">
        <v>1644</v>
      </c>
      <c r="S293" t="s">
        <v>1644</v>
      </c>
      <c r="T293" t="s">
        <v>1644</v>
      </c>
      <c r="U293" t="s">
        <v>1645</v>
      </c>
    </row>
    <row r="294" spans="1:21" x14ac:dyDescent="0.2">
      <c r="A294" t="s">
        <v>1773</v>
      </c>
      <c r="B294" t="s">
        <v>1749</v>
      </c>
      <c r="C294" t="s">
        <v>1746</v>
      </c>
      <c r="D294" t="s">
        <v>1643</v>
      </c>
      <c r="E294" t="s">
        <v>1644</v>
      </c>
      <c r="F294" t="s">
        <v>1644</v>
      </c>
      <c r="G294" t="s">
        <v>1645</v>
      </c>
      <c r="H294" t="s">
        <v>1645</v>
      </c>
      <c r="I294" t="s">
        <v>1645</v>
      </c>
      <c r="J294" t="s">
        <v>1645</v>
      </c>
      <c r="K294" t="s">
        <v>1645</v>
      </c>
      <c r="L294" t="s">
        <v>1966</v>
      </c>
      <c r="M294" t="s">
        <v>1967</v>
      </c>
      <c r="N294" t="s">
        <v>1820</v>
      </c>
      <c r="O294" t="s">
        <v>1648</v>
      </c>
      <c r="P294" t="s">
        <v>1645</v>
      </c>
      <c r="Q294" t="s">
        <v>1644</v>
      </c>
      <c r="R294" t="s">
        <v>1644</v>
      </c>
      <c r="S294" t="s">
        <v>1644</v>
      </c>
      <c r="T294" t="s">
        <v>1644</v>
      </c>
      <c r="U294" t="s">
        <v>1645</v>
      </c>
    </row>
    <row r="295" spans="1:21" x14ac:dyDescent="0.2">
      <c r="A295" t="s">
        <v>1777</v>
      </c>
      <c r="B295" t="s">
        <v>1703</v>
      </c>
      <c r="C295" t="s">
        <v>1642</v>
      </c>
      <c r="D295" t="s">
        <v>1643</v>
      </c>
      <c r="E295" t="s">
        <v>1644</v>
      </c>
      <c r="F295" t="s">
        <v>1644</v>
      </c>
      <c r="G295" t="s">
        <v>1645</v>
      </c>
      <c r="H295" t="s">
        <v>1645</v>
      </c>
      <c r="I295" t="s">
        <v>1645</v>
      </c>
      <c r="J295" t="s">
        <v>1645</v>
      </c>
      <c r="K295" t="s">
        <v>1645</v>
      </c>
      <c r="L295" t="s">
        <v>1966</v>
      </c>
      <c r="M295" t="s">
        <v>1967</v>
      </c>
      <c r="N295" t="s">
        <v>1820</v>
      </c>
      <c r="O295" t="s">
        <v>1648</v>
      </c>
      <c r="P295" t="s">
        <v>1645</v>
      </c>
      <c r="Q295" t="s">
        <v>1644</v>
      </c>
      <c r="R295" t="s">
        <v>1644</v>
      </c>
      <c r="S295" t="s">
        <v>1644</v>
      </c>
      <c r="T295" t="s">
        <v>1644</v>
      </c>
      <c r="U295" t="s">
        <v>1645</v>
      </c>
    </row>
    <row r="296" spans="1:21" x14ac:dyDescent="0.2">
      <c r="A296" t="s">
        <v>1778</v>
      </c>
      <c r="B296" t="s">
        <v>1705</v>
      </c>
      <c r="C296" t="s">
        <v>1642</v>
      </c>
      <c r="D296" t="s">
        <v>1643</v>
      </c>
      <c r="E296" t="s">
        <v>1644</v>
      </c>
      <c r="F296" t="s">
        <v>1644</v>
      </c>
      <c r="G296" t="s">
        <v>1645</v>
      </c>
      <c r="H296" t="s">
        <v>1645</v>
      </c>
      <c r="I296" t="s">
        <v>1645</v>
      </c>
      <c r="J296" t="s">
        <v>1645</v>
      </c>
      <c r="K296" t="s">
        <v>1645</v>
      </c>
      <c r="L296" t="s">
        <v>1966</v>
      </c>
      <c r="M296" t="s">
        <v>1967</v>
      </c>
      <c r="N296" t="s">
        <v>1820</v>
      </c>
      <c r="O296" t="s">
        <v>1648</v>
      </c>
      <c r="P296" t="s">
        <v>1645</v>
      </c>
      <c r="Q296" t="s">
        <v>1644</v>
      </c>
      <c r="R296" t="s">
        <v>1644</v>
      </c>
      <c r="S296" t="s">
        <v>1644</v>
      </c>
      <c r="T296" t="s">
        <v>1644</v>
      </c>
      <c r="U296" t="s">
        <v>1645</v>
      </c>
    </row>
    <row r="297" spans="1:21" x14ac:dyDescent="0.2">
      <c r="A297" t="s">
        <v>1773</v>
      </c>
      <c r="B297" t="s">
        <v>1749</v>
      </c>
      <c r="C297" t="s">
        <v>1746</v>
      </c>
      <c r="D297" t="s">
        <v>1643</v>
      </c>
      <c r="E297" t="s">
        <v>1644</v>
      </c>
      <c r="F297" t="s">
        <v>1644</v>
      </c>
      <c r="G297" t="s">
        <v>1645</v>
      </c>
      <c r="H297" t="s">
        <v>1645</v>
      </c>
      <c r="I297" t="s">
        <v>1645</v>
      </c>
      <c r="J297" t="s">
        <v>1645</v>
      </c>
      <c r="K297" t="s">
        <v>1645</v>
      </c>
      <c r="L297" t="s">
        <v>1968</v>
      </c>
      <c r="M297" t="s">
        <v>1969</v>
      </c>
      <c r="N297" t="s">
        <v>1820</v>
      </c>
      <c r="O297" t="s">
        <v>1648</v>
      </c>
      <c r="P297" t="s">
        <v>1645</v>
      </c>
      <c r="Q297" t="s">
        <v>1644</v>
      </c>
      <c r="R297" t="s">
        <v>1644</v>
      </c>
      <c r="S297" t="s">
        <v>1644</v>
      </c>
      <c r="T297" t="s">
        <v>1644</v>
      </c>
      <c r="U297" t="s">
        <v>1645</v>
      </c>
    </row>
    <row r="298" spans="1:21" x14ac:dyDescent="0.2">
      <c r="A298" t="s">
        <v>1777</v>
      </c>
      <c r="B298" t="s">
        <v>1664</v>
      </c>
      <c r="C298" t="s">
        <v>1642</v>
      </c>
      <c r="D298" t="s">
        <v>1643</v>
      </c>
      <c r="E298" t="s">
        <v>1644</v>
      </c>
      <c r="F298" t="s">
        <v>1644</v>
      </c>
      <c r="G298" t="s">
        <v>1645</v>
      </c>
      <c r="H298" t="s">
        <v>1645</v>
      </c>
      <c r="I298" t="s">
        <v>1645</v>
      </c>
      <c r="J298" t="s">
        <v>1645</v>
      </c>
      <c r="K298" t="s">
        <v>1645</v>
      </c>
      <c r="L298" t="s">
        <v>1968</v>
      </c>
      <c r="M298" t="s">
        <v>1969</v>
      </c>
      <c r="N298" t="s">
        <v>1820</v>
      </c>
      <c r="O298" t="s">
        <v>1648</v>
      </c>
      <c r="P298" t="s">
        <v>1645</v>
      </c>
      <c r="Q298" t="s">
        <v>1644</v>
      </c>
      <c r="R298" t="s">
        <v>1644</v>
      </c>
      <c r="S298" t="s">
        <v>1644</v>
      </c>
      <c r="T298" t="s">
        <v>1644</v>
      </c>
      <c r="U298" t="s">
        <v>1645</v>
      </c>
    </row>
    <row r="299" spans="1:21" x14ac:dyDescent="0.2">
      <c r="A299" t="s">
        <v>1778</v>
      </c>
      <c r="B299" t="s">
        <v>1666</v>
      </c>
      <c r="C299" t="s">
        <v>1642</v>
      </c>
      <c r="D299" t="s">
        <v>1643</v>
      </c>
      <c r="E299" t="s">
        <v>1644</v>
      </c>
      <c r="F299" t="s">
        <v>1644</v>
      </c>
      <c r="G299" t="s">
        <v>1645</v>
      </c>
      <c r="H299" t="s">
        <v>1645</v>
      </c>
      <c r="I299" t="s">
        <v>1645</v>
      </c>
      <c r="J299" t="s">
        <v>1645</v>
      </c>
      <c r="K299" t="s">
        <v>1645</v>
      </c>
      <c r="L299" t="s">
        <v>1968</v>
      </c>
      <c r="M299" t="s">
        <v>1969</v>
      </c>
      <c r="N299" t="s">
        <v>1820</v>
      </c>
      <c r="O299" t="s">
        <v>1648</v>
      </c>
      <c r="P299" t="s">
        <v>1645</v>
      </c>
      <c r="Q299" t="s">
        <v>1644</v>
      </c>
      <c r="R299" t="s">
        <v>1644</v>
      </c>
      <c r="S299" t="s">
        <v>1644</v>
      </c>
      <c r="T299" t="s">
        <v>1644</v>
      </c>
      <c r="U299" t="s">
        <v>1645</v>
      </c>
    </row>
    <row r="300" spans="1:21" x14ac:dyDescent="0.2">
      <c r="A300" t="s">
        <v>1773</v>
      </c>
      <c r="B300" t="s">
        <v>1749</v>
      </c>
      <c r="C300" t="s">
        <v>1746</v>
      </c>
      <c r="D300" t="s">
        <v>1643</v>
      </c>
      <c r="E300" t="s">
        <v>1644</v>
      </c>
      <c r="F300" t="s">
        <v>1644</v>
      </c>
      <c r="G300" t="s">
        <v>1645</v>
      </c>
      <c r="H300" t="s">
        <v>1645</v>
      </c>
      <c r="I300" t="s">
        <v>1645</v>
      </c>
      <c r="J300" t="s">
        <v>1645</v>
      </c>
      <c r="K300" t="s">
        <v>1645</v>
      </c>
      <c r="L300" t="s">
        <v>1970</v>
      </c>
      <c r="M300" t="s">
        <v>1971</v>
      </c>
      <c r="N300" t="s">
        <v>1820</v>
      </c>
      <c r="O300" t="s">
        <v>1648</v>
      </c>
      <c r="P300" t="s">
        <v>1645</v>
      </c>
      <c r="Q300" t="s">
        <v>1644</v>
      </c>
      <c r="R300" t="s">
        <v>1644</v>
      </c>
      <c r="S300" t="s">
        <v>1644</v>
      </c>
      <c r="T300" t="s">
        <v>1644</v>
      </c>
      <c r="U300" t="s">
        <v>1645</v>
      </c>
    </row>
    <row r="301" spans="1:21" x14ac:dyDescent="0.2">
      <c r="A301" t="s">
        <v>1777</v>
      </c>
      <c r="B301" t="s">
        <v>1668</v>
      </c>
      <c r="C301" t="s">
        <v>1642</v>
      </c>
      <c r="D301" t="s">
        <v>1643</v>
      </c>
      <c r="E301" t="s">
        <v>1644</v>
      </c>
      <c r="F301" t="s">
        <v>1644</v>
      </c>
      <c r="G301" t="s">
        <v>1645</v>
      </c>
      <c r="H301" t="s">
        <v>1645</v>
      </c>
      <c r="I301" t="s">
        <v>1645</v>
      </c>
      <c r="J301" t="s">
        <v>1645</v>
      </c>
      <c r="K301" t="s">
        <v>1645</v>
      </c>
      <c r="L301" t="s">
        <v>1970</v>
      </c>
      <c r="M301" t="s">
        <v>1971</v>
      </c>
      <c r="N301" t="s">
        <v>1820</v>
      </c>
      <c r="O301" t="s">
        <v>1648</v>
      </c>
      <c r="P301" t="s">
        <v>1645</v>
      </c>
      <c r="Q301" t="s">
        <v>1644</v>
      </c>
      <c r="R301" t="s">
        <v>1644</v>
      </c>
      <c r="S301" t="s">
        <v>1644</v>
      </c>
      <c r="T301" t="s">
        <v>1644</v>
      </c>
      <c r="U301" t="s">
        <v>1645</v>
      </c>
    </row>
    <row r="302" spans="1:21" x14ac:dyDescent="0.2">
      <c r="A302" t="s">
        <v>1778</v>
      </c>
      <c r="B302" t="s">
        <v>1670</v>
      </c>
      <c r="C302" t="s">
        <v>1642</v>
      </c>
      <c r="D302" t="s">
        <v>1643</v>
      </c>
      <c r="E302" t="s">
        <v>1644</v>
      </c>
      <c r="F302" t="s">
        <v>1644</v>
      </c>
      <c r="G302" t="s">
        <v>1645</v>
      </c>
      <c r="H302" t="s">
        <v>1645</v>
      </c>
      <c r="I302" t="s">
        <v>1645</v>
      </c>
      <c r="J302" t="s">
        <v>1645</v>
      </c>
      <c r="K302" t="s">
        <v>1645</v>
      </c>
      <c r="L302" t="s">
        <v>1970</v>
      </c>
      <c r="M302" t="s">
        <v>1971</v>
      </c>
      <c r="N302" t="s">
        <v>1820</v>
      </c>
      <c r="O302" t="s">
        <v>1648</v>
      </c>
      <c r="P302" t="s">
        <v>1645</v>
      </c>
      <c r="Q302" t="s">
        <v>1644</v>
      </c>
      <c r="R302" t="s">
        <v>1644</v>
      </c>
      <c r="S302" t="s">
        <v>1644</v>
      </c>
      <c r="T302" t="s">
        <v>1644</v>
      </c>
      <c r="U302" t="s">
        <v>1645</v>
      </c>
    </row>
    <row r="303" spans="1:21" x14ac:dyDescent="0.2">
      <c r="A303" t="s">
        <v>1773</v>
      </c>
      <c r="B303" t="s">
        <v>1749</v>
      </c>
      <c r="C303" t="s">
        <v>1746</v>
      </c>
      <c r="D303" t="s">
        <v>1643</v>
      </c>
      <c r="E303" t="s">
        <v>1644</v>
      </c>
      <c r="F303" t="s">
        <v>1644</v>
      </c>
      <c r="G303" t="s">
        <v>1645</v>
      </c>
      <c r="H303" t="s">
        <v>1645</v>
      </c>
      <c r="I303" t="s">
        <v>1645</v>
      </c>
      <c r="J303" t="s">
        <v>1645</v>
      </c>
      <c r="K303" t="s">
        <v>1645</v>
      </c>
      <c r="L303" t="s">
        <v>1825</v>
      </c>
      <c r="M303" t="s">
        <v>1826</v>
      </c>
      <c r="N303" t="s">
        <v>1827</v>
      </c>
      <c r="O303" t="s">
        <v>1648</v>
      </c>
      <c r="P303" t="s">
        <v>1645</v>
      </c>
      <c r="Q303" t="s">
        <v>1644</v>
      </c>
      <c r="R303" t="s">
        <v>1644</v>
      </c>
      <c r="S303" t="s">
        <v>1644</v>
      </c>
      <c r="T303" t="s">
        <v>1644</v>
      </c>
      <c r="U303" t="s">
        <v>1645</v>
      </c>
    </row>
    <row r="304" spans="1:21" x14ac:dyDescent="0.2">
      <c r="A304" t="s">
        <v>1777</v>
      </c>
      <c r="B304" t="s">
        <v>1660</v>
      </c>
      <c r="C304" t="s">
        <v>1642</v>
      </c>
      <c r="D304" t="s">
        <v>1643</v>
      </c>
      <c r="E304" t="s">
        <v>1644</v>
      </c>
      <c r="F304" t="s">
        <v>1644</v>
      </c>
      <c r="G304" t="s">
        <v>1645</v>
      </c>
      <c r="H304" t="s">
        <v>1645</v>
      </c>
      <c r="I304" t="s">
        <v>1645</v>
      </c>
      <c r="J304" t="s">
        <v>1645</v>
      </c>
      <c r="K304" t="s">
        <v>1645</v>
      </c>
      <c r="L304" t="s">
        <v>1825</v>
      </c>
      <c r="M304" t="s">
        <v>1826</v>
      </c>
      <c r="N304" t="s">
        <v>1827</v>
      </c>
      <c r="O304" t="s">
        <v>1648</v>
      </c>
      <c r="P304" t="s">
        <v>1645</v>
      </c>
      <c r="Q304" t="s">
        <v>1644</v>
      </c>
      <c r="R304" t="s">
        <v>1644</v>
      </c>
      <c r="S304" t="s">
        <v>1644</v>
      </c>
      <c r="T304" t="s">
        <v>1644</v>
      </c>
      <c r="U304" t="s">
        <v>1645</v>
      </c>
    </row>
    <row r="305" spans="1:21" x14ac:dyDescent="0.2">
      <c r="A305" t="s">
        <v>1778</v>
      </c>
      <c r="B305" t="s">
        <v>1662</v>
      </c>
      <c r="C305" t="s">
        <v>1642</v>
      </c>
      <c r="D305" t="s">
        <v>1643</v>
      </c>
      <c r="E305" t="s">
        <v>1644</v>
      </c>
      <c r="F305" t="s">
        <v>1644</v>
      </c>
      <c r="G305" t="s">
        <v>1645</v>
      </c>
      <c r="H305" t="s">
        <v>1645</v>
      </c>
      <c r="I305" t="s">
        <v>1645</v>
      </c>
      <c r="J305" t="s">
        <v>1645</v>
      </c>
      <c r="K305" t="s">
        <v>1645</v>
      </c>
      <c r="L305" t="s">
        <v>1825</v>
      </c>
      <c r="M305" t="s">
        <v>1826</v>
      </c>
      <c r="N305" t="s">
        <v>1827</v>
      </c>
      <c r="O305" t="s">
        <v>1648</v>
      </c>
      <c r="P305" t="s">
        <v>1645</v>
      </c>
      <c r="Q305" t="s">
        <v>1644</v>
      </c>
      <c r="R305" t="s">
        <v>1644</v>
      </c>
      <c r="S305" t="s">
        <v>1644</v>
      </c>
      <c r="T305" t="s">
        <v>1644</v>
      </c>
      <c r="U305" t="s">
        <v>1645</v>
      </c>
    </row>
    <row r="306" spans="1:21" x14ac:dyDescent="0.2">
      <c r="A306" t="s">
        <v>1798</v>
      </c>
      <c r="B306" t="s">
        <v>1664</v>
      </c>
      <c r="C306" t="s">
        <v>1642</v>
      </c>
      <c r="D306" t="s">
        <v>1643</v>
      </c>
      <c r="E306" t="s">
        <v>1644</v>
      </c>
      <c r="F306" t="s">
        <v>1644</v>
      </c>
      <c r="G306" t="s">
        <v>1645</v>
      </c>
      <c r="H306" t="s">
        <v>1645</v>
      </c>
      <c r="I306" t="s">
        <v>1645</v>
      </c>
      <c r="J306" t="s">
        <v>1645</v>
      </c>
      <c r="K306" t="s">
        <v>1645</v>
      </c>
      <c r="L306" t="s">
        <v>1825</v>
      </c>
      <c r="M306" t="s">
        <v>1826</v>
      </c>
      <c r="N306" t="s">
        <v>1827</v>
      </c>
      <c r="O306" t="s">
        <v>1648</v>
      </c>
      <c r="P306" t="s">
        <v>1645</v>
      </c>
      <c r="Q306" t="s">
        <v>1644</v>
      </c>
      <c r="R306" t="s">
        <v>1644</v>
      </c>
      <c r="S306" t="s">
        <v>1644</v>
      </c>
      <c r="T306" t="s">
        <v>1644</v>
      </c>
      <c r="U306" t="s">
        <v>1645</v>
      </c>
    </row>
    <row r="307" spans="1:21" x14ac:dyDescent="0.2">
      <c r="A307" t="s">
        <v>1799</v>
      </c>
      <c r="B307" t="s">
        <v>1666</v>
      </c>
      <c r="C307" t="s">
        <v>1642</v>
      </c>
      <c r="D307" t="s">
        <v>1643</v>
      </c>
      <c r="E307" t="s">
        <v>1644</v>
      </c>
      <c r="F307" t="s">
        <v>1644</v>
      </c>
      <c r="G307" t="s">
        <v>1645</v>
      </c>
      <c r="H307" t="s">
        <v>1645</v>
      </c>
      <c r="I307" t="s">
        <v>1645</v>
      </c>
      <c r="J307" t="s">
        <v>1645</v>
      </c>
      <c r="K307" t="s">
        <v>1645</v>
      </c>
      <c r="L307" t="s">
        <v>1825</v>
      </c>
      <c r="M307" t="s">
        <v>1826</v>
      </c>
      <c r="N307" t="s">
        <v>1827</v>
      </c>
      <c r="O307" t="s">
        <v>1648</v>
      </c>
      <c r="P307" t="s">
        <v>1645</v>
      </c>
      <c r="Q307" t="s">
        <v>1644</v>
      </c>
      <c r="R307" t="s">
        <v>1644</v>
      </c>
      <c r="S307" t="s">
        <v>1644</v>
      </c>
      <c r="T307" t="s">
        <v>1644</v>
      </c>
      <c r="U307" t="s">
        <v>1645</v>
      </c>
    </row>
    <row r="308" spans="1:21" x14ac:dyDescent="0.2">
      <c r="A308" t="s">
        <v>1773</v>
      </c>
      <c r="B308" t="s">
        <v>1749</v>
      </c>
      <c r="C308" t="s">
        <v>1746</v>
      </c>
      <c r="D308" t="s">
        <v>1643</v>
      </c>
      <c r="E308" t="s">
        <v>1644</v>
      </c>
      <c r="F308" t="s">
        <v>1644</v>
      </c>
      <c r="G308" t="s">
        <v>1645</v>
      </c>
      <c r="H308" t="s">
        <v>1645</v>
      </c>
      <c r="I308" t="s">
        <v>1645</v>
      </c>
      <c r="J308" t="s">
        <v>1645</v>
      </c>
      <c r="K308" t="s">
        <v>1645</v>
      </c>
      <c r="L308" t="s">
        <v>1828</v>
      </c>
      <c r="M308" t="s">
        <v>1829</v>
      </c>
      <c r="N308" t="s">
        <v>1827</v>
      </c>
      <c r="O308" t="s">
        <v>1648</v>
      </c>
      <c r="P308" t="s">
        <v>1645</v>
      </c>
      <c r="Q308" t="s">
        <v>1644</v>
      </c>
      <c r="R308" t="s">
        <v>1644</v>
      </c>
      <c r="S308" t="s">
        <v>1644</v>
      </c>
      <c r="T308" t="s">
        <v>1644</v>
      </c>
      <c r="U308" t="s">
        <v>1645</v>
      </c>
    </row>
    <row r="309" spans="1:21" x14ac:dyDescent="0.2">
      <c r="A309" t="s">
        <v>1777</v>
      </c>
      <c r="B309" t="s">
        <v>1689</v>
      </c>
      <c r="C309" t="s">
        <v>1642</v>
      </c>
      <c r="D309" t="s">
        <v>1643</v>
      </c>
      <c r="E309" t="s">
        <v>1644</v>
      </c>
      <c r="F309" t="s">
        <v>1644</v>
      </c>
      <c r="G309" t="s">
        <v>1645</v>
      </c>
      <c r="H309" t="s">
        <v>1645</v>
      </c>
      <c r="I309" t="s">
        <v>1645</v>
      </c>
      <c r="J309" t="s">
        <v>1645</v>
      </c>
      <c r="K309" t="s">
        <v>1645</v>
      </c>
      <c r="L309" t="s">
        <v>1828</v>
      </c>
      <c r="M309" t="s">
        <v>1829</v>
      </c>
      <c r="N309" t="s">
        <v>1827</v>
      </c>
      <c r="O309" t="s">
        <v>1648</v>
      </c>
      <c r="P309" t="s">
        <v>1645</v>
      </c>
      <c r="Q309" t="s">
        <v>1644</v>
      </c>
      <c r="R309" t="s">
        <v>1644</v>
      </c>
      <c r="S309" t="s">
        <v>1644</v>
      </c>
      <c r="T309" t="s">
        <v>1644</v>
      </c>
      <c r="U309" t="s">
        <v>1645</v>
      </c>
    </row>
    <row r="310" spans="1:21" x14ac:dyDescent="0.2">
      <c r="A310" t="s">
        <v>1778</v>
      </c>
      <c r="B310" t="s">
        <v>1691</v>
      </c>
      <c r="C310" t="s">
        <v>1642</v>
      </c>
      <c r="D310" t="s">
        <v>1643</v>
      </c>
      <c r="E310" t="s">
        <v>1644</v>
      </c>
      <c r="F310" t="s">
        <v>1644</v>
      </c>
      <c r="G310" t="s">
        <v>1645</v>
      </c>
      <c r="H310" t="s">
        <v>1645</v>
      </c>
      <c r="I310" t="s">
        <v>1645</v>
      </c>
      <c r="J310" t="s">
        <v>1645</v>
      </c>
      <c r="K310" t="s">
        <v>1645</v>
      </c>
      <c r="L310" t="s">
        <v>1828</v>
      </c>
      <c r="M310" t="s">
        <v>1829</v>
      </c>
      <c r="N310" t="s">
        <v>1827</v>
      </c>
      <c r="O310" t="s">
        <v>1648</v>
      </c>
      <c r="P310" t="s">
        <v>1645</v>
      </c>
      <c r="Q310" t="s">
        <v>1644</v>
      </c>
      <c r="R310" t="s">
        <v>1644</v>
      </c>
      <c r="S310" t="s">
        <v>1644</v>
      </c>
      <c r="T310" t="s">
        <v>1644</v>
      </c>
      <c r="U310" t="s">
        <v>1645</v>
      </c>
    </row>
    <row r="311" spans="1:21" x14ac:dyDescent="0.2">
      <c r="A311" t="s">
        <v>1773</v>
      </c>
      <c r="B311" t="s">
        <v>1749</v>
      </c>
      <c r="C311" t="s">
        <v>1746</v>
      </c>
      <c r="D311" t="s">
        <v>1643</v>
      </c>
      <c r="E311" t="s">
        <v>1644</v>
      </c>
      <c r="F311" t="s">
        <v>1644</v>
      </c>
      <c r="G311" t="s">
        <v>1645</v>
      </c>
      <c r="H311" t="s">
        <v>1645</v>
      </c>
      <c r="I311" t="s">
        <v>1645</v>
      </c>
      <c r="J311" t="s">
        <v>1645</v>
      </c>
      <c r="K311" t="s">
        <v>1645</v>
      </c>
      <c r="L311" t="s">
        <v>1830</v>
      </c>
      <c r="M311" t="s">
        <v>1831</v>
      </c>
      <c r="N311" t="s">
        <v>1827</v>
      </c>
      <c r="O311" t="s">
        <v>1648</v>
      </c>
      <c r="P311" t="s">
        <v>1645</v>
      </c>
      <c r="Q311" t="s">
        <v>1644</v>
      </c>
      <c r="R311" t="s">
        <v>1644</v>
      </c>
      <c r="S311" t="s">
        <v>1644</v>
      </c>
      <c r="T311" t="s">
        <v>1644</v>
      </c>
      <c r="U311" t="s">
        <v>1645</v>
      </c>
    </row>
    <row r="312" spans="1:21" x14ac:dyDescent="0.2">
      <c r="A312" t="s">
        <v>1777</v>
      </c>
      <c r="B312" t="s">
        <v>2062</v>
      </c>
      <c r="C312" t="s">
        <v>1642</v>
      </c>
      <c r="D312" t="s">
        <v>1643</v>
      </c>
      <c r="E312" t="s">
        <v>1644</v>
      </c>
      <c r="F312" t="s">
        <v>1644</v>
      </c>
      <c r="G312" t="s">
        <v>1645</v>
      </c>
      <c r="H312" t="s">
        <v>1645</v>
      </c>
      <c r="I312" t="s">
        <v>1645</v>
      </c>
      <c r="J312" t="s">
        <v>1645</v>
      </c>
      <c r="K312" t="s">
        <v>1645</v>
      </c>
      <c r="L312" t="s">
        <v>1830</v>
      </c>
      <c r="M312" t="s">
        <v>1831</v>
      </c>
      <c r="N312" t="s">
        <v>1827</v>
      </c>
      <c r="O312" t="s">
        <v>1648</v>
      </c>
      <c r="P312" t="s">
        <v>1645</v>
      </c>
      <c r="Q312" t="s">
        <v>1644</v>
      </c>
      <c r="R312" t="s">
        <v>1644</v>
      </c>
      <c r="S312" t="s">
        <v>1644</v>
      </c>
      <c r="T312" t="s">
        <v>1644</v>
      </c>
      <c r="U312" t="s">
        <v>1645</v>
      </c>
    </row>
    <row r="313" spans="1:21" x14ac:dyDescent="0.2">
      <c r="A313" t="s">
        <v>1778</v>
      </c>
      <c r="B313" t="s">
        <v>2063</v>
      </c>
      <c r="C313" t="s">
        <v>1642</v>
      </c>
      <c r="D313" t="s">
        <v>1643</v>
      </c>
      <c r="E313" t="s">
        <v>1644</v>
      </c>
      <c r="F313" t="s">
        <v>1644</v>
      </c>
      <c r="G313" t="s">
        <v>1645</v>
      </c>
      <c r="H313" t="s">
        <v>1645</v>
      </c>
      <c r="I313" t="s">
        <v>1645</v>
      </c>
      <c r="J313" t="s">
        <v>1645</v>
      </c>
      <c r="K313" t="s">
        <v>1645</v>
      </c>
      <c r="L313" t="s">
        <v>1830</v>
      </c>
      <c r="M313" t="s">
        <v>1831</v>
      </c>
      <c r="N313" t="s">
        <v>1827</v>
      </c>
      <c r="O313" t="s">
        <v>1648</v>
      </c>
      <c r="P313" t="s">
        <v>1645</v>
      </c>
      <c r="Q313" t="s">
        <v>1644</v>
      </c>
      <c r="R313" t="s">
        <v>1644</v>
      </c>
      <c r="S313" t="s">
        <v>1644</v>
      </c>
      <c r="T313" t="s">
        <v>1644</v>
      </c>
      <c r="U313" t="s">
        <v>1645</v>
      </c>
    </row>
    <row r="314" spans="1:21" x14ac:dyDescent="0.2">
      <c r="A314" t="s">
        <v>1773</v>
      </c>
      <c r="B314" t="s">
        <v>1749</v>
      </c>
      <c r="C314" t="s">
        <v>1746</v>
      </c>
      <c r="D314" t="s">
        <v>1643</v>
      </c>
      <c r="E314" t="s">
        <v>1644</v>
      </c>
      <c r="F314" t="s">
        <v>1644</v>
      </c>
      <c r="G314" t="s">
        <v>1645</v>
      </c>
      <c r="H314" t="s">
        <v>1645</v>
      </c>
      <c r="I314" t="s">
        <v>1645</v>
      </c>
      <c r="J314" t="s">
        <v>1645</v>
      </c>
      <c r="K314" t="s">
        <v>1645</v>
      </c>
      <c r="L314" t="s">
        <v>1972</v>
      </c>
      <c r="M314" t="s">
        <v>1973</v>
      </c>
      <c r="N314" t="s">
        <v>1827</v>
      </c>
      <c r="O314" t="s">
        <v>1648</v>
      </c>
      <c r="P314" t="s">
        <v>1645</v>
      </c>
      <c r="Q314" t="s">
        <v>1644</v>
      </c>
      <c r="R314" t="s">
        <v>1644</v>
      </c>
      <c r="S314" t="s">
        <v>1644</v>
      </c>
      <c r="T314" t="s">
        <v>1644</v>
      </c>
      <c r="U314" t="s">
        <v>1645</v>
      </c>
    </row>
    <row r="315" spans="1:21" x14ac:dyDescent="0.2">
      <c r="A315" t="s">
        <v>1777</v>
      </c>
      <c r="B315" t="s">
        <v>1703</v>
      </c>
      <c r="C315" t="s">
        <v>1642</v>
      </c>
      <c r="D315" t="s">
        <v>1643</v>
      </c>
      <c r="E315" t="s">
        <v>1644</v>
      </c>
      <c r="F315" t="s">
        <v>1644</v>
      </c>
      <c r="G315" t="s">
        <v>1645</v>
      </c>
      <c r="H315" t="s">
        <v>1645</v>
      </c>
      <c r="I315" t="s">
        <v>1645</v>
      </c>
      <c r="J315" t="s">
        <v>1645</v>
      </c>
      <c r="K315" t="s">
        <v>1645</v>
      </c>
      <c r="L315" t="s">
        <v>1972</v>
      </c>
      <c r="M315" t="s">
        <v>1973</v>
      </c>
      <c r="N315" t="s">
        <v>1827</v>
      </c>
      <c r="O315" t="s">
        <v>1648</v>
      </c>
      <c r="P315" t="s">
        <v>1645</v>
      </c>
      <c r="Q315" t="s">
        <v>1644</v>
      </c>
      <c r="R315" t="s">
        <v>1644</v>
      </c>
      <c r="S315" t="s">
        <v>1644</v>
      </c>
      <c r="T315" t="s">
        <v>1644</v>
      </c>
      <c r="U315" t="s">
        <v>1645</v>
      </c>
    </row>
    <row r="316" spans="1:21" x14ac:dyDescent="0.2">
      <c r="A316" t="s">
        <v>1778</v>
      </c>
      <c r="B316" t="s">
        <v>1705</v>
      </c>
      <c r="C316" t="s">
        <v>1642</v>
      </c>
      <c r="D316" t="s">
        <v>1643</v>
      </c>
      <c r="E316" t="s">
        <v>1644</v>
      </c>
      <c r="F316" t="s">
        <v>1644</v>
      </c>
      <c r="G316" t="s">
        <v>1645</v>
      </c>
      <c r="H316" t="s">
        <v>1645</v>
      </c>
      <c r="I316" t="s">
        <v>1645</v>
      </c>
      <c r="J316" t="s">
        <v>1645</v>
      </c>
      <c r="K316" t="s">
        <v>1645</v>
      </c>
      <c r="L316" t="s">
        <v>1972</v>
      </c>
      <c r="M316" t="s">
        <v>1973</v>
      </c>
      <c r="N316" t="s">
        <v>1827</v>
      </c>
      <c r="O316" t="s">
        <v>1648</v>
      </c>
      <c r="P316" t="s">
        <v>1645</v>
      </c>
      <c r="Q316" t="s">
        <v>1644</v>
      </c>
      <c r="R316" t="s">
        <v>1644</v>
      </c>
      <c r="S316" t="s">
        <v>1644</v>
      </c>
      <c r="T316" t="s">
        <v>1644</v>
      </c>
      <c r="U316" t="s">
        <v>1645</v>
      </c>
    </row>
    <row r="317" spans="1:21" x14ac:dyDescent="0.2">
      <c r="A317" t="s">
        <v>1773</v>
      </c>
      <c r="B317" t="s">
        <v>1749</v>
      </c>
      <c r="C317" t="s">
        <v>1746</v>
      </c>
      <c r="D317" t="s">
        <v>1643</v>
      </c>
      <c r="E317" t="s">
        <v>1644</v>
      </c>
      <c r="F317" t="s">
        <v>1644</v>
      </c>
      <c r="G317" t="s">
        <v>1645</v>
      </c>
      <c r="H317" t="s">
        <v>1645</v>
      </c>
      <c r="I317" t="s">
        <v>1645</v>
      </c>
      <c r="J317" t="s">
        <v>1645</v>
      </c>
      <c r="K317" t="s">
        <v>1645</v>
      </c>
      <c r="L317" t="s">
        <v>1974</v>
      </c>
      <c r="M317" t="s">
        <v>1975</v>
      </c>
      <c r="N317" t="s">
        <v>1827</v>
      </c>
      <c r="O317" t="s">
        <v>1648</v>
      </c>
      <c r="P317" t="s">
        <v>1645</v>
      </c>
      <c r="Q317" t="s">
        <v>1644</v>
      </c>
      <c r="R317" t="s">
        <v>1644</v>
      </c>
      <c r="S317" t="s">
        <v>1644</v>
      </c>
      <c r="T317" t="s">
        <v>1644</v>
      </c>
      <c r="U317" t="s">
        <v>1645</v>
      </c>
    </row>
    <row r="318" spans="1:21" x14ac:dyDescent="0.2">
      <c r="A318" t="s">
        <v>1777</v>
      </c>
      <c r="B318" t="s">
        <v>1664</v>
      </c>
      <c r="C318" t="s">
        <v>1642</v>
      </c>
      <c r="D318" t="s">
        <v>1643</v>
      </c>
      <c r="E318" t="s">
        <v>1644</v>
      </c>
      <c r="F318" t="s">
        <v>1644</v>
      </c>
      <c r="G318" t="s">
        <v>1645</v>
      </c>
      <c r="H318" t="s">
        <v>1645</v>
      </c>
      <c r="I318" t="s">
        <v>1645</v>
      </c>
      <c r="J318" t="s">
        <v>1645</v>
      </c>
      <c r="K318" t="s">
        <v>1645</v>
      </c>
      <c r="L318" t="s">
        <v>1974</v>
      </c>
      <c r="M318" t="s">
        <v>1975</v>
      </c>
      <c r="N318" t="s">
        <v>1827</v>
      </c>
      <c r="O318" t="s">
        <v>1648</v>
      </c>
      <c r="P318" t="s">
        <v>1645</v>
      </c>
      <c r="Q318" t="s">
        <v>1644</v>
      </c>
      <c r="R318" t="s">
        <v>1644</v>
      </c>
      <c r="S318" t="s">
        <v>1644</v>
      </c>
      <c r="T318" t="s">
        <v>1644</v>
      </c>
      <c r="U318" t="s">
        <v>1645</v>
      </c>
    </row>
    <row r="319" spans="1:21" x14ac:dyDescent="0.2">
      <c r="A319" t="s">
        <v>1778</v>
      </c>
      <c r="B319" t="s">
        <v>1666</v>
      </c>
      <c r="C319" t="s">
        <v>1642</v>
      </c>
      <c r="D319" t="s">
        <v>1643</v>
      </c>
      <c r="E319" t="s">
        <v>1644</v>
      </c>
      <c r="F319" t="s">
        <v>1644</v>
      </c>
      <c r="G319" t="s">
        <v>1645</v>
      </c>
      <c r="H319" t="s">
        <v>1645</v>
      </c>
      <c r="I319" t="s">
        <v>1645</v>
      </c>
      <c r="J319" t="s">
        <v>1645</v>
      </c>
      <c r="K319" t="s">
        <v>1645</v>
      </c>
      <c r="L319" t="s">
        <v>1974</v>
      </c>
      <c r="M319" t="s">
        <v>1975</v>
      </c>
      <c r="N319" t="s">
        <v>1827</v>
      </c>
      <c r="O319" t="s">
        <v>1648</v>
      </c>
      <c r="P319" t="s">
        <v>1645</v>
      </c>
      <c r="Q319" t="s">
        <v>1644</v>
      </c>
      <c r="R319" t="s">
        <v>1644</v>
      </c>
      <c r="S319" t="s">
        <v>1644</v>
      </c>
      <c r="T319" t="s">
        <v>1644</v>
      </c>
      <c r="U319" t="s">
        <v>1645</v>
      </c>
    </row>
    <row r="320" spans="1:21" x14ac:dyDescent="0.2">
      <c r="A320" t="s">
        <v>1773</v>
      </c>
      <c r="B320" t="s">
        <v>1749</v>
      </c>
      <c r="C320" t="s">
        <v>1746</v>
      </c>
      <c r="D320" t="s">
        <v>1643</v>
      </c>
      <c r="E320" t="s">
        <v>1644</v>
      </c>
      <c r="F320" t="s">
        <v>1644</v>
      </c>
      <c r="G320" t="s">
        <v>1645</v>
      </c>
      <c r="H320" t="s">
        <v>1645</v>
      </c>
      <c r="I320" t="s">
        <v>1645</v>
      </c>
      <c r="J320" t="s">
        <v>1645</v>
      </c>
      <c r="K320" t="s">
        <v>1645</v>
      </c>
      <c r="L320" t="s">
        <v>1976</v>
      </c>
      <c r="M320" t="s">
        <v>1977</v>
      </c>
      <c r="N320" t="s">
        <v>1827</v>
      </c>
      <c r="O320" t="s">
        <v>1648</v>
      </c>
      <c r="P320" t="s">
        <v>1645</v>
      </c>
      <c r="Q320" t="s">
        <v>1644</v>
      </c>
      <c r="R320" t="s">
        <v>1644</v>
      </c>
      <c r="S320" t="s">
        <v>1644</v>
      </c>
      <c r="T320" t="s">
        <v>1644</v>
      </c>
      <c r="U320" t="s">
        <v>1645</v>
      </c>
    </row>
    <row r="321" spans="1:21" x14ac:dyDescent="0.2">
      <c r="A321" t="s">
        <v>1777</v>
      </c>
      <c r="B321" t="s">
        <v>1668</v>
      </c>
      <c r="C321" t="s">
        <v>1642</v>
      </c>
      <c r="D321" t="s">
        <v>1643</v>
      </c>
      <c r="E321" t="s">
        <v>1644</v>
      </c>
      <c r="F321" t="s">
        <v>1644</v>
      </c>
      <c r="G321" t="s">
        <v>1645</v>
      </c>
      <c r="H321" t="s">
        <v>1645</v>
      </c>
      <c r="I321" t="s">
        <v>1645</v>
      </c>
      <c r="J321" t="s">
        <v>1645</v>
      </c>
      <c r="K321" t="s">
        <v>1645</v>
      </c>
      <c r="L321" t="s">
        <v>1976</v>
      </c>
      <c r="M321" t="s">
        <v>1977</v>
      </c>
      <c r="N321" t="s">
        <v>1827</v>
      </c>
      <c r="O321" t="s">
        <v>1648</v>
      </c>
      <c r="P321" t="s">
        <v>1645</v>
      </c>
      <c r="Q321" t="s">
        <v>1644</v>
      </c>
      <c r="R321" t="s">
        <v>1644</v>
      </c>
      <c r="S321" t="s">
        <v>1644</v>
      </c>
      <c r="T321" t="s">
        <v>1644</v>
      </c>
      <c r="U321" t="s">
        <v>1645</v>
      </c>
    </row>
    <row r="322" spans="1:21" x14ac:dyDescent="0.2">
      <c r="A322" t="s">
        <v>1778</v>
      </c>
      <c r="B322" t="s">
        <v>1670</v>
      </c>
      <c r="C322" t="s">
        <v>1642</v>
      </c>
      <c r="D322" t="s">
        <v>1643</v>
      </c>
      <c r="E322" t="s">
        <v>1644</v>
      </c>
      <c r="F322" t="s">
        <v>1644</v>
      </c>
      <c r="G322" t="s">
        <v>1645</v>
      </c>
      <c r="H322" t="s">
        <v>1645</v>
      </c>
      <c r="I322" t="s">
        <v>1645</v>
      </c>
      <c r="J322" t="s">
        <v>1645</v>
      </c>
      <c r="K322" t="s">
        <v>1645</v>
      </c>
      <c r="L322" t="s">
        <v>1976</v>
      </c>
      <c r="M322" t="s">
        <v>1977</v>
      </c>
      <c r="N322" t="s">
        <v>1827</v>
      </c>
      <c r="O322" t="s">
        <v>1648</v>
      </c>
      <c r="P322" t="s">
        <v>1645</v>
      </c>
      <c r="Q322" t="s">
        <v>1644</v>
      </c>
      <c r="R322" t="s">
        <v>1644</v>
      </c>
      <c r="S322" t="s">
        <v>1644</v>
      </c>
      <c r="T322" t="s">
        <v>1644</v>
      </c>
      <c r="U322" t="s">
        <v>1645</v>
      </c>
    </row>
    <row r="323" spans="1:21" x14ac:dyDescent="0.2">
      <c r="A323" t="s">
        <v>1773</v>
      </c>
      <c r="B323" t="s">
        <v>1749</v>
      </c>
      <c r="C323" t="s">
        <v>1746</v>
      </c>
      <c r="D323" t="s">
        <v>1643</v>
      </c>
      <c r="E323" t="s">
        <v>1644</v>
      </c>
      <c r="F323" t="s">
        <v>1644</v>
      </c>
      <c r="G323" t="s">
        <v>1645</v>
      </c>
      <c r="H323" t="s">
        <v>1645</v>
      </c>
      <c r="I323" t="s">
        <v>1645</v>
      </c>
      <c r="J323" t="s">
        <v>1645</v>
      </c>
      <c r="K323" t="s">
        <v>1645</v>
      </c>
      <c r="L323" t="s">
        <v>1832</v>
      </c>
      <c r="M323" t="s">
        <v>1833</v>
      </c>
      <c r="N323" t="s">
        <v>1834</v>
      </c>
      <c r="O323" t="s">
        <v>1648</v>
      </c>
      <c r="P323" t="s">
        <v>1645</v>
      </c>
      <c r="Q323" t="s">
        <v>1644</v>
      </c>
      <c r="R323" t="s">
        <v>1644</v>
      </c>
      <c r="S323" t="s">
        <v>1644</v>
      </c>
      <c r="T323" t="s">
        <v>1644</v>
      </c>
      <c r="U323" t="s">
        <v>1645</v>
      </c>
    </row>
    <row r="324" spans="1:21" x14ac:dyDescent="0.2">
      <c r="A324" t="s">
        <v>1777</v>
      </c>
      <c r="B324" t="s">
        <v>1660</v>
      </c>
      <c r="C324" t="s">
        <v>1642</v>
      </c>
      <c r="D324" t="s">
        <v>1643</v>
      </c>
      <c r="E324" t="s">
        <v>1644</v>
      </c>
      <c r="F324" t="s">
        <v>1644</v>
      </c>
      <c r="G324" t="s">
        <v>1645</v>
      </c>
      <c r="H324" t="s">
        <v>1645</v>
      </c>
      <c r="I324" t="s">
        <v>1645</v>
      </c>
      <c r="J324" t="s">
        <v>1645</v>
      </c>
      <c r="K324" t="s">
        <v>1645</v>
      </c>
      <c r="L324" t="s">
        <v>1832</v>
      </c>
      <c r="M324" t="s">
        <v>1833</v>
      </c>
      <c r="N324" t="s">
        <v>1834</v>
      </c>
      <c r="O324" t="s">
        <v>1648</v>
      </c>
      <c r="P324" t="s">
        <v>1645</v>
      </c>
      <c r="Q324" t="s">
        <v>1644</v>
      </c>
      <c r="R324" t="s">
        <v>1644</v>
      </c>
      <c r="S324" t="s">
        <v>1644</v>
      </c>
      <c r="T324" t="s">
        <v>1644</v>
      </c>
      <c r="U324" t="s">
        <v>1645</v>
      </c>
    </row>
    <row r="325" spans="1:21" x14ac:dyDescent="0.2">
      <c r="A325" t="s">
        <v>1778</v>
      </c>
      <c r="B325" t="s">
        <v>1662</v>
      </c>
      <c r="C325" t="s">
        <v>1642</v>
      </c>
      <c r="D325" t="s">
        <v>1643</v>
      </c>
      <c r="E325" t="s">
        <v>1644</v>
      </c>
      <c r="F325" t="s">
        <v>1644</v>
      </c>
      <c r="G325" t="s">
        <v>1645</v>
      </c>
      <c r="H325" t="s">
        <v>1645</v>
      </c>
      <c r="I325" t="s">
        <v>1645</v>
      </c>
      <c r="J325" t="s">
        <v>1645</v>
      </c>
      <c r="K325" t="s">
        <v>1645</v>
      </c>
      <c r="L325" t="s">
        <v>1832</v>
      </c>
      <c r="M325" t="s">
        <v>1833</v>
      </c>
      <c r="N325" t="s">
        <v>1834</v>
      </c>
      <c r="O325" t="s">
        <v>1648</v>
      </c>
      <c r="P325" t="s">
        <v>1645</v>
      </c>
      <c r="Q325" t="s">
        <v>1644</v>
      </c>
      <c r="R325" t="s">
        <v>1644</v>
      </c>
      <c r="S325" t="s">
        <v>1644</v>
      </c>
      <c r="T325" t="s">
        <v>1644</v>
      </c>
      <c r="U325" t="s">
        <v>1645</v>
      </c>
    </row>
    <row r="326" spans="1:21" x14ac:dyDescent="0.2">
      <c r="A326" t="s">
        <v>1798</v>
      </c>
      <c r="B326" t="s">
        <v>1664</v>
      </c>
      <c r="C326" t="s">
        <v>1642</v>
      </c>
      <c r="D326" t="s">
        <v>1643</v>
      </c>
      <c r="E326" t="s">
        <v>1644</v>
      </c>
      <c r="F326" t="s">
        <v>1644</v>
      </c>
      <c r="G326" t="s">
        <v>1645</v>
      </c>
      <c r="H326" t="s">
        <v>1645</v>
      </c>
      <c r="I326" t="s">
        <v>1645</v>
      </c>
      <c r="J326" t="s">
        <v>1645</v>
      </c>
      <c r="K326" t="s">
        <v>1645</v>
      </c>
      <c r="L326" t="s">
        <v>1832</v>
      </c>
      <c r="M326" t="s">
        <v>1833</v>
      </c>
      <c r="N326" t="s">
        <v>1834</v>
      </c>
      <c r="O326" t="s">
        <v>1648</v>
      </c>
      <c r="P326" t="s">
        <v>1645</v>
      </c>
      <c r="Q326" t="s">
        <v>1644</v>
      </c>
      <c r="R326" t="s">
        <v>1644</v>
      </c>
      <c r="S326" t="s">
        <v>1644</v>
      </c>
      <c r="T326" t="s">
        <v>1644</v>
      </c>
      <c r="U326" t="s">
        <v>1645</v>
      </c>
    </row>
    <row r="327" spans="1:21" x14ac:dyDescent="0.2">
      <c r="A327" t="s">
        <v>1799</v>
      </c>
      <c r="B327" t="s">
        <v>1666</v>
      </c>
      <c r="C327" t="s">
        <v>1642</v>
      </c>
      <c r="D327" t="s">
        <v>1643</v>
      </c>
      <c r="E327" t="s">
        <v>1644</v>
      </c>
      <c r="F327" t="s">
        <v>1644</v>
      </c>
      <c r="G327" t="s">
        <v>1645</v>
      </c>
      <c r="H327" t="s">
        <v>1645</v>
      </c>
      <c r="I327" t="s">
        <v>1645</v>
      </c>
      <c r="J327" t="s">
        <v>1645</v>
      </c>
      <c r="K327" t="s">
        <v>1645</v>
      </c>
      <c r="L327" t="s">
        <v>1832</v>
      </c>
      <c r="M327" t="s">
        <v>1833</v>
      </c>
      <c r="N327" t="s">
        <v>1834</v>
      </c>
      <c r="O327" t="s">
        <v>1648</v>
      </c>
      <c r="P327" t="s">
        <v>1645</v>
      </c>
      <c r="Q327" t="s">
        <v>1644</v>
      </c>
      <c r="R327" t="s">
        <v>1644</v>
      </c>
      <c r="S327" t="s">
        <v>1644</v>
      </c>
      <c r="T327" t="s">
        <v>1644</v>
      </c>
      <c r="U327" t="s">
        <v>1645</v>
      </c>
    </row>
    <row r="328" spans="1:21" x14ac:dyDescent="0.2">
      <c r="A328" t="s">
        <v>1773</v>
      </c>
      <c r="B328" t="s">
        <v>1749</v>
      </c>
      <c r="C328" t="s">
        <v>1746</v>
      </c>
      <c r="D328" t="s">
        <v>1643</v>
      </c>
      <c r="E328" t="s">
        <v>1644</v>
      </c>
      <c r="F328" t="s">
        <v>1644</v>
      </c>
      <c r="G328" t="s">
        <v>1645</v>
      </c>
      <c r="H328" t="s">
        <v>1645</v>
      </c>
      <c r="I328" t="s">
        <v>1645</v>
      </c>
      <c r="J328" t="s">
        <v>1645</v>
      </c>
      <c r="K328" t="s">
        <v>1645</v>
      </c>
      <c r="L328" t="s">
        <v>1835</v>
      </c>
      <c r="M328" t="s">
        <v>1836</v>
      </c>
      <c r="N328" t="s">
        <v>1834</v>
      </c>
      <c r="O328" t="s">
        <v>1648</v>
      </c>
      <c r="P328" t="s">
        <v>1645</v>
      </c>
      <c r="Q328" t="s">
        <v>1644</v>
      </c>
      <c r="R328" t="s">
        <v>1644</v>
      </c>
      <c r="S328" t="s">
        <v>1644</v>
      </c>
      <c r="T328" t="s">
        <v>1644</v>
      </c>
      <c r="U328" t="s">
        <v>1645</v>
      </c>
    </row>
    <row r="329" spans="1:21" x14ac:dyDescent="0.2">
      <c r="A329" t="s">
        <v>1777</v>
      </c>
      <c r="B329" t="s">
        <v>1689</v>
      </c>
      <c r="C329" t="s">
        <v>1642</v>
      </c>
      <c r="D329" t="s">
        <v>1643</v>
      </c>
      <c r="E329" t="s">
        <v>1644</v>
      </c>
      <c r="F329" t="s">
        <v>1644</v>
      </c>
      <c r="G329" t="s">
        <v>1645</v>
      </c>
      <c r="H329" t="s">
        <v>1645</v>
      </c>
      <c r="I329" t="s">
        <v>1645</v>
      </c>
      <c r="J329" t="s">
        <v>1645</v>
      </c>
      <c r="K329" t="s">
        <v>1645</v>
      </c>
      <c r="L329" t="s">
        <v>1835</v>
      </c>
      <c r="M329" t="s">
        <v>1836</v>
      </c>
      <c r="N329" t="s">
        <v>1834</v>
      </c>
      <c r="O329" t="s">
        <v>1648</v>
      </c>
      <c r="P329" t="s">
        <v>1645</v>
      </c>
      <c r="Q329" t="s">
        <v>1644</v>
      </c>
      <c r="R329" t="s">
        <v>1644</v>
      </c>
      <c r="S329" t="s">
        <v>1644</v>
      </c>
      <c r="T329" t="s">
        <v>1644</v>
      </c>
      <c r="U329" t="s">
        <v>1645</v>
      </c>
    </row>
    <row r="330" spans="1:21" x14ac:dyDescent="0.2">
      <c r="A330" t="s">
        <v>1778</v>
      </c>
      <c r="B330" t="s">
        <v>1691</v>
      </c>
      <c r="C330" t="s">
        <v>1642</v>
      </c>
      <c r="D330" t="s">
        <v>1643</v>
      </c>
      <c r="E330" t="s">
        <v>1644</v>
      </c>
      <c r="F330" t="s">
        <v>1644</v>
      </c>
      <c r="G330" t="s">
        <v>1645</v>
      </c>
      <c r="H330" t="s">
        <v>1645</v>
      </c>
      <c r="I330" t="s">
        <v>1645</v>
      </c>
      <c r="J330" t="s">
        <v>1645</v>
      </c>
      <c r="K330" t="s">
        <v>1645</v>
      </c>
      <c r="L330" t="s">
        <v>1835</v>
      </c>
      <c r="M330" t="s">
        <v>1836</v>
      </c>
      <c r="N330" t="s">
        <v>1834</v>
      </c>
      <c r="O330" t="s">
        <v>1648</v>
      </c>
      <c r="P330" t="s">
        <v>1645</v>
      </c>
      <c r="Q330" t="s">
        <v>1644</v>
      </c>
      <c r="R330" t="s">
        <v>1644</v>
      </c>
      <c r="S330" t="s">
        <v>1644</v>
      </c>
      <c r="T330" t="s">
        <v>1644</v>
      </c>
      <c r="U330" t="s">
        <v>1645</v>
      </c>
    </row>
    <row r="331" spans="1:21" x14ac:dyDescent="0.2">
      <c r="A331" t="s">
        <v>1773</v>
      </c>
      <c r="B331" t="s">
        <v>1749</v>
      </c>
      <c r="C331" t="s">
        <v>1746</v>
      </c>
      <c r="D331" t="s">
        <v>1643</v>
      </c>
      <c r="E331" t="s">
        <v>1644</v>
      </c>
      <c r="F331" t="s">
        <v>1644</v>
      </c>
      <c r="G331" t="s">
        <v>1645</v>
      </c>
      <c r="H331" t="s">
        <v>1645</v>
      </c>
      <c r="I331" t="s">
        <v>1645</v>
      </c>
      <c r="J331" t="s">
        <v>1645</v>
      </c>
      <c r="K331" t="s">
        <v>1645</v>
      </c>
      <c r="L331" t="s">
        <v>1837</v>
      </c>
      <c r="M331" t="s">
        <v>1838</v>
      </c>
      <c r="N331" t="s">
        <v>1834</v>
      </c>
      <c r="O331" t="s">
        <v>1648</v>
      </c>
      <c r="P331" t="s">
        <v>1645</v>
      </c>
      <c r="Q331" t="s">
        <v>1644</v>
      </c>
      <c r="R331" t="s">
        <v>1644</v>
      </c>
      <c r="S331" t="s">
        <v>1644</v>
      </c>
      <c r="T331" t="s">
        <v>1644</v>
      </c>
      <c r="U331" t="s">
        <v>1645</v>
      </c>
    </row>
    <row r="332" spans="1:21" x14ac:dyDescent="0.2">
      <c r="A332" t="s">
        <v>1777</v>
      </c>
      <c r="B332" t="s">
        <v>2062</v>
      </c>
      <c r="C332" t="s">
        <v>1642</v>
      </c>
      <c r="D332" t="s">
        <v>1643</v>
      </c>
      <c r="E332" t="s">
        <v>1644</v>
      </c>
      <c r="F332" t="s">
        <v>1644</v>
      </c>
      <c r="G332" t="s">
        <v>1645</v>
      </c>
      <c r="H332" t="s">
        <v>1645</v>
      </c>
      <c r="I332" t="s">
        <v>1645</v>
      </c>
      <c r="J332" t="s">
        <v>1645</v>
      </c>
      <c r="K332" t="s">
        <v>1645</v>
      </c>
      <c r="L332" t="s">
        <v>1837</v>
      </c>
      <c r="M332" t="s">
        <v>1838</v>
      </c>
      <c r="N332" t="s">
        <v>1834</v>
      </c>
      <c r="O332" t="s">
        <v>1648</v>
      </c>
      <c r="P332" t="s">
        <v>1645</v>
      </c>
      <c r="Q332" t="s">
        <v>1644</v>
      </c>
      <c r="R332" t="s">
        <v>1644</v>
      </c>
      <c r="S332" t="s">
        <v>1644</v>
      </c>
      <c r="T332" t="s">
        <v>1644</v>
      </c>
      <c r="U332" t="s">
        <v>1645</v>
      </c>
    </row>
    <row r="333" spans="1:21" x14ac:dyDescent="0.2">
      <c r="A333" t="s">
        <v>1778</v>
      </c>
      <c r="B333" t="s">
        <v>2063</v>
      </c>
      <c r="C333" t="s">
        <v>1642</v>
      </c>
      <c r="D333" t="s">
        <v>1643</v>
      </c>
      <c r="E333" t="s">
        <v>1644</v>
      </c>
      <c r="F333" t="s">
        <v>1644</v>
      </c>
      <c r="G333" t="s">
        <v>1645</v>
      </c>
      <c r="H333" t="s">
        <v>1645</v>
      </c>
      <c r="I333" t="s">
        <v>1645</v>
      </c>
      <c r="J333" t="s">
        <v>1645</v>
      </c>
      <c r="K333" t="s">
        <v>1645</v>
      </c>
      <c r="L333" t="s">
        <v>1837</v>
      </c>
      <c r="M333" t="s">
        <v>1838</v>
      </c>
      <c r="N333" t="s">
        <v>1834</v>
      </c>
      <c r="O333" t="s">
        <v>1648</v>
      </c>
      <c r="P333" t="s">
        <v>1645</v>
      </c>
      <c r="Q333" t="s">
        <v>1644</v>
      </c>
      <c r="R333" t="s">
        <v>1644</v>
      </c>
      <c r="S333" t="s">
        <v>1644</v>
      </c>
      <c r="T333" t="s">
        <v>1644</v>
      </c>
      <c r="U333" t="s">
        <v>1645</v>
      </c>
    </row>
    <row r="334" spans="1:21" x14ac:dyDescent="0.2">
      <c r="A334" t="s">
        <v>1773</v>
      </c>
      <c r="B334" t="s">
        <v>1749</v>
      </c>
      <c r="C334" t="s">
        <v>1746</v>
      </c>
      <c r="D334" t="s">
        <v>1643</v>
      </c>
      <c r="E334" t="s">
        <v>1644</v>
      </c>
      <c r="F334" t="s">
        <v>1644</v>
      </c>
      <c r="G334" t="s">
        <v>1645</v>
      </c>
      <c r="H334" t="s">
        <v>1645</v>
      </c>
      <c r="I334" t="s">
        <v>1645</v>
      </c>
      <c r="J334" t="s">
        <v>1645</v>
      </c>
      <c r="K334" t="s">
        <v>1645</v>
      </c>
      <c r="L334" t="s">
        <v>1978</v>
      </c>
      <c r="M334" t="s">
        <v>1979</v>
      </c>
      <c r="N334" t="s">
        <v>1834</v>
      </c>
      <c r="O334" t="s">
        <v>1648</v>
      </c>
      <c r="P334" t="s">
        <v>1645</v>
      </c>
      <c r="Q334" t="s">
        <v>1644</v>
      </c>
      <c r="R334" t="s">
        <v>1644</v>
      </c>
      <c r="S334" t="s">
        <v>1644</v>
      </c>
      <c r="T334" t="s">
        <v>1644</v>
      </c>
      <c r="U334" t="s">
        <v>1645</v>
      </c>
    </row>
    <row r="335" spans="1:21" x14ac:dyDescent="0.2">
      <c r="A335" t="s">
        <v>1777</v>
      </c>
      <c r="B335" t="s">
        <v>1703</v>
      </c>
      <c r="C335" t="s">
        <v>1642</v>
      </c>
      <c r="D335" t="s">
        <v>1643</v>
      </c>
      <c r="E335" t="s">
        <v>1644</v>
      </c>
      <c r="F335" t="s">
        <v>1644</v>
      </c>
      <c r="G335" t="s">
        <v>1645</v>
      </c>
      <c r="H335" t="s">
        <v>1645</v>
      </c>
      <c r="I335" t="s">
        <v>1645</v>
      </c>
      <c r="J335" t="s">
        <v>1645</v>
      </c>
      <c r="K335" t="s">
        <v>1645</v>
      </c>
      <c r="L335" t="s">
        <v>1978</v>
      </c>
      <c r="M335" t="s">
        <v>1979</v>
      </c>
      <c r="N335" t="s">
        <v>1834</v>
      </c>
      <c r="O335" t="s">
        <v>1648</v>
      </c>
      <c r="P335" t="s">
        <v>1645</v>
      </c>
      <c r="Q335" t="s">
        <v>1644</v>
      </c>
      <c r="R335" t="s">
        <v>1644</v>
      </c>
      <c r="S335" t="s">
        <v>1644</v>
      </c>
      <c r="T335" t="s">
        <v>1644</v>
      </c>
      <c r="U335" t="s">
        <v>1645</v>
      </c>
    </row>
    <row r="336" spans="1:21" x14ac:dyDescent="0.2">
      <c r="A336" t="s">
        <v>1778</v>
      </c>
      <c r="B336" t="s">
        <v>1705</v>
      </c>
      <c r="C336" t="s">
        <v>1642</v>
      </c>
      <c r="D336" t="s">
        <v>1643</v>
      </c>
      <c r="E336" t="s">
        <v>1644</v>
      </c>
      <c r="F336" t="s">
        <v>1644</v>
      </c>
      <c r="G336" t="s">
        <v>1645</v>
      </c>
      <c r="H336" t="s">
        <v>1645</v>
      </c>
      <c r="I336" t="s">
        <v>1645</v>
      </c>
      <c r="J336" t="s">
        <v>1645</v>
      </c>
      <c r="K336" t="s">
        <v>1645</v>
      </c>
      <c r="L336" t="s">
        <v>1978</v>
      </c>
      <c r="M336" t="s">
        <v>1979</v>
      </c>
      <c r="N336" t="s">
        <v>1834</v>
      </c>
      <c r="O336" t="s">
        <v>1648</v>
      </c>
      <c r="P336" t="s">
        <v>1645</v>
      </c>
      <c r="Q336" t="s">
        <v>1644</v>
      </c>
      <c r="R336" t="s">
        <v>1644</v>
      </c>
      <c r="S336" t="s">
        <v>1644</v>
      </c>
      <c r="T336" t="s">
        <v>1644</v>
      </c>
      <c r="U336" t="s">
        <v>1645</v>
      </c>
    </row>
    <row r="337" spans="1:21" x14ac:dyDescent="0.2">
      <c r="A337" t="s">
        <v>1773</v>
      </c>
      <c r="B337" t="s">
        <v>1749</v>
      </c>
      <c r="C337" t="s">
        <v>1746</v>
      </c>
      <c r="D337" t="s">
        <v>1643</v>
      </c>
      <c r="E337" t="s">
        <v>1644</v>
      </c>
      <c r="F337" t="s">
        <v>1644</v>
      </c>
      <c r="G337" t="s">
        <v>1645</v>
      </c>
      <c r="H337" t="s">
        <v>1645</v>
      </c>
      <c r="I337" t="s">
        <v>1645</v>
      </c>
      <c r="J337" t="s">
        <v>1645</v>
      </c>
      <c r="K337" t="s">
        <v>1645</v>
      </c>
      <c r="L337" t="s">
        <v>1980</v>
      </c>
      <c r="M337" t="s">
        <v>1981</v>
      </c>
      <c r="N337" t="s">
        <v>1834</v>
      </c>
      <c r="O337" t="s">
        <v>1648</v>
      </c>
      <c r="P337" t="s">
        <v>1645</v>
      </c>
      <c r="Q337" t="s">
        <v>1644</v>
      </c>
      <c r="R337" t="s">
        <v>1644</v>
      </c>
      <c r="S337" t="s">
        <v>1644</v>
      </c>
      <c r="T337" t="s">
        <v>1644</v>
      </c>
      <c r="U337" t="s">
        <v>1645</v>
      </c>
    </row>
    <row r="338" spans="1:21" x14ac:dyDescent="0.2">
      <c r="A338" t="s">
        <v>1777</v>
      </c>
      <c r="B338" t="s">
        <v>1664</v>
      </c>
      <c r="C338" t="s">
        <v>1642</v>
      </c>
      <c r="D338" t="s">
        <v>1643</v>
      </c>
      <c r="E338" t="s">
        <v>1644</v>
      </c>
      <c r="F338" t="s">
        <v>1644</v>
      </c>
      <c r="G338" t="s">
        <v>1645</v>
      </c>
      <c r="H338" t="s">
        <v>1645</v>
      </c>
      <c r="I338" t="s">
        <v>1645</v>
      </c>
      <c r="J338" t="s">
        <v>1645</v>
      </c>
      <c r="K338" t="s">
        <v>1645</v>
      </c>
      <c r="L338" t="s">
        <v>1980</v>
      </c>
      <c r="M338" t="s">
        <v>1981</v>
      </c>
      <c r="N338" t="s">
        <v>1834</v>
      </c>
      <c r="O338" t="s">
        <v>1648</v>
      </c>
      <c r="P338" t="s">
        <v>1645</v>
      </c>
      <c r="Q338" t="s">
        <v>1644</v>
      </c>
      <c r="R338" t="s">
        <v>1644</v>
      </c>
      <c r="S338" t="s">
        <v>1644</v>
      </c>
      <c r="T338" t="s">
        <v>1644</v>
      </c>
      <c r="U338" t="s">
        <v>1645</v>
      </c>
    </row>
    <row r="339" spans="1:21" x14ac:dyDescent="0.2">
      <c r="A339" t="s">
        <v>1778</v>
      </c>
      <c r="B339" t="s">
        <v>1666</v>
      </c>
      <c r="C339" t="s">
        <v>1642</v>
      </c>
      <c r="D339" t="s">
        <v>1643</v>
      </c>
      <c r="E339" t="s">
        <v>1644</v>
      </c>
      <c r="F339" t="s">
        <v>1644</v>
      </c>
      <c r="G339" t="s">
        <v>1645</v>
      </c>
      <c r="H339" t="s">
        <v>1645</v>
      </c>
      <c r="I339" t="s">
        <v>1645</v>
      </c>
      <c r="J339" t="s">
        <v>1645</v>
      </c>
      <c r="K339" t="s">
        <v>1645</v>
      </c>
      <c r="L339" t="s">
        <v>1980</v>
      </c>
      <c r="M339" t="s">
        <v>1981</v>
      </c>
      <c r="N339" t="s">
        <v>1834</v>
      </c>
      <c r="O339" t="s">
        <v>1648</v>
      </c>
      <c r="P339" t="s">
        <v>1645</v>
      </c>
      <c r="Q339" t="s">
        <v>1644</v>
      </c>
      <c r="R339" t="s">
        <v>1644</v>
      </c>
      <c r="S339" t="s">
        <v>1644</v>
      </c>
      <c r="T339" t="s">
        <v>1644</v>
      </c>
      <c r="U339" t="s">
        <v>1645</v>
      </c>
    </row>
    <row r="340" spans="1:21" x14ac:dyDescent="0.2">
      <c r="A340" t="s">
        <v>1773</v>
      </c>
      <c r="B340" t="s">
        <v>1749</v>
      </c>
      <c r="C340" t="s">
        <v>1746</v>
      </c>
      <c r="D340" t="s">
        <v>1643</v>
      </c>
      <c r="E340" t="s">
        <v>1644</v>
      </c>
      <c r="F340" t="s">
        <v>1644</v>
      </c>
      <c r="G340" t="s">
        <v>1645</v>
      </c>
      <c r="H340" t="s">
        <v>1645</v>
      </c>
      <c r="I340" t="s">
        <v>1645</v>
      </c>
      <c r="J340" t="s">
        <v>1645</v>
      </c>
      <c r="K340" t="s">
        <v>1645</v>
      </c>
      <c r="L340" t="s">
        <v>1982</v>
      </c>
      <c r="M340" t="s">
        <v>1983</v>
      </c>
      <c r="N340" t="s">
        <v>1834</v>
      </c>
      <c r="O340" t="s">
        <v>1648</v>
      </c>
      <c r="P340" t="s">
        <v>1645</v>
      </c>
      <c r="Q340" t="s">
        <v>1644</v>
      </c>
      <c r="R340" t="s">
        <v>1644</v>
      </c>
      <c r="S340" t="s">
        <v>1644</v>
      </c>
      <c r="T340" t="s">
        <v>1644</v>
      </c>
      <c r="U340" t="s">
        <v>1645</v>
      </c>
    </row>
    <row r="341" spans="1:21" x14ac:dyDescent="0.2">
      <c r="A341" t="s">
        <v>1777</v>
      </c>
      <c r="B341" t="s">
        <v>1668</v>
      </c>
      <c r="C341" t="s">
        <v>1642</v>
      </c>
      <c r="D341" t="s">
        <v>1643</v>
      </c>
      <c r="E341" t="s">
        <v>1644</v>
      </c>
      <c r="F341" t="s">
        <v>1644</v>
      </c>
      <c r="G341" t="s">
        <v>1645</v>
      </c>
      <c r="H341" t="s">
        <v>1645</v>
      </c>
      <c r="I341" t="s">
        <v>1645</v>
      </c>
      <c r="J341" t="s">
        <v>1645</v>
      </c>
      <c r="K341" t="s">
        <v>1645</v>
      </c>
      <c r="L341" t="s">
        <v>1982</v>
      </c>
      <c r="M341" t="s">
        <v>1983</v>
      </c>
      <c r="N341" t="s">
        <v>1834</v>
      </c>
      <c r="O341" t="s">
        <v>1648</v>
      </c>
      <c r="P341" t="s">
        <v>1645</v>
      </c>
      <c r="Q341" t="s">
        <v>1644</v>
      </c>
      <c r="R341" t="s">
        <v>1644</v>
      </c>
      <c r="S341" t="s">
        <v>1644</v>
      </c>
      <c r="T341" t="s">
        <v>1644</v>
      </c>
      <c r="U341" t="s">
        <v>1645</v>
      </c>
    </row>
    <row r="342" spans="1:21" x14ac:dyDescent="0.2">
      <c r="A342" t="s">
        <v>1778</v>
      </c>
      <c r="B342" t="s">
        <v>1670</v>
      </c>
      <c r="C342" t="s">
        <v>1642</v>
      </c>
      <c r="D342" t="s">
        <v>1643</v>
      </c>
      <c r="E342" t="s">
        <v>1644</v>
      </c>
      <c r="F342" t="s">
        <v>1644</v>
      </c>
      <c r="G342" t="s">
        <v>1645</v>
      </c>
      <c r="H342" t="s">
        <v>1645</v>
      </c>
      <c r="I342" t="s">
        <v>1645</v>
      </c>
      <c r="J342" t="s">
        <v>1645</v>
      </c>
      <c r="K342" t="s">
        <v>1645</v>
      </c>
      <c r="L342" t="s">
        <v>1982</v>
      </c>
      <c r="M342" t="s">
        <v>1983</v>
      </c>
      <c r="N342" t="s">
        <v>1834</v>
      </c>
      <c r="O342" t="s">
        <v>1648</v>
      </c>
      <c r="P342" t="s">
        <v>1645</v>
      </c>
      <c r="Q342" t="s">
        <v>1644</v>
      </c>
      <c r="R342" t="s">
        <v>1644</v>
      </c>
      <c r="S342" t="s">
        <v>1644</v>
      </c>
      <c r="T342" t="s">
        <v>1644</v>
      </c>
      <c r="U342" t="s">
        <v>1645</v>
      </c>
    </row>
    <row r="343" spans="1:21" x14ac:dyDescent="0.2">
      <c r="A343" t="s">
        <v>1773</v>
      </c>
      <c r="B343" t="s">
        <v>1749</v>
      </c>
      <c r="C343" t="s">
        <v>1746</v>
      </c>
      <c r="D343" t="s">
        <v>1643</v>
      </c>
      <c r="E343" t="s">
        <v>1644</v>
      </c>
      <c r="F343" t="s">
        <v>1644</v>
      </c>
      <c r="G343" t="s">
        <v>1645</v>
      </c>
      <c r="H343" t="s">
        <v>1645</v>
      </c>
      <c r="I343" t="s">
        <v>1645</v>
      </c>
      <c r="J343" t="s">
        <v>1645</v>
      </c>
      <c r="K343" t="s">
        <v>1645</v>
      </c>
      <c r="L343" t="s">
        <v>1839</v>
      </c>
      <c r="M343" t="s">
        <v>1840</v>
      </c>
      <c r="N343" t="s">
        <v>1841</v>
      </c>
      <c r="O343" t="s">
        <v>1648</v>
      </c>
      <c r="P343" t="s">
        <v>1645</v>
      </c>
      <c r="Q343" t="s">
        <v>1644</v>
      </c>
      <c r="R343" t="s">
        <v>1644</v>
      </c>
      <c r="S343" t="s">
        <v>1644</v>
      </c>
      <c r="T343" t="s">
        <v>1644</v>
      </c>
      <c r="U343" t="s">
        <v>1645</v>
      </c>
    </row>
    <row r="344" spans="1:21" x14ac:dyDescent="0.2">
      <c r="A344" t="s">
        <v>1777</v>
      </c>
      <c r="B344" t="s">
        <v>1660</v>
      </c>
      <c r="C344" t="s">
        <v>1642</v>
      </c>
      <c r="D344" t="s">
        <v>1643</v>
      </c>
      <c r="E344" t="s">
        <v>1644</v>
      </c>
      <c r="F344" t="s">
        <v>1644</v>
      </c>
      <c r="G344" t="s">
        <v>1645</v>
      </c>
      <c r="H344" t="s">
        <v>1645</v>
      </c>
      <c r="I344" t="s">
        <v>1645</v>
      </c>
      <c r="J344" t="s">
        <v>1645</v>
      </c>
      <c r="K344" t="s">
        <v>1645</v>
      </c>
      <c r="L344" t="s">
        <v>1839</v>
      </c>
      <c r="M344" t="s">
        <v>1840</v>
      </c>
      <c r="N344" t="s">
        <v>1841</v>
      </c>
      <c r="O344" t="s">
        <v>1648</v>
      </c>
      <c r="P344" t="s">
        <v>1645</v>
      </c>
      <c r="Q344" t="s">
        <v>1644</v>
      </c>
      <c r="R344" t="s">
        <v>1644</v>
      </c>
      <c r="S344" t="s">
        <v>1644</v>
      </c>
      <c r="T344" t="s">
        <v>1644</v>
      </c>
      <c r="U344" t="s">
        <v>1645</v>
      </c>
    </row>
    <row r="345" spans="1:21" x14ac:dyDescent="0.2">
      <c r="A345" t="s">
        <v>1778</v>
      </c>
      <c r="B345" t="s">
        <v>1662</v>
      </c>
      <c r="C345" t="s">
        <v>1642</v>
      </c>
      <c r="D345" t="s">
        <v>1643</v>
      </c>
      <c r="E345" t="s">
        <v>1644</v>
      </c>
      <c r="F345" t="s">
        <v>1644</v>
      </c>
      <c r="G345" t="s">
        <v>1645</v>
      </c>
      <c r="H345" t="s">
        <v>1645</v>
      </c>
      <c r="I345" t="s">
        <v>1645</v>
      </c>
      <c r="J345" t="s">
        <v>1645</v>
      </c>
      <c r="K345" t="s">
        <v>1645</v>
      </c>
      <c r="L345" t="s">
        <v>1839</v>
      </c>
      <c r="M345" t="s">
        <v>1840</v>
      </c>
      <c r="N345" t="s">
        <v>1841</v>
      </c>
      <c r="O345" t="s">
        <v>1648</v>
      </c>
      <c r="P345" t="s">
        <v>1645</v>
      </c>
      <c r="Q345" t="s">
        <v>1644</v>
      </c>
      <c r="R345" t="s">
        <v>1644</v>
      </c>
      <c r="S345" t="s">
        <v>1644</v>
      </c>
      <c r="T345" t="s">
        <v>1644</v>
      </c>
      <c r="U345" t="s">
        <v>1645</v>
      </c>
    </row>
    <row r="346" spans="1:21" x14ac:dyDescent="0.2">
      <c r="A346" t="s">
        <v>1798</v>
      </c>
      <c r="B346" t="s">
        <v>1664</v>
      </c>
      <c r="C346" t="s">
        <v>1642</v>
      </c>
      <c r="D346" t="s">
        <v>1643</v>
      </c>
      <c r="E346" t="s">
        <v>1644</v>
      </c>
      <c r="F346" t="s">
        <v>1644</v>
      </c>
      <c r="G346" t="s">
        <v>1645</v>
      </c>
      <c r="H346" t="s">
        <v>1645</v>
      </c>
      <c r="I346" t="s">
        <v>1645</v>
      </c>
      <c r="J346" t="s">
        <v>1645</v>
      </c>
      <c r="K346" t="s">
        <v>1645</v>
      </c>
      <c r="L346" t="s">
        <v>1839</v>
      </c>
      <c r="M346" t="s">
        <v>1840</v>
      </c>
      <c r="N346" t="s">
        <v>1841</v>
      </c>
      <c r="O346" t="s">
        <v>1648</v>
      </c>
      <c r="P346" t="s">
        <v>1645</v>
      </c>
      <c r="Q346" t="s">
        <v>1644</v>
      </c>
      <c r="R346" t="s">
        <v>1644</v>
      </c>
      <c r="S346" t="s">
        <v>1644</v>
      </c>
      <c r="T346" t="s">
        <v>1644</v>
      </c>
      <c r="U346" t="s">
        <v>1645</v>
      </c>
    </row>
    <row r="347" spans="1:21" x14ac:dyDescent="0.2">
      <c r="A347" t="s">
        <v>1799</v>
      </c>
      <c r="B347" t="s">
        <v>1666</v>
      </c>
      <c r="C347" t="s">
        <v>1642</v>
      </c>
      <c r="D347" t="s">
        <v>1643</v>
      </c>
      <c r="E347" t="s">
        <v>1644</v>
      </c>
      <c r="F347" t="s">
        <v>1644</v>
      </c>
      <c r="G347" t="s">
        <v>1645</v>
      </c>
      <c r="H347" t="s">
        <v>1645</v>
      </c>
      <c r="I347" t="s">
        <v>1645</v>
      </c>
      <c r="J347" t="s">
        <v>1645</v>
      </c>
      <c r="K347" t="s">
        <v>1645</v>
      </c>
      <c r="L347" t="s">
        <v>1839</v>
      </c>
      <c r="M347" t="s">
        <v>1840</v>
      </c>
      <c r="N347" t="s">
        <v>1841</v>
      </c>
      <c r="O347" t="s">
        <v>1648</v>
      </c>
      <c r="P347" t="s">
        <v>1645</v>
      </c>
      <c r="Q347" t="s">
        <v>1644</v>
      </c>
      <c r="R347" t="s">
        <v>1644</v>
      </c>
      <c r="S347" t="s">
        <v>1644</v>
      </c>
      <c r="T347" t="s">
        <v>1644</v>
      </c>
      <c r="U347" t="s">
        <v>1645</v>
      </c>
    </row>
    <row r="348" spans="1:21" x14ac:dyDescent="0.2">
      <c r="A348" t="s">
        <v>1773</v>
      </c>
      <c r="B348" t="s">
        <v>1749</v>
      </c>
      <c r="C348" t="s">
        <v>1746</v>
      </c>
      <c r="D348" t="s">
        <v>1643</v>
      </c>
      <c r="E348" t="s">
        <v>1644</v>
      </c>
      <c r="F348" t="s">
        <v>1644</v>
      </c>
      <c r="G348" t="s">
        <v>1645</v>
      </c>
      <c r="H348" t="s">
        <v>1645</v>
      </c>
      <c r="I348" t="s">
        <v>1645</v>
      </c>
      <c r="J348" t="s">
        <v>1645</v>
      </c>
      <c r="K348" t="s">
        <v>1645</v>
      </c>
      <c r="L348" t="s">
        <v>1842</v>
      </c>
      <c r="M348" t="s">
        <v>1843</v>
      </c>
      <c r="N348" t="s">
        <v>1841</v>
      </c>
      <c r="O348" t="s">
        <v>1648</v>
      </c>
      <c r="P348" t="s">
        <v>1645</v>
      </c>
      <c r="Q348" t="s">
        <v>1644</v>
      </c>
      <c r="R348" t="s">
        <v>1644</v>
      </c>
      <c r="S348" t="s">
        <v>1644</v>
      </c>
      <c r="T348" t="s">
        <v>1644</v>
      </c>
      <c r="U348" t="s">
        <v>1645</v>
      </c>
    </row>
    <row r="349" spans="1:21" x14ac:dyDescent="0.2">
      <c r="A349" t="s">
        <v>1777</v>
      </c>
      <c r="B349" t="s">
        <v>1689</v>
      </c>
      <c r="C349" t="s">
        <v>1642</v>
      </c>
      <c r="D349" t="s">
        <v>1643</v>
      </c>
      <c r="E349" t="s">
        <v>1644</v>
      </c>
      <c r="F349" t="s">
        <v>1644</v>
      </c>
      <c r="G349" t="s">
        <v>1645</v>
      </c>
      <c r="H349" t="s">
        <v>1645</v>
      </c>
      <c r="I349" t="s">
        <v>1645</v>
      </c>
      <c r="J349" t="s">
        <v>1645</v>
      </c>
      <c r="K349" t="s">
        <v>1645</v>
      </c>
      <c r="L349" t="s">
        <v>1842</v>
      </c>
      <c r="M349" t="s">
        <v>1843</v>
      </c>
      <c r="N349" t="s">
        <v>1841</v>
      </c>
      <c r="O349" t="s">
        <v>1648</v>
      </c>
      <c r="P349" t="s">
        <v>1645</v>
      </c>
      <c r="Q349" t="s">
        <v>1644</v>
      </c>
      <c r="R349" t="s">
        <v>1644</v>
      </c>
      <c r="S349" t="s">
        <v>1644</v>
      </c>
      <c r="T349" t="s">
        <v>1644</v>
      </c>
      <c r="U349" t="s">
        <v>1645</v>
      </c>
    </row>
    <row r="350" spans="1:21" x14ac:dyDescent="0.2">
      <c r="A350" t="s">
        <v>1778</v>
      </c>
      <c r="B350" t="s">
        <v>1691</v>
      </c>
      <c r="C350" t="s">
        <v>1642</v>
      </c>
      <c r="D350" t="s">
        <v>1643</v>
      </c>
      <c r="E350" t="s">
        <v>1644</v>
      </c>
      <c r="F350" t="s">
        <v>1644</v>
      </c>
      <c r="G350" t="s">
        <v>1645</v>
      </c>
      <c r="H350" t="s">
        <v>1645</v>
      </c>
      <c r="I350" t="s">
        <v>1645</v>
      </c>
      <c r="J350" t="s">
        <v>1645</v>
      </c>
      <c r="K350" t="s">
        <v>1645</v>
      </c>
      <c r="L350" t="s">
        <v>1842</v>
      </c>
      <c r="M350" t="s">
        <v>1843</v>
      </c>
      <c r="N350" t="s">
        <v>1841</v>
      </c>
      <c r="O350" t="s">
        <v>1648</v>
      </c>
      <c r="P350" t="s">
        <v>1645</v>
      </c>
      <c r="Q350" t="s">
        <v>1644</v>
      </c>
      <c r="R350" t="s">
        <v>1644</v>
      </c>
      <c r="S350" t="s">
        <v>1644</v>
      </c>
      <c r="T350" t="s">
        <v>1644</v>
      </c>
      <c r="U350" t="s">
        <v>1645</v>
      </c>
    </row>
    <row r="351" spans="1:21" x14ac:dyDescent="0.2">
      <c r="A351" t="s">
        <v>1773</v>
      </c>
      <c r="B351" t="s">
        <v>1749</v>
      </c>
      <c r="C351" t="s">
        <v>1746</v>
      </c>
      <c r="D351" t="s">
        <v>1643</v>
      </c>
      <c r="E351" t="s">
        <v>1644</v>
      </c>
      <c r="F351" t="s">
        <v>1644</v>
      </c>
      <c r="G351" t="s">
        <v>1645</v>
      </c>
      <c r="H351" t="s">
        <v>1645</v>
      </c>
      <c r="I351" t="s">
        <v>1645</v>
      </c>
      <c r="J351" t="s">
        <v>1645</v>
      </c>
      <c r="K351" t="s">
        <v>1645</v>
      </c>
      <c r="L351" t="s">
        <v>1844</v>
      </c>
      <c r="M351" t="s">
        <v>1845</v>
      </c>
      <c r="N351" t="s">
        <v>1841</v>
      </c>
      <c r="O351" t="s">
        <v>1648</v>
      </c>
      <c r="P351" t="s">
        <v>1645</v>
      </c>
      <c r="Q351" t="s">
        <v>1644</v>
      </c>
      <c r="R351" t="s">
        <v>1644</v>
      </c>
      <c r="S351" t="s">
        <v>1644</v>
      </c>
      <c r="T351" t="s">
        <v>1644</v>
      </c>
      <c r="U351" t="s">
        <v>1645</v>
      </c>
    </row>
    <row r="352" spans="1:21" x14ac:dyDescent="0.2">
      <c r="A352" t="s">
        <v>1777</v>
      </c>
      <c r="B352" t="s">
        <v>2062</v>
      </c>
      <c r="C352" t="s">
        <v>1642</v>
      </c>
      <c r="D352" t="s">
        <v>1643</v>
      </c>
      <c r="E352" t="s">
        <v>1644</v>
      </c>
      <c r="F352" t="s">
        <v>1644</v>
      </c>
      <c r="G352" t="s">
        <v>1645</v>
      </c>
      <c r="H352" t="s">
        <v>1645</v>
      </c>
      <c r="I352" t="s">
        <v>1645</v>
      </c>
      <c r="J352" t="s">
        <v>1645</v>
      </c>
      <c r="K352" t="s">
        <v>1645</v>
      </c>
      <c r="L352" t="s">
        <v>1844</v>
      </c>
      <c r="M352" t="s">
        <v>1845</v>
      </c>
      <c r="N352" t="s">
        <v>1841</v>
      </c>
      <c r="O352" t="s">
        <v>1648</v>
      </c>
      <c r="P352" t="s">
        <v>1645</v>
      </c>
      <c r="Q352" t="s">
        <v>1644</v>
      </c>
      <c r="R352" t="s">
        <v>1644</v>
      </c>
      <c r="S352" t="s">
        <v>1644</v>
      </c>
      <c r="T352" t="s">
        <v>1644</v>
      </c>
      <c r="U352" t="s">
        <v>1645</v>
      </c>
    </row>
    <row r="353" spans="1:21" x14ac:dyDescent="0.2">
      <c r="A353" t="s">
        <v>1778</v>
      </c>
      <c r="B353" t="s">
        <v>2063</v>
      </c>
      <c r="C353" t="s">
        <v>1642</v>
      </c>
      <c r="D353" t="s">
        <v>1643</v>
      </c>
      <c r="E353" t="s">
        <v>1644</v>
      </c>
      <c r="F353" t="s">
        <v>1644</v>
      </c>
      <c r="G353" t="s">
        <v>1645</v>
      </c>
      <c r="H353" t="s">
        <v>1645</v>
      </c>
      <c r="I353" t="s">
        <v>1645</v>
      </c>
      <c r="J353" t="s">
        <v>1645</v>
      </c>
      <c r="K353" t="s">
        <v>1645</v>
      </c>
      <c r="L353" t="s">
        <v>1844</v>
      </c>
      <c r="M353" t="s">
        <v>1845</v>
      </c>
      <c r="N353" t="s">
        <v>1841</v>
      </c>
      <c r="O353" t="s">
        <v>1648</v>
      </c>
      <c r="P353" t="s">
        <v>1645</v>
      </c>
      <c r="Q353" t="s">
        <v>1644</v>
      </c>
      <c r="R353" t="s">
        <v>1644</v>
      </c>
      <c r="S353" t="s">
        <v>1644</v>
      </c>
      <c r="T353" t="s">
        <v>1644</v>
      </c>
      <c r="U353" t="s">
        <v>1645</v>
      </c>
    </row>
    <row r="354" spans="1:21" x14ac:dyDescent="0.2">
      <c r="A354" t="s">
        <v>1773</v>
      </c>
      <c r="B354" t="s">
        <v>1749</v>
      </c>
      <c r="C354" t="s">
        <v>1746</v>
      </c>
      <c r="D354" t="s">
        <v>1643</v>
      </c>
      <c r="E354" t="s">
        <v>1644</v>
      </c>
      <c r="F354" t="s">
        <v>1644</v>
      </c>
      <c r="G354" t="s">
        <v>1645</v>
      </c>
      <c r="H354" t="s">
        <v>1645</v>
      </c>
      <c r="I354" t="s">
        <v>1645</v>
      </c>
      <c r="J354" t="s">
        <v>1645</v>
      </c>
      <c r="K354" t="s">
        <v>1645</v>
      </c>
      <c r="L354" t="s">
        <v>1984</v>
      </c>
      <c r="M354" t="s">
        <v>1985</v>
      </c>
      <c r="N354" t="s">
        <v>1841</v>
      </c>
      <c r="O354" t="s">
        <v>1648</v>
      </c>
      <c r="P354" t="s">
        <v>1645</v>
      </c>
      <c r="Q354" t="s">
        <v>1644</v>
      </c>
      <c r="R354" t="s">
        <v>1644</v>
      </c>
      <c r="S354" t="s">
        <v>1644</v>
      </c>
      <c r="T354" t="s">
        <v>1644</v>
      </c>
      <c r="U354" t="s">
        <v>1645</v>
      </c>
    </row>
    <row r="355" spans="1:21" x14ac:dyDescent="0.2">
      <c r="A355" t="s">
        <v>1777</v>
      </c>
      <c r="B355" t="s">
        <v>1703</v>
      </c>
      <c r="C355" t="s">
        <v>1642</v>
      </c>
      <c r="D355" t="s">
        <v>1643</v>
      </c>
      <c r="E355" t="s">
        <v>1644</v>
      </c>
      <c r="F355" t="s">
        <v>1644</v>
      </c>
      <c r="G355" t="s">
        <v>1645</v>
      </c>
      <c r="H355" t="s">
        <v>1645</v>
      </c>
      <c r="I355" t="s">
        <v>1645</v>
      </c>
      <c r="J355" t="s">
        <v>1645</v>
      </c>
      <c r="K355" t="s">
        <v>1645</v>
      </c>
      <c r="L355" t="s">
        <v>1984</v>
      </c>
      <c r="M355" t="s">
        <v>1985</v>
      </c>
      <c r="N355" t="s">
        <v>1841</v>
      </c>
      <c r="O355" t="s">
        <v>1648</v>
      </c>
      <c r="P355" t="s">
        <v>1645</v>
      </c>
      <c r="Q355" t="s">
        <v>1644</v>
      </c>
      <c r="R355" t="s">
        <v>1644</v>
      </c>
      <c r="S355" t="s">
        <v>1644</v>
      </c>
      <c r="T355" t="s">
        <v>1644</v>
      </c>
      <c r="U355" t="s">
        <v>1645</v>
      </c>
    </row>
    <row r="356" spans="1:21" x14ac:dyDescent="0.2">
      <c r="A356" t="s">
        <v>1778</v>
      </c>
      <c r="B356" t="s">
        <v>1705</v>
      </c>
      <c r="C356" t="s">
        <v>1642</v>
      </c>
      <c r="D356" t="s">
        <v>1643</v>
      </c>
      <c r="E356" t="s">
        <v>1644</v>
      </c>
      <c r="F356" t="s">
        <v>1644</v>
      </c>
      <c r="G356" t="s">
        <v>1645</v>
      </c>
      <c r="H356" t="s">
        <v>1645</v>
      </c>
      <c r="I356" t="s">
        <v>1645</v>
      </c>
      <c r="J356" t="s">
        <v>1645</v>
      </c>
      <c r="K356" t="s">
        <v>1645</v>
      </c>
      <c r="L356" t="s">
        <v>1984</v>
      </c>
      <c r="M356" t="s">
        <v>1985</v>
      </c>
      <c r="N356" t="s">
        <v>1841</v>
      </c>
      <c r="O356" t="s">
        <v>1648</v>
      </c>
      <c r="P356" t="s">
        <v>1645</v>
      </c>
      <c r="Q356" t="s">
        <v>1644</v>
      </c>
      <c r="R356" t="s">
        <v>1644</v>
      </c>
      <c r="S356" t="s">
        <v>1644</v>
      </c>
      <c r="T356" t="s">
        <v>1644</v>
      </c>
      <c r="U356" t="s">
        <v>1645</v>
      </c>
    </row>
    <row r="357" spans="1:21" x14ac:dyDescent="0.2">
      <c r="A357" t="s">
        <v>1773</v>
      </c>
      <c r="B357" t="s">
        <v>1749</v>
      </c>
      <c r="C357" t="s">
        <v>1746</v>
      </c>
      <c r="D357" t="s">
        <v>1643</v>
      </c>
      <c r="E357" t="s">
        <v>1644</v>
      </c>
      <c r="F357" t="s">
        <v>1644</v>
      </c>
      <c r="G357" t="s">
        <v>1645</v>
      </c>
      <c r="H357" t="s">
        <v>1645</v>
      </c>
      <c r="I357" t="s">
        <v>1645</v>
      </c>
      <c r="J357" t="s">
        <v>1645</v>
      </c>
      <c r="K357" t="s">
        <v>1645</v>
      </c>
      <c r="L357" t="s">
        <v>1986</v>
      </c>
      <c r="M357" t="s">
        <v>1987</v>
      </c>
      <c r="N357" t="s">
        <v>1841</v>
      </c>
      <c r="O357" t="s">
        <v>1648</v>
      </c>
      <c r="P357" t="s">
        <v>1645</v>
      </c>
      <c r="Q357" t="s">
        <v>1644</v>
      </c>
      <c r="R357" t="s">
        <v>1644</v>
      </c>
      <c r="S357" t="s">
        <v>1644</v>
      </c>
      <c r="T357" t="s">
        <v>1644</v>
      </c>
      <c r="U357" t="s">
        <v>1645</v>
      </c>
    </row>
    <row r="358" spans="1:21" x14ac:dyDescent="0.2">
      <c r="A358" t="s">
        <v>1777</v>
      </c>
      <c r="B358" t="s">
        <v>1664</v>
      </c>
      <c r="C358" t="s">
        <v>1642</v>
      </c>
      <c r="D358" t="s">
        <v>1643</v>
      </c>
      <c r="E358" t="s">
        <v>1644</v>
      </c>
      <c r="F358" t="s">
        <v>1644</v>
      </c>
      <c r="G358" t="s">
        <v>1645</v>
      </c>
      <c r="H358" t="s">
        <v>1645</v>
      </c>
      <c r="I358" t="s">
        <v>1645</v>
      </c>
      <c r="J358" t="s">
        <v>1645</v>
      </c>
      <c r="K358" t="s">
        <v>1645</v>
      </c>
      <c r="L358" t="s">
        <v>1986</v>
      </c>
      <c r="M358" t="s">
        <v>1987</v>
      </c>
      <c r="N358" t="s">
        <v>1841</v>
      </c>
      <c r="O358" t="s">
        <v>1648</v>
      </c>
      <c r="P358" t="s">
        <v>1645</v>
      </c>
      <c r="Q358" t="s">
        <v>1644</v>
      </c>
      <c r="R358" t="s">
        <v>1644</v>
      </c>
      <c r="S358" t="s">
        <v>1644</v>
      </c>
      <c r="T358" t="s">
        <v>1644</v>
      </c>
      <c r="U358" t="s">
        <v>1645</v>
      </c>
    </row>
    <row r="359" spans="1:21" x14ac:dyDescent="0.2">
      <c r="A359" t="s">
        <v>1778</v>
      </c>
      <c r="B359" t="s">
        <v>1666</v>
      </c>
      <c r="C359" t="s">
        <v>1642</v>
      </c>
      <c r="D359" t="s">
        <v>1643</v>
      </c>
      <c r="E359" t="s">
        <v>1644</v>
      </c>
      <c r="F359" t="s">
        <v>1644</v>
      </c>
      <c r="G359" t="s">
        <v>1645</v>
      </c>
      <c r="H359" t="s">
        <v>1645</v>
      </c>
      <c r="I359" t="s">
        <v>1645</v>
      </c>
      <c r="J359" t="s">
        <v>1645</v>
      </c>
      <c r="K359" t="s">
        <v>1645</v>
      </c>
      <c r="L359" t="s">
        <v>1986</v>
      </c>
      <c r="M359" t="s">
        <v>1987</v>
      </c>
      <c r="N359" t="s">
        <v>1841</v>
      </c>
      <c r="O359" t="s">
        <v>1648</v>
      </c>
      <c r="P359" t="s">
        <v>1645</v>
      </c>
      <c r="Q359" t="s">
        <v>1644</v>
      </c>
      <c r="R359" t="s">
        <v>1644</v>
      </c>
      <c r="S359" t="s">
        <v>1644</v>
      </c>
      <c r="T359" t="s">
        <v>1644</v>
      </c>
      <c r="U359" t="s">
        <v>1645</v>
      </c>
    </row>
    <row r="360" spans="1:21" x14ac:dyDescent="0.2">
      <c r="A360" t="s">
        <v>1773</v>
      </c>
      <c r="B360" t="s">
        <v>1749</v>
      </c>
      <c r="C360" t="s">
        <v>1746</v>
      </c>
      <c r="D360" t="s">
        <v>1643</v>
      </c>
      <c r="E360" t="s">
        <v>1644</v>
      </c>
      <c r="F360" t="s">
        <v>1644</v>
      </c>
      <c r="G360" t="s">
        <v>1645</v>
      </c>
      <c r="H360" t="s">
        <v>1645</v>
      </c>
      <c r="I360" t="s">
        <v>1645</v>
      </c>
      <c r="J360" t="s">
        <v>1645</v>
      </c>
      <c r="K360" t="s">
        <v>1645</v>
      </c>
      <c r="L360" t="s">
        <v>1988</v>
      </c>
      <c r="M360" t="s">
        <v>1989</v>
      </c>
      <c r="N360" t="s">
        <v>1841</v>
      </c>
      <c r="O360" t="s">
        <v>1648</v>
      </c>
      <c r="P360" t="s">
        <v>1645</v>
      </c>
      <c r="Q360" t="s">
        <v>1644</v>
      </c>
      <c r="R360" t="s">
        <v>1644</v>
      </c>
      <c r="S360" t="s">
        <v>1644</v>
      </c>
      <c r="T360" t="s">
        <v>1644</v>
      </c>
      <c r="U360" t="s">
        <v>1645</v>
      </c>
    </row>
    <row r="361" spans="1:21" x14ac:dyDescent="0.2">
      <c r="A361" t="s">
        <v>1777</v>
      </c>
      <c r="B361" t="s">
        <v>1668</v>
      </c>
      <c r="C361" t="s">
        <v>1642</v>
      </c>
      <c r="D361" t="s">
        <v>1643</v>
      </c>
      <c r="E361" t="s">
        <v>1644</v>
      </c>
      <c r="F361" t="s">
        <v>1644</v>
      </c>
      <c r="G361" t="s">
        <v>1645</v>
      </c>
      <c r="H361" t="s">
        <v>1645</v>
      </c>
      <c r="I361" t="s">
        <v>1645</v>
      </c>
      <c r="J361" t="s">
        <v>1645</v>
      </c>
      <c r="K361" t="s">
        <v>1645</v>
      </c>
      <c r="L361" t="s">
        <v>1988</v>
      </c>
      <c r="M361" t="s">
        <v>1989</v>
      </c>
      <c r="N361" t="s">
        <v>1841</v>
      </c>
      <c r="O361" t="s">
        <v>1648</v>
      </c>
      <c r="P361" t="s">
        <v>1645</v>
      </c>
      <c r="Q361" t="s">
        <v>1644</v>
      </c>
      <c r="R361" t="s">
        <v>1644</v>
      </c>
      <c r="S361" t="s">
        <v>1644</v>
      </c>
      <c r="T361" t="s">
        <v>1644</v>
      </c>
      <c r="U361" t="s">
        <v>1645</v>
      </c>
    </row>
    <row r="362" spans="1:21" x14ac:dyDescent="0.2">
      <c r="A362" t="s">
        <v>1778</v>
      </c>
      <c r="B362" t="s">
        <v>1670</v>
      </c>
      <c r="C362" t="s">
        <v>1642</v>
      </c>
      <c r="D362" t="s">
        <v>1643</v>
      </c>
      <c r="E362" t="s">
        <v>1644</v>
      </c>
      <c r="F362" t="s">
        <v>1644</v>
      </c>
      <c r="G362" t="s">
        <v>1645</v>
      </c>
      <c r="H362" t="s">
        <v>1645</v>
      </c>
      <c r="I362" t="s">
        <v>1645</v>
      </c>
      <c r="J362" t="s">
        <v>1645</v>
      </c>
      <c r="K362" t="s">
        <v>1645</v>
      </c>
      <c r="L362" t="s">
        <v>1988</v>
      </c>
      <c r="M362" t="s">
        <v>1989</v>
      </c>
      <c r="N362" t="s">
        <v>1841</v>
      </c>
      <c r="O362" t="s">
        <v>1648</v>
      </c>
      <c r="P362" t="s">
        <v>1645</v>
      </c>
      <c r="Q362" t="s">
        <v>1644</v>
      </c>
      <c r="R362" t="s">
        <v>1644</v>
      </c>
      <c r="S362" t="s">
        <v>1644</v>
      </c>
      <c r="T362" t="s">
        <v>1644</v>
      </c>
      <c r="U362" t="s">
        <v>1645</v>
      </c>
    </row>
    <row r="363" spans="1:21" x14ac:dyDescent="0.2">
      <c r="A363" t="s">
        <v>1773</v>
      </c>
      <c r="B363" t="s">
        <v>1749</v>
      </c>
      <c r="C363" t="s">
        <v>1746</v>
      </c>
      <c r="D363" t="s">
        <v>1643</v>
      </c>
      <c r="E363" t="s">
        <v>1644</v>
      </c>
      <c r="F363" t="s">
        <v>1644</v>
      </c>
      <c r="G363" t="s">
        <v>1645</v>
      </c>
      <c r="H363" t="s">
        <v>1645</v>
      </c>
      <c r="I363" t="s">
        <v>1645</v>
      </c>
      <c r="J363" t="s">
        <v>1645</v>
      </c>
      <c r="K363" t="s">
        <v>1645</v>
      </c>
      <c r="L363" t="s">
        <v>1846</v>
      </c>
      <c r="M363" t="s">
        <v>1847</v>
      </c>
      <c r="N363" t="s">
        <v>1848</v>
      </c>
      <c r="O363" t="s">
        <v>1648</v>
      </c>
      <c r="P363" t="s">
        <v>1645</v>
      </c>
      <c r="Q363" t="s">
        <v>1644</v>
      </c>
      <c r="R363" t="s">
        <v>1644</v>
      </c>
      <c r="S363" t="s">
        <v>1644</v>
      </c>
      <c r="T363" t="s">
        <v>1644</v>
      </c>
      <c r="U363" t="s">
        <v>1645</v>
      </c>
    </row>
    <row r="364" spans="1:21" x14ac:dyDescent="0.2">
      <c r="A364" t="s">
        <v>1777</v>
      </c>
      <c r="B364" t="s">
        <v>1660</v>
      </c>
      <c r="C364" t="s">
        <v>1642</v>
      </c>
      <c r="D364" t="s">
        <v>1643</v>
      </c>
      <c r="E364" t="s">
        <v>1644</v>
      </c>
      <c r="F364" t="s">
        <v>1644</v>
      </c>
      <c r="G364" t="s">
        <v>1645</v>
      </c>
      <c r="H364" t="s">
        <v>1645</v>
      </c>
      <c r="I364" t="s">
        <v>1645</v>
      </c>
      <c r="J364" t="s">
        <v>1645</v>
      </c>
      <c r="K364" t="s">
        <v>1645</v>
      </c>
      <c r="L364" t="s">
        <v>1846</v>
      </c>
      <c r="M364" t="s">
        <v>1847</v>
      </c>
      <c r="N364" t="s">
        <v>1848</v>
      </c>
      <c r="O364" t="s">
        <v>1648</v>
      </c>
      <c r="P364" t="s">
        <v>1645</v>
      </c>
      <c r="Q364" t="s">
        <v>1644</v>
      </c>
      <c r="R364" t="s">
        <v>1644</v>
      </c>
      <c r="S364" t="s">
        <v>1644</v>
      </c>
      <c r="T364" t="s">
        <v>1644</v>
      </c>
      <c r="U364" t="s">
        <v>1645</v>
      </c>
    </row>
    <row r="365" spans="1:21" x14ac:dyDescent="0.2">
      <c r="A365" t="s">
        <v>1778</v>
      </c>
      <c r="B365" t="s">
        <v>1662</v>
      </c>
      <c r="C365" t="s">
        <v>1642</v>
      </c>
      <c r="D365" t="s">
        <v>1643</v>
      </c>
      <c r="E365" t="s">
        <v>1644</v>
      </c>
      <c r="F365" t="s">
        <v>1644</v>
      </c>
      <c r="G365" t="s">
        <v>1645</v>
      </c>
      <c r="H365" t="s">
        <v>1645</v>
      </c>
      <c r="I365" t="s">
        <v>1645</v>
      </c>
      <c r="J365" t="s">
        <v>1645</v>
      </c>
      <c r="K365" t="s">
        <v>1645</v>
      </c>
      <c r="L365" t="s">
        <v>1846</v>
      </c>
      <c r="M365" t="s">
        <v>1847</v>
      </c>
      <c r="N365" t="s">
        <v>1848</v>
      </c>
      <c r="O365" t="s">
        <v>1648</v>
      </c>
      <c r="P365" t="s">
        <v>1645</v>
      </c>
      <c r="Q365" t="s">
        <v>1644</v>
      </c>
      <c r="R365" t="s">
        <v>1644</v>
      </c>
      <c r="S365" t="s">
        <v>1644</v>
      </c>
      <c r="T365" t="s">
        <v>1644</v>
      </c>
      <c r="U365" t="s">
        <v>1645</v>
      </c>
    </row>
    <row r="366" spans="1:21" x14ac:dyDescent="0.2">
      <c r="A366" t="s">
        <v>1798</v>
      </c>
      <c r="B366" t="s">
        <v>1664</v>
      </c>
      <c r="C366" t="s">
        <v>1642</v>
      </c>
      <c r="D366" t="s">
        <v>1643</v>
      </c>
      <c r="E366" t="s">
        <v>1644</v>
      </c>
      <c r="F366" t="s">
        <v>1644</v>
      </c>
      <c r="G366" t="s">
        <v>1645</v>
      </c>
      <c r="H366" t="s">
        <v>1645</v>
      </c>
      <c r="I366" t="s">
        <v>1645</v>
      </c>
      <c r="J366" t="s">
        <v>1645</v>
      </c>
      <c r="K366" t="s">
        <v>1645</v>
      </c>
      <c r="L366" t="s">
        <v>1846</v>
      </c>
      <c r="M366" t="s">
        <v>1847</v>
      </c>
      <c r="N366" t="s">
        <v>1848</v>
      </c>
      <c r="O366" t="s">
        <v>1648</v>
      </c>
      <c r="P366" t="s">
        <v>1645</v>
      </c>
      <c r="Q366" t="s">
        <v>1644</v>
      </c>
      <c r="R366" t="s">
        <v>1644</v>
      </c>
      <c r="S366" t="s">
        <v>1644</v>
      </c>
      <c r="T366" t="s">
        <v>1644</v>
      </c>
      <c r="U366" t="s">
        <v>1645</v>
      </c>
    </row>
    <row r="367" spans="1:21" x14ac:dyDescent="0.2">
      <c r="A367" t="s">
        <v>1799</v>
      </c>
      <c r="B367" t="s">
        <v>1666</v>
      </c>
      <c r="C367" t="s">
        <v>1642</v>
      </c>
      <c r="D367" t="s">
        <v>1643</v>
      </c>
      <c r="E367" t="s">
        <v>1644</v>
      </c>
      <c r="F367" t="s">
        <v>1644</v>
      </c>
      <c r="G367" t="s">
        <v>1645</v>
      </c>
      <c r="H367" t="s">
        <v>1645</v>
      </c>
      <c r="I367" t="s">
        <v>1645</v>
      </c>
      <c r="J367" t="s">
        <v>1645</v>
      </c>
      <c r="K367" t="s">
        <v>1645</v>
      </c>
      <c r="L367" t="s">
        <v>1846</v>
      </c>
      <c r="M367" t="s">
        <v>1847</v>
      </c>
      <c r="N367" t="s">
        <v>1848</v>
      </c>
      <c r="O367" t="s">
        <v>1648</v>
      </c>
      <c r="P367" t="s">
        <v>1645</v>
      </c>
      <c r="Q367" t="s">
        <v>1644</v>
      </c>
      <c r="R367" t="s">
        <v>1644</v>
      </c>
      <c r="S367" t="s">
        <v>1644</v>
      </c>
      <c r="T367" t="s">
        <v>1644</v>
      </c>
      <c r="U367" t="s">
        <v>1645</v>
      </c>
    </row>
    <row r="368" spans="1:21" x14ac:dyDescent="0.2">
      <c r="A368" t="s">
        <v>1773</v>
      </c>
      <c r="B368" t="s">
        <v>1749</v>
      </c>
      <c r="C368" t="s">
        <v>1746</v>
      </c>
      <c r="D368" t="s">
        <v>1643</v>
      </c>
      <c r="E368" t="s">
        <v>1644</v>
      </c>
      <c r="F368" t="s">
        <v>1644</v>
      </c>
      <c r="G368" t="s">
        <v>1645</v>
      </c>
      <c r="H368" t="s">
        <v>1645</v>
      </c>
      <c r="I368" t="s">
        <v>1645</v>
      </c>
      <c r="J368" t="s">
        <v>1645</v>
      </c>
      <c r="K368" t="s">
        <v>1645</v>
      </c>
      <c r="L368" t="s">
        <v>1849</v>
      </c>
      <c r="M368" t="s">
        <v>1850</v>
      </c>
      <c r="N368" t="s">
        <v>1848</v>
      </c>
      <c r="O368" t="s">
        <v>1648</v>
      </c>
      <c r="P368" t="s">
        <v>1645</v>
      </c>
      <c r="Q368" t="s">
        <v>1644</v>
      </c>
      <c r="R368" t="s">
        <v>1644</v>
      </c>
      <c r="S368" t="s">
        <v>1644</v>
      </c>
      <c r="T368" t="s">
        <v>1644</v>
      </c>
      <c r="U368" t="s">
        <v>1645</v>
      </c>
    </row>
    <row r="369" spans="1:21" x14ac:dyDescent="0.2">
      <c r="A369" t="s">
        <v>1777</v>
      </c>
      <c r="B369" t="s">
        <v>1689</v>
      </c>
      <c r="C369" t="s">
        <v>1642</v>
      </c>
      <c r="D369" t="s">
        <v>1643</v>
      </c>
      <c r="E369" t="s">
        <v>1644</v>
      </c>
      <c r="F369" t="s">
        <v>1644</v>
      </c>
      <c r="G369" t="s">
        <v>1645</v>
      </c>
      <c r="H369" t="s">
        <v>1645</v>
      </c>
      <c r="I369" t="s">
        <v>1645</v>
      </c>
      <c r="J369" t="s">
        <v>1645</v>
      </c>
      <c r="K369" t="s">
        <v>1645</v>
      </c>
      <c r="L369" t="s">
        <v>1849</v>
      </c>
      <c r="M369" t="s">
        <v>1850</v>
      </c>
      <c r="N369" t="s">
        <v>1848</v>
      </c>
      <c r="O369" t="s">
        <v>1648</v>
      </c>
      <c r="P369" t="s">
        <v>1645</v>
      </c>
      <c r="Q369" t="s">
        <v>1644</v>
      </c>
      <c r="R369" t="s">
        <v>1644</v>
      </c>
      <c r="S369" t="s">
        <v>1644</v>
      </c>
      <c r="T369" t="s">
        <v>1644</v>
      </c>
      <c r="U369" t="s">
        <v>1645</v>
      </c>
    </row>
    <row r="370" spans="1:21" x14ac:dyDescent="0.2">
      <c r="A370" t="s">
        <v>1778</v>
      </c>
      <c r="B370" t="s">
        <v>1691</v>
      </c>
      <c r="C370" t="s">
        <v>1642</v>
      </c>
      <c r="D370" t="s">
        <v>1643</v>
      </c>
      <c r="E370" t="s">
        <v>1644</v>
      </c>
      <c r="F370" t="s">
        <v>1644</v>
      </c>
      <c r="G370" t="s">
        <v>1645</v>
      </c>
      <c r="H370" t="s">
        <v>1645</v>
      </c>
      <c r="I370" t="s">
        <v>1645</v>
      </c>
      <c r="J370" t="s">
        <v>1645</v>
      </c>
      <c r="K370" t="s">
        <v>1645</v>
      </c>
      <c r="L370" t="s">
        <v>1849</v>
      </c>
      <c r="M370" t="s">
        <v>1850</v>
      </c>
      <c r="N370" t="s">
        <v>1848</v>
      </c>
      <c r="O370" t="s">
        <v>1648</v>
      </c>
      <c r="P370" t="s">
        <v>1645</v>
      </c>
      <c r="Q370" t="s">
        <v>1644</v>
      </c>
      <c r="R370" t="s">
        <v>1644</v>
      </c>
      <c r="S370" t="s">
        <v>1644</v>
      </c>
      <c r="T370" t="s">
        <v>1644</v>
      </c>
      <c r="U370" t="s">
        <v>1645</v>
      </c>
    </row>
    <row r="371" spans="1:21" x14ac:dyDescent="0.2">
      <c r="A371" t="s">
        <v>1773</v>
      </c>
      <c r="B371" t="s">
        <v>1749</v>
      </c>
      <c r="C371" t="s">
        <v>1746</v>
      </c>
      <c r="D371" t="s">
        <v>1643</v>
      </c>
      <c r="E371" t="s">
        <v>1644</v>
      </c>
      <c r="F371" t="s">
        <v>1644</v>
      </c>
      <c r="G371" t="s">
        <v>1645</v>
      </c>
      <c r="H371" t="s">
        <v>1645</v>
      </c>
      <c r="I371" t="s">
        <v>1645</v>
      </c>
      <c r="J371" t="s">
        <v>1645</v>
      </c>
      <c r="K371" t="s">
        <v>1645</v>
      </c>
      <c r="L371" t="s">
        <v>1851</v>
      </c>
      <c r="M371" t="s">
        <v>1852</v>
      </c>
      <c r="N371" t="s">
        <v>1848</v>
      </c>
      <c r="O371" t="s">
        <v>1648</v>
      </c>
      <c r="P371" t="s">
        <v>1645</v>
      </c>
      <c r="Q371" t="s">
        <v>1644</v>
      </c>
      <c r="R371" t="s">
        <v>1644</v>
      </c>
      <c r="S371" t="s">
        <v>1644</v>
      </c>
      <c r="T371" t="s">
        <v>1644</v>
      </c>
      <c r="U371" t="s">
        <v>1645</v>
      </c>
    </row>
    <row r="372" spans="1:21" x14ac:dyDescent="0.2">
      <c r="A372" t="s">
        <v>1777</v>
      </c>
      <c r="B372" t="s">
        <v>2062</v>
      </c>
      <c r="C372" t="s">
        <v>1642</v>
      </c>
      <c r="D372" t="s">
        <v>1643</v>
      </c>
      <c r="E372" t="s">
        <v>1644</v>
      </c>
      <c r="F372" t="s">
        <v>1644</v>
      </c>
      <c r="G372" t="s">
        <v>1645</v>
      </c>
      <c r="H372" t="s">
        <v>1645</v>
      </c>
      <c r="I372" t="s">
        <v>1645</v>
      </c>
      <c r="J372" t="s">
        <v>1645</v>
      </c>
      <c r="K372" t="s">
        <v>1645</v>
      </c>
      <c r="L372" t="s">
        <v>1851</v>
      </c>
      <c r="M372" t="s">
        <v>1852</v>
      </c>
      <c r="N372" t="s">
        <v>1848</v>
      </c>
      <c r="O372" t="s">
        <v>1648</v>
      </c>
      <c r="P372" t="s">
        <v>1645</v>
      </c>
      <c r="Q372" t="s">
        <v>1644</v>
      </c>
      <c r="R372" t="s">
        <v>1644</v>
      </c>
      <c r="S372" t="s">
        <v>1644</v>
      </c>
      <c r="T372" t="s">
        <v>1644</v>
      </c>
      <c r="U372" t="s">
        <v>1645</v>
      </c>
    </row>
    <row r="373" spans="1:21" x14ac:dyDescent="0.2">
      <c r="A373" t="s">
        <v>1778</v>
      </c>
      <c r="B373" t="s">
        <v>2063</v>
      </c>
      <c r="C373" t="s">
        <v>1642</v>
      </c>
      <c r="D373" t="s">
        <v>1643</v>
      </c>
      <c r="E373" t="s">
        <v>1644</v>
      </c>
      <c r="F373" t="s">
        <v>1644</v>
      </c>
      <c r="G373" t="s">
        <v>1645</v>
      </c>
      <c r="H373" t="s">
        <v>1645</v>
      </c>
      <c r="I373" t="s">
        <v>1645</v>
      </c>
      <c r="J373" t="s">
        <v>1645</v>
      </c>
      <c r="K373" t="s">
        <v>1645</v>
      </c>
      <c r="L373" t="s">
        <v>1851</v>
      </c>
      <c r="M373" t="s">
        <v>1852</v>
      </c>
      <c r="N373" t="s">
        <v>1848</v>
      </c>
      <c r="O373" t="s">
        <v>1648</v>
      </c>
      <c r="P373" t="s">
        <v>1645</v>
      </c>
      <c r="Q373" t="s">
        <v>1644</v>
      </c>
      <c r="R373" t="s">
        <v>1644</v>
      </c>
      <c r="S373" t="s">
        <v>1644</v>
      </c>
      <c r="T373" t="s">
        <v>1644</v>
      </c>
      <c r="U373" t="s">
        <v>1645</v>
      </c>
    </row>
    <row r="374" spans="1:21" x14ac:dyDescent="0.2">
      <c r="A374" t="s">
        <v>1773</v>
      </c>
      <c r="B374" t="s">
        <v>1749</v>
      </c>
      <c r="C374" t="s">
        <v>1746</v>
      </c>
      <c r="D374" t="s">
        <v>1643</v>
      </c>
      <c r="E374" t="s">
        <v>1644</v>
      </c>
      <c r="F374" t="s">
        <v>1644</v>
      </c>
      <c r="G374" t="s">
        <v>1645</v>
      </c>
      <c r="H374" t="s">
        <v>1645</v>
      </c>
      <c r="I374" t="s">
        <v>1645</v>
      </c>
      <c r="J374" t="s">
        <v>1645</v>
      </c>
      <c r="K374" t="s">
        <v>1645</v>
      </c>
      <c r="L374" t="s">
        <v>1990</v>
      </c>
      <c r="M374" t="s">
        <v>1991</v>
      </c>
      <c r="N374" t="s">
        <v>1848</v>
      </c>
      <c r="O374" t="s">
        <v>1648</v>
      </c>
      <c r="P374" t="s">
        <v>1645</v>
      </c>
      <c r="Q374" t="s">
        <v>1644</v>
      </c>
      <c r="R374" t="s">
        <v>1644</v>
      </c>
      <c r="S374" t="s">
        <v>1644</v>
      </c>
      <c r="T374" t="s">
        <v>1644</v>
      </c>
      <c r="U374" t="s">
        <v>1645</v>
      </c>
    </row>
    <row r="375" spans="1:21" x14ac:dyDescent="0.2">
      <c r="A375" t="s">
        <v>1777</v>
      </c>
      <c r="B375" t="s">
        <v>1703</v>
      </c>
      <c r="C375" t="s">
        <v>1642</v>
      </c>
      <c r="D375" t="s">
        <v>1643</v>
      </c>
      <c r="E375" t="s">
        <v>1644</v>
      </c>
      <c r="F375" t="s">
        <v>1644</v>
      </c>
      <c r="G375" t="s">
        <v>1645</v>
      </c>
      <c r="H375" t="s">
        <v>1645</v>
      </c>
      <c r="I375" t="s">
        <v>1645</v>
      </c>
      <c r="J375" t="s">
        <v>1645</v>
      </c>
      <c r="K375" t="s">
        <v>1645</v>
      </c>
      <c r="L375" t="s">
        <v>1990</v>
      </c>
      <c r="M375" t="s">
        <v>1991</v>
      </c>
      <c r="N375" t="s">
        <v>1848</v>
      </c>
      <c r="O375" t="s">
        <v>1648</v>
      </c>
      <c r="P375" t="s">
        <v>1645</v>
      </c>
      <c r="Q375" t="s">
        <v>1644</v>
      </c>
      <c r="R375" t="s">
        <v>1644</v>
      </c>
      <c r="S375" t="s">
        <v>1644</v>
      </c>
      <c r="T375" t="s">
        <v>1644</v>
      </c>
      <c r="U375" t="s">
        <v>1645</v>
      </c>
    </row>
    <row r="376" spans="1:21" x14ac:dyDescent="0.2">
      <c r="A376" t="s">
        <v>1778</v>
      </c>
      <c r="B376" t="s">
        <v>1705</v>
      </c>
      <c r="C376" t="s">
        <v>1642</v>
      </c>
      <c r="D376" t="s">
        <v>1643</v>
      </c>
      <c r="E376" t="s">
        <v>1644</v>
      </c>
      <c r="F376" t="s">
        <v>1644</v>
      </c>
      <c r="G376" t="s">
        <v>1645</v>
      </c>
      <c r="H376" t="s">
        <v>1645</v>
      </c>
      <c r="I376" t="s">
        <v>1645</v>
      </c>
      <c r="J376" t="s">
        <v>1645</v>
      </c>
      <c r="K376" t="s">
        <v>1645</v>
      </c>
      <c r="L376" t="s">
        <v>1990</v>
      </c>
      <c r="M376" t="s">
        <v>1991</v>
      </c>
      <c r="N376" t="s">
        <v>1848</v>
      </c>
      <c r="O376" t="s">
        <v>1648</v>
      </c>
      <c r="P376" t="s">
        <v>1645</v>
      </c>
      <c r="Q376" t="s">
        <v>1644</v>
      </c>
      <c r="R376" t="s">
        <v>1644</v>
      </c>
      <c r="S376" t="s">
        <v>1644</v>
      </c>
      <c r="T376" t="s">
        <v>1644</v>
      </c>
      <c r="U376" t="s">
        <v>1645</v>
      </c>
    </row>
    <row r="377" spans="1:21" x14ac:dyDescent="0.2">
      <c r="A377" t="s">
        <v>1773</v>
      </c>
      <c r="B377" t="s">
        <v>1749</v>
      </c>
      <c r="C377" t="s">
        <v>1746</v>
      </c>
      <c r="D377" t="s">
        <v>1643</v>
      </c>
      <c r="E377" t="s">
        <v>1644</v>
      </c>
      <c r="F377" t="s">
        <v>1644</v>
      </c>
      <c r="G377" t="s">
        <v>1645</v>
      </c>
      <c r="H377" t="s">
        <v>1645</v>
      </c>
      <c r="I377" t="s">
        <v>1645</v>
      </c>
      <c r="J377" t="s">
        <v>1645</v>
      </c>
      <c r="K377" t="s">
        <v>1645</v>
      </c>
      <c r="L377" t="s">
        <v>1992</v>
      </c>
      <c r="M377" t="s">
        <v>1993</v>
      </c>
      <c r="N377" t="s">
        <v>1848</v>
      </c>
      <c r="O377" t="s">
        <v>1648</v>
      </c>
      <c r="P377" t="s">
        <v>1645</v>
      </c>
      <c r="Q377" t="s">
        <v>1644</v>
      </c>
      <c r="R377" t="s">
        <v>1644</v>
      </c>
      <c r="S377" t="s">
        <v>1644</v>
      </c>
      <c r="T377" t="s">
        <v>1644</v>
      </c>
      <c r="U377" t="s">
        <v>1645</v>
      </c>
    </row>
    <row r="378" spans="1:21" x14ac:dyDescent="0.2">
      <c r="A378" t="s">
        <v>1777</v>
      </c>
      <c r="B378" t="s">
        <v>1664</v>
      </c>
      <c r="C378" t="s">
        <v>1642</v>
      </c>
      <c r="D378" t="s">
        <v>1643</v>
      </c>
      <c r="E378" t="s">
        <v>1644</v>
      </c>
      <c r="F378" t="s">
        <v>1644</v>
      </c>
      <c r="G378" t="s">
        <v>1645</v>
      </c>
      <c r="H378" t="s">
        <v>1645</v>
      </c>
      <c r="I378" t="s">
        <v>1645</v>
      </c>
      <c r="J378" t="s">
        <v>1645</v>
      </c>
      <c r="K378" t="s">
        <v>1645</v>
      </c>
      <c r="L378" t="s">
        <v>1992</v>
      </c>
      <c r="M378" t="s">
        <v>1993</v>
      </c>
      <c r="N378" t="s">
        <v>1848</v>
      </c>
      <c r="O378" t="s">
        <v>1648</v>
      </c>
      <c r="P378" t="s">
        <v>1645</v>
      </c>
      <c r="Q378" t="s">
        <v>1644</v>
      </c>
      <c r="R378" t="s">
        <v>1644</v>
      </c>
      <c r="S378" t="s">
        <v>1644</v>
      </c>
      <c r="T378" t="s">
        <v>1644</v>
      </c>
      <c r="U378" t="s">
        <v>1645</v>
      </c>
    </row>
    <row r="379" spans="1:21" x14ac:dyDescent="0.2">
      <c r="A379" t="s">
        <v>1778</v>
      </c>
      <c r="B379" t="s">
        <v>1666</v>
      </c>
      <c r="C379" t="s">
        <v>1642</v>
      </c>
      <c r="D379" t="s">
        <v>1643</v>
      </c>
      <c r="E379" t="s">
        <v>1644</v>
      </c>
      <c r="F379" t="s">
        <v>1644</v>
      </c>
      <c r="G379" t="s">
        <v>1645</v>
      </c>
      <c r="H379" t="s">
        <v>1645</v>
      </c>
      <c r="I379" t="s">
        <v>1645</v>
      </c>
      <c r="J379" t="s">
        <v>1645</v>
      </c>
      <c r="K379" t="s">
        <v>1645</v>
      </c>
      <c r="L379" t="s">
        <v>1992</v>
      </c>
      <c r="M379" t="s">
        <v>1993</v>
      </c>
      <c r="N379" t="s">
        <v>1848</v>
      </c>
      <c r="O379" t="s">
        <v>1648</v>
      </c>
      <c r="P379" t="s">
        <v>1645</v>
      </c>
      <c r="Q379" t="s">
        <v>1644</v>
      </c>
      <c r="R379" t="s">
        <v>1644</v>
      </c>
      <c r="S379" t="s">
        <v>1644</v>
      </c>
      <c r="T379" t="s">
        <v>1644</v>
      </c>
      <c r="U379" t="s">
        <v>1645</v>
      </c>
    </row>
    <row r="380" spans="1:21" x14ac:dyDescent="0.2">
      <c r="A380" t="s">
        <v>1773</v>
      </c>
      <c r="B380" t="s">
        <v>1749</v>
      </c>
      <c r="C380" t="s">
        <v>1746</v>
      </c>
      <c r="D380" t="s">
        <v>1643</v>
      </c>
      <c r="E380" t="s">
        <v>1644</v>
      </c>
      <c r="F380" t="s">
        <v>1644</v>
      </c>
      <c r="G380" t="s">
        <v>1645</v>
      </c>
      <c r="H380" t="s">
        <v>1645</v>
      </c>
      <c r="I380" t="s">
        <v>1645</v>
      </c>
      <c r="J380" t="s">
        <v>1645</v>
      </c>
      <c r="K380" t="s">
        <v>1645</v>
      </c>
      <c r="L380" t="s">
        <v>1994</v>
      </c>
      <c r="M380" t="s">
        <v>1995</v>
      </c>
      <c r="N380" t="s">
        <v>1848</v>
      </c>
      <c r="O380" t="s">
        <v>1648</v>
      </c>
      <c r="P380" t="s">
        <v>1645</v>
      </c>
      <c r="Q380" t="s">
        <v>1644</v>
      </c>
      <c r="R380" t="s">
        <v>1644</v>
      </c>
      <c r="S380" t="s">
        <v>1644</v>
      </c>
      <c r="T380" t="s">
        <v>1644</v>
      </c>
      <c r="U380" t="s">
        <v>1645</v>
      </c>
    </row>
    <row r="381" spans="1:21" x14ac:dyDescent="0.2">
      <c r="A381" t="s">
        <v>1777</v>
      </c>
      <c r="B381" t="s">
        <v>1668</v>
      </c>
      <c r="C381" t="s">
        <v>1642</v>
      </c>
      <c r="D381" t="s">
        <v>1643</v>
      </c>
      <c r="E381" t="s">
        <v>1644</v>
      </c>
      <c r="F381" t="s">
        <v>1644</v>
      </c>
      <c r="G381" t="s">
        <v>1645</v>
      </c>
      <c r="H381" t="s">
        <v>1645</v>
      </c>
      <c r="I381" t="s">
        <v>1645</v>
      </c>
      <c r="J381" t="s">
        <v>1645</v>
      </c>
      <c r="K381" t="s">
        <v>1645</v>
      </c>
      <c r="L381" t="s">
        <v>1994</v>
      </c>
      <c r="M381" t="s">
        <v>1995</v>
      </c>
      <c r="N381" t="s">
        <v>1848</v>
      </c>
      <c r="O381" t="s">
        <v>1648</v>
      </c>
      <c r="P381" t="s">
        <v>1645</v>
      </c>
      <c r="Q381" t="s">
        <v>1644</v>
      </c>
      <c r="R381" t="s">
        <v>1644</v>
      </c>
      <c r="S381" t="s">
        <v>1644</v>
      </c>
      <c r="T381" t="s">
        <v>1644</v>
      </c>
      <c r="U381" t="s">
        <v>1645</v>
      </c>
    </row>
    <row r="382" spans="1:21" x14ac:dyDescent="0.2">
      <c r="A382" t="s">
        <v>1778</v>
      </c>
      <c r="B382" t="s">
        <v>1670</v>
      </c>
      <c r="C382" t="s">
        <v>1642</v>
      </c>
      <c r="D382" t="s">
        <v>1643</v>
      </c>
      <c r="E382" t="s">
        <v>1644</v>
      </c>
      <c r="F382" t="s">
        <v>1644</v>
      </c>
      <c r="G382" t="s">
        <v>1645</v>
      </c>
      <c r="H382" t="s">
        <v>1645</v>
      </c>
      <c r="I382" t="s">
        <v>1645</v>
      </c>
      <c r="J382" t="s">
        <v>1645</v>
      </c>
      <c r="K382" t="s">
        <v>1645</v>
      </c>
      <c r="L382" t="s">
        <v>1994</v>
      </c>
      <c r="M382" t="s">
        <v>1995</v>
      </c>
      <c r="N382" t="s">
        <v>1848</v>
      </c>
      <c r="O382" t="s">
        <v>1648</v>
      </c>
      <c r="P382" t="s">
        <v>1645</v>
      </c>
      <c r="Q382" t="s">
        <v>1644</v>
      </c>
      <c r="R382" t="s">
        <v>1644</v>
      </c>
      <c r="S382" t="s">
        <v>1644</v>
      </c>
      <c r="T382" t="s">
        <v>1644</v>
      </c>
      <c r="U382" t="s">
        <v>1645</v>
      </c>
    </row>
    <row r="383" spans="1:21" x14ac:dyDescent="0.2">
      <c r="A383" t="s">
        <v>1773</v>
      </c>
      <c r="B383" t="s">
        <v>1749</v>
      </c>
      <c r="C383" t="s">
        <v>1746</v>
      </c>
      <c r="D383" t="s">
        <v>1643</v>
      </c>
      <c r="E383" t="s">
        <v>1644</v>
      </c>
      <c r="F383" t="s">
        <v>1644</v>
      </c>
      <c r="G383" t="s">
        <v>1645</v>
      </c>
      <c r="H383" t="s">
        <v>1645</v>
      </c>
      <c r="I383" t="s">
        <v>1645</v>
      </c>
      <c r="J383" t="s">
        <v>1645</v>
      </c>
      <c r="K383" t="s">
        <v>1645</v>
      </c>
      <c r="L383" t="s">
        <v>1853</v>
      </c>
      <c r="M383" t="s">
        <v>1854</v>
      </c>
      <c r="N383" t="s">
        <v>1855</v>
      </c>
      <c r="O383" t="s">
        <v>1648</v>
      </c>
      <c r="P383" t="s">
        <v>1645</v>
      </c>
      <c r="Q383" t="s">
        <v>1644</v>
      </c>
      <c r="R383" t="s">
        <v>1644</v>
      </c>
      <c r="S383" t="s">
        <v>1644</v>
      </c>
      <c r="T383" t="s">
        <v>1644</v>
      </c>
      <c r="U383" t="s">
        <v>1645</v>
      </c>
    </row>
    <row r="384" spans="1:21" x14ac:dyDescent="0.2">
      <c r="A384" t="s">
        <v>1777</v>
      </c>
      <c r="B384" t="s">
        <v>1660</v>
      </c>
      <c r="C384" t="s">
        <v>1642</v>
      </c>
      <c r="D384" t="s">
        <v>1643</v>
      </c>
      <c r="E384" t="s">
        <v>1644</v>
      </c>
      <c r="F384" t="s">
        <v>1644</v>
      </c>
      <c r="G384" t="s">
        <v>1645</v>
      </c>
      <c r="H384" t="s">
        <v>1645</v>
      </c>
      <c r="I384" t="s">
        <v>1645</v>
      </c>
      <c r="J384" t="s">
        <v>1645</v>
      </c>
      <c r="K384" t="s">
        <v>1645</v>
      </c>
      <c r="L384" t="s">
        <v>1853</v>
      </c>
      <c r="M384" t="s">
        <v>1854</v>
      </c>
      <c r="N384" t="s">
        <v>1855</v>
      </c>
      <c r="O384" t="s">
        <v>1648</v>
      </c>
      <c r="P384" t="s">
        <v>1645</v>
      </c>
      <c r="Q384" t="s">
        <v>1644</v>
      </c>
      <c r="R384" t="s">
        <v>1644</v>
      </c>
      <c r="S384" t="s">
        <v>1644</v>
      </c>
      <c r="T384" t="s">
        <v>1644</v>
      </c>
      <c r="U384" t="s">
        <v>1645</v>
      </c>
    </row>
    <row r="385" spans="1:21" x14ac:dyDescent="0.2">
      <c r="A385" t="s">
        <v>1778</v>
      </c>
      <c r="B385" t="s">
        <v>1662</v>
      </c>
      <c r="C385" t="s">
        <v>1642</v>
      </c>
      <c r="D385" t="s">
        <v>1643</v>
      </c>
      <c r="E385" t="s">
        <v>1644</v>
      </c>
      <c r="F385" t="s">
        <v>1644</v>
      </c>
      <c r="G385" t="s">
        <v>1645</v>
      </c>
      <c r="H385" t="s">
        <v>1645</v>
      </c>
      <c r="I385" t="s">
        <v>1645</v>
      </c>
      <c r="J385" t="s">
        <v>1645</v>
      </c>
      <c r="K385" t="s">
        <v>1645</v>
      </c>
      <c r="L385" t="s">
        <v>1853</v>
      </c>
      <c r="M385" t="s">
        <v>1854</v>
      </c>
      <c r="N385" t="s">
        <v>1855</v>
      </c>
      <c r="O385" t="s">
        <v>1648</v>
      </c>
      <c r="P385" t="s">
        <v>1645</v>
      </c>
      <c r="Q385" t="s">
        <v>1644</v>
      </c>
      <c r="R385" t="s">
        <v>1644</v>
      </c>
      <c r="S385" t="s">
        <v>1644</v>
      </c>
      <c r="T385" t="s">
        <v>1644</v>
      </c>
      <c r="U385" t="s">
        <v>1645</v>
      </c>
    </row>
    <row r="386" spans="1:21" x14ac:dyDescent="0.2">
      <c r="A386" t="s">
        <v>1798</v>
      </c>
      <c r="B386" t="s">
        <v>1664</v>
      </c>
      <c r="C386" t="s">
        <v>1642</v>
      </c>
      <c r="D386" t="s">
        <v>1643</v>
      </c>
      <c r="E386" t="s">
        <v>1644</v>
      </c>
      <c r="F386" t="s">
        <v>1644</v>
      </c>
      <c r="G386" t="s">
        <v>1645</v>
      </c>
      <c r="H386" t="s">
        <v>1645</v>
      </c>
      <c r="I386" t="s">
        <v>1645</v>
      </c>
      <c r="J386" t="s">
        <v>1645</v>
      </c>
      <c r="K386" t="s">
        <v>1645</v>
      </c>
      <c r="L386" t="s">
        <v>1853</v>
      </c>
      <c r="M386" t="s">
        <v>1854</v>
      </c>
      <c r="N386" t="s">
        <v>1855</v>
      </c>
      <c r="O386" t="s">
        <v>1648</v>
      </c>
      <c r="P386" t="s">
        <v>1645</v>
      </c>
      <c r="Q386" t="s">
        <v>1644</v>
      </c>
      <c r="R386" t="s">
        <v>1644</v>
      </c>
      <c r="S386" t="s">
        <v>1644</v>
      </c>
      <c r="T386" t="s">
        <v>1644</v>
      </c>
      <c r="U386" t="s">
        <v>1645</v>
      </c>
    </row>
    <row r="387" spans="1:21" x14ac:dyDescent="0.2">
      <c r="A387" t="s">
        <v>1799</v>
      </c>
      <c r="B387" t="s">
        <v>1666</v>
      </c>
      <c r="C387" t="s">
        <v>1642</v>
      </c>
      <c r="D387" t="s">
        <v>1643</v>
      </c>
      <c r="E387" t="s">
        <v>1644</v>
      </c>
      <c r="F387" t="s">
        <v>1644</v>
      </c>
      <c r="G387" t="s">
        <v>1645</v>
      </c>
      <c r="H387" t="s">
        <v>1645</v>
      </c>
      <c r="I387" t="s">
        <v>1645</v>
      </c>
      <c r="J387" t="s">
        <v>1645</v>
      </c>
      <c r="K387" t="s">
        <v>1645</v>
      </c>
      <c r="L387" t="s">
        <v>1853</v>
      </c>
      <c r="M387" t="s">
        <v>1854</v>
      </c>
      <c r="N387" t="s">
        <v>1855</v>
      </c>
      <c r="O387" t="s">
        <v>1648</v>
      </c>
      <c r="P387" t="s">
        <v>1645</v>
      </c>
      <c r="Q387" t="s">
        <v>1644</v>
      </c>
      <c r="R387" t="s">
        <v>1644</v>
      </c>
      <c r="S387" t="s">
        <v>1644</v>
      </c>
      <c r="T387" t="s">
        <v>1644</v>
      </c>
      <c r="U387" t="s">
        <v>1645</v>
      </c>
    </row>
    <row r="388" spans="1:21" x14ac:dyDescent="0.2">
      <c r="A388" t="s">
        <v>1773</v>
      </c>
      <c r="B388" t="s">
        <v>1749</v>
      </c>
      <c r="C388" t="s">
        <v>1746</v>
      </c>
      <c r="D388" t="s">
        <v>1643</v>
      </c>
      <c r="E388" t="s">
        <v>1644</v>
      </c>
      <c r="F388" t="s">
        <v>1644</v>
      </c>
      <c r="G388" t="s">
        <v>1645</v>
      </c>
      <c r="H388" t="s">
        <v>1645</v>
      </c>
      <c r="I388" t="s">
        <v>1645</v>
      </c>
      <c r="J388" t="s">
        <v>1645</v>
      </c>
      <c r="K388" t="s">
        <v>1645</v>
      </c>
      <c r="L388" t="s">
        <v>1856</v>
      </c>
      <c r="M388" t="s">
        <v>1857</v>
      </c>
      <c r="N388" t="s">
        <v>1855</v>
      </c>
      <c r="O388" t="s">
        <v>1648</v>
      </c>
      <c r="P388" t="s">
        <v>1645</v>
      </c>
      <c r="Q388" t="s">
        <v>1644</v>
      </c>
      <c r="R388" t="s">
        <v>1644</v>
      </c>
      <c r="S388" t="s">
        <v>1644</v>
      </c>
      <c r="T388" t="s">
        <v>1644</v>
      </c>
      <c r="U388" t="s">
        <v>1645</v>
      </c>
    </row>
    <row r="389" spans="1:21" x14ac:dyDescent="0.2">
      <c r="A389" t="s">
        <v>1777</v>
      </c>
      <c r="B389" t="s">
        <v>1689</v>
      </c>
      <c r="C389" t="s">
        <v>1642</v>
      </c>
      <c r="D389" t="s">
        <v>1643</v>
      </c>
      <c r="E389" t="s">
        <v>1644</v>
      </c>
      <c r="F389" t="s">
        <v>1644</v>
      </c>
      <c r="G389" t="s">
        <v>1645</v>
      </c>
      <c r="H389" t="s">
        <v>1645</v>
      </c>
      <c r="I389" t="s">
        <v>1645</v>
      </c>
      <c r="J389" t="s">
        <v>1645</v>
      </c>
      <c r="K389" t="s">
        <v>1645</v>
      </c>
      <c r="L389" t="s">
        <v>1856</v>
      </c>
      <c r="M389" t="s">
        <v>1857</v>
      </c>
      <c r="N389" t="s">
        <v>1855</v>
      </c>
      <c r="O389" t="s">
        <v>1648</v>
      </c>
      <c r="P389" t="s">
        <v>1645</v>
      </c>
      <c r="Q389" t="s">
        <v>1644</v>
      </c>
      <c r="R389" t="s">
        <v>1644</v>
      </c>
      <c r="S389" t="s">
        <v>1644</v>
      </c>
      <c r="T389" t="s">
        <v>1644</v>
      </c>
      <c r="U389" t="s">
        <v>1645</v>
      </c>
    </row>
    <row r="390" spans="1:21" x14ac:dyDescent="0.2">
      <c r="A390" t="s">
        <v>1778</v>
      </c>
      <c r="B390" t="s">
        <v>1691</v>
      </c>
      <c r="C390" t="s">
        <v>1642</v>
      </c>
      <c r="D390" t="s">
        <v>1643</v>
      </c>
      <c r="E390" t="s">
        <v>1644</v>
      </c>
      <c r="F390" t="s">
        <v>1644</v>
      </c>
      <c r="G390" t="s">
        <v>1645</v>
      </c>
      <c r="H390" t="s">
        <v>1645</v>
      </c>
      <c r="I390" t="s">
        <v>1645</v>
      </c>
      <c r="J390" t="s">
        <v>1645</v>
      </c>
      <c r="K390" t="s">
        <v>1645</v>
      </c>
      <c r="L390" t="s">
        <v>1856</v>
      </c>
      <c r="M390" t="s">
        <v>1857</v>
      </c>
      <c r="N390" t="s">
        <v>1855</v>
      </c>
      <c r="O390" t="s">
        <v>1648</v>
      </c>
      <c r="P390" t="s">
        <v>1645</v>
      </c>
      <c r="Q390" t="s">
        <v>1644</v>
      </c>
      <c r="R390" t="s">
        <v>1644</v>
      </c>
      <c r="S390" t="s">
        <v>1644</v>
      </c>
      <c r="T390" t="s">
        <v>1644</v>
      </c>
      <c r="U390" t="s">
        <v>1645</v>
      </c>
    </row>
    <row r="391" spans="1:21" x14ac:dyDescent="0.2">
      <c r="A391" t="s">
        <v>1773</v>
      </c>
      <c r="B391" t="s">
        <v>1749</v>
      </c>
      <c r="C391" t="s">
        <v>1746</v>
      </c>
      <c r="D391" t="s">
        <v>1643</v>
      </c>
      <c r="E391" t="s">
        <v>1644</v>
      </c>
      <c r="F391" t="s">
        <v>1644</v>
      </c>
      <c r="G391" t="s">
        <v>1645</v>
      </c>
      <c r="H391" t="s">
        <v>1645</v>
      </c>
      <c r="I391" t="s">
        <v>1645</v>
      </c>
      <c r="J391" t="s">
        <v>1645</v>
      </c>
      <c r="K391" t="s">
        <v>1645</v>
      </c>
      <c r="L391" t="s">
        <v>1858</v>
      </c>
      <c r="M391" t="s">
        <v>1859</v>
      </c>
      <c r="N391" t="s">
        <v>1855</v>
      </c>
      <c r="O391" t="s">
        <v>1648</v>
      </c>
      <c r="P391" t="s">
        <v>1645</v>
      </c>
      <c r="Q391" t="s">
        <v>1644</v>
      </c>
      <c r="R391" t="s">
        <v>1644</v>
      </c>
      <c r="S391" t="s">
        <v>1644</v>
      </c>
      <c r="T391" t="s">
        <v>1644</v>
      </c>
      <c r="U391" t="s">
        <v>1645</v>
      </c>
    </row>
    <row r="392" spans="1:21" x14ac:dyDescent="0.2">
      <c r="A392" t="s">
        <v>1777</v>
      </c>
      <c r="B392" t="s">
        <v>2062</v>
      </c>
      <c r="C392" t="s">
        <v>1642</v>
      </c>
      <c r="D392" t="s">
        <v>1643</v>
      </c>
      <c r="E392" t="s">
        <v>1644</v>
      </c>
      <c r="F392" t="s">
        <v>1644</v>
      </c>
      <c r="G392" t="s">
        <v>1645</v>
      </c>
      <c r="H392" t="s">
        <v>1645</v>
      </c>
      <c r="I392" t="s">
        <v>1645</v>
      </c>
      <c r="J392" t="s">
        <v>1645</v>
      </c>
      <c r="K392" t="s">
        <v>1645</v>
      </c>
      <c r="L392" t="s">
        <v>1858</v>
      </c>
      <c r="M392" t="s">
        <v>1859</v>
      </c>
      <c r="N392" t="s">
        <v>1855</v>
      </c>
      <c r="O392" t="s">
        <v>1648</v>
      </c>
      <c r="P392" t="s">
        <v>1645</v>
      </c>
      <c r="Q392" t="s">
        <v>1644</v>
      </c>
      <c r="R392" t="s">
        <v>1644</v>
      </c>
      <c r="S392" t="s">
        <v>1644</v>
      </c>
      <c r="T392" t="s">
        <v>1644</v>
      </c>
      <c r="U392" t="s">
        <v>1645</v>
      </c>
    </row>
    <row r="393" spans="1:21" x14ac:dyDescent="0.2">
      <c r="A393" t="s">
        <v>1778</v>
      </c>
      <c r="B393" t="s">
        <v>2063</v>
      </c>
      <c r="C393" t="s">
        <v>1642</v>
      </c>
      <c r="D393" t="s">
        <v>1643</v>
      </c>
      <c r="E393" t="s">
        <v>1644</v>
      </c>
      <c r="F393" t="s">
        <v>1644</v>
      </c>
      <c r="G393" t="s">
        <v>1645</v>
      </c>
      <c r="H393" t="s">
        <v>1645</v>
      </c>
      <c r="I393" t="s">
        <v>1645</v>
      </c>
      <c r="J393" t="s">
        <v>1645</v>
      </c>
      <c r="K393" t="s">
        <v>1645</v>
      </c>
      <c r="L393" t="s">
        <v>1858</v>
      </c>
      <c r="M393" t="s">
        <v>1859</v>
      </c>
      <c r="N393" t="s">
        <v>1855</v>
      </c>
      <c r="O393" t="s">
        <v>1648</v>
      </c>
      <c r="P393" t="s">
        <v>1645</v>
      </c>
      <c r="Q393" t="s">
        <v>1644</v>
      </c>
      <c r="R393" t="s">
        <v>1644</v>
      </c>
      <c r="S393" t="s">
        <v>1644</v>
      </c>
      <c r="T393" t="s">
        <v>1644</v>
      </c>
      <c r="U393" t="s">
        <v>1645</v>
      </c>
    </row>
    <row r="394" spans="1:21" x14ac:dyDescent="0.2">
      <c r="A394" t="s">
        <v>1773</v>
      </c>
      <c r="B394" t="s">
        <v>1749</v>
      </c>
      <c r="C394" t="s">
        <v>1746</v>
      </c>
      <c r="D394" t="s">
        <v>1643</v>
      </c>
      <c r="E394" t="s">
        <v>1644</v>
      </c>
      <c r="F394" t="s">
        <v>1644</v>
      </c>
      <c r="G394" t="s">
        <v>1645</v>
      </c>
      <c r="H394" t="s">
        <v>1645</v>
      </c>
      <c r="I394" t="s">
        <v>1645</v>
      </c>
      <c r="J394" t="s">
        <v>1645</v>
      </c>
      <c r="K394" t="s">
        <v>1645</v>
      </c>
      <c r="L394" t="s">
        <v>1996</v>
      </c>
      <c r="M394" t="s">
        <v>1997</v>
      </c>
      <c r="N394" t="s">
        <v>1855</v>
      </c>
      <c r="O394" t="s">
        <v>1648</v>
      </c>
      <c r="P394" t="s">
        <v>1645</v>
      </c>
      <c r="Q394" t="s">
        <v>1644</v>
      </c>
      <c r="R394" t="s">
        <v>1644</v>
      </c>
      <c r="S394" t="s">
        <v>1644</v>
      </c>
      <c r="T394" t="s">
        <v>1644</v>
      </c>
      <c r="U394" t="s">
        <v>1645</v>
      </c>
    </row>
    <row r="395" spans="1:21" x14ac:dyDescent="0.2">
      <c r="A395" t="s">
        <v>1777</v>
      </c>
      <c r="B395" t="s">
        <v>1703</v>
      </c>
      <c r="C395" t="s">
        <v>1642</v>
      </c>
      <c r="D395" t="s">
        <v>1643</v>
      </c>
      <c r="E395" t="s">
        <v>1644</v>
      </c>
      <c r="F395" t="s">
        <v>1644</v>
      </c>
      <c r="G395" t="s">
        <v>1645</v>
      </c>
      <c r="H395" t="s">
        <v>1645</v>
      </c>
      <c r="I395" t="s">
        <v>1645</v>
      </c>
      <c r="J395" t="s">
        <v>1645</v>
      </c>
      <c r="K395" t="s">
        <v>1645</v>
      </c>
      <c r="L395" t="s">
        <v>1996</v>
      </c>
      <c r="M395" t="s">
        <v>1997</v>
      </c>
      <c r="N395" t="s">
        <v>1855</v>
      </c>
      <c r="O395" t="s">
        <v>1648</v>
      </c>
      <c r="P395" t="s">
        <v>1645</v>
      </c>
      <c r="Q395" t="s">
        <v>1644</v>
      </c>
      <c r="R395" t="s">
        <v>1644</v>
      </c>
      <c r="S395" t="s">
        <v>1644</v>
      </c>
      <c r="T395" t="s">
        <v>1644</v>
      </c>
      <c r="U395" t="s">
        <v>1645</v>
      </c>
    </row>
    <row r="396" spans="1:21" x14ac:dyDescent="0.2">
      <c r="A396" t="s">
        <v>1778</v>
      </c>
      <c r="B396" t="s">
        <v>1705</v>
      </c>
      <c r="C396" t="s">
        <v>1642</v>
      </c>
      <c r="D396" t="s">
        <v>1643</v>
      </c>
      <c r="E396" t="s">
        <v>1644</v>
      </c>
      <c r="F396" t="s">
        <v>1644</v>
      </c>
      <c r="G396" t="s">
        <v>1645</v>
      </c>
      <c r="H396" t="s">
        <v>1645</v>
      </c>
      <c r="I396" t="s">
        <v>1645</v>
      </c>
      <c r="J396" t="s">
        <v>1645</v>
      </c>
      <c r="K396" t="s">
        <v>1645</v>
      </c>
      <c r="L396" t="s">
        <v>1996</v>
      </c>
      <c r="M396" t="s">
        <v>1997</v>
      </c>
      <c r="N396" t="s">
        <v>1855</v>
      </c>
      <c r="O396" t="s">
        <v>1648</v>
      </c>
      <c r="P396" t="s">
        <v>1645</v>
      </c>
      <c r="Q396" t="s">
        <v>1644</v>
      </c>
      <c r="R396" t="s">
        <v>1644</v>
      </c>
      <c r="S396" t="s">
        <v>1644</v>
      </c>
      <c r="T396" t="s">
        <v>1644</v>
      </c>
      <c r="U396" t="s">
        <v>1645</v>
      </c>
    </row>
    <row r="397" spans="1:21" x14ac:dyDescent="0.2">
      <c r="A397" t="s">
        <v>1773</v>
      </c>
      <c r="B397" t="s">
        <v>1749</v>
      </c>
      <c r="C397" t="s">
        <v>1746</v>
      </c>
      <c r="D397" t="s">
        <v>1643</v>
      </c>
      <c r="E397" t="s">
        <v>1644</v>
      </c>
      <c r="F397" t="s">
        <v>1644</v>
      </c>
      <c r="G397" t="s">
        <v>1645</v>
      </c>
      <c r="H397" t="s">
        <v>1645</v>
      </c>
      <c r="I397" t="s">
        <v>1645</v>
      </c>
      <c r="J397" t="s">
        <v>1645</v>
      </c>
      <c r="K397" t="s">
        <v>1645</v>
      </c>
      <c r="L397" t="s">
        <v>1998</v>
      </c>
      <c r="M397" t="s">
        <v>1999</v>
      </c>
      <c r="N397" t="s">
        <v>1855</v>
      </c>
      <c r="O397" t="s">
        <v>1648</v>
      </c>
      <c r="P397" t="s">
        <v>1645</v>
      </c>
      <c r="Q397" t="s">
        <v>1644</v>
      </c>
      <c r="R397" t="s">
        <v>1644</v>
      </c>
      <c r="S397" t="s">
        <v>1644</v>
      </c>
      <c r="T397" t="s">
        <v>1644</v>
      </c>
      <c r="U397" t="s">
        <v>1645</v>
      </c>
    </row>
    <row r="398" spans="1:21" x14ac:dyDescent="0.2">
      <c r="A398" t="s">
        <v>1777</v>
      </c>
      <c r="B398" t="s">
        <v>1664</v>
      </c>
      <c r="C398" t="s">
        <v>1642</v>
      </c>
      <c r="D398" t="s">
        <v>1643</v>
      </c>
      <c r="E398" t="s">
        <v>1644</v>
      </c>
      <c r="F398" t="s">
        <v>1644</v>
      </c>
      <c r="G398" t="s">
        <v>1645</v>
      </c>
      <c r="H398" t="s">
        <v>1645</v>
      </c>
      <c r="I398" t="s">
        <v>1645</v>
      </c>
      <c r="J398" t="s">
        <v>1645</v>
      </c>
      <c r="K398" t="s">
        <v>1645</v>
      </c>
      <c r="L398" t="s">
        <v>1998</v>
      </c>
      <c r="M398" t="s">
        <v>1999</v>
      </c>
      <c r="N398" t="s">
        <v>1855</v>
      </c>
      <c r="O398" t="s">
        <v>1648</v>
      </c>
      <c r="P398" t="s">
        <v>1645</v>
      </c>
      <c r="Q398" t="s">
        <v>1644</v>
      </c>
      <c r="R398" t="s">
        <v>1644</v>
      </c>
      <c r="S398" t="s">
        <v>1644</v>
      </c>
      <c r="T398" t="s">
        <v>1644</v>
      </c>
      <c r="U398" t="s">
        <v>1645</v>
      </c>
    </row>
    <row r="399" spans="1:21" x14ac:dyDescent="0.2">
      <c r="A399" t="s">
        <v>1778</v>
      </c>
      <c r="B399" t="s">
        <v>1666</v>
      </c>
      <c r="C399" t="s">
        <v>1642</v>
      </c>
      <c r="D399" t="s">
        <v>1643</v>
      </c>
      <c r="E399" t="s">
        <v>1644</v>
      </c>
      <c r="F399" t="s">
        <v>1644</v>
      </c>
      <c r="G399" t="s">
        <v>1645</v>
      </c>
      <c r="H399" t="s">
        <v>1645</v>
      </c>
      <c r="I399" t="s">
        <v>1645</v>
      </c>
      <c r="J399" t="s">
        <v>1645</v>
      </c>
      <c r="K399" t="s">
        <v>1645</v>
      </c>
      <c r="L399" t="s">
        <v>1998</v>
      </c>
      <c r="M399" t="s">
        <v>1999</v>
      </c>
      <c r="N399" t="s">
        <v>1855</v>
      </c>
      <c r="O399" t="s">
        <v>1648</v>
      </c>
      <c r="P399" t="s">
        <v>1645</v>
      </c>
      <c r="Q399" t="s">
        <v>1644</v>
      </c>
      <c r="R399" t="s">
        <v>1644</v>
      </c>
      <c r="S399" t="s">
        <v>1644</v>
      </c>
      <c r="T399" t="s">
        <v>1644</v>
      </c>
      <c r="U399" t="s">
        <v>1645</v>
      </c>
    </row>
    <row r="400" spans="1:21" x14ac:dyDescent="0.2">
      <c r="A400" t="s">
        <v>1773</v>
      </c>
      <c r="B400" t="s">
        <v>1749</v>
      </c>
      <c r="C400" t="s">
        <v>1746</v>
      </c>
      <c r="D400" t="s">
        <v>1643</v>
      </c>
      <c r="E400" t="s">
        <v>1644</v>
      </c>
      <c r="F400" t="s">
        <v>1644</v>
      </c>
      <c r="G400" t="s">
        <v>1645</v>
      </c>
      <c r="H400" t="s">
        <v>1645</v>
      </c>
      <c r="I400" t="s">
        <v>1645</v>
      </c>
      <c r="J400" t="s">
        <v>1645</v>
      </c>
      <c r="K400" t="s">
        <v>1645</v>
      </c>
      <c r="L400" t="s">
        <v>2000</v>
      </c>
      <c r="M400" t="s">
        <v>2001</v>
      </c>
      <c r="N400" t="s">
        <v>1855</v>
      </c>
      <c r="O400" t="s">
        <v>1648</v>
      </c>
      <c r="P400" t="s">
        <v>1645</v>
      </c>
      <c r="Q400" t="s">
        <v>1644</v>
      </c>
      <c r="R400" t="s">
        <v>1644</v>
      </c>
      <c r="S400" t="s">
        <v>1644</v>
      </c>
      <c r="T400" t="s">
        <v>1644</v>
      </c>
      <c r="U400" t="s">
        <v>1645</v>
      </c>
    </row>
    <row r="401" spans="1:21" x14ac:dyDescent="0.2">
      <c r="A401" t="s">
        <v>1777</v>
      </c>
      <c r="B401" t="s">
        <v>1668</v>
      </c>
      <c r="C401" t="s">
        <v>1642</v>
      </c>
      <c r="D401" t="s">
        <v>1643</v>
      </c>
      <c r="E401" t="s">
        <v>1644</v>
      </c>
      <c r="F401" t="s">
        <v>1644</v>
      </c>
      <c r="G401" t="s">
        <v>1645</v>
      </c>
      <c r="H401" t="s">
        <v>1645</v>
      </c>
      <c r="I401" t="s">
        <v>1645</v>
      </c>
      <c r="J401" t="s">
        <v>1645</v>
      </c>
      <c r="K401" t="s">
        <v>1645</v>
      </c>
      <c r="L401" t="s">
        <v>2000</v>
      </c>
      <c r="M401" t="s">
        <v>2001</v>
      </c>
      <c r="N401" t="s">
        <v>1855</v>
      </c>
      <c r="O401" t="s">
        <v>1648</v>
      </c>
      <c r="P401" t="s">
        <v>1645</v>
      </c>
      <c r="Q401" t="s">
        <v>1644</v>
      </c>
      <c r="R401" t="s">
        <v>1644</v>
      </c>
      <c r="S401" t="s">
        <v>1644</v>
      </c>
      <c r="T401" t="s">
        <v>1644</v>
      </c>
      <c r="U401" t="s">
        <v>1645</v>
      </c>
    </row>
    <row r="402" spans="1:21" x14ac:dyDescent="0.2">
      <c r="A402" t="s">
        <v>1778</v>
      </c>
      <c r="B402" t="s">
        <v>1670</v>
      </c>
      <c r="C402" t="s">
        <v>1642</v>
      </c>
      <c r="D402" t="s">
        <v>1643</v>
      </c>
      <c r="E402" t="s">
        <v>1644</v>
      </c>
      <c r="F402" t="s">
        <v>1644</v>
      </c>
      <c r="G402" t="s">
        <v>1645</v>
      </c>
      <c r="H402" t="s">
        <v>1645</v>
      </c>
      <c r="I402" t="s">
        <v>1645</v>
      </c>
      <c r="J402" t="s">
        <v>1645</v>
      </c>
      <c r="K402" t="s">
        <v>1645</v>
      </c>
      <c r="L402" t="s">
        <v>2000</v>
      </c>
      <c r="M402" t="s">
        <v>2001</v>
      </c>
      <c r="N402" t="s">
        <v>1855</v>
      </c>
      <c r="O402" t="s">
        <v>1648</v>
      </c>
      <c r="P402" t="s">
        <v>1645</v>
      </c>
      <c r="Q402" t="s">
        <v>1644</v>
      </c>
      <c r="R402" t="s">
        <v>1644</v>
      </c>
      <c r="S402" t="s">
        <v>1644</v>
      </c>
      <c r="T402" t="s">
        <v>1644</v>
      </c>
      <c r="U402" t="s">
        <v>1645</v>
      </c>
    </row>
    <row r="403" spans="1:21" x14ac:dyDescent="0.2">
      <c r="A403" t="s">
        <v>1773</v>
      </c>
      <c r="B403" t="s">
        <v>1749</v>
      </c>
      <c r="C403" t="s">
        <v>1746</v>
      </c>
      <c r="D403" t="s">
        <v>1643</v>
      </c>
      <c r="E403" t="s">
        <v>1644</v>
      </c>
      <c r="F403" t="s">
        <v>1644</v>
      </c>
      <c r="G403" t="s">
        <v>1645</v>
      </c>
      <c r="H403" t="s">
        <v>1645</v>
      </c>
      <c r="I403" t="s">
        <v>1645</v>
      </c>
      <c r="J403" t="s">
        <v>1645</v>
      </c>
      <c r="K403" t="s">
        <v>1645</v>
      </c>
      <c r="L403" t="s">
        <v>1860</v>
      </c>
      <c r="M403" t="s">
        <v>1861</v>
      </c>
      <c r="N403" t="s">
        <v>1862</v>
      </c>
      <c r="O403" t="s">
        <v>1648</v>
      </c>
      <c r="P403" t="s">
        <v>1645</v>
      </c>
      <c r="Q403" t="s">
        <v>1644</v>
      </c>
      <c r="R403" t="s">
        <v>1644</v>
      </c>
      <c r="S403" t="s">
        <v>1644</v>
      </c>
      <c r="T403" t="s">
        <v>1644</v>
      </c>
      <c r="U403" t="s">
        <v>1645</v>
      </c>
    </row>
    <row r="404" spans="1:21" x14ac:dyDescent="0.2">
      <c r="A404" t="s">
        <v>1777</v>
      </c>
      <c r="B404" t="s">
        <v>1660</v>
      </c>
      <c r="C404" t="s">
        <v>1642</v>
      </c>
      <c r="D404" t="s">
        <v>1643</v>
      </c>
      <c r="E404" t="s">
        <v>1644</v>
      </c>
      <c r="F404" t="s">
        <v>1644</v>
      </c>
      <c r="G404" t="s">
        <v>1645</v>
      </c>
      <c r="H404" t="s">
        <v>1645</v>
      </c>
      <c r="I404" t="s">
        <v>1645</v>
      </c>
      <c r="J404" t="s">
        <v>1645</v>
      </c>
      <c r="K404" t="s">
        <v>1645</v>
      </c>
      <c r="L404" t="s">
        <v>1860</v>
      </c>
      <c r="M404" t="s">
        <v>1861</v>
      </c>
      <c r="N404" t="s">
        <v>1862</v>
      </c>
      <c r="O404" t="s">
        <v>1648</v>
      </c>
      <c r="P404" t="s">
        <v>1645</v>
      </c>
      <c r="Q404" t="s">
        <v>1644</v>
      </c>
      <c r="R404" t="s">
        <v>1644</v>
      </c>
      <c r="S404" t="s">
        <v>1644</v>
      </c>
      <c r="T404" t="s">
        <v>1644</v>
      </c>
      <c r="U404" t="s">
        <v>1645</v>
      </c>
    </row>
    <row r="405" spans="1:21" x14ac:dyDescent="0.2">
      <c r="A405" t="s">
        <v>1778</v>
      </c>
      <c r="B405" t="s">
        <v>1662</v>
      </c>
      <c r="C405" t="s">
        <v>1642</v>
      </c>
      <c r="D405" t="s">
        <v>1643</v>
      </c>
      <c r="E405" t="s">
        <v>1644</v>
      </c>
      <c r="F405" t="s">
        <v>1644</v>
      </c>
      <c r="G405" t="s">
        <v>1645</v>
      </c>
      <c r="H405" t="s">
        <v>1645</v>
      </c>
      <c r="I405" t="s">
        <v>1645</v>
      </c>
      <c r="J405" t="s">
        <v>1645</v>
      </c>
      <c r="K405" t="s">
        <v>1645</v>
      </c>
      <c r="L405" t="s">
        <v>1860</v>
      </c>
      <c r="M405" t="s">
        <v>1861</v>
      </c>
      <c r="N405" t="s">
        <v>1862</v>
      </c>
      <c r="O405" t="s">
        <v>1648</v>
      </c>
      <c r="P405" t="s">
        <v>1645</v>
      </c>
      <c r="Q405" t="s">
        <v>1644</v>
      </c>
      <c r="R405" t="s">
        <v>1644</v>
      </c>
      <c r="S405" t="s">
        <v>1644</v>
      </c>
      <c r="T405" t="s">
        <v>1644</v>
      </c>
      <c r="U405" t="s">
        <v>1645</v>
      </c>
    </row>
    <row r="406" spans="1:21" x14ac:dyDescent="0.2">
      <c r="A406" t="s">
        <v>1798</v>
      </c>
      <c r="B406" t="s">
        <v>1664</v>
      </c>
      <c r="C406" t="s">
        <v>1642</v>
      </c>
      <c r="D406" t="s">
        <v>1643</v>
      </c>
      <c r="E406" t="s">
        <v>1644</v>
      </c>
      <c r="F406" t="s">
        <v>1644</v>
      </c>
      <c r="G406" t="s">
        <v>1645</v>
      </c>
      <c r="H406" t="s">
        <v>1645</v>
      </c>
      <c r="I406" t="s">
        <v>1645</v>
      </c>
      <c r="J406" t="s">
        <v>1645</v>
      </c>
      <c r="K406" t="s">
        <v>1645</v>
      </c>
      <c r="L406" t="s">
        <v>1860</v>
      </c>
      <c r="M406" t="s">
        <v>1861</v>
      </c>
      <c r="N406" t="s">
        <v>1862</v>
      </c>
      <c r="O406" t="s">
        <v>1648</v>
      </c>
      <c r="P406" t="s">
        <v>1645</v>
      </c>
      <c r="Q406" t="s">
        <v>1644</v>
      </c>
      <c r="R406" t="s">
        <v>1644</v>
      </c>
      <c r="S406" t="s">
        <v>1644</v>
      </c>
      <c r="T406" t="s">
        <v>1644</v>
      </c>
      <c r="U406" t="s">
        <v>1645</v>
      </c>
    </row>
    <row r="407" spans="1:21" x14ac:dyDescent="0.2">
      <c r="A407" t="s">
        <v>1799</v>
      </c>
      <c r="B407" t="s">
        <v>1666</v>
      </c>
      <c r="C407" t="s">
        <v>1642</v>
      </c>
      <c r="D407" t="s">
        <v>1643</v>
      </c>
      <c r="E407" t="s">
        <v>1644</v>
      </c>
      <c r="F407" t="s">
        <v>1644</v>
      </c>
      <c r="G407" t="s">
        <v>1645</v>
      </c>
      <c r="H407" t="s">
        <v>1645</v>
      </c>
      <c r="I407" t="s">
        <v>1645</v>
      </c>
      <c r="J407" t="s">
        <v>1645</v>
      </c>
      <c r="K407" t="s">
        <v>1645</v>
      </c>
      <c r="L407" t="s">
        <v>1860</v>
      </c>
      <c r="M407" t="s">
        <v>1861</v>
      </c>
      <c r="N407" t="s">
        <v>1862</v>
      </c>
      <c r="O407" t="s">
        <v>1648</v>
      </c>
      <c r="P407" t="s">
        <v>1645</v>
      </c>
      <c r="Q407" t="s">
        <v>1644</v>
      </c>
      <c r="R407" t="s">
        <v>1644</v>
      </c>
      <c r="S407" t="s">
        <v>1644</v>
      </c>
      <c r="T407" t="s">
        <v>1644</v>
      </c>
      <c r="U407" t="s">
        <v>1645</v>
      </c>
    </row>
    <row r="408" spans="1:21" x14ac:dyDescent="0.2">
      <c r="A408" t="s">
        <v>1773</v>
      </c>
      <c r="B408" t="s">
        <v>1749</v>
      </c>
      <c r="C408" t="s">
        <v>1746</v>
      </c>
      <c r="D408" t="s">
        <v>1643</v>
      </c>
      <c r="E408" t="s">
        <v>1644</v>
      </c>
      <c r="F408" t="s">
        <v>1644</v>
      </c>
      <c r="G408" t="s">
        <v>1645</v>
      </c>
      <c r="H408" t="s">
        <v>1645</v>
      </c>
      <c r="I408" t="s">
        <v>1645</v>
      </c>
      <c r="J408" t="s">
        <v>1645</v>
      </c>
      <c r="K408" t="s">
        <v>1645</v>
      </c>
      <c r="L408" t="s">
        <v>1863</v>
      </c>
      <c r="M408" t="s">
        <v>1864</v>
      </c>
      <c r="N408" t="s">
        <v>1862</v>
      </c>
      <c r="O408" t="s">
        <v>1648</v>
      </c>
      <c r="P408" t="s">
        <v>1645</v>
      </c>
      <c r="Q408" t="s">
        <v>1644</v>
      </c>
      <c r="R408" t="s">
        <v>1644</v>
      </c>
      <c r="S408" t="s">
        <v>1644</v>
      </c>
      <c r="T408" t="s">
        <v>1644</v>
      </c>
      <c r="U408" t="s">
        <v>1645</v>
      </c>
    </row>
    <row r="409" spans="1:21" x14ac:dyDescent="0.2">
      <c r="A409" t="s">
        <v>1777</v>
      </c>
      <c r="B409" t="s">
        <v>1689</v>
      </c>
      <c r="C409" t="s">
        <v>1642</v>
      </c>
      <c r="D409" t="s">
        <v>1643</v>
      </c>
      <c r="E409" t="s">
        <v>1644</v>
      </c>
      <c r="F409" t="s">
        <v>1644</v>
      </c>
      <c r="G409" t="s">
        <v>1645</v>
      </c>
      <c r="H409" t="s">
        <v>1645</v>
      </c>
      <c r="I409" t="s">
        <v>1645</v>
      </c>
      <c r="J409" t="s">
        <v>1645</v>
      </c>
      <c r="K409" t="s">
        <v>1645</v>
      </c>
      <c r="L409" t="s">
        <v>1863</v>
      </c>
      <c r="M409" t="s">
        <v>1864</v>
      </c>
      <c r="N409" t="s">
        <v>1862</v>
      </c>
      <c r="O409" t="s">
        <v>1648</v>
      </c>
      <c r="P409" t="s">
        <v>1645</v>
      </c>
      <c r="Q409" t="s">
        <v>1644</v>
      </c>
      <c r="R409" t="s">
        <v>1644</v>
      </c>
      <c r="S409" t="s">
        <v>1644</v>
      </c>
      <c r="T409" t="s">
        <v>1644</v>
      </c>
      <c r="U409" t="s">
        <v>1645</v>
      </c>
    </row>
    <row r="410" spans="1:21" x14ac:dyDescent="0.2">
      <c r="A410" t="s">
        <v>1778</v>
      </c>
      <c r="B410" t="s">
        <v>1691</v>
      </c>
      <c r="C410" t="s">
        <v>1642</v>
      </c>
      <c r="D410" t="s">
        <v>1643</v>
      </c>
      <c r="E410" t="s">
        <v>1644</v>
      </c>
      <c r="F410" t="s">
        <v>1644</v>
      </c>
      <c r="G410" t="s">
        <v>1645</v>
      </c>
      <c r="H410" t="s">
        <v>1645</v>
      </c>
      <c r="I410" t="s">
        <v>1645</v>
      </c>
      <c r="J410" t="s">
        <v>1645</v>
      </c>
      <c r="K410" t="s">
        <v>1645</v>
      </c>
      <c r="L410" t="s">
        <v>1863</v>
      </c>
      <c r="M410" t="s">
        <v>1864</v>
      </c>
      <c r="N410" t="s">
        <v>1862</v>
      </c>
      <c r="O410" t="s">
        <v>1648</v>
      </c>
      <c r="P410" t="s">
        <v>1645</v>
      </c>
      <c r="Q410" t="s">
        <v>1644</v>
      </c>
      <c r="R410" t="s">
        <v>1644</v>
      </c>
      <c r="S410" t="s">
        <v>1644</v>
      </c>
      <c r="T410" t="s">
        <v>1644</v>
      </c>
      <c r="U410" t="s">
        <v>1645</v>
      </c>
    </row>
    <row r="411" spans="1:21" x14ac:dyDescent="0.2">
      <c r="A411" t="s">
        <v>1773</v>
      </c>
      <c r="B411" t="s">
        <v>1749</v>
      </c>
      <c r="C411" t="s">
        <v>1746</v>
      </c>
      <c r="D411" t="s">
        <v>1643</v>
      </c>
      <c r="E411" t="s">
        <v>1644</v>
      </c>
      <c r="F411" t="s">
        <v>1644</v>
      </c>
      <c r="G411" t="s">
        <v>1645</v>
      </c>
      <c r="H411" t="s">
        <v>1645</v>
      </c>
      <c r="I411" t="s">
        <v>1645</v>
      </c>
      <c r="J411" t="s">
        <v>1645</v>
      </c>
      <c r="K411" t="s">
        <v>1645</v>
      </c>
      <c r="L411" t="s">
        <v>1865</v>
      </c>
      <c r="M411" t="s">
        <v>1866</v>
      </c>
      <c r="N411" t="s">
        <v>1862</v>
      </c>
      <c r="O411" t="s">
        <v>1648</v>
      </c>
      <c r="P411" t="s">
        <v>1645</v>
      </c>
      <c r="Q411" t="s">
        <v>1644</v>
      </c>
      <c r="R411" t="s">
        <v>1644</v>
      </c>
      <c r="S411" t="s">
        <v>1644</v>
      </c>
      <c r="T411" t="s">
        <v>1644</v>
      </c>
      <c r="U411" t="s">
        <v>1645</v>
      </c>
    </row>
    <row r="412" spans="1:21" x14ac:dyDescent="0.2">
      <c r="A412" t="s">
        <v>1777</v>
      </c>
      <c r="B412" t="s">
        <v>2062</v>
      </c>
      <c r="C412" t="s">
        <v>1642</v>
      </c>
      <c r="D412" t="s">
        <v>1643</v>
      </c>
      <c r="E412" t="s">
        <v>1644</v>
      </c>
      <c r="F412" t="s">
        <v>1644</v>
      </c>
      <c r="G412" t="s">
        <v>1645</v>
      </c>
      <c r="H412" t="s">
        <v>1645</v>
      </c>
      <c r="I412" t="s">
        <v>1645</v>
      </c>
      <c r="J412" t="s">
        <v>1645</v>
      </c>
      <c r="K412" t="s">
        <v>1645</v>
      </c>
      <c r="L412" t="s">
        <v>1865</v>
      </c>
      <c r="M412" t="s">
        <v>1866</v>
      </c>
      <c r="N412" t="s">
        <v>1862</v>
      </c>
      <c r="O412" t="s">
        <v>1648</v>
      </c>
      <c r="P412" t="s">
        <v>1645</v>
      </c>
      <c r="Q412" t="s">
        <v>1644</v>
      </c>
      <c r="R412" t="s">
        <v>1644</v>
      </c>
      <c r="S412" t="s">
        <v>1644</v>
      </c>
      <c r="T412" t="s">
        <v>1644</v>
      </c>
      <c r="U412" t="s">
        <v>1645</v>
      </c>
    </row>
    <row r="413" spans="1:21" x14ac:dyDescent="0.2">
      <c r="A413" t="s">
        <v>1778</v>
      </c>
      <c r="B413" t="s">
        <v>2063</v>
      </c>
      <c r="C413" t="s">
        <v>1642</v>
      </c>
      <c r="D413" t="s">
        <v>1643</v>
      </c>
      <c r="E413" t="s">
        <v>1644</v>
      </c>
      <c r="F413" t="s">
        <v>1644</v>
      </c>
      <c r="G413" t="s">
        <v>1645</v>
      </c>
      <c r="H413" t="s">
        <v>1645</v>
      </c>
      <c r="I413" t="s">
        <v>1645</v>
      </c>
      <c r="J413" t="s">
        <v>1645</v>
      </c>
      <c r="K413" t="s">
        <v>1645</v>
      </c>
      <c r="L413" t="s">
        <v>1865</v>
      </c>
      <c r="M413" t="s">
        <v>1866</v>
      </c>
      <c r="N413" t="s">
        <v>1862</v>
      </c>
      <c r="O413" t="s">
        <v>1648</v>
      </c>
      <c r="P413" t="s">
        <v>1645</v>
      </c>
      <c r="Q413" t="s">
        <v>1644</v>
      </c>
      <c r="R413" t="s">
        <v>1644</v>
      </c>
      <c r="S413" t="s">
        <v>1644</v>
      </c>
      <c r="T413" t="s">
        <v>1644</v>
      </c>
      <c r="U413" t="s">
        <v>1645</v>
      </c>
    </row>
    <row r="414" spans="1:21" x14ac:dyDescent="0.2">
      <c r="A414" t="s">
        <v>1773</v>
      </c>
      <c r="B414" t="s">
        <v>1749</v>
      </c>
      <c r="C414" t="s">
        <v>1746</v>
      </c>
      <c r="D414" t="s">
        <v>1643</v>
      </c>
      <c r="E414" t="s">
        <v>1644</v>
      </c>
      <c r="F414" t="s">
        <v>1644</v>
      </c>
      <c r="G414" t="s">
        <v>1645</v>
      </c>
      <c r="H414" t="s">
        <v>1645</v>
      </c>
      <c r="I414" t="s">
        <v>1645</v>
      </c>
      <c r="J414" t="s">
        <v>1645</v>
      </c>
      <c r="K414" t="s">
        <v>1645</v>
      </c>
      <c r="L414" t="s">
        <v>2002</v>
      </c>
      <c r="M414" t="s">
        <v>2003</v>
      </c>
      <c r="N414" t="s">
        <v>1862</v>
      </c>
      <c r="O414" t="s">
        <v>1648</v>
      </c>
      <c r="P414" t="s">
        <v>1645</v>
      </c>
      <c r="Q414" t="s">
        <v>1644</v>
      </c>
      <c r="R414" t="s">
        <v>1644</v>
      </c>
      <c r="S414" t="s">
        <v>1644</v>
      </c>
      <c r="T414" t="s">
        <v>1644</v>
      </c>
      <c r="U414" t="s">
        <v>1645</v>
      </c>
    </row>
    <row r="415" spans="1:21" x14ac:dyDescent="0.2">
      <c r="A415" t="s">
        <v>1777</v>
      </c>
      <c r="B415" t="s">
        <v>1703</v>
      </c>
      <c r="C415" t="s">
        <v>1642</v>
      </c>
      <c r="D415" t="s">
        <v>1643</v>
      </c>
      <c r="E415" t="s">
        <v>1644</v>
      </c>
      <c r="F415" t="s">
        <v>1644</v>
      </c>
      <c r="G415" t="s">
        <v>1645</v>
      </c>
      <c r="H415" t="s">
        <v>1645</v>
      </c>
      <c r="I415" t="s">
        <v>1645</v>
      </c>
      <c r="J415" t="s">
        <v>1645</v>
      </c>
      <c r="K415" t="s">
        <v>1645</v>
      </c>
      <c r="L415" t="s">
        <v>2002</v>
      </c>
      <c r="M415" t="s">
        <v>2003</v>
      </c>
      <c r="N415" t="s">
        <v>1862</v>
      </c>
      <c r="O415" t="s">
        <v>1648</v>
      </c>
      <c r="P415" t="s">
        <v>1645</v>
      </c>
      <c r="Q415" t="s">
        <v>1644</v>
      </c>
      <c r="R415" t="s">
        <v>1644</v>
      </c>
      <c r="S415" t="s">
        <v>1644</v>
      </c>
      <c r="T415" t="s">
        <v>1644</v>
      </c>
      <c r="U415" t="s">
        <v>1645</v>
      </c>
    </row>
    <row r="416" spans="1:21" x14ac:dyDescent="0.2">
      <c r="A416" t="s">
        <v>1778</v>
      </c>
      <c r="B416" t="s">
        <v>1705</v>
      </c>
      <c r="C416" t="s">
        <v>1642</v>
      </c>
      <c r="D416" t="s">
        <v>1643</v>
      </c>
      <c r="E416" t="s">
        <v>1644</v>
      </c>
      <c r="F416" t="s">
        <v>1644</v>
      </c>
      <c r="G416" t="s">
        <v>1645</v>
      </c>
      <c r="H416" t="s">
        <v>1645</v>
      </c>
      <c r="I416" t="s">
        <v>1645</v>
      </c>
      <c r="J416" t="s">
        <v>1645</v>
      </c>
      <c r="K416" t="s">
        <v>1645</v>
      </c>
      <c r="L416" t="s">
        <v>2002</v>
      </c>
      <c r="M416" t="s">
        <v>2003</v>
      </c>
      <c r="N416" t="s">
        <v>1862</v>
      </c>
      <c r="O416" t="s">
        <v>1648</v>
      </c>
      <c r="P416" t="s">
        <v>1645</v>
      </c>
      <c r="Q416" t="s">
        <v>1644</v>
      </c>
      <c r="R416" t="s">
        <v>1644</v>
      </c>
      <c r="S416" t="s">
        <v>1644</v>
      </c>
      <c r="T416" t="s">
        <v>1644</v>
      </c>
      <c r="U416" t="s">
        <v>1645</v>
      </c>
    </row>
    <row r="417" spans="1:21" x14ac:dyDescent="0.2">
      <c r="A417" t="s">
        <v>1773</v>
      </c>
      <c r="B417" t="s">
        <v>1749</v>
      </c>
      <c r="C417" t="s">
        <v>1746</v>
      </c>
      <c r="D417" t="s">
        <v>1643</v>
      </c>
      <c r="E417" t="s">
        <v>1644</v>
      </c>
      <c r="F417" t="s">
        <v>1644</v>
      </c>
      <c r="G417" t="s">
        <v>1645</v>
      </c>
      <c r="H417" t="s">
        <v>1645</v>
      </c>
      <c r="I417" t="s">
        <v>1645</v>
      </c>
      <c r="J417" t="s">
        <v>1645</v>
      </c>
      <c r="K417" t="s">
        <v>1645</v>
      </c>
      <c r="L417" t="s">
        <v>2004</v>
      </c>
      <c r="M417" t="s">
        <v>2005</v>
      </c>
      <c r="N417" t="s">
        <v>1862</v>
      </c>
      <c r="O417" t="s">
        <v>1648</v>
      </c>
      <c r="P417" t="s">
        <v>1645</v>
      </c>
      <c r="Q417" t="s">
        <v>1644</v>
      </c>
      <c r="R417" t="s">
        <v>1644</v>
      </c>
      <c r="S417" t="s">
        <v>1644</v>
      </c>
      <c r="T417" t="s">
        <v>1644</v>
      </c>
      <c r="U417" t="s">
        <v>1645</v>
      </c>
    </row>
    <row r="418" spans="1:21" x14ac:dyDescent="0.2">
      <c r="A418" t="s">
        <v>1777</v>
      </c>
      <c r="B418" t="s">
        <v>1664</v>
      </c>
      <c r="C418" t="s">
        <v>1642</v>
      </c>
      <c r="D418" t="s">
        <v>1643</v>
      </c>
      <c r="E418" t="s">
        <v>1644</v>
      </c>
      <c r="F418" t="s">
        <v>1644</v>
      </c>
      <c r="G418" t="s">
        <v>1645</v>
      </c>
      <c r="H418" t="s">
        <v>1645</v>
      </c>
      <c r="I418" t="s">
        <v>1645</v>
      </c>
      <c r="J418" t="s">
        <v>1645</v>
      </c>
      <c r="K418" t="s">
        <v>1645</v>
      </c>
      <c r="L418" t="s">
        <v>2004</v>
      </c>
      <c r="M418" t="s">
        <v>2005</v>
      </c>
      <c r="N418" t="s">
        <v>1862</v>
      </c>
      <c r="O418" t="s">
        <v>1648</v>
      </c>
      <c r="P418" t="s">
        <v>1645</v>
      </c>
      <c r="Q418" t="s">
        <v>1644</v>
      </c>
      <c r="R418" t="s">
        <v>1644</v>
      </c>
      <c r="S418" t="s">
        <v>1644</v>
      </c>
      <c r="T418" t="s">
        <v>1644</v>
      </c>
      <c r="U418" t="s">
        <v>1645</v>
      </c>
    </row>
    <row r="419" spans="1:21" x14ac:dyDescent="0.2">
      <c r="A419" t="s">
        <v>1778</v>
      </c>
      <c r="B419" t="s">
        <v>1666</v>
      </c>
      <c r="C419" t="s">
        <v>1642</v>
      </c>
      <c r="D419" t="s">
        <v>1643</v>
      </c>
      <c r="E419" t="s">
        <v>1644</v>
      </c>
      <c r="F419" t="s">
        <v>1644</v>
      </c>
      <c r="G419" t="s">
        <v>1645</v>
      </c>
      <c r="H419" t="s">
        <v>1645</v>
      </c>
      <c r="I419" t="s">
        <v>1645</v>
      </c>
      <c r="J419" t="s">
        <v>1645</v>
      </c>
      <c r="K419" t="s">
        <v>1645</v>
      </c>
      <c r="L419" t="s">
        <v>2004</v>
      </c>
      <c r="M419" t="s">
        <v>2005</v>
      </c>
      <c r="N419" t="s">
        <v>1862</v>
      </c>
      <c r="O419" t="s">
        <v>1648</v>
      </c>
      <c r="P419" t="s">
        <v>1645</v>
      </c>
      <c r="Q419" t="s">
        <v>1644</v>
      </c>
      <c r="R419" t="s">
        <v>1644</v>
      </c>
      <c r="S419" t="s">
        <v>1644</v>
      </c>
      <c r="T419" t="s">
        <v>1644</v>
      </c>
      <c r="U419" t="s">
        <v>1645</v>
      </c>
    </row>
    <row r="420" spans="1:21" x14ac:dyDescent="0.2">
      <c r="A420" t="s">
        <v>1773</v>
      </c>
      <c r="B420" t="s">
        <v>1749</v>
      </c>
      <c r="C420" t="s">
        <v>1746</v>
      </c>
      <c r="D420" t="s">
        <v>1643</v>
      </c>
      <c r="E420" t="s">
        <v>1644</v>
      </c>
      <c r="F420" t="s">
        <v>1644</v>
      </c>
      <c r="G420" t="s">
        <v>1645</v>
      </c>
      <c r="H420" t="s">
        <v>1645</v>
      </c>
      <c r="I420" t="s">
        <v>1645</v>
      </c>
      <c r="J420" t="s">
        <v>1645</v>
      </c>
      <c r="K420" t="s">
        <v>1645</v>
      </c>
      <c r="L420" t="s">
        <v>2006</v>
      </c>
      <c r="M420" t="s">
        <v>2007</v>
      </c>
      <c r="N420" t="s">
        <v>1862</v>
      </c>
      <c r="O420" t="s">
        <v>1648</v>
      </c>
      <c r="P420" t="s">
        <v>1645</v>
      </c>
      <c r="Q420" t="s">
        <v>1644</v>
      </c>
      <c r="R420" t="s">
        <v>1644</v>
      </c>
      <c r="S420" t="s">
        <v>1644</v>
      </c>
      <c r="T420" t="s">
        <v>1644</v>
      </c>
      <c r="U420" t="s">
        <v>1645</v>
      </c>
    </row>
    <row r="421" spans="1:21" x14ac:dyDescent="0.2">
      <c r="A421" t="s">
        <v>1777</v>
      </c>
      <c r="B421" t="s">
        <v>1668</v>
      </c>
      <c r="C421" t="s">
        <v>1642</v>
      </c>
      <c r="D421" t="s">
        <v>1643</v>
      </c>
      <c r="E421" t="s">
        <v>1644</v>
      </c>
      <c r="F421" t="s">
        <v>1644</v>
      </c>
      <c r="G421" t="s">
        <v>1645</v>
      </c>
      <c r="H421" t="s">
        <v>1645</v>
      </c>
      <c r="I421" t="s">
        <v>1645</v>
      </c>
      <c r="J421" t="s">
        <v>1645</v>
      </c>
      <c r="K421" t="s">
        <v>1645</v>
      </c>
      <c r="L421" t="s">
        <v>2006</v>
      </c>
      <c r="M421" t="s">
        <v>2007</v>
      </c>
      <c r="N421" t="s">
        <v>1862</v>
      </c>
      <c r="O421" t="s">
        <v>1648</v>
      </c>
      <c r="P421" t="s">
        <v>1645</v>
      </c>
      <c r="Q421" t="s">
        <v>1644</v>
      </c>
      <c r="R421" t="s">
        <v>1644</v>
      </c>
      <c r="S421" t="s">
        <v>1644</v>
      </c>
      <c r="T421" t="s">
        <v>1644</v>
      </c>
      <c r="U421" t="s">
        <v>1645</v>
      </c>
    </row>
    <row r="422" spans="1:21" x14ac:dyDescent="0.2">
      <c r="A422" t="s">
        <v>1778</v>
      </c>
      <c r="B422" t="s">
        <v>1670</v>
      </c>
      <c r="C422" t="s">
        <v>1642</v>
      </c>
      <c r="D422" t="s">
        <v>1643</v>
      </c>
      <c r="E422" t="s">
        <v>1644</v>
      </c>
      <c r="F422" t="s">
        <v>1644</v>
      </c>
      <c r="G422" t="s">
        <v>1645</v>
      </c>
      <c r="H422" t="s">
        <v>1645</v>
      </c>
      <c r="I422" t="s">
        <v>1645</v>
      </c>
      <c r="J422" t="s">
        <v>1645</v>
      </c>
      <c r="K422" t="s">
        <v>1645</v>
      </c>
      <c r="L422" t="s">
        <v>2006</v>
      </c>
      <c r="M422" t="s">
        <v>2007</v>
      </c>
      <c r="N422" t="s">
        <v>1862</v>
      </c>
      <c r="O422" t="s">
        <v>1648</v>
      </c>
      <c r="P422" t="s">
        <v>1645</v>
      </c>
      <c r="Q422" t="s">
        <v>1644</v>
      </c>
      <c r="R422" t="s">
        <v>1644</v>
      </c>
      <c r="S422" t="s">
        <v>1644</v>
      </c>
      <c r="T422" t="s">
        <v>1644</v>
      </c>
      <c r="U422" t="s">
        <v>1645</v>
      </c>
    </row>
    <row r="423" spans="1:21" x14ac:dyDescent="0.2">
      <c r="A423" t="s">
        <v>1773</v>
      </c>
      <c r="B423" t="s">
        <v>1749</v>
      </c>
      <c r="C423" t="s">
        <v>1746</v>
      </c>
      <c r="D423" t="s">
        <v>1643</v>
      </c>
      <c r="E423" t="s">
        <v>1644</v>
      </c>
      <c r="F423" t="s">
        <v>1644</v>
      </c>
      <c r="G423" t="s">
        <v>1645</v>
      </c>
      <c r="H423" t="s">
        <v>1645</v>
      </c>
      <c r="I423" t="s">
        <v>1645</v>
      </c>
      <c r="J423" t="s">
        <v>1645</v>
      </c>
      <c r="K423" t="s">
        <v>1645</v>
      </c>
      <c r="L423" t="s">
        <v>1867</v>
      </c>
      <c r="M423" t="s">
        <v>1868</v>
      </c>
      <c r="N423" t="s">
        <v>1869</v>
      </c>
      <c r="O423" t="s">
        <v>1648</v>
      </c>
      <c r="P423" t="s">
        <v>1645</v>
      </c>
      <c r="Q423" t="s">
        <v>1644</v>
      </c>
      <c r="R423" t="s">
        <v>1644</v>
      </c>
      <c r="S423" t="s">
        <v>1644</v>
      </c>
      <c r="T423" t="s">
        <v>1644</v>
      </c>
      <c r="U423" t="s">
        <v>1645</v>
      </c>
    </row>
    <row r="424" spans="1:21" x14ac:dyDescent="0.2">
      <c r="A424" t="s">
        <v>1777</v>
      </c>
      <c r="B424" t="s">
        <v>1660</v>
      </c>
      <c r="C424" t="s">
        <v>1642</v>
      </c>
      <c r="D424" t="s">
        <v>1643</v>
      </c>
      <c r="E424" t="s">
        <v>1644</v>
      </c>
      <c r="F424" t="s">
        <v>1644</v>
      </c>
      <c r="G424" t="s">
        <v>1645</v>
      </c>
      <c r="H424" t="s">
        <v>1645</v>
      </c>
      <c r="I424" t="s">
        <v>1645</v>
      </c>
      <c r="J424" t="s">
        <v>1645</v>
      </c>
      <c r="K424" t="s">
        <v>1645</v>
      </c>
      <c r="L424" t="s">
        <v>1867</v>
      </c>
      <c r="M424" t="s">
        <v>1868</v>
      </c>
      <c r="N424" t="s">
        <v>1869</v>
      </c>
      <c r="O424" t="s">
        <v>1648</v>
      </c>
      <c r="P424" t="s">
        <v>1645</v>
      </c>
      <c r="Q424" t="s">
        <v>1644</v>
      </c>
      <c r="R424" t="s">
        <v>1644</v>
      </c>
      <c r="S424" t="s">
        <v>1644</v>
      </c>
      <c r="T424" t="s">
        <v>1644</v>
      </c>
      <c r="U424" t="s">
        <v>1645</v>
      </c>
    </row>
    <row r="425" spans="1:21" x14ac:dyDescent="0.2">
      <c r="A425" t="s">
        <v>1778</v>
      </c>
      <c r="B425" t="s">
        <v>1662</v>
      </c>
      <c r="C425" t="s">
        <v>1642</v>
      </c>
      <c r="D425" t="s">
        <v>1643</v>
      </c>
      <c r="E425" t="s">
        <v>1644</v>
      </c>
      <c r="F425" t="s">
        <v>1644</v>
      </c>
      <c r="G425" t="s">
        <v>1645</v>
      </c>
      <c r="H425" t="s">
        <v>1645</v>
      </c>
      <c r="I425" t="s">
        <v>1645</v>
      </c>
      <c r="J425" t="s">
        <v>1645</v>
      </c>
      <c r="K425" t="s">
        <v>1645</v>
      </c>
      <c r="L425" t="s">
        <v>1867</v>
      </c>
      <c r="M425" t="s">
        <v>1868</v>
      </c>
      <c r="N425" t="s">
        <v>1869</v>
      </c>
      <c r="O425" t="s">
        <v>1648</v>
      </c>
      <c r="P425" t="s">
        <v>1645</v>
      </c>
      <c r="Q425" t="s">
        <v>1644</v>
      </c>
      <c r="R425" t="s">
        <v>1644</v>
      </c>
      <c r="S425" t="s">
        <v>1644</v>
      </c>
      <c r="T425" t="s">
        <v>1644</v>
      </c>
      <c r="U425" t="s">
        <v>1645</v>
      </c>
    </row>
    <row r="426" spans="1:21" x14ac:dyDescent="0.2">
      <c r="A426" t="s">
        <v>1798</v>
      </c>
      <c r="B426" t="s">
        <v>1664</v>
      </c>
      <c r="C426" t="s">
        <v>1642</v>
      </c>
      <c r="D426" t="s">
        <v>1643</v>
      </c>
      <c r="E426" t="s">
        <v>1644</v>
      </c>
      <c r="F426" t="s">
        <v>1644</v>
      </c>
      <c r="G426" t="s">
        <v>1645</v>
      </c>
      <c r="H426" t="s">
        <v>1645</v>
      </c>
      <c r="I426" t="s">
        <v>1645</v>
      </c>
      <c r="J426" t="s">
        <v>1645</v>
      </c>
      <c r="K426" t="s">
        <v>1645</v>
      </c>
      <c r="L426" t="s">
        <v>1867</v>
      </c>
      <c r="M426" t="s">
        <v>1868</v>
      </c>
      <c r="N426" t="s">
        <v>1869</v>
      </c>
      <c r="O426" t="s">
        <v>1648</v>
      </c>
      <c r="P426" t="s">
        <v>1645</v>
      </c>
      <c r="Q426" t="s">
        <v>1644</v>
      </c>
      <c r="R426" t="s">
        <v>1644</v>
      </c>
      <c r="S426" t="s">
        <v>1644</v>
      </c>
      <c r="T426" t="s">
        <v>1644</v>
      </c>
      <c r="U426" t="s">
        <v>1645</v>
      </c>
    </row>
    <row r="427" spans="1:21" x14ac:dyDescent="0.2">
      <c r="A427" t="s">
        <v>1799</v>
      </c>
      <c r="B427" t="s">
        <v>1666</v>
      </c>
      <c r="C427" t="s">
        <v>1642</v>
      </c>
      <c r="D427" t="s">
        <v>1643</v>
      </c>
      <c r="E427" t="s">
        <v>1644</v>
      </c>
      <c r="F427" t="s">
        <v>1644</v>
      </c>
      <c r="G427" t="s">
        <v>1645</v>
      </c>
      <c r="H427" t="s">
        <v>1645</v>
      </c>
      <c r="I427" t="s">
        <v>1645</v>
      </c>
      <c r="J427" t="s">
        <v>1645</v>
      </c>
      <c r="K427" t="s">
        <v>1645</v>
      </c>
      <c r="L427" t="s">
        <v>1867</v>
      </c>
      <c r="M427" t="s">
        <v>1868</v>
      </c>
      <c r="N427" t="s">
        <v>1869</v>
      </c>
      <c r="O427" t="s">
        <v>1648</v>
      </c>
      <c r="P427" t="s">
        <v>1645</v>
      </c>
      <c r="Q427" t="s">
        <v>1644</v>
      </c>
      <c r="R427" t="s">
        <v>1644</v>
      </c>
      <c r="S427" t="s">
        <v>1644</v>
      </c>
      <c r="T427" t="s">
        <v>1644</v>
      </c>
      <c r="U427" t="s">
        <v>1645</v>
      </c>
    </row>
    <row r="428" spans="1:21" x14ac:dyDescent="0.2">
      <c r="A428" t="s">
        <v>1773</v>
      </c>
      <c r="B428" t="s">
        <v>1749</v>
      </c>
      <c r="C428" t="s">
        <v>1746</v>
      </c>
      <c r="D428" t="s">
        <v>1643</v>
      </c>
      <c r="E428" t="s">
        <v>1644</v>
      </c>
      <c r="F428" t="s">
        <v>1644</v>
      </c>
      <c r="G428" t="s">
        <v>1645</v>
      </c>
      <c r="H428" t="s">
        <v>1645</v>
      </c>
      <c r="I428" t="s">
        <v>1645</v>
      </c>
      <c r="J428" t="s">
        <v>1645</v>
      </c>
      <c r="K428" t="s">
        <v>1645</v>
      </c>
      <c r="L428" t="s">
        <v>1870</v>
      </c>
      <c r="M428" t="s">
        <v>1871</v>
      </c>
      <c r="N428" t="s">
        <v>1869</v>
      </c>
      <c r="O428" t="s">
        <v>1648</v>
      </c>
      <c r="P428" t="s">
        <v>1645</v>
      </c>
      <c r="Q428" t="s">
        <v>1644</v>
      </c>
      <c r="R428" t="s">
        <v>1644</v>
      </c>
      <c r="S428" t="s">
        <v>1644</v>
      </c>
      <c r="T428" t="s">
        <v>1644</v>
      </c>
      <c r="U428" t="s">
        <v>1645</v>
      </c>
    </row>
    <row r="429" spans="1:21" x14ac:dyDescent="0.2">
      <c r="A429" t="s">
        <v>1777</v>
      </c>
      <c r="B429" t="s">
        <v>1689</v>
      </c>
      <c r="C429" t="s">
        <v>1642</v>
      </c>
      <c r="D429" t="s">
        <v>1643</v>
      </c>
      <c r="E429" t="s">
        <v>1644</v>
      </c>
      <c r="F429" t="s">
        <v>1644</v>
      </c>
      <c r="G429" t="s">
        <v>1645</v>
      </c>
      <c r="H429" t="s">
        <v>1645</v>
      </c>
      <c r="I429" t="s">
        <v>1645</v>
      </c>
      <c r="J429" t="s">
        <v>1645</v>
      </c>
      <c r="K429" t="s">
        <v>1645</v>
      </c>
      <c r="L429" t="s">
        <v>1870</v>
      </c>
      <c r="M429" t="s">
        <v>1871</v>
      </c>
      <c r="N429" t="s">
        <v>1869</v>
      </c>
      <c r="O429" t="s">
        <v>1648</v>
      </c>
      <c r="P429" t="s">
        <v>1645</v>
      </c>
      <c r="Q429" t="s">
        <v>1644</v>
      </c>
      <c r="R429" t="s">
        <v>1644</v>
      </c>
      <c r="S429" t="s">
        <v>1644</v>
      </c>
      <c r="T429" t="s">
        <v>1644</v>
      </c>
      <c r="U429" t="s">
        <v>1645</v>
      </c>
    </row>
    <row r="430" spans="1:21" x14ac:dyDescent="0.2">
      <c r="A430" t="s">
        <v>1778</v>
      </c>
      <c r="B430" t="s">
        <v>1691</v>
      </c>
      <c r="C430" t="s">
        <v>1642</v>
      </c>
      <c r="D430" t="s">
        <v>1643</v>
      </c>
      <c r="E430" t="s">
        <v>1644</v>
      </c>
      <c r="F430" t="s">
        <v>1644</v>
      </c>
      <c r="G430" t="s">
        <v>1645</v>
      </c>
      <c r="H430" t="s">
        <v>1645</v>
      </c>
      <c r="I430" t="s">
        <v>1645</v>
      </c>
      <c r="J430" t="s">
        <v>1645</v>
      </c>
      <c r="K430" t="s">
        <v>1645</v>
      </c>
      <c r="L430" t="s">
        <v>1870</v>
      </c>
      <c r="M430" t="s">
        <v>1871</v>
      </c>
      <c r="N430" t="s">
        <v>1869</v>
      </c>
      <c r="O430" t="s">
        <v>1648</v>
      </c>
      <c r="P430" t="s">
        <v>1645</v>
      </c>
      <c r="Q430" t="s">
        <v>1644</v>
      </c>
      <c r="R430" t="s">
        <v>1644</v>
      </c>
      <c r="S430" t="s">
        <v>1644</v>
      </c>
      <c r="T430" t="s">
        <v>1644</v>
      </c>
      <c r="U430" t="s">
        <v>1645</v>
      </c>
    </row>
    <row r="431" spans="1:21" x14ac:dyDescent="0.2">
      <c r="A431" t="s">
        <v>1773</v>
      </c>
      <c r="B431" t="s">
        <v>1749</v>
      </c>
      <c r="C431" t="s">
        <v>1746</v>
      </c>
      <c r="D431" t="s">
        <v>1643</v>
      </c>
      <c r="E431" t="s">
        <v>1644</v>
      </c>
      <c r="F431" t="s">
        <v>1644</v>
      </c>
      <c r="G431" t="s">
        <v>1645</v>
      </c>
      <c r="H431" t="s">
        <v>1645</v>
      </c>
      <c r="I431" t="s">
        <v>1645</v>
      </c>
      <c r="J431" t="s">
        <v>1645</v>
      </c>
      <c r="K431" t="s">
        <v>1645</v>
      </c>
      <c r="L431" t="s">
        <v>1872</v>
      </c>
      <c r="M431" t="s">
        <v>1873</v>
      </c>
      <c r="N431" t="s">
        <v>1869</v>
      </c>
      <c r="O431" t="s">
        <v>1648</v>
      </c>
      <c r="P431" t="s">
        <v>1645</v>
      </c>
      <c r="Q431" t="s">
        <v>1644</v>
      </c>
      <c r="R431" t="s">
        <v>1644</v>
      </c>
      <c r="S431" t="s">
        <v>1644</v>
      </c>
      <c r="T431" t="s">
        <v>1644</v>
      </c>
      <c r="U431" t="s">
        <v>1645</v>
      </c>
    </row>
    <row r="432" spans="1:21" x14ac:dyDescent="0.2">
      <c r="A432" t="s">
        <v>1777</v>
      </c>
      <c r="B432" t="s">
        <v>2062</v>
      </c>
      <c r="C432" t="s">
        <v>1642</v>
      </c>
      <c r="D432" t="s">
        <v>1643</v>
      </c>
      <c r="E432" t="s">
        <v>1644</v>
      </c>
      <c r="F432" t="s">
        <v>1644</v>
      </c>
      <c r="G432" t="s">
        <v>1645</v>
      </c>
      <c r="H432" t="s">
        <v>1645</v>
      </c>
      <c r="I432" t="s">
        <v>1645</v>
      </c>
      <c r="J432" t="s">
        <v>1645</v>
      </c>
      <c r="K432" t="s">
        <v>1645</v>
      </c>
      <c r="L432" t="s">
        <v>1872</v>
      </c>
      <c r="M432" t="s">
        <v>1873</v>
      </c>
      <c r="N432" t="s">
        <v>1869</v>
      </c>
      <c r="O432" t="s">
        <v>1648</v>
      </c>
      <c r="P432" t="s">
        <v>1645</v>
      </c>
      <c r="Q432" t="s">
        <v>1644</v>
      </c>
      <c r="R432" t="s">
        <v>1644</v>
      </c>
      <c r="S432" t="s">
        <v>1644</v>
      </c>
      <c r="T432" t="s">
        <v>1644</v>
      </c>
      <c r="U432" t="s">
        <v>1645</v>
      </c>
    </row>
    <row r="433" spans="1:21" x14ac:dyDescent="0.2">
      <c r="A433" t="s">
        <v>1778</v>
      </c>
      <c r="B433" t="s">
        <v>2063</v>
      </c>
      <c r="C433" t="s">
        <v>1642</v>
      </c>
      <c r="D433" t="s">
        <v>1643</v>
      </c>
      <c r="E433" t="s">
        <v>1644</v>
      </c>
      <c r="F433" t="s">
        <v>1644</v>
      </c>
      <c r="G433" t="s">
        <v>1645</v>
      </c>
      <c r="H433" t="s">
        <v>1645</v>
      </c>
      <c r="I433" t="s">
        <v>1645</v>
      </c>
      <c r="J433" t="s">
        <v>1645</v>
      </c>
      <c r="K433" t="s">
        <v>1645</v>
      </c>
      <c r="L433" t="s">
        <v>1872</v>
      </c>
      <c r="M433" t="s">
        <v>1873</v>
      </c>
      <c r="N433" t="s">
        <v>1869</v>
      </c>
      <c r="O433" t="s">
        <v>1648</v>
      </c>
      <c r="P433" t="s">
        <v>1645</v>
      </c>
      <c r="Q433" t="s">
        <v>1644</v>
      </c>
      <c r="R433" t="s">
        <v>1644</v>
      </c>
      <c r="S433" t="s">
        <v>1644</v>
      </c>
      <c r="T433" t="s">
        <v>1644</v>
      </c>
      <c r="U433" t="s">
        <v>1645</v>
      </c>
    </row>
    <row r="434" spans="1:21" x14ac:dyDescent="0.2">
      <c r="A434" t="s">
        <v>1773</v>
      </c>
      <c r="B434" t="s">
        <v>1749</v>
      </c>
      <c r="C434" t="s">
        <v>1746</v>
      </c>
      <c r="D434" t="s">
        <v>1643</v>
      </c>
      <c r="E434" t="s">
        <v>1644</v>
      </c>
      <c r="F434" t="s">
        <v>1644</v>
      </c>
      <c r="G434" t="s">
        <v>1645</v>
      </c>
      <c r="H434" t="s">
        <v>1645</v>
      </c>
      <c r="I434" t="s">
        <v>1645</v>
      </c>
      <c r="J434" t="s">
        <v>1645</v>
      </c>
      <c r="K434" t="s">
        <v>1645</v>
      </c>
      <c r="L434" t="s">
        <v>2008</v>
      </c>
      <c r="M434" t="s">
        <v>2009</v>
      </c>
      <c r="N434" t="s">
        <v>1869</v>
      </c>
      <c r="O434" t="s">
        <v>1648</v>
      </c>
      <c r="P434" t="s">
        <v>1645</v>
      </c>
      <c r="Q434" t="s">
        <v>1644</v>
      </c>
      <c r="R434" t="s">
        <v>1644</v>
      </c>
      <c r="S434" t="s">
        <v>1644</v>
      </c>
      <c r="T434" t="s">
        <v>1644</v>
      </c>
      <c r="U434" t="s">
        <v>1645</v>
      </c>
    </row>
    <row r="435" spans="1:21" x14ac:dyDescent="0.2">
      <c r="A435" t="s">
        <v>1777</v>
      </c>
      <c r="B435" t="s">
        <v>1703</v>
      </c>
      <c r="C435" t="s">
        <v>1642</v>
      </c>
      <c r="D435" t="s">
        <v>1643</v>
      </c>
      <c r="E435" t="s">
        <v>1644</v>
      </c>
      <c r="F435" t="s">
        <v>1644</v>
      </c>
      <c r="G435" t="s">
        <v>1645</v>
      </c>
      <c r="H435" t="s">
        <v>1645</v>
      </c>
      <c r="I435" t="s">
        <v>1645</v>
      </c>
      <c r="J435" t="s">
        <v>1645</v>
      </c>
      <c r="K435" t="s">
        <v>1645</v>
      </c>
      <c r="L435" t="s">
        <v>2008</v>
      </c>
      <c r="M435" t="s">
        <v>2009</v>
      </c>
      <c r="N435" t="s">
        <v>1869</v>
      </c>
      <c r="O435" t="s">
        <v>1648</v>
      </c>
      <c r="P435" t="s">
        <v>1645</v>
      </c>
      <c r="Q435" t="s">
        <v>1644</v>
      </c>
      <c r="R435" t="s">
        <v>1644</v>
      </c>
      <c r="S435" t="s">
        <v>1644</v>
      </c>
      <c r="T435" t="s">
        <v>1644</v>
      </c>
      <c r="U435" t="s">
        <v>1645</v>
      </c>
    </row>
    <row r="436" spans="1:21" x14ac:dyDescent="0.2">
      <c r="A436" t="s">
        <v>1778</v>
      </c>
      <c r="B436" t="s">
        <v>1705</v>
      </c>
      <c r="C436" t="s">
        <v>1642</v>
      </c>
      <c r="D436" t="s">
        <v>1643</v>
      </c>
      <c r="E436" t="s">
        <v>1644</v>
      </c>
      <c r="F436" t="s">
        <v>1644</v>
      </c>
      <c r="G436" t="s">
        <v>1645</v>
      </c>
      <c r="H436" t="s">
        <v>1645</v>
      </c>
      <c r="I436" t="s">
        <v>1645</v>
      </c>
      <c r="J436" t="s">
        <v>1645</v>
      </c>
      <c r="K436" t="s">
        <v>1645</v>
      </c>
      <c r="L436" t="s">
        <v>2008</v>
      </c>
      <c r="M436" t="s">
        <v>2009</v>
      </c>
      <c r="N436" t="s">
        <v>1869</v>
      </c>
      <c r="O436" t="s">
        <v>1648</v>
      </c>
      <c r="P436" t="s">
        <v>1645</v>
      </c>
      <c r="Q436" t="s">
        <v>1644</v>
      </c>
      <c r="R436" t="s">
        <v>1644</v>
      </c>
      <c r="S436" t="s">
        <v>1644</v>
      </c>
      <c r="T436" t="s">
        <v>1644</v>
      </c>
      <c r="U436" t="s">
        <v>1645</v>
      </c>
    </row>
    <row r="437" spans="1:21" x14ac:dyDescent="0.2">
      <c r="A437" t="s">
        <v>1773</v>
      </c>
      <c r="B437" t="s">
        <v>1749</v>
      </c>
      <c r="C437" t="s">
        <v>1746</v>
      </c>
      <c r="D437" t="s">
        <v>1643</v>
      </c>
      <c r="E437" t="s">
        <v>1644</v>
      </c>
      <c r="F437" t="s">
        <v>1644</v>
      </c>
      <c r="G437" t="s">
        <v>1645</v>
      </c>
      <c r="H437" t="s">
        <v>1645</v>
      </c>
      <c r="I437" t="s">
        <v>1645</v>
      </c>
      <c r="J437" t="s">
        <v>1645</v>
      </c>
      <c r="K437" t="s">
        <v>1645</v>
      </c>
      <c r="L437" t="s">
        <v>2010</v>
      </c>
      <c r="M437" t="s">
        <v>2011</v>
      </c>
      <c r="N437" t="s">
        <v>1869</v>
      </c>
      <c r="O437" t="s">
        <v>1648</v>
      </c>
      <c r="P437" t="s">
        <v>1645</v>
      </c>
      <c r="Q437" t="s">
        <v>1644</v>
      </c>
      <c r="R437" t="s">
        <v>1644</v>
      </c>
      <c r="S437" t="s">
        <v>1644</v>
      </c>
      <c r="T437" t="s">
        <v>1644</v>
      </c>
      <c r="U437" t="s">
        <v>1645</v>
      </c>
    </row>
    <row r="438" spans="1:21" x14ac:dyDescent="0.2">
      <c r="A438" t="s">
        <v>1777</v>
      </c>
      <c r="B438" t="s">
        <v>1664</v>
      </c>
      <c r="C438" t="s">
        <v>1642</v>
      </c>
      <c r="D438" t="s">
        <v>1643</v>
      </c>
      <c r="E438" t="s">
        <v>1644</v>
      </c>
      <c r="F438" t="s">
        <v>1644</v>
      </c>
      <c r="G438" t="s">
        <v>1645</v>
      </c>
      <c r="H438" t="s">
        <v>1645</v>
      </c>
      <c r="I438" t="s">
        <v>1645</v>
      </c>
      <c r="J438" t="s">
        <v>1645</v>
      </c>
      <c r="K438" t="s">
        <v>1645</v>
      </c>
      <c r="L438" t="s">
        <v>2010</v>
      </c>
      <c r="M438" t="s">
        <v>2011</v>
      </c>
      <c r="N438" t="s">
        <v>1869</v>
      </c>
      <c r="O438" t="s">
        <v>1648</v>
      </c>
      <c r="P438" t="s">
        <v>1645</v>
      </c>
      <c r="Q438" t="s">
        <v>1644</v>
      </c>
      <c r="R438" t="s">
        <v>1644</v>
      </c>
      <c r="S438" t="s">
        <v>1644</v>
      </c>
      <c r="T438" t="s">
        <v>1644</v>
      </c>
      <c r="U438" t="s">
        <v>1645</v>
      </c>
    </row>
    <row r="439" spans="1:21" x14ac:dyDescent="0.2">
      <c r="A439" t="s">
        <v>1778</v>
      </c>
      <c r="B439" t="s">
        <v>1666</v>
      </c>
      <c r="C439" t="s">
        <v>1642</v>
      </c>
      <c r="D439" t="s">
        <v>1643</v>
      </c>
      <c r="E439" t="s">
        <v>1644</v>
      </c>
      <c r="F439" t="s">
        <v>1644</v>
      </c>
      <c r="G439" t="s">
        <v>1645</v>
      </c>
      <c r="H439" t="s">
        <v>1645</v>
      </c>
      <c r="I439" t="s">
        <v>1645</v>
      </c>
      <c r="J439" t="s">
        <v>1645</v>
      </c>
      <c r="K439" t="s">
        <v>1645</v>
      </c>
      <c r="L439" t="s">
        <v>2010</v>
      </c>
      <c r="M439" t="s">
        <v>2011</v>
      </c>
      <c r="N439" t="s">
        <v>1869</v>
      </c>
      <c r="O439" t="s">
        <v>1648</v>
      </c>
      <c r="P439" t="s">
        <v>1645</v>
      </c>
      <c r="Q439" t="s">
        <v>1644</v>
      </c>
      <c r="R439" t="s">
        <v>1644</v>
      </c>
      <c r="S439" t="s">
        <v>1644</v>
      </c>
      <c r="T439" t="s">
        <v>1644</v>
      </c>
      <c r="U439" t="s">
        <v>1645</v>
      </c>
    </row>
    <row r="440" spans="1:21" x14ac:dyDescent="0.2">
      <c r="A440" t="s">
        <v>1773</v>
      </c>
      <c r="B440" t="s">
        <v>1749</v>
      </c>
      <c r="C440" t="s">
        <v>1746</v>
      </c>
      <c r="D440" t="s">
        <v>1643</v>
      </c>
      <c r="E440" t="s">
        <v>1644</v>
      </c>
      <c r="F440" t="s">
        <v>1644</v>
      </c>
      <c r="G440" t="s">
        <v>1645</v>
      </c>
      <c r="H440" t="s">
        <v>1645</v>
      </c>
      <c r="I440" t="s">
        <v>1645</v>
      </c>
      <c r="J440" t="s">
        <v>1645</v>
      </c>
      <c r="K440" t="s">
        <v>1645</v>
      </c>
      <c r="L440" t="s">
        <v>2012</v>
      </c>
      <c r="M440" t="s">
        <v>2013</v>
      </c>
      <c r="N440" t="s">
        <v>1869</v>
      </c>
      <c r="O440" t="s">
        <v>1648</v>
      </c>
      <c r="P440" t="s">
        <v>1645</v>
      </c>
      <c r="Q440" t="s">
        <v>1644</v>
      </c>
      <c r="R440" t="s">
        <v>1644</v>
      </c>
      <c r="S440" t="s">
        <v>1644</v>
      </c>
      <c r="T440" t="s">
        <v>1644</v>
      </c>
      <c r="U440" t="s">
        <v>1645</v>
      </c>
    </row>
    <row r="441" spans="1:21" x14ac:dyDescent="0.2">
      <c r="A441" t="s">
        <v>1777</v>
      </c>
      <c r="B441" t="s">
        <v>1668</v>
      </c>
      <c r="C441" t="s">
        <v>1642</v>
      </c>
      <c r="D441" t="s">
        <v>1643</v>
      </c>
      <c r="E441" t="s">
        <v>1644</v>
      </c>
      <c r="F441" t="s">
        <v>1644</v>
      </c>
      <c r="G441" t="s">
        <v>1645</v>
      </c>
      <c r="H441" t="s">
        <v>1645</v>
      </c>
      <c r="I441" t="s">
        <v>1645</v>
      </c>
      <c r="J441" t="s">
        <v>1645</v>
      </c>
      <c r="K441" t="s">
        <v>1645</v>
      </c>
      <c r="L441" t="s">
        <v>2012</v>
      </c>
      <c r="M441" t="s">
        <v>2013</v>
      </c>
      <c r="N441" t="s">
        <v>1869</v>
      </c>
      <c r="O441" t="s">
        <v>1648</v>
      </c>
      <c r="P441" t="s">
        <v>1645</v>
      </c>
      <c r="Q441" t="s">
        <v>1644</v>
      </c>
      <c r="R441" t="s">
        <v>1644</v>
      </c>
      <c r="S441" t="s">
        <v>1644</v>
      </c>
      <c r="T441" t="s">
        <v>1644</v>
      </c>
      <c r="U441" t="s">
        <v>1645</v>
      </c>
    </row>
    <row r="442" spans="1:21" x14ac:dyDescent="0.2">
      <c r="A442" t="s">
        <v>1778</v>
      </c>
      <c r="B442" t="s">
        <v>1670</v>
      </c>
      <c r="C442" t="s">
        <v>1642</v>
      </c>
      <c r="D442" t="s">
        <v>1643</v>
      </c>
      <c r="E442" t="s">
        <v>1644</v>
      </c>
      <c r="F442" t="s">
        <v>1644</v>
      </c>
      <c r="G442" t="s">
        <v>1645</v>
      </c>
      <c r="H442" t="s">
        <v>1645</v>
      </c>
      <c r="I442" t="s">
        <v>1645</v>
      </c>
      <c r="J442" t="s">
        <v>1645</v>
      </c>
      <c r="K442" t="s">
        <v>1645</v>
      </c>
      <c r="L442" t="s">
        <v>2012</v>
      </c>
      <c r="M442" t="s">
        <v>2013</v>
      </c>
      <c r="N442" t="s">
        <v>1869</v>
      </c>
      <c r="O442" t="s">
        <v>1648</v>
      </c>
      <c r="P442" t="s">
        <v>1645</v>
      </c>
      <c r="Q442" t="s">
        <v>1644</v>
      </c>
      <c r="R442" t="s">
        <v>1644</v>
      </c>
      <c r="S442" t="s">
        <v>1644</v>
      </c>
      <c r="T442" t="s">
        <v>1644</v>
      </c>
      <c r="U442" t="s">
        <v>1645</v>
      </c>
    </row>
    <row r="443" spans="1:21" x14ac:dyDescent="0.2">
      <c r="A443" t="s">
        <v>1773</v>
      </c>
      <c r="B443" t="s">
        <v>1749</v>
      </c>
      <c r="C443" t="s">
        <v>1746</v>
      </c>
      <c r="D443" t="s">
        <v>1643</v>
      </c>
      <c r="E443" t="s">
        <v>1644</v>
      </c>
      <c r="F443" t="s">
        <v>1644</v>
      </c>
      <c r="G443" t="s">
        <v>1645</v>
      </c>
      <c r="H443" t="s">
        <v>1645</v>
      </c>
      <c r="I443" t="s">
        <v>1645</v>
      </c>
      <c r="J443" t="s">
        <v>1645</v>
      </c>
      <c r="K443" t="s">
        <v>1645</v>
      </c>
      <c r="L443" t="s">
        <v>1874</v>
      </c>
      <c r="M443" t="s">
        <v>1875</v>
      </c>
      <c r="N443" t="s">
        <v>1876</v>
      </c>
      <c r="O443" t="s">
        <v>1648</v>
      </c>
      <c r="P443" t="s">
        <v>1645</v>
      </c>
      <c r="Q443" t="s">
        <v>1644</v>
      </c>
      <c r="R443" t="s">
        <v>1644</v>
      </c>
      <c r="S443" t="s">
        <v>1644</v>
      </c>
      <c r="T443" t="s">
        <v>1644</v>
      </c>
      <c r="U443" t="s">
        <v>1645</v>
      </c>
    </row>
    <row r="444" spans="1:21" x14ac:dyDescent="0.2">
      <c r="A444" t="s">
        <v>1777</v>
      </c>
      <c r="B444" t="s">
        <v>1660</v>
      </c>
      <c r="C444" t="s">
        <v>1642</v>
      </c>
      <c r="D444" t="s">
        <v>1643</v>
      </c>
      <c r="E444" t="s">
        <v>1644</v>
      </c>
      <c r="F444" t="s">
        <v>1644</v>
      </c>
      <c r="G444" t="s">
        <v>1645</v>
      </c>
      <c r="H444" t="s">
        <v>1645</v>
      </c>
      <c r="I444" t="s">
        <v>1645</v>
      </c>
      <c r="J444" t="s">
        <v>1645</v>
      </c>
      <c r="K444" t="s">
        <v>1645</v>
      </c>
      <c r="L444" t="s">
        <v>1874</v>
      </c>
      <c r="M444" t="s">
        <v>1875</v>
      </c>
      <c r="N444" t="s">
        <v>1876</v>
      </c>
      <c r="O444" t="s">
        <v>1648</v>
      </c>
      <c r="P444" t="s">
        <v>1645</v>
      </c>
      <c r="Q444" t="s">
        <v>1644</v>
      </c>
      <c r="R444" t="s">
        <v>1644</v>
      </c>
      <c r="S444" t="s">
        <v>1644</v>
      </c>
      <c r="T444" t="s">
        <v>1644</v>
      </c>
      <c r="U444" t="s">
        <v>1645</v>
      </c>
    </row>
    <row r="445" spans="1:21" x14ac:dyDescent="0.2">
      <c r="A445" t="s">
        <v>1778</v>
      </c>
      <c r="B445" t="s">
        <v>1662</v>
      </c>
      <c r="C445" t="s">
        <v>1642</v>
      </c>
      <c r="D445" t="s">
        <v>1643</v>
      </c>
      <c r="E445" t="s">
        <v>1644</v>
      </c>
      <c r="F445" t="s">
        <v>1644</v>
      </c>
      <c r="G445" t="s">
        <v>1645</v>
      </c>
      <c r="H445" t="s">
        <v>1645</v>
      </c>
      <c r="I445" t="s">
        <v>1645</v>
      </c>
      <c r="J445" t="s">
        <v>1645</v>
      </c>
      <c r="K445" t="s">
        <v>1645</v>
      </c>
      <c r="L445" t="s">
        <v>1874</v>
      </c>
      <c r="M445" t="s">
        <v>1875</v>
      </c>
      <c r="N445" t="s">
        <v>1876</v>
      </c>
      <c r="O445" t="s">
        <v>1648</v>
      </c>
      <c r="P445" t="s">
        <v>1645</v>
      </c>
      <c r="Q445" t="s">
        <v>1644</v>
      </c>
      <c r="R445" t="s">
        <v>1644</v>
      </c>
      <c r="S445" t="s">
        <v>1644</v>
      </c>
      <c r="T445" t="s">
        <v>1644</v>
      </c>
      <c r="U445" t="s">
        <v>1645</v>
      </c>
    </row>
    <row r="446" spans="1:21" x14ac:dyDescent="0.2">
      <c r="A446" t="s">
        <v>1798</v>
      </c>
      <c r="B446" t="s">
        <v>1664</v>
      </c>
      <c r="C446" t="s">
        <v>1642</v>
      </c>
      <c r="D446" t="s">
        <v>1643</v>
      </c>
      <c r="E446" t="s">
        <v>1644</v>
      </c>
      <c r="F446" t="s">
        <v>1644</v>
      </c>
      <c r="G446" t="s">
        <v>1645</v>
      </c>
      <c r="H446" t="s">
        <v>1645</v>
      </c>
      <c r="I446" t="s">
        <v>1645</v>
      </c>
      <c r="J446" t="s">
        <v>1645</v>
      </c>
      <c r="K446" t="s">
        <v>1645</v>
      </c>
      <c r="L446" t="s">
        <v>1874</v>
      </c>
      <c r="M446" t="s">
        <v>1875</v>
      </c>
      <c r="N446" t="s">
        <v>1876</v>
      </c>
      <c r="O446" t="s">
        <v>1648</v>
      </c>
      <c r="P446" t="s">
        <v>1645</v>
      </c>
      <c r="Q446" t="s">
        <v>1644</v>
      </c>
      <c r="R446" t="s">
        <v>1644</v>
      </c>
      <c r="S446" t="s">
        <v>1644</v>
      </c>
      <c r="T446" t="s">
        <v>1644</v>
      </c>
      <c r="U446" t="s">
        <v>1645</v>
      </c>
    </row>
    <row r="447" spans="1:21" x14ac:dyDescent="0.2">
      <c r="A447" t="s">
        <v>1799</v>
      </c>
      <c r="B447" t="s">
        <v>1666</v>
      </c>
      <c r="C447" t="s">
        <v>1642</v>
      </c>
      <c r="D447" t="s">
        <v>1643</v>
      </c>
      <c r="E447" t="s">
        <v>1644</v>
      </c>
      <c r="F447" t="s">
        <v>1644</v>
      </c>
      <c r="G447" t="s">
        <v>1645</v>
      </c>
      <c r="H447" t="s">
        <v>1645</v>
      </c>
      <c r="I447" t="s">
        <v>1645</v>
      </c>
      <c r="J447" t="s">
        <v>1645</v>
      </c>
      <c r="K447" t="s">
        <v>1645</v>
      </c>
      <c r="L447" t="s">
        <v>1874</v>
      </c>
      <c r="M447" t="s">
        <v>1875</v>
      </c>
      <c r="N447" t="s">
        <v>1876</v>
      </c>
      <c r="O447" t="s">
        <v>1648</v>
      </c>
      <c r="P447" t="s">
        <v>1645</v>
      </c>
      <c r="Q447" t="s">
        <v>1644</v>
      </c>
      <c r="R447" t="s">
        <v>1644</v>
      </c>
      <c r="S447" t="s">
        <v>1644</v>
      </c>
      <c r="T447" t="s">
        <v>1644</v>
      </c>
      <c r="U447" t="s">
        <v>1645</v>
      </c>
    </row>
    <row r="448" spans="1:21" x14ac:dyDescent="0.2">
      <c r="A448" t="s">
        <v>1773</v>
      </c>
      <c r="B448" t="s">
        <v>1749</v>
      </c>
      <c r="C448" t="s">
        <v>1746</v>
      </c>
      <c r="D448" t="s">
        <v>1643</v>
      </c>
      <c r="E448" t="s">
        <v>1644</v>
      </c>
      <c r="F448" t="s">
        <v>1644</v>
      </c>
      <c r="G448" t="s">
        <v>1645</v>
      </c>
      <c r="H448" t="s">
        <v>1645</v>
      </c>
      <c r="I448" t="s">
        <v>1645</v>
      </c>
      <c r="J448" t="s">
        <v>1645</v>
      </c>
      <c r="K448" t="s">
        <v>1645</v>
      </c>
      <c r="L448" t="s">
        <v>1877</v>
      </c>
      <c r="M448" t="s">
        <v>1878</v>
      </c>
      <c r="N448" t="s">
        <v>1876</v>
      </c>
      <c r="O448" t="s">
        <v>1648</v>
      </c>
      <c r="P448" t="s">
        <v>1645</v>
      </c>
      <c r="Q448" t="s">
        <v>1644</v>
      </c>
      <c r="R448" t="s">
        <v>1644</v>
      </c>
      <c r="S448" t="s">
        <v>1644</v>
      </c>
      <c r="T448" t="s">
        <v>1644</v>
      </c>
      <c r="U448" t="s">
        <v>1645</v>
      </c>
    </row>
    <row r="449" spans="1:21" x14ac:dyDescent="0.2">
      <c r="A449" t="s">
        <v>1777</v>
      </c>
      <c r="B449" t="s">
        <v>1689</v>
      </c>
      <c r="C449" t="s">
        <v>1642</v>
      </c>
      <c r="D449" t="s">
        <v>1643</v>
      </c>
      <c r="E449" t="s">
        <v>1644</v>
      </c>
      <c r="F449" t="s">
        <v>1644</v>
      </c>
      <c r="G449" t="s">
        <v>1645</v>
      </c>
      <c r="H449" t="s">
        <v>1645</v>
      </c>
      <c r="I449" t="s">
        <v>1645</v>
      </c>
      <c r="J449" t="s">
        <v>1645</v>
      </c>
      <c r="K449" t="s">
        <v>1645</v>
      </c>
      <c r="L449" t="s">
        <v>1877</v>
      </c>
      <c r="M449" t="s">
        <v>1878</v>
      </c>
      <c r="N449" t="s">
        <v>1876</v>
      </c>
      <c r="O449" t="s">
        <v>1648</v>
      </c>
      <c r="P449" t="s">
        <v>1645</v>
      </c>
      <c r="Q449" t="s">
        <v>1644</v>
      </c>
      <c r="R449" t="s">
        <v>1644</v>
      </c>
      <c r="S449" t="s">
        <v>1644</v>
      </c>
      <c r="T449" t="s">
        <v>1644</v>
      </c>
      <c r="U449" t="s">
        <v>1645</v>
      </c>
    </row>
    <row r="450" spans="1:21" x14ac:dyDescent="0.2">
      <c r="A450" t="s">
        <v>1778</v>
      </c>
      <c r="B450" t="s">
        <v>1691</v>
      </c>
      <c r="C450" t="s">
        <v>1642</v>
      </c>
      <c r="D450" t="s">
        <v>1643</v>
      </c>
      <c r="E450" t="s">
        <v>1644</v>
      </c>
      <c r="F450" t="s">
        <v>1644</v>
      </c>
      <c r="G450" t="s">
        <v>1645</v>
      </c>
      <c r="H450" t="s">
        <v>1645</v>
      </c>
      <c r="I450" t="s">
        <v>1645</v>
      </c>
      <c r="J450" t="s">
        <v>1645</v>
      </c>
      <c r="K450" t="s">
        <v>1645</v>
      </c>
      <c r="L450" t="s">
        <v>1877</v>
      </c>
      <c r="M450" t="s">
        <v>1878</v>
      </c>
      <c r="N450" t="s">
        <v>1876</v>
      </c>
      <c r="O450" t="s">
        <v>1648</v>
      </c>
      <c r="P450" t="s">
        <v>1645</v>
      </c>
      <c r="Q450" t="s">
        <v>1644</v>
      </c>
      <c r="R450" t="s">
        <v>1644</v>
      </c>
      <c r="S450" t="s">
        <v>1644</v>
      </c>
      <c r="T450" t="s">
        <v>1644</v>
      </c>
      <c r="U450" t="s">
        <v>1645</v>
      </c>
    </row>
    <row r="451" spans="1:21" x14ac:dyDescent="0.2">
      <c r="A451" t="s">
        <v>1773</v>
      </c>
      <c r="B451" t="s">
        <v>1749</v>
      </c>
      <c r="C451" t="s">
        <v>1746</v>
      </c>
      <c r="D451" t="s">
        <v>1643</v>
      </c>
      <c r="E451" t="s">
        <v>1644</v>
      </c>
      <c r="F451" t="s">
        <v>1644</v>
      </c>
      <c r="G451" t="s">
        <v>1645</v>
      </c>
      <c r="H451" t="s">
        <v>1645</v>
      </c>
      <c r="I451" t="s">
        <v>1645</v>
      </c>
      <c r="J451" t="s">
        <v>1645</v>
      </c>
      <c r="K451" t="s">
        <v>1645</v>
      </c>
      <c r="L451" t="s">
        <v>1879</v>
      </c>
      <c r="M451" t="s">
        <v>1880</v>
      </c>
      <c r="N451" t="s">
        <v>1876</v>
      </c>
      <c r="O451" t="s">
        <v>1648</v>
      </c>
      <c r="P451" t="s">
        <v>1645</v>
      </c>
      <c r="Q451" t="s">
        <v>1644</v>
      </c>
      <c r="R451" t="s">
        <v>1644</v>
      </c>
      <c r="S451" t="s">
        <v>1644</v>
      </c>
      <c r="T451" t="s">
        <v>1644</v>
      </c>
      <c r="U451" t="s">
        <v>1645</v>
      </c>
    </row>
    <row r="452" spans="1:21" x14ac:dyDescent="0.2">
      <c r="A452" t="s">
        <v>1777</v>
      </c>
      <c r="B452" t="s">
        <v>2062</v>
      </c>
      <c r="C452" t="s">
        <v>1642</v>
      </c>
      <c r="D452" t="s">
        <v>1643</v>
      </c>
      <c r="E452" t="s">
        <v>1644</v>
      </c>
      <c r="F452" t="s">
        <v>1644</v>
      </c>
      <c r="G452" t="s">
        <v>1645</v>
      </c>
      <c r="H452" t="s">
        <v>1645</v>
      </c>
      <c r="I452" t="s">
        <v>1645</v>
      </c>
      <c r="J452" t="s">
        <v>1645</v>
      </c>
      <c r="K452" t="s">
        <v>1645</v>
      </c>
      <c r="L452" t="s">
        <v>1879</v>
      </c>
      <c r="M452" t="s">
        <v>1880</v>
      </c>
      <c r="N452" t="s">
        <v>1876</v>
      </c>
      <c r="O452" t="s">
        <v>1648</v>
      </c>
      <c r="P452" t="s">
        <v>1645</v>
      </c>
      <c r="Q452" t="s">
        <v>1644</v>
      </c>
      <c r="R452" t="s">
        <v>1644</v>
      </c>
      <c r="S452" t="s">
        <v>1644</v>
      </c>
      <c r="T452" t="s">
        <v>1644</v>
      </c>
      <c r="U452" t="s">
        <v>1645</v>
      </c>
    </row>
    <row r="453" spans="1:21" x14ac:dyDescent="0.2">
      <c r="A453" t="s">
        <v>1778</v>
      </c>
      <c r="B453" t="s">
        <v>2063</v>
      </c>
      <c r="C453" t="s">
        <v>1642</v>
      </c>
      <c r="D453" t="s">
        <v>1643</v>
      </c>
      <c r="E453" t="s">
        <v>1644</v>
      </c>
      <c r="F453" t="s">
        <v>1644</v>
      </c>
      <c r="G453" t="s">
        <v>1645</v>
      </c>
      <c r="H453" t="s">
        <v>1645</v>
      </c>
      <c r="I453" t="s">
        <v>1645</v>
      </c>
      <c r="J453" t="s">
        <v>1645</v>
      </c>
      <c r="K453" t="s">
        <v>1645</v>
      </c>
      <c r="L453" t="s">
        <v>1879</v>
      </c>
      <c r="M453" t="s">
        <v>1880</v>
      </c>
      <c r="N453" t="s">
        <v>1876</v>
      </c>
      <c r="O453" t="s">
        <v>1648</v>
      </c>
      <c r="P453" t="s">
        <v>1645</v>
      </c>
      <c r="Q453" t="s">
        <v>1644</v>
      </c>
      <c r="R453" t="s">
        <v>1644</v>
      </c>
      <c r="S453" t="s">
        <v>1644</v>
      </c>
      <c r="T453" t="s">
        <v>1644</v>
      </c>
      <c r="U453" t="s">
        <v>1645</v>
      </c>
    </row>
    <row r="454" spans="1:21" x14ac:dyDescent="0.2">
      <c r="A454" t="s">
        <v>1773</v>
      </c>
      <c r="B454" t="s">
        <v>1749</v>
      </c>
      <c r="C454" t="s">
        <v>1746</v>
      </c>
      <c r="D454" t="s">
        <v>1643</v>
      </c>
      <c r="E454" t="s">
        <v>1644</v>
      </c>
      <c r="F454" t="s">
        <v>1644</v>
      </c>
      <c r="G454" t="s">
        <v>1645</v>
      </c>
      <c r="H454" t="s">
        <v>1645</v>
      </c>
      <c r="I454" t="s">
        <v>1645</v>
      </c>
      <c r="J454" t="s">
        <v>1645</v>
      </c>
      <c r="K454" t="s">
        <v>1645</v>
      </c>
      <c r="L454" t="s">
        <v>2014</v>
      </c>
      <c r="M454" t="s">
        <v>2015</v>
      </c>
      <c r="N454" t="s">
        <v>1876</v>
      </c>
      <c r="O454" t="s">
        <v>1648</v>
      </c>
      <c r="P454" t="s">
        <v>1645</v>
      </c>
      <c r="Q454" t="s">
        <v>1644</v>
      </c>
      <c r="R454" t="s">
        <v>1644</v>
      </c>
      <c r="S454" t="s">
        <v>1644</v>
      </c>
      <c r="T454" t="s">
        <v>1644</v>
      </c>
      <c r="U454" t="s">
        <v>1645</v>
      </c>
    </row>
    <row r="455" spans="1:21" x14ac:dyDescent="0.2">
      <c r="A455" t="s">
        <v>1777</v>
      </c>
      <c r="B455" t="s">
        <v>1703</v>
      </c>
      <c r="C455" t="s">
        <v>1642</v>
      </c>
      <c r="D455" t="s">
        <v>1643</v>
      </c>
      <c r="E455" t="s">
        <v>1644</v>
      </c>
      <c r="F455" t="s">
        <v>1644</v>
      </c>
      <c r="G455" t="s">
        <v>1645</v>
      </c>
      <c r="H455" t="s">
        <v>1645</v>
      </c>
      <c r="I455" t="s">
        <v>1645</v>
      </c>
      <c r="J455" t="s">
        <v>1645</v>
      </c>
      <c r="K455" t="s">
        <v>1645</v>
      </c>
      <c r="L455" t="s">
        <v>2014</v>
      </c>
      <c r="M455" t="s">
        <v>2015</v>
      </c>
      <c r="N455" t="s">
        <v>1876</v>
      </c>
      <c r="O455" t="s">
        <v>1648</v>
      </c>
      <c r="P455" t="s">
        <v>1645</v>
      </c>
      <c r="Q455" t="s">
        <v>1644</v>
      </c>
      <c r="R455" t="s">
        <v>1644</v>
      </c>
      <c r="S455" t="s">
        <v>1644</v>
      </c>
      <c r="T455" t="s">
        <v>1644</v>
      </c>
      <c r="U455" t="s">
        <v>1645</v>
      </c>
    </row>
    <row r="456" spans="1:21" x14ac:dyDescent="0.2">
      <c r="A456" t="s">
        <v>1778</v>
      </c>
      <c r="B456" t="s">
        <v>1705</v>
      </c>
      <c r="C456" t="s">
        <v>1642</v>
      </c>
      <c r="D456" t="s">
        <v>1643</v>
      </c>
      <c r="E456" t="s">
        <v>1644</v>
      </c>
      <c r="F456" t="s">
        <v>1644</v>
      </c>
      <c r="G456" t="s">
        <v>1645</v>
      </c>
      <c r="H456" t="s">
        <v>1645</v>
      </c>
      <c r="I456" t="s">
        <v>1645</v>
      </c>
      <c r="J456" t="s">
        <v>1645</v>
      </c>
      <c r="K456" t="s">
        <v>1645</v>
      </c>
      <c r="L456" t="s">
        <v>2014</v>
      </c>
      <c r="M456" t="s">
        <v>2015</v>
      </c>
      <c r="N456" t="s">
        <v>1876</v>
      </c>
      <c r="O456" t="s">
        <v>1648</v>
      </c>
      <c r="P456" t="s">
        <v>1645</v>
      </c>
      <c r="Q456" t="s">
        <v>1644</v>
      </c>
      <c r="R456" t="s">
        <v>1644</v>
      </c>
      <c r="S456" t="s">
        <v>1644</v>
      </c>
      <c r="T456" t="s">
        <v>1644</v>
      </c>
      <c r="U456" t="s">
        <v>1645</v>
      </c>
    </row>
    <row r="457" spans="1:21" x14ac:dyDescent="0.2">
      <c r="A457" t="s">
        <v>1773</v>
      </c>
      <c r="B457" t="s">
        <v>1749</v>
      </c>
      <c r="C457" t="s">
        <v>1746</v>
      </c>
      <c r="D457" t="s">
        <v>1643</v>
      </c>
      <c r="E457" t="s">
        <v>1644</v>
      </c>
      <c r="F457" t="s">
        <v>1644</v>
      </c>
      <c r="G457" t="s">
        <v>1645</v>
      </c>
      <c r="H457" t="s">
        <v>1645</v>
      </c>
      <c r="I457" t="s">
        <v>1645</v>
      </c>
      <c r="J457" t="s">
        <v>1645</v>
      </c>
      <c r="K457" t="s">
        <v>1645</v>
      </c>
      <c r="L457" t="s">
        <v>2016</v>
      </c>
      <c r="M457" t="s">
        <v>2017</v>
      </c>
      <c r="N457" t="s">
        <v>1876</v>
      </c>
      <c r="O457" t="s">
        <v>1648</v>
      </c>
      <c r="P457" t="s">
        <v>1645</v>
      </c>
      <c r="Q457" t="s">
        <v>1644</v>
      </c>
      <c r="R457" t="s">
        <v>1644</v>
      </c>
      <c r="S457" t="s">
        <v>1644</v>
      </c>
      <c r="T457" t="s">
        <v>1644</v>
      </c>
      <c r="U457" t="s">
        <v>1645</v>
      </c>
    </row>
    <row r="458" spans="1:21" x14ac:dyDescent="0.2">
      <c r="A458" t="s">
        <v>1777</v>
      </c>
      <c r="B458" t="s">
        <v>1664</v>
      </c>
      <c r="C458" t="s">
        <v>1642</v>
      </c>
      <c r="D458" t="s">
        <v>1643</v>
      </c>
      <c r="E458" t="s">
        <v>1644</v>
      </c>
      <c r="F458" t="s">
        <v>1644</v>
      </c>
      <c r="G458" t="s">
        <v>1645</v>
      </c>
      <c r="H458" t="s">
        <v>1645</v>
      </c>
      <c r="I458" t="s">
        <v>1645</v>
      </c>
      <c r="J458" t="s">
        <v>1645</v>
      </c>
      <c r="K458" t="s">
        <v>1645</v>
      </c>
      <c r="L458" t="s">
        <v>2016</v>
      </c>
      <c r="M458" t="s">
        <v>2017</v>
      </c>
      <c r="N458" t="s">
        <v>1876</v>
      </c>
      <c r="O458" t="s">
        <v>1648</v>
      </c>
      <c r="P458" t="s">
        <v>1645</v>
      </c>
      <c r="Q458" t="s">
        <v>1644</v>
      </c>
      <c r="R458" t="s">
        <v>1644</v>
      </c>
      <c r="S458" t="s">
        <v>1644</v>
      </c>
      <c r="T458" t="s">
        <v>1644</v>
      </c>
      <c r="U458" t="s">
        <v>1645</v>
      </c>
    </row>
    <row r="459" spans="1:21" x14ac:dyDescent="0.2">
      <c r="A459" t="s">
        <v>1778</v>
      </c>
      <c r="B459" t="s">
        <v>1666</v>
      </c>
      <c r="C459" t="s">
        <v>1642</v>
      </c>
      <c r="D459" t="s">
        <v>1643</v>
      </c>
      <c r="E459" t="s">
        <v>1644</v>
      </c>
      <c r="F459" t="s">
        <v>1644</v>
      </c>
      <c r="G459" t="s">
        <v>1645</v>
      </c>
      <c r="H459" t="s">
        <v>1645</v>
      </c>
      <c r="I459" t="s">
        <v>1645</v>
      </c>
      <c r="J459" t="s">
        <v>1645</v>
      </c>
      <c r="K459" t="s">
        <v>1645</v>
      </c>
      <c r="L459" t="s">
        <v>2016</v>
      </c>
      <c r="M459" t="s">
        <v>2017</v>
      </c>
      <c r="N459" t="s">
        <v>1876</v>
      </c>
      <c r="O459" t="s">
        <v>1648</v>
      </c>
      <c r="P459" t="s">
        <v>1645</v>
      </c>
      <c r="Q459" t="s">
        <v>1644</v>
      </c>
      <c r="R459" t="s">
        <v>1644</v>
      </c>
      <c r="S459" t="s">
        <v>1644</v>
      </c>
      <c r="T459" t="s">
        <v>1644</v>
      </c>
      <c r="U459" t="s">
        <v>1645</v>
      </c>
    </row>
    <row r="460" spans="1:21" x14ac:dyDescent="0.2">
      <c r="A460" t="s">
        <v>1773</v>
      </c>
      <c r="B460" t="s">
        <v>1749</v>
      </c>
      <c r="C460" t="s">
        <v>1746</v>
      </c>
      <c r="D460" t="s">
        <v>1643</v>
      </c>
      <c r="E460" t="s">
        <v>1644</v>
      </c>
      <c r="F460" t="s">
        <v>1644</v>
      </c>
      <c r="G460" t="s">
        <v>1645</v>
      </c>
      <c r="H460" t="s">
        <v>1645</v>
      </c>
      <c r="I460" t="s">
        <v>1645</v>
      </c>
      <c r="J460" t="s">
        <v>1645</v>
      </c>
      <c r="K460" t="s">
        <v>1645</v>
      </c>
      <c r="L460" t="s">
        <v>2018</v>
      </c>
      <c r="M460" t="s">
        <v>2019</v>
      </c>
      <c r="N460" t="s">
        <v>1876</v>
      </c>
      <c r="O460" t="s">
        <v>1648</v>
      </c>
      <c r="P460" t="s">
        <v>1645</v>
      </c>
      <c r="Q460" t="s">
        <v>1644</v>
      </c>
      <c r="R460" t="s">
        <v>1644</v>
      </c>
      <c r="S460" t="s">
        <v>1644</v>
      </c>
      <c r="T460" t="s">
        <v>1644</v>
      </c>
      <c r="U460" t="s">
        <v>1645</v>
      </c>
    </row>
    <row r="461" spans="1:21" x14ac:dyDescent="0.2">
      <c r="A461" t="s">
        <v>1777</v>
      </c>
      <c r="B461" t="s">
        <v>1668</v>
      </c>
      <c r="C461" t="s">
        <v>1642</v>
      </c>
      <c r="D461" t="s">
        <v>1643</v>
      </c>
      <c r="E461" t="s">
        <v>1644</v>
      </c>
      <c r="F461" t="s">
        <v>1644</v>
      </c>
      <c r="G461" t="s">
        <v>1645</v>
      </c>
      <c r="H461" t="s">
        <v>1645</v>
      </c>
      <c r="I461" t="s">
        <v>1645</v>
      </c>
      <c r="J461" t="s">
        <v>1645</v>
      </c>
      <c r="K461" t="s">
        <v>1645</v>
      </c>
      <c r="L461" t="s">
        <v>2018</v>
      </c>
      <c r="M461" t="s">
        <v>2019</v>
      </c>
      <c r="N461" t="s">
        <v>1876</v>
      </c>
      <c r="O461" t="s">
        <v>1648</v>
      </c>
      <c r="P461" t="s">
        <v>1645</v>
      </c>
      <c r="Q461" t="s">
        <v>1644</v>
      </c>
      <c r="R461" t="s">
        <v>1644</v>
      </c>
      <c r="S461" t="s">
        <v>1644</v>
      </c>
      <c r="T461" t="s">
        <v>1644</v>
      </c>
      <c r="U461" t="s">
        <v>1645</v>
      </c>
    </row>
    <row r="462" spans="1:21" x14ac:dyDescent="0.2">
      <c r="A462" t="s">
        <v>1778</v>
      </c>
      <c r="B462" t="s">
        <v>1670</v>
      </c>
      <c r="C462" t="s">
        <v>1642</v>
      </c>
      <c r="D462" t="s">
        <v>1643</v>
      </c>
      <c r="E462" t="s">
        <v>1644</v>
      </c>
      <c r="F462" t="s">
        <v>1644</v>
      </c>
      <c r="G462" t="s">
        <v>1645</v>
      </c>
      <c r="H462" t="s">
        <v>1645</v>
      </c>
      <c r="I462" t="s">
        <v>1645</v>
      </c>
      <c r="J462" t="s">
        <v>1645</v>
      </c>
      <c r="K462" t="s">
        <v>1645</v>
      </c>
      <c r="L462" t="s">
        <v>2018</v>
      </c>
      <c r="M462" t="s">
        <v>2019</v>
      </c>
      <c r="N462" t="s">
        <v>1876</v>
      </c>
      <c r="O462" t="s">
        <v>1648</v>
      </c>
      <c r="P462" t="s">
        <v>1645</v>
      </c>
      <c r="Q462" t="s">
        <v>1644</v>
      </c>
      <c r="R462" t="s">
        <v>1644</v>
      </c>
      <c r="S462" t="s">
        <v>1644</v>
      </c>
      <c r="T462" t="s">
        <v>1644</v>
      </c>
      <c r="U462" t="s">
        <v>1645</v>
      </c>
    </row>
    <row r="463" spans="1:21" x14ac:dyDescent="0.2">
      <c r="A463" t="s">
        <v>1773</v>
      </c>
      <c r="B463" t="s">
        <v>1749</v>
      </c>
      <c r="C463" t="s">
        <v>1746</v>
      </c>
      <c r="D463" t="s">
        <v>1643</v>
      </c>
      <c r="E463" t="s">
        <v>1644</v>
      </c>
      <c r="F463" t="s">
        <v>1644</v>
      </c>
      <c r="G463" t="s">
        <v>1645</v>
      </c>
      <c r="H463" t="s">
        <v>1645</v>
      </c>
      <c r="I463" t="s">
        <v>1645</v>
      </c>
      <c r="J463" t="s">
        <v>1645</v>
      </c>
      <c r="K463" t="s">
        <v>1645</v>
      </c>
      <c r="L463" t="s">
        <v>1881</v>
      </c>
      <c r="M463" t="s">
        <v>1882</v>
      </c>
      <c r="N463" t="s">
        <v>1883</v>
      </c>
      <c r="O463" t="s">
        <v>1648</v>
      </c>
      <c r="P463" t="s">
        <v>1645</v>
      </c>
      <c r="Q463" t="s">
        <v>1644</v>
      </c>
      <c r="R463" t="s">
        <v>1644</v>
      </c>
      <c r="S463" t="s">
        <v>1644</v>
      </c>
      <c r="T463" t="s">
        <v>1644</v>
      </c>
      <c r="U463" t="s">
        <v>1645</v>
      </c>
    </row>
    <row r="464" spans="1:21" x14ac:dyDescent="0.2">
      <c r="A464" t="s">
        <v>1777</v>
      </c>
      <c r="B464" t="s">
        <v>1660</v>
      </c>
      <c r="C464" t="s">
        <v>1642</v>
      </c>
      <c r="D464" t="s">
        <v>1643</v>
      </c>
      <c r="E464" t="s">
        <v>1644</v>
      </c>
      <c r="F464" t="s">
        <v>1644</v>
      </c>
      <c r="G464" t="s">
        <v>1645</v>
      </c>
      <c r="H464" t="s">
        <v>1645</v>
      </c>
      <c r="I464" t="s">
        <v>1645</v>
      </c>
      <c r="J464" t="s">
        <v>1645</v>
      </c>
      <c r="K464" t="s">
        <v>1645</v>
      </c>
      <c r="L464" t="s">
        <v>1881</v>
      </c>
      <c r="M464" t="s">
        <v>1882</v>
      </c>
      <c r="N464" t="s">
        <v>1883</v>
      </c>
      <c r="O464" t="s">
        <v>1648</v>
      </c>
      <c r="P464" t="s">
        <v>1645</v>
      </c>
      <c r="Q464" t="s">
        <v>1644</v>
      </c>
      <c r="R464" t="s">
        <v>1644</v>
      </c>
      <c r="S464" t="s">
        <v>1644</v>
      </c>
      <c r="T464" t="s">
        <v>1644</v>
      </c>
      <c r="U464" t="s">
        <v>1645</v>
      </c>
    </row>
    <row r="465" spans="1:21" x14ac:dyDescent="0.2">
      <c r="A465" t="s">
        <v>1778</v>
      </c>
      <c r="B465" t="s">
        <v>1662</v>
      </c>
      <c r="C465" t="s">
        <v>1642</v>
      </c>
      <c r="D465" t="s">
        <v>1643</v>
      </c>
      <c r="E465" t="s">
        <v>1644</v>
      </c>
      <c r="F465" t="s">
        <v>1644</v>
      </c>
      <c r="G465" t="s">
        <v>1645</v>
      </c>
      <c r="H465" t="s">
        <v>1645</v>
      </c>
      <c r="I465" t="s">
        <v>1645</v>
      </c>
      <c r="J465" t="s">
        <v>1645</v>
      </c>
      <c r="K465" t="s">
        <v>1645</v>
      </c>
      <c r="L465" t="s">
        <v>1881</v>
      </c>
      <c r="M465" t="s">
        <v>1882</v>
      </c>
      <c r="N465" t="s">
        <v>1883</v>
      </c>
      <c r="O465" t="s">
        <v>1648</v>
      </c>
      <c r="P465" t="s">
        <v>1645</v>
      </c>
      <c r="Q465" t="s">
        <v>1644</v>
      </c>
      <c r="R465" t="s">
        <v>1644</v>
      </c>
      <c r="S465" t="s">
        <v>1644</v>
      </c>
      <c r="T465" t="s">
        <v>1644</v>
      </c>
      <c r="U465" t="s">
        <v>1645</v>
      </c>
    </row>
    <row r="466" spans="1:21" x14ac:dyDescent="0.2">
      <c r="A466" t="s">
        <v>1798</v>
      </c>
      <c r="B466" t="s">
        <v>1664</v>
      </c>
      <c r="C466" t="s">
        <v>1642</v>
      </c>
      <c r="D466" t="s">
        <v>1643</v>
      </c>
      <c r="E466" t="s">
        <v>1644</v>
      </c>
      <c r="F466" t="s">
        <v>1644</v>
      </c>
      <c r="G466" t="s">
        <v>1645</v>
      </c>
      <c r="H466" t="s">
        <v>1645</v>
      </c>
      <c r="I466" t="s">
        <v>1645</v>
      </c>
      <c r="J466" t="s">
        <v>1645</v>
      </c>
      <c r="K466" t="s">
        <v>1645</v>
      </c>
      <c r="L466" t="s">
        <v>1881</v>
      </c>
      <c r="M466" t="s">
        <v>1882</v>
      </c>
      <c r="N466" t="s">
        <v>1883</v>
      </c>
      <c r="O466" t="s">
        <v>1648</v>
      </c>
      <c r="P466" t="s">
        <v>1645</v>
      </c>
      <c r="Q466" t="s">
        <v>1644</v>
      </c>
      <c r="R466" t="s">
        <v>1644</v>
      </c>
      <c r="S466" t="s">
        <v>1644</v>
      </c>
      <c r="T466" t="s">
        <v>1644</v>
      </c>
      <c r="U466" t="s">
        <v>1645</v>
      </c>
    </row>
    <row r="467" spans="1:21" x14ac:dyDescent="0.2">
      <c r="A467" t="s">
        <v>1799</v>
      </c>
      <c r="B467" t="s">
        <v>1666</v>
      </c>
      <c r="C467" t="s">
        <v>1642</v>
      </c>
      <c r="D467" t="s">
        <v>1643</v>
      </c>
      <c r="E467" t="s">
        <v>1644</v>
      </c>
      <c r="F467" t="s">
        <v>1644</v>
      </c>
      <c r="G467" t="s">
        <v>1645</v>
      </c>
      <c r="H467" t="s">
        <v>1645</v>
      </c>
      <c r="I467" t="s">
        <v>1645</v>
      </c>
      <c r="J467" t="s">
        <v>1645</v>
      </c>
      <c r="K467" t="s">
        <v>1645</v>
      </c>
      <c r="L467" t="s">
        <v>1881</v>
      </c>
      <c r="M467" t="s">
        <v>1882</v>
      </c>
      <c r="N467" t="s">
        <v>1883</v>
      </c>
      <c r="O467" t="s">
        <v>1648</v>
      </c>
      <c r="P467" t="s">
        <v>1645</v>
      </c>
      <c r="Q467" t="s">
        <v>1644</v>
      </c>
      <c r="R467" t="s">
        <v>1644</v>
      </c>
      <c r="S467" t="s">
        <v>1644</v>
      </c>
      <c r="T467" t="s">
        <v>1644</v>
      </c>
      <c r="U467" t="s">
        <v>1645</v>
      </c>
    </row>
    <row r="468" spans="1:21" x14ac:dyDescent="0.2">
      <c r="A468" t="s">
        <v>1773</v>
      </c>
      <c r="B468" t="s">
        <v>1749</v>
      </c>
      <c r="C468" t="s">
        <v>1746</v>
      </c>
      <c r="D468" t="s">
        <v>1643</v>
      </c>
      <c r="E468" t="s">
        <v>1644</v>
      </c>
      <c r="F468" t="s">
        <v>1644</v>
      </c>
      <c r="G468" t="s">
        <v>1645</v>
      </c>
      <c r="H468" t="s">
        <v>1645</v>
      </c>
      <c r="I468" t="s">
        <v>1645</v>
      </c>
      <c r="J468" t="s">
        <v>1645</v>
      </c>
      <c r="K468" t="s">
        <v>1645</v>
      </c>
      <c r="L468" t="s">
        <v>1884</v>
      </c>
      <c r="M468" t="s">
        <v>1885</v>
      </c>
      <c r="N468" t="s">
        <v>1883</v>
      </c>
      <c r="O468" t="s">
        <v>1648</v>
      </c>
      <c r="P468" t="s">
        <v>1645</v>
      </c>
      <c r="Q468" t="s">
        <v>1644</v>
      </c>
      <c r="R468" t="s">
        <v>1644</v>
      </c>
      <c r="S468" t="s">
        <v>1644</v>
      </c>
      <c r="T468" t="s">
        <v>1644</v>
      </c>
      <c r="U468" t="s">
        <v>1645</v>
      </c>
    </row>
    <row r="469" spans="1:21" x14ac:dyDescent="0.2">
      <c r="A469" t="s">
        <v>1777</v>
      </c>
      <c r="B469" t="s">
        <v>1689</v>
      </c>
      <c r="C469" t="s">
        <v>1642</v>
      </c>
      <c r="D469" t="s">
        <v>1643</v>
      </c>
      <c r="E469" t="s">
        <v>1644</v>
      </c>
      <c r="F469" t="s">
        <v>1644</v>
      </c>
      <c r="G469" t="s">
        <v>1645</v>
      </c>
      <c r="H469" t="s">
        <v>1645</v>
      </c>
      <c r="I469" t="s">
        <v>1645</v>
      </c>
      <c r="J469" t="s">
        <v>1645</v>
      </c>
      <c r="K469" t="s">
        <v>1645</v>
      </c>
      <c r="L469" t="s">
        <v>1884</v>
      </c>
      <c r="M469" t="s">
        <v>1885</v>
      </c>
      <c r="N469" t="s">
        <v>1883</v>
      </c>
      <c r="O469" t="s">
        <v>1648</v>
      </c>
      <c r="P469" t="s">
        <v>1645</v>
      </c>
      <c r="Q469" t="s">
        <v>1644</v>
      </c>
      <c r="R469" t="s">
        <v>1644</v>
      </c>
      <c r="S469" t="s">
        <v>1644</v>
      </c>
      <c r="T469" t="s">
        <v>1644</v>
      </c>
      <c r="U469" t="s">
        <v>1645</v>
      </c>
    </row>
    <row r="470" spans="1:21" x14ac:dyDescent="0.2">
      <c r="A470" t="s">
        <v>1778</v>
      </c>
      <c r="B470" t="s">
        <v>1691</v>
      </c>
      <c r="C470" t="s">
        <v>1642</v>
      </c>
      <c r="D470" t="s">
        <v>1643</v>
      </c>
      <c r="E470" t="s">
        <v>1644</v>
      </c>
      <c r="F470" t="s">
        <v>1644</v>
      </c>
      <c r="G470" t="s">
        <v>1645</v>
      </c>
      <c r="H470" t="s">
        <v>1645</v>
      </c>
      <c r="I470" t="s">
        <v>1645</v>
      </c>
      <c r="J470" t="s">
        <v>1645</v>
      </c>
      <c r="K470" t="s">
        <v>1645</v>
      </c>
      <c r="L470" t="s">
        <v>1884</v>
      </c>
      <c r="M470" t="s">
        <v>1885</v>
      </c>
      <c r="N470" t="s">
        <v>1883</v>
      </c>
      <c r="O470" t="s">
        <v>1648</v>
      </c>
      <c r="P470" t="s">
        <v>1645</v>
      </c>
      <c r="Q470" t="s">
        <v>1644</v>
      </c>
      <c r="R470" t="s">
        <v>1644</v>
      </c>
      <c r="S470" t="s">
        <v>1644</v>
      </c>
      <c r="T470" t="s">
        <v>1644</v>
      </c>
      <c r="U470" t="s">
        <v>1645</v>
      </c>
    </row>
    <row r="471" spans="1:21" x14ac:dyDescent="0.2">
      <c r="A471" t="s">
        <v>1773</v>
      </c>
      <c r="B471" t="s">
        <v>1749</v>
      </c>
      <c r="C471" t="s">
        <v>1746</v>
      </c>
      <c r="D471" t="s">
        <v>1643</v>
      </c>
      <c r="E471" t="s">
        <v>1644</v>
      </c>
      <c r="F471" t="s">
        <v>1644</v>
      </c>
      <c r="G471" t="s">
        <v>1645</v>
      </c>
      <c r="H471" t="s">
        <v>1645</v>
      </c>
      <c r="I471" t="s">
        <v>1645</v>
      </c>
      <c r="J471" t="s">
        <v>1645</v>
      </c>
      <c r="K471" t="s">
        <v>1645</v>
      </c>
      <c r="L471" t="s">
        <v>1886</v>
      </c>
      <c r="M471" t="s">
        <v>1887</v>
      </c>
      <c r="N471" t="s">
        <v>1883</v>
      </c>
      <c r="O471" t="s">
        <v>1648</v>
      </c>
      <c r="P471" t="s">
        <v>1645</v>
      </c>
      <c r="Q471" t="s">
        <v>1644</v>
      </c>
      <c r="R471" t="s">
        <v>1644</v>
      </c>
      <c r="S471" t="s">
        <v>1644</v>
      </c>
      <c r="T471" t="s">
        <v>1644</v>
      </c>
      <c r="U471" t="s">
        <v>1645</v>
      </c>
    </row>
    <row r="472" spans="1:21" x14ac:dyDescent="0.2">
      <c r="A472" t="s">
        <v>1777</v>
      </c>
      <c r="B472" t="s">
        <v>2062</v>
      </c>
      <c r="C472" t="s">
        <v>1642</v>
      </c>
      <c r="D472" t="s">
        <v>1643</v>
      </c>
      <c r="E472" t="s">
        <v>1644</v>
      </c>
      <c r="F472" t="s">
        <v>1644</v>
      </c>
      <c r="G472" t="s">
        <v>1645</v>
      </c>
      <c r="H472" t="s">
        <v>1645</v>
      </c>
      <c r="I472" t="s">
        <v>1645</v>
      </c>
      <c r="J472" t="s">
        <v>1645</v>
      </c>
      <c r="K472" t="s">
        <v>1645</v>
      </c>
      <c r="L472" t="s">
        <v>1886</v>
      </c>
      <c r="M472" t="s">
        <v>1887</v>
      </c>
      <c r="N472" t="s">
        <v>1883</v>
      </c>
      <c r="O472" t="s">
        <v>1648</v>
      </c>
      <c r="P472" t="s">
        <v>1645</v>
      </c>
      <c r="Q472" t="s">
        <v>1644</v>
      </c>
      <c r="R472" t="s">
        <v>1644</v>
      </c>
      <c r="S472" t="s">
        <v>1644</v>
      </c>
      <c r="T472" t="s">
        <v>1644</v>
      </c>
      <c r="U472" t="s">
        <v>1645</v>
      </c>
    </row>
    <row r="473" spans="1:21" x14ac:dyDescent="0.2">
      <c r="A473" t="s">
        <v>1778</v>
      </c>
      <c r="B473" t="s">
        <v>2063</v>
      </c>
      <c r="C473" t="s">
        <v>1642</v>
      </c>
      <c r="D473" t="s">
        <v>1643</v>
      </c>
      <c r="E473" t="s">
        <v>1644</v>
      </c>
      <c r="F473" t="s">
        <v>1644</v>
      </c>
      <c r="G473" t="s">
        <v>1645</v>
      </c>
      <c r="H473" t="s">
        <v>1645</v>
      </c>
      <c r="I473" t="s">
        <v>1645</v>
      </c>
      <c r="J473" t="s">
        <v>1645</v>
      </c>
      <c r="K473" t="s">
        <v>1645</v>
      </c>
      <c r="L473" t="s">
        <v>1886</v>
      </c>
      <c r="M473" t="s">
        <v>1887</v>
      </c>
      <c r="N473" t="s">
        <v>1883</v>
      </c>
      <c r="O473" t="s">
        <v>1648</v>
      </c>
      <c r="P473" t="s">
        <v>1645</v>
      </c>
      <c r="Q473" t="s">
        <v>1644</v>
      </c>
      <c r="R473" t="s">
        <v>1644</v>
      </c>
      <c r="S473" t="s">
        <v>1644</v>
      </c>
      <c r="T473" t="s">
        <v>1644</v>
      </c>
      <c r="U473" t="s">
        <v>1645</v>
      </c>
    </row>
    <row r="474" spans="1:21" x14ac:dyDescent="0.2">
      <c r="A474" t="s">
        <v>1773</v>
      </c>
      <c r="B474" t="s">
        <v>1749</v>
      </c>
      <c r="C474" t="s">
        <v>1746</v>
      </c>
      <c r="D474" t="s">
        <v>1643</v>
      </c>
      <c r="E474" t="s">
        <v>1644</v>
      </c>
      <c r="F474" t="s">
        <v>1644</v>
      </c>
      <c r="G474" t="s">
        <v>1645</v>
      </c>
      <c r="H474" t="s">
        <v>1645</v>
      </c>
      <c r="I474" t="s">
        <v>1645</v>
      </c>
      <c r="J474" t="s">
        <v>1645</v>
      </c>
      <c r="K474" t="s">
        <v>1645</v>
      </c>
      <c r="L474" t="s">
        <v>2020</v>
      </c>
      <c r="M474" t="s">
        <v>2021</v>
      </c>
      <c r="N474" t="s">
        <v>1883</v>
      </c>
      <c r="O474" t="s">
        <v>1648</v>
      </c>
      <c r="P474" t="s">
        <v>1645</v>
      </c>
      <c r="Q474" t="s">
        <v>1644</v>
      </c>
      <c r="R474" t="s">
        <v>1644</v>
      </c>
      <c r="S474" t="s">
        <v>1644</v>
      </c>
      <c r="T474" t="s">
        <v>1644</v>
      </c>
      <c r="U474" t="s">
        <v>1645</v>
      </c>
    </row>
    <row r="475" spans="1:21" x14ac:dyDescent="0.2">
      <c r="A475" t="s">
        <v>1777</v>
      </c>
      <c r="B475" t="s">
        <v>1703</v>
      </c>
      <c r="C475" t="s">
        <v>1642</v>
      </c>
      <c r="D475" t="s">
        <v>1643</v>
      </c>
      <c r="E475" t="s">
        <v>1644</v>
      </c>
      <c r="F475" t="s">
        <v>1644</v>
      </c>
      <c r="G475" t="s">
        <v>1645</v>
      </c>
      <c r="H475" t="s">
        <v>1645</v>
      </c>
      <c r="I475" t="s">
        <v>1645</v>
      </c>
      <c r="J475" t="s">
        <v>1645</v>
      </c>
      <c r="K475" t="s">
        <v>1645</v>
      </c>
      <c r="L475" t="s">
        <v>2020</v>
      </c>
      <c r="M475" t="s">
        <v>2021</v>
      </c>
      <c r="N475" t="s">
        <v>1883</v>
      </c>
      <c r="O475" t="s">
        <v>1648</v>
      </c>
      <c r="P475" t="s">
        <v>1645</v>
      </c>
      <c r="Q475" t="s">
        <v>1644</v>
      </c>
      <c r="R475" t="s">
        <v>1644</v>
      </c>
      <c r="S475" t="s">
        <v>1644</v>
      </c>
      <c r="T475" t="s">
        <v>1644</v>
      </c>
      <c r="U475" t="s">
        <v>1645</v>
      </c>
    </row>
    <row r="476" spans="1:21" x14ac:dyDescent="0.2">
      <c r="A476" t="s">
        <v>1778</v>
      </c>
      <c r="B476" t="s">
        <v>1705</v>
      </c>
      <c r="C476" t="s">
        <v>1642</v>
      </c>
      <c r="D476" t="s">
        <v>1643</v>
      </c>
      <c r="E476" t="s">
        <v>1644</v>
      </c>
      <c r="F476" t="s">
        <v>1644</v>
      </c>
      <c r="G476" t="s">
        <v>1645</v>
      </c>
      <c r="H476" t="s">
        <v>1645</v>
      </c>
      <c r="I476" t="s">
        <v>1645</v>
      </c>
      <c r="J476" t="s">
        <v>1645</v>
      </c>
      <c r="K476" t="s">
        <v>1645</v>
      </c>
      <c r="L476" t="s">
        <v>2020</v>
      </c>
      <c r="M476" t="s">
        <v>2021</v>
      </c>
      <c r="N476" t="s">
        <v>1883</v>
      </c>
      <c r="O476" t="s">
        <v>1648</v>
      </c>
      <c r="P476" t="s">
        <v>1645</v>
      </c>
      <c r="Q476" t="s">
        <v>1644</v>
      </c>
      <c r="R476" t="s">
        <v>1644</v>
      </c>
      <c r="S476" t="s">
        <v>1644</v>
      </c>
      <c r="T476" t="s">
        <v>1644</v>
      </c>
      <c r="U476" t="s">
        <v>1645</v>
      </c>
    </row>
    <row r="477" spans="1:21" x14ac:dyDescent="0.2">
      <c r="A477" t="s">
        <v>1773</v>
      </c>
      <c r="B477" t="s">
        <v>1749</v>
      </c>
      <c r="C477" t="s">
        <v>1746</v>
      </c>
      <c r="D477" t="s">
        <v>1643</v>
      </c>
      <c r="E477" t="s">
        <v>1644</v>
      </c>
      <c r="F477" t="s">
        <v>1644</v>
      </c>
      <c r="G477" t="s">
        <v>1645</v>
      </c>
      <c r="H477" t="s">
        <v>1645</v>
      </c>
      <c r="I477" t="s">
        <v>1645</v>
      </c>
      <c r="J477" t="s">
        <v>1645</v>
      </c>
      <c r="K477" t="s">
        <v>1645</v>
      </c>
      <c r="L477" t="s">
        <v>2022</v>
      </c>
      <c r="M477" t="s">
        <v>2023</v>
      </c>
      <c r="N477" t="s">
        <v>1883</v>
      </c>
      <c r="O477" t="s">
        <v>1648</v>
      </c>
      <c r="P477" t="s">
        <v>1645</v>
      </c>
      <c r="Q477" t="s">
        <v>1644</v>
      </c>
      <c r="R477" t="s">
        <v>1644</v>
      </c>
      <c r="S477" t="s">
        <v>1644</v>
      </c>
      <c r="T477" t="s">
        <v>1644</v>
      </c>
      <c r="U477" t="s">
        <v>1645</v>
      </c>
    </row>
    <row r="478" spans="1:21" x14ac:dyDescent="0.2">
      <c r="A478" t="s">
        <v>1777</v>
      </c>
      <c r="B478" t="s">
        <v>1664</v>
      </c>
      <c r="C478" t="s">
        <v>1642</v>
      </c>
      <c r="D478" t="s">
        <v>1643</v>
      </c>
      <c r="E478" t="s">
        <v>1644</v>
      </c>
      <c r="F478" t="s">
        <v>1644</v>
      </c>
      <c r="G478" t="s">
        <v>1645</v>
      </c>
      <c r="H478" t="s">
        <v>1645</v>
      </c>
      <c r="I478" t="s">
        <v>1645</v>
      </c>
      <c r="J478" t="s">
        <v>1645</v>
      </c>
      <c r="K478" t="s">
        <v>1645</v>
      </c>
      <c r="L478" t="s">
        <v>2022</v>
      </c>
      <c r="M478" t="s">
        <v>2023</v>
      </c>
      <c r="N478" t="s">
        <v>1883</v>
      </c>
      <c r="O478" t="s">
        <v>1648</v>
      </c>
      <c r="P478" t="s">
        <v>1645</v>
      </c>
      <c r="Q478" t="s">
        <v>1644</v>
      </c>
      <c r="R478" t="s">
        <v>1644</v>
      </c>
      <c r="S478" t="s">
        <v>1644</v>
      </c>
      <c r="T478" t="s">
        <v>1644</v>
      </c>
      <c r="U478" t="s">
        <v>1645</v>
      </c>
    </row>
    <row r="479" spans="1:21" x14ac:dyDescent="0.2">
      <c r="A479" t="s">
        <v>1778</v>
      </c>
      <c r="B479" t="s">
        <v>1666</v>
      </c>
      <c r="C479" t="s">
        <v>1642</v>
      </c>
      <c r="D479" t="s">
        <v>1643</v>
      </c>
      <c r="E479" t="s">
        <v>1644</v>
      </c>
      <c r="F479" t="s">
        <v>1644</v>
      </c>
      <c r="G479" t="s">
        <v>1645</v>
      </c>
      <c r="H479" t="s">
        <v>1645</v>
      </c>
      <c r="I479" t="s">
        <v>1645</v>
      </c>
      <c r="J479" t="s">
        <v>1645</v>
      </c>
      <c r="K479" t="s">
        <v>1645</v>
      </c>
      <c r="L479" t="s">
        <v>2022</v>
      </c>
      <c r="M479" t="s">
        <v>2023</v>
      </c>
      <c r="N479" t="s">
        <v>1883</v>
      </c>
      <c r="O479" t="s">
        <v>1648</v>
      </c>
      <c r="P479" t="s">
        <v>1645</v>
      </c>
      <c r="Q479" t="s">
        <v>1644</v>
      </c>
      <c r="R479" t="s">
        <v>1644</v>
      </c>
      <c r="S479" t="s">
        <v>1644</v>
      </c>
      <c r="T479" t="s">
        <v>1644</v>
      </c>
      <c r="U479" t="s">
        <v>1645</v>
      </c>
    </row>
    <row r="480" spans="1:21" x14ac:dyDescent="0.2">
      <c r="A480" t="s">
        <v>1773</v>
      </c>
      <c r="B480" t="s">
        <v>1749</v>
      </c>
      <c r="C480" t="s">
        <v>1746</v>
      </c>
      <c r="D480" t="s">
        <v>1643</v>
      </c>
      <c r="E480" t="s">
        <v>1644</v>
      </c>
      <c r="F480" t="s">
        <v>1644</v>
      </c>
      <c r="G480" t="s">
        <v>1645</v>
      </c>
      <c r="H480" t="s">
        <v>1645</v>
      </c>
      <c r="I480" t="s">
        <v>1645</v>
      </c>
      <c r="J480" t="s">
        <v>1645</v>
      </c>
      <c r="K480" t="s">
        <v>1645</v>
      </c>
      <c r="L480" t="s">
        <v>2024</v>
      </c>
      <c r="M480" t="s">
        <v>2025</v>
      </c>
      <c r="N480" t="s">
        <v>1883</v>
      </c>
      <c r="O480" t="s">
        <v>1648</v>
      </c>
      <c r="P480" t="s">
        <v>1645</v>
      </c>
      <c r="Q480" t="s">
        <v>1644</v>
      </c>
      <c r="R480" t="s">
        <v>1644</v>
      </c>
      <c r="S480" t="s">
        <v>1644</v>
      </c>
      <c r="T480" t="s">
        <v>1644</v>
      </c>
      <c r="U480" t="s">
        <v>1645</v>
      </c>
    </row>
    <row r="481" spans="1:21" x14ac:dyDescent="0.2">
      <c r="A481" t="s">
        <v>1777</v>
      </c>
      <c r="B481" t="s">
        <v>1668</v>
      </c>
      <c r="C481" t="s">
        <v>1642</v>
      </c>
      <c r="D481" t="s">
        <v>1643</v>
      </c>
      <c r="E481" t="s">
        <v>1644</v>
      </c>
      <c r="F481" t="s">
        <v>1644</v>
      </c>
      <c r="G481" t="s">
        <v>1645</v>
      </c>
      <c r="H481" t="s">
        <v>1645</v>
      </c>
      <c r="I481" t="s">
        <v>1645</v>
      </c>
      <c r="J481" t="s">
        <v>1645</v>
      </c>
      <c r="K481" t="s">
        <v>1645</v>
      </c>
      <c r="L481" t="s">
        <v>2024</v>
      </c>
      <c r="M481" t="s">
        <v>2025</v>
      </c>
      <c r="N481" t="s">
        <v>1883</v>
      </c>
      <c r="O481" t="s">
        <v>1648</v>
      </c>
      <c r="P481" t="s">
        <v>1645</v>
      </c>
      <c r="Q481" t="s">
        <v>1644</v>
      </c>
      <c r="R481" t="s">
        <v>1644</v>
      </c>
      <c r="S481" t="s">
        <v>1644</v>
      </c>
      <c r="T481" t="s">
        <v>1644</v>
      </c>
      <c r="U481" t="s">
        <v>1645</v>
      </c>
    </row>
    <row r="482" spans="1:21" x14ac:dyDescent="0.2">
      <c r="A482" t="s">
        <v>1778</v>
      </c>
      <c r="B482" t="s">
        <v>1670</v>
      </c>
      <c r="C482" t="s">
        <v>1642</v>
      </c>
      <c r="D482" t="s">
        <v>1643</v>
      </c>
      <c r="E482" t="s">
        <v>1644</v>
      </c>
      <c r="F482" t="s">
        <v>1644</v>
      </c>
      <c r="G482" t="s">
        <v>1645</v>
      </c>
      <c r="H482" t="s">
        <v>1645</v>
      </c>
      <c r="I482" t="s">
        <v>1645</v>
      </c>
      <c r="J482" t="s">
        <v>1645</v>
      </c>
      <c r="K482" t="s">
        <v>1645</v>
      </c>
      <c r="L482" t="s">
        <v>2024</v>
      </c>
      <c r="M482" t="s">
        <v>2025</v>
      </c>
      <c r="N482" t="s">
        <v>1883</v>
      </c>
      <c r="O482" t="s">
        <v>1648</v>
      </c>
      <c r="P482" t="s">
        <v>1645</v>
      </c>
      <c r="Q482" t="s">
        <v>1644</v>
      </c>
      <c r="R482" t="s">
        <v>1644</v>
      </c>
      <c r="S482" t="s">
        <v>1644</v>
      </c>
      <c r="T482" t="s">
        <v>1644</v>
      </c>
      <c r="U482" t="s">
        <v>1645</v>
      </c>
    </row>
    <row r="483" spans="1:21" x14ac:dyDescent="0.2">
      <c r="A483" t="s">
        <v>1773</v>
      </c>
      <c r="B483" t="s">
        <v>1749</v>
      </c>
      <c r="C483" t="s">
        <v>1746</v>
      </c>
      <c r="D483" t="s">
        <v>1643</v>
      </c>
      <c r="E483" t="s">
        <v>1644</v>
      </c>
      <c r="F483" t="s">
        <v>1644</v>
      </c>
      <c r="G483" t="s">
        <v>1645</v>
      </c>
      <c r="H483" t="s">
        <v>1645</v>
      </c>
      <c r="I483" t="s">
        <v>1645</v>
      </c>
      <c r="J483" t="s">
        <v>1645</v>
      </c>
      <c r="K483" t="s">
        <v>1645</v>
      </c>
      <c r="L483" t="s">
        <v>1888</v>
      </c>
      <c r="M483" t="s">
        <v>1889</v>
      </c>
      <c r="N483" t="s">
        <v>1890</v>
      </c>
      <c r="O483" t="s">
        <v>1648</v>
      </c>
      <c r="P483" t="s">
        <v>1645</v>
      </c>
      <c r="Q483" t="s">
        <v>1644</v>
      </c>
      <c r="R483" t="s">
        <v>1644</v>
      </c>
      <c r="S483" t="s">
        <v>1644</v>
      </c>
      <c r="T483" t="s">
        <v>1644</v>
      </c>
      <c r="U483" t="s">
        <v>1645</v>
      </c>
    </row>
    <row r="484" spans="1:21" x14ac:dyDescent="0.2">
      <c r="A484" t="s">
        <v>1777</v>
      </c>
      <c r="B484" t="s">
        <v>1660</v>
      </c>
      <c r="C484" t="s">
        <v>1642</v>
      </c>
      <c r="D484" t="s">
        <v>1643</v>
      </c>
      <c r="E484" t="s">
        <v>1644</v>
      </c>
      <c r="F484" t="s">
        <v>1644</v>
      </c>
      <c r="G484" t="s">
        <v>1645</v>
      </c>
      <c r="H484" t="s">
        <v>1645</v>
      </c>
      <c r="I484" t="s">
        <v>1645</v>
      </c>
      <c r="J484" t="s">
        <v>1645</v>
      </c>
      <c r="K484" t="s">
        <v>1645</v>
      </c>
      <c r="L484" t="s">
        <v>1888</v>
      </c>
      <c r="M484" t="s">
        <v>1889</v>
      </c>
      <c r="N484" t="s">
        <v>1890</v>
      </c>
      <c r="O484" t="s">
        <v>1648</v>
      </c>
      <c r="P484" t="s">
        <v>1645</v>
      </c>
      <c r="Q484" t="s">
        <v>1644</v>
      </c>
      <c r="R484" t="s">
        <v>1644</v>
      </c>
      <c r="S484" t="s">
        <v>1644</v>
      </c>
      <c r="T484" t="s">
        <v>1644</v>
      </c>
      <c r="U484" t="s">
        <v>1645</v>
      </c>
    </row>
    <row r="485" spans="1:21" x14ac:dyDescent="0.2">
      <c r="A485" t="s">
        <v>1778</v>
      </c>
      <c r="B485" t="s">
        <v>1662</v>
      </c>
      <c r="C485" t="s">
        <v>1642</v>
      </c>
      <c r="D485" t="s">
        <v>1643</v>
      </c>
      <c r="E485" t="s">
        <v>1644</v>
      </c>
      <c r="F485" t="s">
        <v>1644</v>
      </c>
      <c r="G485" t="s">
        <v>1645</v>
      </c>
      <c r="H485" t="s">
        <v>1645</v>
      </c>
      <c r="I485" t="s">
        <v>1645</v>
      </c>
      <c r="J485" t="s">
        <v>1645</v>
      </c>
      <c r="K485" t="s">
        <v>1645</v>
      </c>
      <c r="L485" t="s">
        <v>1888</v>
      </c>
      <c r="M485" t="s">
        <v>1889</v>
      </c>
      <c r="N485" t="s">
        <v>1890</v>
      </c>
      <c r="O485" t="s">
        <v>1648</v>
      </c>
      <c r="P485" t="s">
        <v>1645</v>
      </c>
      <c r="Q485" t="s">
        <v>1644</v>
      </c>
      <c r="R485" t="s">
        <v>1644</v>
      </c>
      <c r="S485" t="s">
        <v>1644</v>
      </c>
      <c r="T485" t="s">
        <v>1644</v>
      </c>
      <c r="U485" t="s">
        <v>1645</v>
      </c>
    </row>
    <row r="486" spans="1:21" x14ac:dyDescent="0.2">
      <c r="A486" t="s">
        <v>1798</v>
      </c>
      <c r="B486" t="s">
        <v>1664</v>
      </c>
      <c r="C486" t="s">
        <v>1642</v>
      </c>
      <c r="D486" t="s">
        <v>1643</v>
      </c>
      <c r="E486" t="s">
        <v>1644</v>
      </c>
      <c r="F486" t="s">
        <v>1644</v>
      </c>
      <c r="G486" t="s">
        <v>1645</v>
      </c>
      <c r="H486" t="s">
        <v>1645</v>
      </c>
      <c r="I486" t="s">
        <v>1645</v>
      </c>
      <c r="J486" t="s">
        <v>1645</v>
      </c>
      <c r="K486" t="s">
        <v>1645</v>
      </c>
      <c r="L486" t="s">
        <v>1888</v>
      </c>
      <c r="M486" t="s">
        <v>1889</v>
      </c>
      <c r="N486" t="s">
        <v>1890</v>
      </c>
      <c r="O486" t="s">
        <v>1648</v>
      </c>
      <c r="P486" t="s">
        <v>1645</v>
      </c>
      <c r="Q486" t="s">
        <v>1644</v>
      </c>
      <c r="R486" t="s">
        <v>1644</v>
      </c>
      <c r="S486" t="s">
        <v>1644</v>
      </c>
      <c r="T486" t="s">
        <v>1644</v>
      </c>
      <c r="U486" t="s">
        <v>1645</v>
      </c>
    </row>
    <row r="487" spans="1:21" x14ac:dyDescent="0.2">
      <c r="A487" t="s">
        <v>1799</v>
      </c>
      <c r="B487" t="s">
        <v>1666</v>
      </c>
      <c r="C487" t="s">
        <v>1642</v>
      </c>
      <c r="D487" t="s">
        <v>1643</v>
      </c>
      <c r="E487" t="s">
        <v>1644</v>
      </c>
      <c r="F487" t="s">
        <v>1644</v>
      </c>
      <c r="G487" t="s">
        <v>1645</v>
      </c>
      <c r="H487" t="s">
        <v>1645</v>
      </c>
      <c r="I487" t="s">
        <v>1645</v>
      </c>
      <c r="J487" t="s">
        <v>1645</v>
      </c>
      <c r="K487" t="s">
        <v>1645</v>
      </c>
      <c r="L487" t="s">
        <v>1888</v>
      </c>
      <c r="M487" t="s">
        <v>1889</v>
      </c>
      <c r="N487" t="s">
        <v>1890</v>
      </c>
      <c r="O487" t="s">
        <v>1648</v>
      </c>
      <c r="P487" t="s">
        <v>1645</v>
      </c>
      <c r="Q487" t="s">
        <v>1644</v>
      </c>
      <c r="R487" t="s">
        <v>1644</v>
      </c>
      <c r="S487" t="s">
        <v>1644</v>
      </c>
      <c r="T487" t="s">
        <v>1644</v>
      </c>
      <c r="U487" t="s">
        <v>1645</v>
      </c>
    </row>
    <row r="488" spans="1:21" x14ac:dyDescent="0.2">
      <c r="A488" t="s">
        <v>1773</v>
      </c>
      <c r="B488" t="s">
        <v>1749</v>
      </c>
      <c r="C488" t="s">
        <v>1746</v>
      </c>
      <c r="D488" t="s">
        <v>1643</v>
      </c>
      <c r="E488" t="s">
        <v>1644</v>
      </c>
      <c r="F488" t="s">
        <v>1644</v>
      </c>
      <c r="G488" t="s">
        <v>1645</v>
      </c>
      <c r="H488" t="s">
        <v>1645</v>
      </c>
      <c r="I488" t="s">
        <v>1645</v>
      </c>
      <c r="J488" t="s">
        <v>1645</v>
      </c>
      <c r="K488" t="s">
        <v>1645</v>
      </c>
      <c r="L488" t="s">
        <v>1891</v>
      </c>
      <c r="M488" t="s">
        <v>1892</v>
      </c>
      <c r="N488" t="s">
        <v>1890</v>
      </c>
      <c r="O488" t="s">
        <v>1648</v>
      </c>
      <c r="P488" t="s">
        <v>1645</v>
      </c>
      <c r="Q488" t="s">
        <v>1644</v>
      </c>
      <c r="R488" t="s">
        <v>1644</v>
      </c>
      <c r="S488" t="s">
        <v>1644</v>
      </c>
      <c r="T488" t="s">
        <v>1644</v>
      </c>
      <c r="U488" t="s">
        <v>1645</v>
      </c>
    </row>
    <row r="489" spans="1:21" x14ac:dyDescent="0.2">
      <c r="A489" t="s">
        <v>1777</v>
      </c>
      <c r="B489" t="s">
        <v>1689</v>
      </c>
      <c r="C489" t="s">
        <v>1642</v>
      </c>
      <c r="D489" t="s">
        <v>1643</v>
      </c>
      <c r="E489" t="s">
        <v>1644</v>
      </c>
      <c r="F489" t="s">
        <v>1644</v>
      </c>
      <c r="G489" t="s">
        <v>1645</v>
      </c>
      <c r="H489" t="s">
        <v>1645</v>
      </c>
      <c r="I489" t="s">
        <v>1645</v>
      </c>
      <c r="J489" t="s">
        <v>1645</v>
      </c>
      <c r="K489" t="s">
        <v>1645</v>
      </c>
      <c r="L489" t="s">
        <v>1891</v>
      </c>
      <c r="M489" t="s">
        <v>1892</v>
      </c>
      <c r="N489" t="s">
        <v>1890</v>
      </c>
      <c r="O489" t="s">
        <v>1648</v>
      </c>
      <c r="P489" t="s">
        <v>1645</v>
      </c>
      <c r="Q489" t="s">
        <v>1644</v>
      </c>
      <c r="R489" t="s">
        <v>1644</v>
      </c>
      <c r="S489" t="s">
        <v>1644</v>
      </c>
      <c r="T489" t="s">
        <v>1644</v>
      </c>
      <c r="U489" t="s">
        <v>1645</v>
      </c>
    </row>
    <row r="490" spans="1:21" x14ac:dyDescent="0.2">
      <c r="A490" t="s">
        <v>1778</v>
      </c>
      <c r="B490" t="s">
        <v>1691</v>
      </c>
      <c r="C490" t="s">
        <v>1642</v>
      </c>
      <c r="D490" t="s">
        <v>1643</v>
      </c>
      <c r="E490" t="s">
        <v>1644</v>
      </c>
      <c r="F490" t="s">
        <v>1644</v>
      </c>
      <c r="G490" t="s">
        <v>1645</v>
      </c>
      <c r="H490" t="s">
        <v>1645</v>
      </c>
      <c r="I490" t="s">
        <v>1645</v>
      </c>
      <c r="J490" t="s">
        <v>1645</v>
      </c>
      <c r="K490" t="s">
        <v>1645</v>
      </c>
      <c r="L490" t="s">
        <v>1891</v>
      </c>
      <c r="M490" t="s">
        <v>1892</v>
      </c>
      <c r="N490" t="s">
        <v>1890</v>
      </c>
      <c r="O490" t="s">
        <v>1648</v>
      </c>
      <c r="P490" t="s">
        <v>1645</v>
      </c>
      <c r="Q490" t="s">
        <v>1644</v>
      </c>
      <c r="R490" t="s">
        <v>1644</v>
      </c>
      <c r="S490" t="s">
        <v>1644</v>
      </c>
      <c r="T490" t="s">
        <v>1644</v>
      </c>
      <c r="U490" t="s">
        <v>1645</v>
      </c>
    </row>
    <row r="491" spans="1:21" x14ac:dyDescent="0.2">
      <c r="A491" t="s">
        <v>1773</v>
      </c>
      <c r="B491" t="s">
        <v>1749</v>
      </c>
      <c r="C491" t="s">
        <v>1746</v>
      </c>
      <c r="D491" t="s">
        <v>1643</v>
      </c>
      <c r="E491" t="s">
        <v>1644</v>
      </c>
      <c r="F491" t="s">
        <v>1644</v>
      </c>
      <c r="G491" t="s">
        <v>1645</v>
      </c>
      <c r="H491" t="s">
        <v>1645</v>
      </c>
      <c r="I491" t="s">
        <v>1645</v>
      </c>
      <c r="J491" t="s">
        <v>1645</v>
      </c>
      <c r="K491" t="s">
        <v>1645</v>
      </c>
      <c r="L491" t="s">
        <v>1893</v>
      </c>
      <c r="M491" t="s">
        <v>1894</v>
      </c>
      <c r="N491" t="s">
        <v>1890</v>
      </c>
      <c r="O491" t="s">
        <v>1648</v>
      </c>
      <c r="P491" t="s">
        <v>1645</v>
      </c>
      <c r="Q491" t="s">
        <v>1644</v>
      </c>
      <c r="R491" t="s">
        <v>1644</v>
      </c>
      <c r="S491" t="s">
        <v>1644</v>
      </c>
      <c r="T491" t="s">
        <v>1644</v>
      </c>
      <c r="U491" t="s">
        <v>1645</v>
      </c>
    </row>
    <row r="492" spans="1:21" x14ac:dyDescent="0.2">
      <c r="A492" t="s">
        <v>1777</v>
      </c>
      <c r="B492" t="s">
        <v>2062</v>
      </c>
      <c r="C492" t="s">
        <v>1642</v>
      </c>
      <c r="D492" t="s">
        <v>1643</v>
      </c>
      <c r="E492" t="s">
        <v>1644</v>
      </c>
      <c r="F492" t="s">
        <v>1644</v>
      </c>
      <c r="G492" t="s">
        <v>1645</v>
      </c>
      <c r="H492" t="s">
        <v>1645</v>
      </c>
      <c r="I492" t="s">
        <v>1645</v>
      </c>
      <c r="J492" t="s">
        <v>1645</v>
      </c>
      <c r="K492" t="s">
        <v>1645</v>
      </c>
      <c r="L492" t="s">
        <v>1893</v>
      </c>
      <c r="M492" t="s">
        <v>1894</v>
      </c>
      <c r="N492" t="s">
        <v>1890</v>
      </c>
      <c r="O492" t="s">
        <v>1648</v>
      </c>
      <c r="P492" t="s">
        <v>1645</v>
      </c>
      <c r="Q492" t="s">
        <v>1644</v>
      </c>
      <c r="R492" t="s">
        <v>1644</v>
      </c>
      <c r="S492" t="s">
        <v>1644</v>
      </c>
      <c r="T492" t="s">
        <v>1644</v>
      </c>
      <c r="U492" t="s">
        <v>1645</v>
      </c>
    </row>
    <row r="493" spans="1:21" x14ac:dyDescent="0.2">
      <c r="A493" t="s">
        <v>1778</v>
      </c>
      <c r="B493" t="s">
        <v>2063</v>
      </c>
      <c r="C493" t="s">
        <v>1642</v>
      </c>
      <c r="D493" t="s">
        <v>1643</v>
      </c>
      <c r="E493" t="s">
        <v>1644</v>
      </c>
      <c r="F493" t="s">
        <v>1644</v>
      </c>
      <c r="G493" t="s">
        <v>1645</v>
      </c>
      <c r="H493" t="s">
        <v>1645</v>
      </c>
      <c r="I493" t="s">
        <v>1645</v>
      </c>
      <c r="J493" t="s">
        <v>1645</v>
      </c>
      <c r="K493" t="s">
        <v>1645</v>
      </c>
      <c r="L493" t="s">
        <v>1893</v>
      </c>
      <c r="M493" t="s">
        <v>1894</v>
      </c>
      <c r="N493" t="s">
        <v>1890</v>
      </c>
      <c r="O493" t="s">
        <v>1648</v>
      </c>
      <c r="P493" t="s">
        <v>1645</v>
      </c>
      <c r="Q493" t="s">
        <v>1644</v>
      </c>
      <c r="R493" t="s">
        <v>1644</v>
      </c>
      <c r="S493" t="s">
        <v>1644</v>
      </c>
      <c r="T493" t="s">
        <v>1644</v>
      </c>
      <c r="U493" t="s">
        <v>1645</v>
      </c>
    </row>
    <row r="494" spans="1:21" x14ac:dyDescent="0.2">
      <c r="A494" t="s">
        <v>1773</v>
      </c>
      <c r="B494" t="s">
        <v>1749</v>
      </c>
      <c r="C494" t="s">
        <v>1746</v>
      </c>
      <c r="D494" t="s">
        <v>1643</v>
      </c>
      <c r="E494" t="s">
        <v>1644</v>
      </c>
      <c r="F494" t="s">
        <v>1644</v>
      </c>
      <c r="G494" t="s">
        <v>1645</v>
      </c>
      <c r="H494" t="s">
        <v>1645</v>
      </c>
      <c r="I494" t="s">
        <v>1645</v>
      </c>
      <c r="J494" t="s">
        <v>1645</v>
      </c>
      <c r="K494" t="s">
        <v>1645</v>
      </c>
      <c r="L494" t="s">
        <v>2026</v>
      </c>
      <c r="M494" t="s">
        <v>2027</v>
      </c>
      <c r="N494" t="s">
        <v>1890</v>
      </c>
      <c r="O494" t="s">
        <v>1648</v>
      </c>
      <c r="P494" t="s">
        <v>1645</v>
      </c>
      <c r="Q494" t="s">
        <v>1644</v>
      </c>
      <c r="R494" t="s">
        <v>1644</v>
      </c>
      <c r="S494" t="s">
        <v>1644</v>
      </c>
      <c r="T494" t="s">
        <v>1644</v>
      </c>
      <c r="U494" t="s">
        <v>1645</v>
      </c>
    </row>
    <row r="495" spans="1:21" x14ac:dyDescent="0.2">
      <c r="A495" t="s">
        <v>1777</v>
      </c>
      <c r="B495" t="s">
        <v>1703</v>
      </c>
      <c r="C495" t="s">
        <v>1642</v>
      </c>
      <c r="D495" t="s">
        <v>1643</v>
      </c>
      <c r="E495" t="s">
        <v>1644</v>
      </c>
      <c r="F495" t="s">
        <v>1644</v>
      </c>
      <c r="G495" t="s">
        <v>1645</v>
      </c>
      <c r="H495" t="s">
        <v>1645</v>
      </c>
      <c r="I495" t="s">
        <v>1645</v>
      </c>
      <c r="J495" t="s">
        <v>1645</v>
      </c>
      <c r="K495" t="s">
        <v>1645</v>
      </c>
      <c r="L495" t="s">
        <v>2026</v>
      </c>
      <c r="M495" t="s">
        <v>2027</v>
      </c>
      <c r="N495" t="s">
        <v>1890</v>
      </c>
      <c r="O495" t="s">
        <v>1648</v>
      </c>
      <c r="P495" t="s">
        <v>1645</v>
      </c>
      <c r="Q495" t="s">
        <v>1644</v>
      </c>
      <c r="R495" t="s">
        <v>1644</v>
      </c>
      <c r="S495" t="s">
        <v>1644</v>
      </c>
      <c r="T495" t="s">
        <v>1644</v>
      </c>
      <c r="U495" t="s">
        <v>1645</v>
      </c>
    </row>
    <row r="496" spans="1:21" x14ac:dyDescent="0.2">
      <c r="A496" t="s">
        <v>1778</v>
      </c>
      <c r="B496" t="s">
        <v>1705</v>
      </c>
      <c r="C496" t="s">
        <v>1642</v>
      </c>
      <c r="D496" t="s">
        <v>1643</v>
      </c>
      <c r="E496" t="s">
        <v>1644</v>
      </c>
      <c r="F496" t="s">
        <v>1644</v>
      </c>
      <c r="G496" t="s">
        <v>1645</v>
      </c>
      <c r="H496" t="s">
        <v>1645</v>
      </c>
      <c r="I496" t="s">
        <v>1645</v>
      </c>
      <c r="J496" t="s">
        <v>1645</v>
      </c>
      <c r="K496" t="s">
        <v>1645</v>
      </c>
      <c r="L496" t="s">
        <v>2026</v>
      </c>
      <c r="M496" t="s">
        <v>2027</v>
      </c>
      <c r="N496" t="s">
        <v>1890</v>
      </c>
      <c r="O496" t="s">
        <v>1648</v>
      </c>
      <c r="P496" t="s">
        <v>1645</v>
      </c>
      <c r="Q496" t="s">
        <v>1644</v>
      </c>
      <c r="R496" t="s">
        <v>1644</v>
      </c>
      <c r="S496" t="s">
        <v>1644</v>
      </c>
      <c r="T496" t="s">
        <v>1644</v>
      </c>
      <c r="U496" t="s">
        <v>1645</v>
      </c>
    </row>
    <row r="497" spans="1:21" x14ac:dyDescent="0.2">
      <c r="A497" t="s">
        <v>1773</v>
      </c>
      <c r="B497" t="s">
        <v>1749</v>
      </c>
      <c r="C497" t="s">
        <v>1746</v>
      </c>
      <c r="D497" t="s">
        <v>1643</v>
      </c>
      <c r="E497" t="s">
        <v>1644</v>
      </c>
      <c r="F497" t="s">
        <v>1644</v>
      </c>
      <c r="G497" t="s">
        <v>1645</v>
      </c>
      <c r="H497" t="s">
        <v>1645</v>
      </c>
      <c r="I497" t="s">
        <v>1645</v>
      </c>
      <c r="J497" t="s">
        <v>1645</v>
      </c>
      <c r="K497" t="s">
        <v>1645</v>
      </c>
      <c r="L497" t="s">
        <v>2028</v>
      </c>
      <c r="M497" t="s">
        <v>2029</v>
      </c>
      <c r="N497" t="s">
        <v>1890</v>
      </c>
      <c r="O497" t="s">
        <v>1648</v>
      </c>
      <c r="P497" t="s">
        <v>1645</v>
      </c>
      <c r="Q497" t="s">
        <v>1644</v>
      </c>
      <c r="R497" t="s">
        <v>1644</v>
      </c>
      <c r="S497" t="s">
        <v>1644</v>
      </c>
      <c r="T497" t="s">
        <v>1644</v>
      </c>
      <c r="U497" t="s">
        <v>1645</v>
      </c>
    </row>
    <row r="498" spans="1:21" x14ac:dyDescent="0.2">
      <c r="A498" t="s">
        <v>1777</v>
      </c>
      <c r="B498" t="s">
        <v>1664</v>
      </c>
      <c r="C498" t="s">
        <v>1642</v>
      </c>
      <c r="D498" t="s">
        <v>1643</v>
      </c>
      <c r="E498" t="s">
        <v>1644</v>
      </c>
      <c r="F498" t="s">
        <v>1644</v>
      </c>
      <c r="G498" t="s">
        <v>1645</v>
      </c>
      <c r="H498" t="s">
        <v>1645</v>
      </c>
      <c r="I498" t="s">
        <v>1645</v>
      </c>
      <c r="J498" t="s">
        <v>1645</v>
      </c>
      <c r="K498" t="s">
        <v>1645</v>
      </c>
      <c r="L498" t="s">
        <v>2028</v>
      </c>
      <c r="M498" t="s">
        <v>2029</v>
      </c>
      <c r="N498" t="s">
        <v>1890</v>
      </c>
      <c r="O498" t="s">
        <v>1648</v>
      </c>
      <c r="P498" t="s">
        <v>1645</v>
      </c>
      <c r="Q498" t="s">
        <v>1644</v>
      </c>
      <c r="R498" t="s">
        <v>1644</v>
      </c>
      <c r="S498" t="s">
        <v>1644</v>
      </c>
      <c r="T498" t="s">
        <v>1644</v>
      </c>
      <c r="U498" t="s">
        <v>1645</v>
      </c>
    </row>
    <row r="499" spans="1:21" x14ac:dyDescent="0.2">
      <c r="A499" t="s">
        <v>1778</v>
      </c>
      <c r="B499" t="s">
        <v>1666</v>
      </c>
      <c r="C499" t="s">
        <v>1642</v>
      </c>
      <c r="D499" t="s">
        <v>1643</v>
      </c>
      <c r="E499" t="s">
        <v>1644</v>
      </c>
      <c r="F499" t="s">
        <v>1644</v>
      </c>
      <c r="G499" t="s">
        <v>1645</v>
      </c>
      <c r="H499" t="s">
        <v>1645</v>
      </c>
      <c r="I499" t="s">
        <v>1645</v>
      </c>
      <c r="J499" t="s">
        <v>1645</v>
      </c>
      <c r="K499" t="s">
        <v>1645</v>
      </c>
      <c r="L499" t="s">
        <v>2028</v>
      </c>
      <c r="M499" t="s">
        <v>2029</v>
      </c>
      <c r="N499" t="s">
        <v>1890</v>
      </c>
      <c r="O499" t="s">
        <v>1648</v>
      </c>
      <c r="P499" t="s">
        <v>1645</v>
      </c>
      <c r="Q499" t="s">
        <v>1644</v>
      </c>
      <c r="R499" t="s">
        <v>1644</v>
      </c>
      <c r="S499" t="s">
        <v>1644</v>
      </c>
      <c r="T499" t="s">
        <v>1644</v>
      </c>
      <c r="U499" t="s">
        <v>1645</v>
      </c>
    </row>
    <row r="500" spans="1:21" x14ac:dyDescent="0.2">
      <c r="A500" t="s">
        <v>1773</v>
      </c>
      <c r="B500" t="s">
        <v>1749</v>
      </c>
      <c r="C500" t="s">
        <v>1746</v>
      </c>
      <c r="D500" t="s">
        <v>1643</v>
      </c>
      <c r="E500" t="s">
        <v>1644</v>
      </c>
      <c r="F500" t="s">
        <v>1644</v>
      </c>
      <c r="G500" t="s">
        <v>1645</v>
      </c>
      <c r="H500" t="s">
        <v>1645</v>
      </c>
      <c r="I500" t="s">
        <v>1645</v>
      </c>
      <c r="J500" t="s">
        <v>1645</v>
      </c>
      <c r="K500" t="s">
        <v>1645</v>
      </c>
      <c r="L500" t="s">
        <v>2030</v>
      </c>
      <c r="M500" t="s">
        <v>2031</v>
      </c>
      <c r="N500" t="s">
        <v>1890</v>
      </c>
      <c r="O500" t="s">
        <v>1648</v>
      </c>
      <c r="P500" t="s">
        <v>1645</v>
      </c>
      <c r="Q500" t="s">
        <v>1644</v>
      </c>
      <c r="R500" t="s">
        <v>1644</v>
      </c>
      <c r="S500" t="s">
        <v>1644</v>
      </c>
      <c r="T500" t="s">
        <v>1644</v>
      </c>
      <c r="U500" t="s">
        <v>1645</v>
      </c>
    </row>
    <row r="501" spans="1:21" x14ac:dyDescent="0.2">
      <c r="A501" t="s">
        <v>1777</v>
      </c>
      <c r="B501" t="s">
        <v>1668</v>
      </c>
      <c r="C501" t="s">
        <v>1642</v>
      </c>
      <c r="D501" t="s">
        <v>1643</v>
      </c>
      <c r="E501" t="s">
        <v>1644</v>
      </c>
      <c r="F501" t="s">
        <v>1644</v>
      </c>
      <c r="G501" t="s">
        <v>1645</v>
      </c>
      <c r="H501" t="s">
        <v>1645</v>
      </c>
      <c r="I501" t="s">
        <v>1645</v>
      </c>
      <c r="J501" t="s">
        <v>1645</v>
      </c>
      <c r="K501" t="s">
        <v>1645</v>
      </c>
      <c r="L501" t="s">
        <v>2030</v>
      </c>
      <c r="M501" t="s">
        <v>2031</v>
      </c>
      <c r="N501" t="s">
        <v>1890</v>
      </c>
      <c r="O501" t="s">
        <v>1648</v>
      </c>
      <c r="P501" t="s">
        <v>1645</v>
      </c>
      <c r="Q501" t="s">
        <v>1644</v>
      </c>
      <c r="R501" t="s">
        <v>1644</v>
      </c>
      <c r="S501" t="s">
        <v>1644</v>
      </c>
      <c r="T501" t="s">
        <v>1644</v>
      </c>
      <c r="U501" t="s">
        <v>1645</v>
      </c>
    </row>
    <row r="502" spans="1:21" x14ac:dyDescent="0.2">
      <c r="A502" t="s">
        <v>1778</v>
      </c>
      <c r="B502" t="s">
        <v>1670</v>
      </c>
      <c r="C502" t="s">
        <v>1642</v>
      </c>
      <c r="D502" t="s">
        <v>1643</v>
      </c>
      <c r="E502" t="s">
        <v>1644</v>
      </c>
      <c r="F502" t="s">
        <v>1644</v>
      </c>
      <c r="G502" t="s">
        <v>1645</v>
      </c>
      <c r="H502" t="s">
        <v>1645</v>
      </c>
      <c r="I502" t="s">
        <v>1645</v>
      </c>
      <c r="J502" t="s">
        <v>1645</v>
      </c>
      <c r="K502" t="s">
        <v>1645</v>
      </c>
      <c r="L502" t="s">
        <v>2030</v>
      </c>
      <c r="M502" t="s">
        <v>2031</v>
      </c>
      <c r="N502" t="s">
        <v>1890</v>
      </c>
      <c r="O502" t="s">
        <v>1648</v>
      </c>
      <c r="P502" t="s">
        <v>1645</v>
      </c>
      <c r="Q502" t="s">
        <v>1644</v>
      </c>
      <c r="R502" t="s">
        <v>1644</v>
      </c>
      <c r="S502" t="s">
        <v>1644</v>
      </c>
      <c r="T502" t="s">
        <v>1644</v>
      </c>
      <c r="U502" t="s">
        <v>1645</v>
      </c>
    </row>
    <row r="503" spans="1:21" x14ac:dyDescent="0.2">
      <c r="A503" t="s">
        <v>1773</v>
      </c>
      <c r="B503" t="s">
        <v>1749</v>
      </c>
      <c r="C503" t="s">
        <v>1746</v>
      </c>
      <c r="D503" t="s">
        <v>1643</v>
      </c>
      <c r="E503" t="s">
        <v>1644</v>
      </c>
      <c r="F503" t="s">
        <v>1644</v>
      </c>
      <c r="G503" t="s">
        <v>1645</v>
      </c>
      <c r="H503" t="s">
        <v>1645</v>
      </c>
      <c r="I503" t="s">
        <v>1645</v>
      </c>
      <c r="J503" t="s">
        <v>1645</v>
      </c>
      <c r="K503" t="s">
        <v>1645</v>
      </c>
      <c r="L503" t="s">
        <v>1895</v>
      </c>
      <c r="M503" t="s">
        <v>1896</v>
      </c>
      <c r="N503" t="s">
        <v>1897</v>
      </c>
      <c r="O503" t="s">
        <v>1648</v>
      </c>
      <c r="P503" t="s">
        <v>1645</v>
      </c>
      <c r="Q503" t="s">
        <v>1644</v>
      </c>
      <c r="R503" t="s">
        <v>1644</v>
      </c>
      <c r="S503" t="s">
        <v>1644</v>
      </c>
      <c r="T503" t="s">
        <v>1644</v>
      </c>
      <c r="U503" t="s">
        <v>1645</v>
      </c>
    </row>
    <row r="504" spans="1:21" x14ac:dyDescent="0.2">
      <c r="A504" t="s">
        <v>1777</v>
      </c>
      <c r="B504" t="s">
        <v>1660</v>
      </c>
      <c r="C504" t="s">
        <v>1642</v>
      </c>
      <c r="D504" t="s">
        <v>1643</v>
      </c>
      <c r="E504" t="s">
        <v>1644</v>
      </c>
      <c r="F504" t="s">
        <v>1644</v>
      </c>
      <c r="G504" t="s">
        <v>1645</v>
      </c>
      <c r="H504" t="s">
        <v>1645</v>
      </c>
      <c r="I504" t="s">
        <v>1645</v>
      </c>
      <c r="J504" t="s">
        <v>1645</v>
      </c>
      <c r="K504" t="s">
        <v>1645</v>
      </c>
      <c r="L504" t="s">
        <v>1895</v>
      </c>
      <c r="M504" t="s">
        <v>1896</v>
      </c>
      <c r="N504" t="s">
        <v>1897</v>
      </c>
      <c r="O504" t="s">
        <v>1648</v>
      </c>
      <c r="P504" t="s">
        <v>1645</v>
      </c>
      <c r="Q504" t="s">
        <v>1644</v>
      </c>
      <c r="R504" t="s">
        <v>1644</v>
      </c>
      <c r="S504" t="s">
        <v>1644</v>
      </c>
      <c r="T504" t="s">
        <v>1644</v>
      </c>
      <c r="U504" t="s">
        <v>1645</v>
      </c>
    </row>
    <row r="505" spans="1:21" x14ac:dyDescent="0.2">
      <c r="A505" t="s">
        <v>1778</v>
      </c>
      <c r="B505" t="s">
        <v>1662</v>
      </c>
      <c r="C505" t="s">
        <v>1642</v>
      </c>
      <c r="D505" t="s">
        <v>1643</v>
      </c>
      <c r="E505" t="s">
        <v>1644</v>
      </c>
      <c r="F505" t="s">
        <v>1644</v>
      </c>
      <c r="G505" t="s">
        <v>1645</v>
      </c>
      <c r="H505" t="s">
        <v>1645</v>
      </c>
      <c r="I505" t="s">
        <v>1645</v>
      </c>
      <c r="J505" t="s">
        <v>1645</v>
      </c>
      <c r="K505" t="s">
        <v>1645</v>
      </c>
      <c r="L505" t="s">
        <v>1895</v>
      </c>
      <c r="M505" t="s">
        <v>1896</v>
      </c>
      <c r="N505" t="s">
        <v>1897</v>
      </c>
      <c r="O505" t="s">
        <v>1648</v>
      </c>
      <c r="P505" t="s">
        <v>1645</v>
      </c>
      <c r="Q505" t="s">
        <v>1644</v>
      </c>
      <c r="R505" t="s">
        <v>1644</v>
      </c>
      <c r="S505" t="s">
        <v>1644</v>
      </c>
      <c r="T505" t="s">
        <v>1644</v>
      </c>
      <c r="U505" t="s">
        <v>1645</v>
      </c>
    </row>
    <row r="506" spans="1:21" x14ac:dyDescent="0.2">
      <c r="A506" t="s">
        <v>1798</v>
      </c>
      <c r="B506" t="s">
        <v>1664</v>
      </c>
      <c r="C506" t="s">
        <v>1642</v>
      </c>
      <c r="D506" t="s">
        <v>1643</v>
      </c>
      <c r="E506" t="s">
        <v>1644</v>
      </c>
      <c r="F506" t="s">
        <v>1644</v>
      </c>
      <c r="G506" t="s">
        <v>1645</v>
      </c>
      <c r="H506" t="s">
        <v>1645</v>
      </c>
      <c r="I506" t="s">
        <v>1645</v>
      </c>
      <c r="J506" t="s">
        <v>1645</v>
      </c>
      <c r="K506" t="s">
        <v>1645</v>
      </c>
      <c r="L506" t="s">
        <v>1895</v>
      </c>
      <c r="M506" t="s">
        <v>1896</v>
      </c>
      <c r="N506" t="s">
        <v>1897</v>
      </c>
      <c r="O506" t="s">
        <v>1648</v>
      </c>
      <c r="P506" t="s">
        <v>1645</v>
      </c>
      <c r="Q506" t="s">
        <v>1644</v>
      </c>
      <c r="R506" t="s">
        <v>1644</v>
      </c>
      <c r="S506" t="s">
        <v>1644</v>
      </c>
      <c r="T506" t="s">
        <v>1644</v>
      </c>
      <c r="U506" t="s">
        <v>1645</v>
      </c>
    </row>
    <row r="507" spans="1:21" x14ac:dyDescent="0.2">
      <c r="A507" t="s">
        <v>1799</v>
      </c>
      <c r="B507" t="s">
        <v>1666</v>
      </c>
      <c r="C507" t="s">
        <v>1642</v>
      </c>
      <c r="D507" t="s">
        <v>1643</v>
      </c>
      <c r="E507" t="s">
        <v>1644</v>
      </c>
      <c r="F507" t="s">
        <v>1644</v>
      </c>
      <c r="G507" t="s">
        <v>1645</v>
      </c>
      <c r="H507" t="s">
        <v>1645</v>
      </c>
      <c r="I507" t="s">
        <v>1645</v>
      </c>
      <c r="J507" t="s">
        <v>1645</v>
      </c>
      <c r="K507" t="s">
        <v>1645</v>
      </c>
      <c r="L507" t="s">
        <v>1895</v>
      </c>
      <c r="M507" t="s">
        <v>1896</v>
      </c>
      <c r="N507" t="s">
        <v>1897</v>
      </c>
      <c r="O507" t="s">
        <v>1648</v>
      </c>
      <c r="P507" t="s">
        <v>1645</v>
      </c>
      <c r="Q507" t="s">
        <v>1644</v>
      </c>
      <c r="R507" t="s">
        <v>1644</v>
      </c>
      <c r="S507" t="s">
        <v>1644</v>
      </c>
      <c r="T507" t="s">
        <v>1644</v>
      </c>
      <c r="U507" t="s">
        <v>1645</v>
      </c>
    </row>
    <row r="508" spans="1:21" x14ac:dyDescent="0.2">
      <c r="A508" t="s">
        <v>1773</v>
      </c>
      <c r="B508" t="s">
        <v>1749</v>
      </c>
      <c r="C508" t="s">
        <v>1746</v>
      </c>
      <c r="D508" t="s">
        <v>1643</v>
      </c>
      <c r="E508" t="s">
        <v>1644</v>
      </c>
      <c r="F508" t="s">
        <v>1644</v>
      </c>
      <c r="G508" t="s">
        <v>1645</v>
      </c>
      <c r="H508" t="s">
        <v>1645</v>
      </c>
      <c r="I508" t="s">
        <v>1645</v>
      </c>
      <c r="J508" t="s">
        <v>1645</v>
      </c>
      <c r="K508" t="s">
        <v>1645</v>
      </c>
      <c r="L508" t="s">
        <v>1898</v>
      </c>
      <c r="M508" t="s">
        <v>1899</v>
      </c>
      <c r="N508" t="s">
        <v>1897</v>
      </c>
      <c r="O508" t="s">
        <v>1648</v>
      </c>
      <c r="P508" t="s">
        <v>1645</v>
      </c>
      <c r="Q508" t="s">
        <v>1644</v>
      </c>
      <c r="R508" t="s">
        <v>1644</v>
      </c>
      <c r="S508" t="s">
        <v>1644</v>
      </c>
      <c r="T508" t="s">
        <v>1644</v>
      </c>
      <c r="U508" t="s">
        <v>1645</v>
      </c>
    </row>
    <row r="509" spans="1:21" x14ac:dyDescent="0.2">
      <c r="A509" t="s">
        <v>1777</v>
      </c>
      <c r="B509" t="s">
        <v>1689</v>
      </c>
      <c r="C509" t="s">
        <v>1642</v>
      </c>
      <c r="D509" t="s">
        <v>1643</v>
      </c>
      <c r="E509" t="s">
        <v>1644</v>
      </c>
      <c r="F509" t="s">
        <v>1644</v>
      </c>
      <c r="G509" t="s">
        <v>1645</v>
      </c>
      <c r="H509" t="s">
        <v>1645</v>
      </c>
      <c r="I509" t="s">
        <v>1645</v>
      </c>
      <c r="J509" t="s">
        <v>1645</v>
      </c>
      <c r="K509" t="s">
        <v>1645</v>
      </c>
      <c r="L509" t="s">
        <v>1898</v>
      </c>
      <c r="M509" t="s">
        <v>1899</v>
      </c>
      <c r="N509" t="s">
        <v>1897</v>
      </c>
      <c r="O509" t="s">
        <v>1648</v>
      </c>
      <c r="P509" t="s">
        <v>1645</v>
      </c>
      <c r="Q509" t="s">
        <v>1644</v>
      </c>
      <c r="R509" t="s">
        <v>1644</v>
      </c>
      <c r="S509" t="s">
        <v>1644</v>
      </c>
      <c r="T509" t="s">
        <v>1644</v>
      </c>
      <c r="U509" t="s">
        <v>1645</v>
      </c>
    </row>
    <row r="510" spans="1:21" x14ac:dyDescent="0.2">
      <c r="A510" t="s">
        <v>1778</v>
      </c>
      <c r="B510" t="s">
        <v>1691</v>
      </c>
      <c r="C510" t="s">
        <v>1642</v>
      </c>
      <c r="D510" t="s">
        <v>1643</v>
      </c>
      <c r="E510" t="s">
        <v>1644</v>
      </c>
      <c r="F510" t="s">
        <v>1644</v>
      </c>
      <c r="G510" t="s">
        <v>1645</v>
      </c>
      <c r="H510" t="s">
        <v>1645</v>
      </c>
      <c r="I510" t="s">
        <v>1645</v>
      </c>
      <c r="J510" t="s">
        <v>1645</v>
      </c>
      <c r="K510" t="s">
        <v>1645</v>
      </c>
      <c r="L510" t="s">
        <v>1898</v>
      </c>
      <c r="M510" t="s">
        <v>1899</v>
      </c>
      <c r="N510" t="s">
        <v>1897</v>
      </c>
      <c r="O510" t="s">
        <v>1648</v>
      </c>
      <c r="P510" t="s">
        <v>1645</v>
      </c>
      <c r="Q510" t="s">
        <v>1644</v>
      </c>
      <c r="R510" t="s">
        <v>1644</v>
      </c>
      <c r="S510" t="s">
        <v>1644</v>
      </c>
      <c r="T510" t="s">
        <v>1644</v>
      </c>
      <c r="U510" t="s">
        <v>1645</v>
      </c>
    </row>
    <row r="511" spans="1:21" x14ac:dyDescent="0.2">
      <c r="A511" t="s">
        <v>1773</v>
      </c>
      <c r="B511" t="s">
        <v>1749</v>
      </c>
      <c r="C511" t="s">
        <v>1746</v>
      </c>
      <c r="D511" t="s">
        <v>1643</v>
      </c>
      <c r="E511" t="s">
        <v>1644</v>
      </c>
      <c r="F511" t="s">
        <v>1644</v>
      </c>
      <c r="G511" t="s">
        <v>1645</v>
      </c>
      <c r="H511" t="s">
        <v>1645</v>
      </c>
      <c r="I511" t="s">
        <v>1645</v>
      </c>
      <c r="J511" t="s">
        <v>1645</v>
      </c>
      <c r="K511" t="s">
        <v>1645</v>
      </c>
      <c r="L511" t="s">
        <v>1900</v>
      </c>
      <c r="M511" t="s">
        <v>1901</v>
      </c>
      <c r="N511" t="s">
        <v>1897</v>
      </c>
      <c r="O511" t="s">
        <v>1648</v>
      </c>
      <c r="P511" t="s">
        <v>1645</v>
      </c>
      <c r="Q511" t="s">
        <v>1644</v>
      </c>
      <c r="R511" t="s">
        <v>1644</v>
      </c>
      <c r="S511" t="s">
        <v>1644</v>
      </c>
      <c r="T511" t="s">
        <v>1644</v>
      </c>
      <c r="U511" t="s">
        <v>1645</v>
      </c>
    </row>
    <row r="512" spans="1:21" x14ac:dyDescent="0.2">
      <c r="A512" t="s">
        <v>1777</v>
      </c>
      <c r="B512" t="s">
        <v>2062</v>
      </c>
      <c r="C512" t="s">
        <v>1642</v>
      </c>
      <c r="D512" t="s">
        <v>1643</v>
      </c>
      <c r="E512" t="s">
        <v>1644</v>
      </c>
      <c r="F512" t="s">
        <v>1644</v>
      </c>
      <c r="G512" t="s">
        <v>1645</v>
      </c>
      <c r="H512" t="s">
        <v>1645</v>
      </c>
      <c r="I512" t="s">
        <v>1645</v>
      </c>
      <c r="J512" t="s">
        <v>1645</v>
      </c>
      <c r="K512" t="s">
        <v>1645</v>
      </c>
      <c r="L512" t="s">
        <v>1900</v>
      </c>
      <c r="M512" t="s">
        <v>1901</v>
      </c>
      <c r="N512" t="s">
        <v>1897</v>
      </c>
      <c r="O512" t="s">
        <v>1648</v>
      </c>
      <c r="P512" t="s">
        <v>1645</v>
      </c>
      <c r="Q512" t="s">
        <v>1644</v>
      </c>
      <c r="R512" t="s">
        <v>1644</v>
      </c>
      <c r="S512" t="s">
        <v>1644</v>
      </c>
      <c r="T512" t="s">
        <v>1644</v>
      </c>
      <c r="U512" t="s">
        <v>1645</v>
      </c>
    </row>
    <row r="513" spans="1:21" x14ac:dyDescent="0.2">
      <c r="A513" t="s">
        <v>1778</v>
      </c>
      <c r="B513" t="s">
        <v>2063</v>
      </c>
      <c r="C513" t="s">
        <v>1642</v>
      </c>
      <c r="D513" t="s">
        <v>1643</v>
      </c>
      <c r="E513" t="s">
        <v>1644</v>
      </c>
      <c r="F513" t="s">
        <v>1644</v>
      </c>
      <c r="G513" t="s">
        <v>1645</v>
      </c>
      <c r="H513" t="s">
        <v>1645</v>
      </c>
      <c r="I513" t="s">
        <v>1645</v>
      </c>
      <c r="J513" t="s">
        <v>1645</v>
      </c>
      <c r="K513" t="s">
        <v>1645</v>
      </c>
      <c r="L513" t="s">
        <v>1900</v>
      </c>
      <c r="M513" t="s">
        <v>1901</v>
      </c>
      <c r="N513" t="s">
        <v>1897</v>
      </c>
      <c r="O513" t="s">
        <v>1648</v>
      </c>
      <c r="P513" t="s">
        <v>1645</v>
      </c>
      <c r="Q513" t="s">
        <v>1644</v>
      </c>
      <c r="R513" t="s">
        <v>1644</v>
      </c>
      <c r="S513" t="s">
        <v>1644</v>
      </c>
      <c r="T513" t="s">
        <v>1644</v>
      </c>
      <c r="U513" t="s">
        <v>1645</v>
      </c>
    </row>
    <row r="514" spans="1:21" x14ac:dyDescent="0.2">
      <c r="A514" t="s">
        <v>1773</v>
      </c>
      <c r="B514" t="s">
        <v>1749</v>
      </c>
      <c r="C514" t="s">
        <v>1746</v>
      </c>
      <c r="D514" t="s">
        <v>1643</v>
      </c>
      <c r="E514" t="s">
        <v>1644</v>
      </c>
      <c r="F514" t="s">
        <v>1644</v>
      </c>
      <c r="G514" t="s">
        <v>1645</v>
      </c>
      <c r="H514" t="s">
        <v>1645</v>
      </c>
      <c r="I514" t="s">
        <v>1645</v>
      </c>
      <c r="J514" t="s">
        <v>1645</v>
      </c>
      <c r="K514" t="s">
        <v>1645</v>
      </c>
      <c r="L514" t="s">
        <v>2032</v>
      </c>
      <c r="M514" t="s">
        <v>2033</v>
      </c>
      <c r="N514" t="s">
        <v>1897</v>
      </c>
      <c r="O514" t="s">
        <v>1648</v>
      </c>
      <c r="P514" t="s">
        <v>1645</v>
      </c>
      <c r="Q514" t="s">
        <v>1644</v>
      </c>
      <c r="R514" t="s">
        <v>1644</v>
      </c>
      <c r="S514" t="s">
        <v>1644</v>
      </c>
      <c r="T514" t="s">
        <v>1644</v>
      </c>
      <c r="U514" t="s">
        <v>1645</v>
      </c>
    </row>
    <row r="515" spans="1:21" x14ac:dyDescent="0.2">
      <c r="A515" t="s">
        <v>1777</v>
      </c>
      <c r="B515" t="s">
        <v>1703</v>
      </c>
      <c r="C515" t="s">
        <v>1642</v>
      </c>
      <c r="D515" t="s">
        <v>1643</v>
      </c>
      <c r="E515" t="s">
        <v>1644</v>
      </c>
      <c r="F515" t="s">
        <v>1644</v>
      </c>
      <c r="G515" t="s">
        <v>1645</v>
      </c>
      <c r="H515" t="s">
        <v>1645</v>
      </c>
      <c r="I515" t="s">
        <v>1645</v>
      </c>
      <c r="J515" t="s">
        <v>1645</v>
      </c>
      <c r="K515" t="s">
        <v>1645</v>
      </c>
      <c r="L515" t="s">
        <v>2032</v>
      </c>
      <c r="M515" t="s">
        <v>2033</v>
      </c>
      <c r="N515" t="s">
        <v>1897</v>
      </c>
      <c r="O515" t="s">
        <v>1648</v>
      </c>
      <c r="P515" t="s">
        <v>1645</v>
      </c>
      <c r="Q515" t="s">
        <v>1644</v>
      </c>
      <c r="R515" t="s">
        <v>1644</v>
      </c>
      <c r="S515" t="s">
        <v>1644</v>
      </c>
      <c r="T515" t="s">
        <v>1644</v>
      </c>
      <c r="U515" t="s">
        <v>1645</v>
      </c>
    </row>
    <row r="516" spans="1:21" x14ac:dyDescent="0.2">
      <c r="A516" t="s">
        <v>1778</v>
      </c>
      <c r="B516" t="s">
        <v>1705</v>
      </c>
      <c r="C516" t="s">
        <v>1642</v>
      </c>
      <c r="D516" t="s">
        <v>1643</v>
      </c>
      <c r="E516" t="s">
        <v>1644</v>
      </c>
      <c r="F516" t="s">
        <v>1644</v>
      </c>
      <c r="G516" t="s">
        <v>1645</v>
      </c>
      <c r="H516" t="s">
        <v>1645</v>
      </c>
      <c r="I516" t="s">
        <v>1645</v>
      </c>
      <c r="J516" t="s">
        <v>1645</v>
      </c>
      <c r="K516" t="s">
        <v>1645</v>
      </c>
      <c r="L516" t="s">
        <v>2032</v>
      </c>
      <c r="M516" t="s">
        <v>2033</v>
      </c>
      <c r="N516" t="s">
        <v>1897</v>
      </c>
      <c r="O516" t="s">
        <v>1648</v>
      </c>
      <c r="P516" t="s">
        <v>1645</v>
      </c>
      <c r="Q516" t="s">
        <v>1644</v>
      </c>
      <c r="R516" t="s">
        <v>1644</v>
      </c>
      <c r="S516" t="s">
        <v>1644</v>
      </c>
      <c r="T516" t="s">
        <v>1644</v>
      </c>
      <c r="U516" t="s">
        <v>1645</v>
      </c>
    </row>
    <row r="517" spans="1:21" x14ac:dyDescent="0.2">
      <c r="A517" t="s">
        <v>1773</v>
      </c>
      <c r="B517" t="s">
        <v>1749</v>
      </c>
      <c r="C517" t="s">
        <v>1746</v>
      </c>
      <c r="D517" t="s">
        <v>1643</v>
      </c>
      <c r="E517" t="s">
        <v>1644</v>
      </c>
      <c r="F517" t="s">
        <v>1644</v>
      </c>
      <c r="G517" t="s">
        <v>1645</v>
      </c>
      <c r="H517" t="s">
        <v>1645</v>
      </c>
      <c r="I517" t="s">
        <v>1645</v>
      </c>
      <c r="J517" t="s">
        <v>1645</v>
      </c>
      <c r="K517" t="s">
        <v>1645</v>
      </c>
      <c r="L517" t="s">
        <v>2034</v>
      </c>
      <c r="M517" t="s">
        <v>2035</v>
      </c>
      <c r="N517" t="s">
        <v>1897</v>
      </c>
      <c r="O517" t="s">
        <v>1648</v>
      </c>
      <c r="P517" t="s">
        <v>1645</v>
      </c>
      <c r="Q517" t="s">
        <v>1644</v>
      </c>
      <c r="R517" t="s">
        <v>1644</v>
      </c>
      <c r="S517" t="s">
        <v>1644</v>
      </c>
      <c r="T517" t="s">
        <v>1644</v>
      </c>
      <c r="U517" t="s">
        <v>1645</v>
      </c>
    </row>
    <row r="518" spans="1:21" x14ac:dyDescent="0.2">
      <c r="A518" t="s">
        <v>1777</v>
      </c>
      <c r="B518" t="s">
        <v>1664</v>
      </c>
      <c r="C518" t="s">
        <v>1642</v>
      </c>
      <c r="D518" t="s">
        <v>1643</v>
      </c>
      <c r="E518" t="s">
        <v>1644</v>
      </c>
      <c r="F518" t="s">
        <v>1644</v>
      </c>
      <c r="G518" t="s">
        <v>1645</v>
      </c>
      <c r="H518" t="s">
        <v>1645</v>
      </c>
      <c r="I518" t="s">
        <v>1645</v>
      </c>
      <c r="J518" t="s">
        <v>1645</v>
      </c>
      <c r="K518" t="s">
        <v>1645</v>
      </c>
      <c r="L518" t="s">
        <v>2034</v>
      </c>
      <c r="M518" t="s">
        <v>2035</v>
      </c>
      <c r="N518" t="s">
        <v>1897</v>
      </c>
      <c r="O518" t="s">
        <v>1648</v>
      </c>
      <c r="P518" t="s">
        <v>1645</v>
      </c>
      <c r="Q518" t="s">
        <v>1644</v>
      </c>
      <c r="R518" t="s">
        <v>1644</v>
      </c>
      <c r="S518" t="s">
        <v>1644</v>
      </c>
      <c r="T518" t="s">
        <v>1644</v>
      </c>
      <c r="U518" t="s">
        <v>1645</v>
      </c>
    </row>
    <row r="519" spans="1:21" x14ac:dyDescent="0.2">
      <c r="A519" t="s">
        <v>1778</v>
      </c>
      <c r="B519" t="s">
        <v>1666</v>
      </c>
      <c r="C519" t="s">
        <v>1642</v>
      </c>
      <c r="D519" t="s">
        <v>1643</v>
      </c>
      <c r="E519" t="s">
        <v>1644</v>
      </c>
      <c r="F519" t="s">
        <v>1644</v>
      </c>
      <c r="G519" t="s">
        <v>1645</v>
      </c>
      <c r="H519" t="s">
        <v>1645</v>
      </c>
      <c r="I519" t="s">
        <v>1645</v>
      </c>
      <c r="J519" t="s">
        <v>1645</v>
      </c>
      <c r="K519" t="s">
        <v>1645</v>
      </c>
      <c r="L519" t="s">
        <v>2034</v>
      </c>
      <c r="M519" t="s">
        <v>2035</v>
      </c>
      <c r="N519" t="s">
        <v>1897</v>
      </c>
      <c r="O519" t="s">
        <v>1648</v>
      </c>
      <c r="P519" t="s">
        <v>1645</v>
      </c>
      <c r="Q519" t="s">
        <v>1644</v>
      </c>
      <c r="R519" t="s">
        <v>1644</v>
      </c>
      <c r="S519" t="s">
        <v>1644</v>
      </c>
      <c r="T519" t="s">
        <v>1644</v>
      </c>
      <c r="U519" t="s">
        <v>1645</v>
      </c>
    </row>
    <row r="520" spans="1:21" x14ac:dyDescent="0.2">
      <c r="A520" t="s">
        <v>1773</v>
      </c>
      <c r="B520" t="s">
        <v>1749</v>
      </c>
      <c r="C520" t="s">
        <v>1746</v>
      </c>
      <c r="D520" t="s">
        <v>1643</v>
      </c>
      <c r="E520" t="s">
        <v>1644</v>
      </c>
      <c r="F520" t="s">
        <v>1644</v>
      </c>
      <c r="G520" t="s">
        <v>1645</v>
      </c>
      <c r="H520" t="s">
        <v>1645</v>
      </c>
      <c r="I520" t="s">
        <v>1645</v>
      </c>
      <c r="J520" t="s">
        <v>1645</v>
      </c>
      <c r="K520" t="s">
        <v>1645</v>
      </c>
      <c r="L520" t="s">
        <v>2036</v>
      </c>
      <c r="M520" t="s">
        <v>2037</v>
      </c>
      <c r="N520" t="s">
        <v>1897</v>
      </c>
      <c r="O520" t="s">
        <v>1648</v>
      </c>
      <c r="P520" t="s">
        <v>1645</v>
      </c>
      <c r="Q520" t="s">
        <v>1644</v>
      </c>
      <c r="R520" t="s">
        <v>1644</v>
      </c>
      <c r="S520" t="s">
        <v>1644</v>
      </c>
      <c r="T520" t="s">
        <v>1644</v>
      </c>
      <c r="U520" t="s">
        <v>1645</v>
      </c>
    </row>
    <row r="521" spans="1:21" x14ac:dyDescent="0.2">
      <c r="A521" t="s">
        <v>1777</v>
      </c>
      <c r="B521" t="s">
        <v>1668</v>
      </c>
      <c r="C521" t="s">
        <v>1642</v>
      </c>
      <c r="D521" t="s">
        <v>1643</v>
      </c>
      <c r="E521" t="s">
        <v>1644</v>
      </c>
      <c r="F521" t="s">
        <v>1644</v>
      </c>
      <c r="G521" t="s">
        <v>1645</v>
      </c>
      <c r="H521" t="s">
        <v>1645</v>
      </c>
      <c r="I521" t="s">
        <v>1645</v>
      </c>
      <c r="J521" t="s">
        <v>1645</v>
      </c>
      <c r="K521" t="s">
        <v>1645</v>
      </c>
      <c r="L521" t="s">
        <v>2036</v>
      </c>
      <c r="M521" t="s">
        <v>2037</v>
      </c>
      <c r="N521" t="s">
        <v>1897</v>
      </c>
      <c r="O521" t="s">
        <v>1648</v>
      </c>
      <c r="P521" t="s">
        <v>1645</v>
      </c>
      <c r="Q521" t="s">
        <v>1644</v>
      </c>
      <c r="R521" t="s">
        <v>1644</v>
      </c>
      <c r="S521" t="s">
        <v>1644</v>
      </c>
      <c r="T521" t="s">
        <v>1644</v>
      </c>
      <c r="U521" t="s">
        <v>1645</v>
      </c>
    </row>
    <row r="522" spans="1:21" x14ac:dyDescent="0.2">
      <c r="A522" t="s">
        <v>1778</v>
      </c>
      <c r="B522" t="s">
        <v>1670</v>
      </c>
      <c r="C522" t="s">
        <v>1642</v>
      </c>
      <c r="D522" t="s">
        <v>1643</v>
      </c>
      <c r="E522" t="s">
        <v>1644</v>
      </c>
      <c r="F522" t="s">
        <v>1644</v>
      </c>
      <c r="G522" t="s">
        <v>1645</v>
      </c>
      <c r="H522" t="s">
        <v>1645</v>
      </c>
      <c r="I522" t="s">
        <v>1645</v>
      </c>
      <c r="J522" t="s">
        <v>1645</v>
      </c>
      <c r="K522" t="s">
        <v>1645</v>
      </c>
      <c r="L522" t="s">
        <v>2036</v>
      </c>
      <c r="M522" t="s">
        <v>2037</v>
      </c>
      <c r="N522" t="s">
        <v>1897</v>
      </c>
      <c r="O522" t="s">
        <v>1648</v>
      </c>
      <c r="P522" t="s">
        <v>1645</v>
      </c>
      <c r="Q522" t="s">
        <v>1644</v>
      </c>
      <c r="R522" t="s">
        <v>1644</v>
      </c>
      <c r="S522" t="s">
        <v>1644</v>
      </c>
      <c r="T522" t="s">
        <v>1644</v>
      </c>
      <c r="U522" t="s">
        <v>1645</v>
      </c>
    </row>
    <row r="523" spans="1:21" x14ac:dyDescent="0.2">
      <c r="A523" t="s">
        <v>1902</v>
      </c>
      <c r="B523" t="s">
        <v>1749</v>
      </c>
      <c r="C523" t="s">
        <v>1750</v>
      </c>
      <c r="D523" t="s">
        <v>1643</v>
      </c>
      <c r="E523" t="s">
        <v>1644</v>
      </c>
      <c r="F523" t="s">
        <v>1644</v>
      </c>
      <c r="G523" t="s">
        <v>1751</v>
      </c>
      <c r="H523" t="s">
        <v>1645</v>
      </c>
      <c r="I523" t="s">
        <v>1645</v>
      </c>
      <c r="J523" t="s">
        <v>1645</v>
      </c>
      <c r="K523" t="s">
        <v>1645</v>
      </c>
      <c r="L523" t="s">
        <v>1903</v>
      </c>
      <c r="M523" t="s">
        <v>1904</v>
      </c>
      <c r="N523" t="s">
        <v>197</v>
      </c>
      <c r="O523" t="s">
        <v>1662</v>
      </c>
      <c r="P523" t="s">
        <v>1689</v>
      </c>
      <c r="Q523" t="s">
        <v>1644</v>
      </c>
      <c r="R523" t="s">
        <v>1644</v>
      </c>
      <c r="S523" t="s">
        <v>1643</v>
      </c>
      <c r="T523" t="s">
        <v>1644</v>
      </c>
      <c r="U523" t="s">
        <v>1645</v>
      </c>
    </row>
    <row r="524" spans="1:21" x14ac:dyDescent="0.2">
      <c r="A524" t="s">
        <v>1920</v>
      </c>
      <c r="B524" t="s">
        <v>1641</v>
      </c>
      <c r="C524" t="s">
        <v>1750</v>
      </c>
      <c r="D524" t="s">
        <v>1643</v>
      </c>
      <c r="E524" t="s">
        <v>1644</v>
      </c>
      <c r="F524" t="s">
        <v>1643</v>
      </c>
      <c r="G524" t="s">
        <v>1645</v>
      </c>
      <c r="H524" t="s">
        <v>1645</v>
      </c>
      <c r="I524" t="s">
        <v>1645</v>
      </c>
      <c r="J524" t="s">
        <v>1645</v>
      </c>
      <c r="K524" t="s">
        <v>1645</v>
      </c>
      <c r="L524" t="s">
        <v>1903</v>
      </c>
      <c r="M524" t="s">
        <v>1904</v>
      </c>
      <c r="N524" t="s">
        <v>197</v>
      </c>
      <c r="O524" t="s">
        <v>1662</v>
      </c>
      <c r="P524" t="s">
        <v>1689</v>
      </c>
      <c r="Q524" t="s">
        <v>1644</v>
      </c>
      <c r="R524" t="s">
        <v>1644</v>
      </c>
      <c r="S524" t="s">
        <v>1643</v>
      </c>
      <c r="T524" t="s">
        <v>1644</v>
      </c>
      <c r="U524" t="s">
        <v>1645</v>
      </c>
    </row>
    <row r="525" spans="1:21" x14ac:dyDescent="0.2">
      <c r="A525" t="s">
        <v>1930</v>
      </c>
      <c r="B525" t="s">
        <v>1650</v>
      </c>
      <c r="C525" t="s">
        <v>1750</v>
      </c>
      <c r="D525" t="s">
        <v>1643</v>
      </c>
      <c r="E525" t="s">
        <v>1644</v>
      </c>
      <c r="F525" t="s">
        <v>1644</v>
      </c>
      <c r="G525" t="s">
        <v>1645</v>
      </c>
      <c r="H525" t="s">
        <v>1645</v>
      </c>
      <c r="I525" t="s">
        <v>1645</v>
      </c>
      <c r="J525" t="s">
        <v>1645</v>
      </c>
      <c r="K525" t="s">
        <v>1645</v>
      </c>
      <c r="L525" t="s">
        <v>1903</v>
      </c>
      <c r="M525" t="s">
        <v>1904</v>
      </c>
      <c r="N525" t="s">
        <v>197</v>
      </c>
      <c r="O525" t="s">
        <v>1662</v>
      </c>
      <c r="P525" t="s">
        <v>1689</v>
      </c>
      <c r="Q525" t="s">
        <v>1644</v>
      </c>
      <c r="R525" t="s">
        <v>1644</v>
      </c>
      <c r="S525" t="s">
        <v>1643</v>
      </c>
      <c r="T525" t="s">
        <v>1644</v>
      </c>
      <c r="U525" t="s">
        <v>1645</v>
      </c>
    </row>
    <row r="526" spans="1:21" x14ac:dyDescent="0.2">
      <c r="A526" t="s">
        <v>2038</v>
      </c>
      <c r="B526" t="s">
        <v>1652</v>
      </c>
      <c r="C526" t="s">
        <v>1750</v>
      </c>
      <c r="D526" t="s">
        <v>1644</v>
      </c>
      <c r="E526" t="s">
        <v>1644</v>
      </c>
      <c r="F526" t="s">
        <v>1644</v>
      </c>
      <c r="G526" t="s">
        <v>1645</v>
      </c>
      <c r="H526" t="s">
        <v>1645</v>
      </c>
      <c r="I526" t="s">
        <v>1645</v>
      </c>
      <c r="J526" t="s">
        <v>1645</v>
      </c>
      <c r="K526" t="s">
        <v>1645</v>
      </c>
      <c r="L526" t="s">
        <v>1903</v>
      </c>
      <c r="M526" t="s">
        <v>1904</v>
      </c>
      <c r="N526" t="s">
        <v>197</v>
      </c>
      <c r="O526" t="s">
        <v>1662</v>
      </c>
      <c r="P526" t="s">
        <v>1689</v>
      </c>
      <c r="Q526" t="s">
        <v>1644</v>
      </c>
      <c r="R526" t="s">
        <v>1644</v>
      </c>
      <c r="S526" t="s">
        <v>1643</v>
      </c>
      <c r="T526" t="s">
        <v>1644</v>
      </c>
      <c r="U526" t="s">
        <v>1645</v>
      </c>
    </row>
    <row r="527" spans="1:21" x14ac:dyDescent="0.2">
      <c r="A527" t="s">
        <v>2039</v>
      </c>
      <c r="B527" t="s">
        <v>1654</v>
      </c>
      <c r="C527" t="s">
        <v>1750</v>
      </c>
      <c r="D527" t="s">
        <v>1643</v>
      </c>
      <c r="E527" t="s">
        <v>1644</v>
      </c>
      <c r="F527" t="s">
        <v>1644</v>
      </c>
      <c r="G527" t="s">
        <v>1645</v>
      </c>
      <c r="H527" t="s">
        <v>1645</v>
      </c>
      <c r="I527" t="s">
        <v>1645</v>
      </c>
      <c r="J527" t="s">
        <v>1645</v>
      </c>
      <c r="K527" t="s">
        <v>1645</v>
      </c>
      <c r="L527" t="s">
        <v>1903</v>
      </c>
      <c r="M527" t="s">
        <v>1904</v>
      </c>
      <c r="N527" t="s">
        <v>197</v>
      </c>
      <c r="O527" t="s">
        <v>1662</v>
      </c>
      <c r="P527" t="s">
        <v>1689</v>
      </c>
      <c r="Q527" t="s">
        <v>1644</v>
      </c>
      <c r="R527" t="s">
        <v>1644</v>
      </c>
      <c r="S527" t="s">
        <v>1643</v>
      </c>
      <c r="T527" t="s">
        <v>1644</v>
      </c>
      <c r="U527" t="s">
        <v>1645</v>
      </c>
    </row>
    <row r="528" spans="1:21" x14ac:dyDescent="0.2">
      <c r="A528" t="s">
        <v>2040</v>
      </c>
      <c r="B528" t="s">
        <v>1656</v>
      </c>
      <c r="C528" t="s">
        <v>1746</v>
      </c>
      <c r="D528" t="s">
        <v>1643</v>
      </c>
      <c r="E528" t="s">
        <v>1644</v>
      </c>
      <c r="F528" t="s">
        <v>1644</v>
      </c>
      <c r="G528" t="s">
        <v>1645</v>
      </c>
      <c r="H528" t="s">
        <v>1645</v>
      </c>
      <c r="I528" t="s">
        <v>1645</v>
      </c>
      <c r="J528" t="s">
        <v>1645</v>
      </c>
      <c r="K528" t="s">
        <v>1645</v>
      </c>
      <c r="L528" t="s">
        <v>1903</v>
      </c>
      <c r="M528" t="s">
        <v>1904</v>
      </c>
      <c r="N528" t="s">
        <v>197</v>
      </c>
      <c r="O528" t="s">
        <v>1662</v>
      </c>
      <c r="P528" t="s">
        <v>1689</v>
      </c>
      <c r="Q528" t="s">
        <v>1644</v>
      </c>
      <c r="R528" t="s">
        <v>1644</v>
      </c>
      <c r="S528" t="s">
        <v>1643</v>
      </c>
      <c r="T528" t="s">
        <v>1644</v>
      </c>
      <c r="U528" t="s">
        <v>1645</v>
      </c>
    </row>
    <row r="529" spans="1:21" x14ac:dyDescent="0.2">
      <c r="A529" t="s">
        <v>2041</v>
      </c>
      <c r="B529" t="s">
        <v>1658</v>
      </c>
      <c r="C529" t="s">
        <v>1746</v>
      </c>
      <c r="D529" t="s">
        <v>1643</v>
      </c>
      <c r="E529" t="s">
        <v>1644</v>
      </c>
      <c r="F529" t="s">
        <v>1644</v>
      </c>
      <c r="G529" t="s">
        <v>1645</v>
      </c>
      <c r="H529" t="s">
        <v>1645</v>
      </c>
      <c r="I529" t="s">
        <v>1645</v>
      </c>
      <c r="J529" t="s">
        <v>1645</v>
      </c>
      <c r="K529" t="s">
        <v>1645</v>
      </c>
      <c r="L529" t="s">
        <v>1903</v>
      </c>
      <c r="M529" t="s">
        <v>1904</v>
      </c>
      <c r="N529" t="s">
        <v>197</v>
      </c>
      <c r="O529" t="s">
        <v>1662</v>
      </c>
      <c r="P529" t="s">
        <v>1689</v>
      </c>
      <c r="Q529" t="s">
        <v>1644</v>
      </c>
      <c r="R529" t="s">
        <v>1644</v>
      </c>
      <c r="S529" t="s">
        <v>1643</v>
      </c>
      <c r="T529" t="s">
        <v>1644</v>
      </c>
      <c r="U529" t="s">
        <v>1645</v>
      </c>
    </row>
    <row r="530" spans="1:21" x14ac:dyDescent="0.2">
      <c r="A530" t="s">
        <v>2042</v>
      </c>
      <c r="B530" t="s">
        <v>1660</v>
      </c>
      <c r="C530" t="s">
        <v>1746</v>
      </c>
      <c r="D530" t="s">
        <v>1643</v>
      </c>
      <c r="E530" t="s">
        <v>1644</v>
      </c>
      <c r="F530" t="s">
        <v>1644</v>
      </c>
      <c r="G530" t="s">
        <v>1645</v>
      </c>
      <c r="H530" t="s">
        <v>1645</v>
      </c>
      <c r="I530" t="s">
        <v>1645</v>
      </c>
      <c r="J530" t="s">
        <v>1645</v>
      </c>
      <c r="K530" t="s">
        <v>1645</v>
      </c>
      <c r="L530" t="s">
        <v>1903</v>
      </c>
      <c r="M530" t="s">
        <v>1904</v>
      </c>
      <c r="N530" t="s">
        <v>197</v>
      </c>
      <c r="O530" t="s">
        <v>1662</v>
      </c>
      <c r="P530" t="s">
        <v>1689</v>
      </c>
      <c r="Q530" t="s">
        <v>1644</v>
      </c>
      <c r="R530" t="s">
        <v>1644</v>
      </c>
      <c r="S530" t="s">
        <v>1643</v>
      </c>
      <c r="T530" t="s">
        <v>1644</v>
      </c>
      <c r="U530" t="s">
        <v>1645</v>
      </c>
    </row>
    <row r="531" spans="1:21" x14ac:dyDescent="0.2">
      <c r="A531" t="s">
        <v>2043</v>
      </c>
      <c r="B531" t="s">
        <v>1662</v>
      </c>
      <c r="C531" t="s">
        <v>1746</v>
      </c>
      <c r="D531" t="s">
        <v>1643</v>
      </c>
      <c r="E531" t="s">
        <v>1644</v>
      </c>
      <c r="F531" t="s">
        <v>1644</v>
      </c>
      <c r="G531" t="s">
        <v>1645</v>
      </c>
      <c r="H531" t="s">
        <v>1645</v>
      </c>
      <c r="I531" t="s">
        <v>1645</v>
      </c>
      <c r="J531" t="s">
        <v>1645</v>
      </c>
      <c r="K531" t="s">
        <v>1645</v>
      </c>
      <c r="L531" t="s">
        <v>1903</v>
      </c>
      <c r="M531" t="s">
        <v>1904</v>
      </c>
      <c r="N531" t="s">
        <v>197</v>
      </c>
      <c r="O531" t="s">
        <v>1662</v>
      </c>
      <c r="P531" t="s">
        <v>1689</v>
      </c>
      <c r="Q531" t="s">
        <v>1644</v>
      </c>
      <c r="R531" t="s">
        <v>1644</v>
      </c>
      <c r="S531" t="s">
        <v>1643</v>
      </c>
      <c r="T531" t="s">
        <v>1644</v>
      </c>
      <c r="U531" t="s">
        <v>1645</v>
      </c>
    </row>
    <row r="532" spans="1:21" x14ac:dyDescent="0.2">
      <c r="A532" t="s">
        <v>1905</v>
      </c>
      <c r="B532" t="s">
        <v>1668</v>
      </c>
      <c r="C532" t="s">
        <v>1906</v>
      </c>
      <c r="D532" t="s">
        <v>1643</v>
      </c>
      <c r="E532" t="s">
        <v>1644</v>
      </c>
      <c r="F532" t="s">
        <v>1644</v>
      </c>
      <c r="G532" t="s">
        <v>1645</v>
      </c>
      <c r="H532" t="s">
        <v>1645</v>
      </c>
      <c r="I532" t="s">
        <v>1645</v>
      </c>
      <c r="J532" t="s">
        <v>1645</v>
      </c>
      <c r="K532" t="s">
        <v>1645</v>
      </c>
      <c r="L532" t="s">
        <v>1903</v>
      </c>
      <c r="M532" t="s">
        <v>1904</v>
      </c>
      <c r="N532" t="s">
        <v>197</v>
      </c>
      <c r="O532" t="s">
        <v>1662</v>
      </c>
      <c r="P532" t="s">
        <v>1689</v>
      </c>
      <c r="Q532" t="s">
        <v>1644</v>
      </c>
      <c r="R532" t="s">
        <v>1644</v>
      </c>
      <c r="S532" t="s">
        <v>1643</v>
      </c>
      <c r="T532" t="s">
        <v>1644</v>
      </c>
      <c r="U532" t="s">
        <v>1645</v>
      </c>
    </row>
    <row r="533" spans="1:21" x14ac:dyDescent="0.2">
      <c r="A533" t="s">
        <v>2044</v>
      </c>
      <c r="B533" t="s">
        <v>1670</v>
      </c>
      <c r="C533" t="s">
        <v>1746</v>
      </c>
      <c r="D533" t="s">
        <v>1643</v>
      </c>
      <c r="E533" t="s">
        <v>1644</v>
      </c>
      <c r="F533" t="s">
        <v>1644</v>
      </c>
      <c r="G533" t="s">
        <v>1645</v>
      </c>
      <c r="H533" t="s">
        <v>1645</v>
      </c>
      <c r="I533" t="s">
        <v>1645</v>
      </c>
      <c r="J533" t="s">
        <v>1645</v>
      </c>
      <c r="K533" t="s">
        <v>1645</v>
      </c>
      <c r="L533" t="s">
        <v>1903</v>
      </c>
      <c r="M533" t="s">
        <v>1904</v>
      </c>
      <c r="N533" t="s">
        <v>197</v>
      </c>
      <c r="O533" t="s">
        <v>1662</v>
      </c>
      <c r="P533" t="s">
        <v>1689</v>
      </c>
      <c r="Q533" t="s">
        <v>1644</v>
      </c>
      <c r="R533" t="s">
        <v>1644</v>
      </c>
      <c r="S533" t="s">
        <v>1643</v>
      </c>
      <c r="T533" t="s">
        <v>1644</v>
      </c>
      <c r="U533" t="s">
        <v>1645</v>
      </c>
    </row>
    <row r="534" spans="1:21" x14ac:dyDescent="0.2">
      <c r="A534" t="s">
        <v>2045</v>
      </c>
      <c r="B534" t="s">
        <v>1648</v>
      </c>
      <c r="C534" t="s">
        <v>1746</v>
      </c>
      <c r="D534" t="s">
        <v>1643</v>
      </c>
      <c r="E534" t="s">
        <v>1644</v>
      </c>
      <c r="F534" t="s">
        <v>1644</v>
      </c>
      <c r="G534" t="s">
        <v>1645</v>
      </c>
      <c r="H534" t="s">
        <v>1645</v>
      </c>
      <c r="I534" t="s">
        <v>1645</v>
      </c>
      <c r="J534" t="s">
        <v>1645</v>
      </c>
      <c r="K534" t="s">
        <v>1645</v>
      </c>
      <c r="L534" t="s">
        <v>1903</v>
      </c>
      <c r="M534" t="s">
        <v>1904</v>
      </c>
      <c r="N534" t="s">
        <v>197</v>
      </c>
      <c r="O534" t="s">
        <v>1662</v>
      </c>
      <c r="P534" t="s">
        <v>1689</v>
      </c>
      <c r="Q534" t="s">
        <v>1644</v>
      </c>
      <c r="R534" t="s">
        <v>1644</v>
      </c>
      <c r="S534" t="s">
        <v>1643</v>
      </c>
      <c r="T534" t="s">
        <v>1644</v>
      </c>
      <c r="U534" t="s">
        <v>1645</v>
      </c>
    </row>
    <row r="535" spans="1:21" x14ac:dyDescent="0.2">
      <c r="A535" t="s">
        <v>2046</v>
      </c>
      <c r="B535" t="s">
        <v>1673</v>
      </c>
      <c r="C535" t="s">
        <v>1746</v>
      </c>
      <c r="D535" t="s">
        <v>1643</v>
      </c>
      <c r="E535" t="s">
        <v>1644</v>
      </c>
      <c r="F535" t="s">
        <v>1644</v>
      </c>
      <c r="G535" t="s">
        <v>1645</v>
      </c>
      <c r="H535" t="s">
        <v>1645</v>
      </c>
      <c r="I535" t="s">
        <v>1645</v>
      </c>
      <c r="J535" t="s">
        <v>1645</v>
      </c>
      <c r="K535" t="s">
        <v>1645</v>
      </c>
      <c r="L535" t="s">
        <v>1903</v>
      </c>
      <c r="M535" t="s">
        <v>1904</v>
      </c>
      <c r="N535" t="s">
        <v>197</v>
      </c>
      <c r="O535" t="s">
        <v>1662</v>
      </c>
      <c r="P535" t="s">
        <v>1689</v>
      </c>
      <c r="Q535" t="s">
        <v>1644</v>
      </c>
      <c r="R535" t="s">
        <v>1644</v>
      </c>
      <c r="S535" t="s">
        <v>1643</v>
      </c>
      <c r="T535" t="s">
        <v>1644</v>
      </c>
      <c r="U535" t="s">
        <v>1645</v>
      </c>
    </row>
    <row r="536" spans="1:21" x14ac:dyDescent="0.2">
      <c r="A536" t="s">
        <v>1907</v>
      </c>
      <c r="B536" t="s">
        <v>1675</v>
      </c>
      <c r="C536" t="s">
        <v>1746</v>
      </c>
      <c r="D536" t="s">
        <v>1643</v>
      </c>
      <c r="E536" t="s">
        <v>1644</v>
      </c>
      <c r="F536" t="s">
        <v>1644</v>
      </c>
      <c r="G536" t="s">
        <v>1645</v>
      </c>
      <c r="H536" t="s">
        <v>1645</v>
      </c>
      <c r="I536" t="s">
        <v>1645</v>
      </c>
      <c r="J536" t="s">
        <v>1645</v>
      </c>
      <c r="K536" t="s">
        <v>1645</v>
      </c>
      <c r="L536" t="s">
        <v>1903</v>
      </c>
      <c r="M536" t="s">
        <v>1904</v>
      </c>
      <c r="N536" t="s">
        <v>197</v>
      </c>
      <c r="O536" t="s">
        <v>1662</v>
      </c>
      <c r="P536" t="s">
        <v>1689</v>
      </c>
      <c r="Q536" t="s">
        <v>1644</v>
      </c>
      <c r="R536" t="s">
        <v>1644</v>
      </c>
      <c r="S536" t="s">
        <v>1643</v>
      </c>
      <c r="T536" t="s">
        <v>1644</v>
      </c>
      <c r="U536" t="s">
        <v>1645</v>
      </c>
    </row>
    <row r="537" spans="1:21" x14ac:dyDescent="0.2">
      <c r="A537" t="s">
        <v>2047</v>
      </c>
      <c r="B537" t="s">
        <v>1641</v>
      </c>
      <c r="C537" t="s">
        <v>1750</v>
      </c>
      <c r="D537" t="s">
        <v>1643</v>
      </c>
      <c r="E537" t="s">
        <v>1644</v>
      </c>
      <c r="F537" t="s">
        <v>1644</v>
      </c>
      <c r="G537" t="s">
        <v>1751</v>
      </c>
      <c r="H537" t="s">
        <v>1645</v>
      </c>
      <c r="I537" t="s">
        <v>1645</v>
      </c>
      <c r="J537" t="s">
        <v>1645</v>
      </c>
      <c r="K537" t="s">
        <v>1645</v>
      </c>
      <c r="L537" t="s">
        <v>2048</v>
      </c>
      <c r="M537" t="s">
        <v>2049</v>
      </c>
      <c r="N537" t="s">
        <v>197</v>
      </c>
      <c r="O537" t="s">
        <v>1707</v>
      </c>
      <c r="P537" t="s">
        <v>2050</v>
      </c>
      <c r="Q537" t="s">
        <v>1644</v>
      </c>
      <c r="R537" t="s">
        <v>1644</v>
      </c>
      <c r="S537" t="s">
        <v>1643</v>
      </c>
      <c r="T537" t="s">
        <v>1644</v>
      </c>
      <c r="U537" t="s">
        <v>1645</v>
      </c>
    </row>
    <row r="538" spans="1:21" x14ac:dyDescent="0.2">
      <c r="A538" t="s">
        <v>2051</v>
      </c>
      <c r="B538" t="s">
        <v>1650</v>
      </c>
      <c r="C538" t="s">
        <v>1750</v>
      </c>
      <c r="D538" t="s">
        <v>1644</v>
      </c>
      <c r="E538" t="s">
        <v>1644</v>
      </c>
      <c r="F538" t="s">
        <v>1644</v>
      </c>
      <c r="G538" t="s">
        <v>1751</v>
      </c>
      <c r="H538" t="s">
        <v>1645</v>
      </c>
      <c r="I538" t="s">
        <v>1645</v>
      </c>
      <c r="J538" t="s">
        <v>1645</v>
      </c>
      <c r="K538" t="s">
        <v>1645</v>
      </c>
      <c r="L538" t="s">
        <v>2048</v>
      </c>
      <c r="M538" t="s">
        <v>2049</v>
      </c>
      <c r="N538" t="s">
        <v>197</v>
      </c>
      <c r="O538" t="s">
        <v>1707</v>
      </c>
      <c r="P538" t="s">
        <v>2050</v>
      </c>
      <c r="Q538" t="s">
        <v>1644</v>
      </c>
      <c r="R538" t="s">
        <v>1644</v>
      </c>
      <c r="S538" t="s">
        <v>1643</v>
      </c>
      <c r="T538" t="s">
        <v>1644</v>
      </c>
      <c r="U538" t="s">
        <v>1645</v>
      </c>
    </row>
    <row r="539" spans="1:21" x14ac:dyDescent="0.2">
      <c r="A539" t="s">
        <v>2052</v>
      </c>
      <c r="B539" t="s">
        <v>1652</v>
      </c>
      <c r="C539" t="s">
        <v>1750</v>
      </c>
      <c r="D539" t="s">
        <v>1643</v>
      </c>
      <c r="E539" t="s">
        <v>1644</v>
      </c>
      <c r="F539" t="s">
        <v>1643</v>
      </c>
      <c r="G539" t="s">
        <v>1645</v>
      </c>
      <c r="H539" t="s">
        <v>1645</v>
      </c>
      <c r="I539" t="s">
        <v>1645</v>
      </c>
      <c r="J539" t="s">
        <v>1645</v>
      </c>
      <c r="K539" t="s">
        <v>1645</v>
      </c>
      <c r="L539" t="s">
        <v>2048</v>
      </c>
      <c r="M539" t="s">
        <v>2049</v>
      </c>
      <c r="N539" t="s">
        <v>197</v>
      </c>
      <c r="O539" t="s">
        <v>1707</v>
      </c>
      <c r="P539" t="s">
        <v>2050</v>
      </c>
      <c r="Q539" t="s">
        <v>1644</v>
      </c>
      <c r="R539" t="s">
        <v>1644</v>
      </c>
      <c r="S539" t="s">
        <v>1643</v>
      </c>
      <c r="T539" t="s">
        <v>1644</v>
      </c>
      <c r="U539" t="s">
        <v>1645</v>
      </c>
    </row>
    <row r="540" spans="1:21" x14ac:dyDescent="0.2">
      <c r="A540" t="s">
        <v>1908</v>
      </c>
      <c r="B540" t="s">
        <v>1668</v>
      </c>
      <c r="C540" t="s">
        <v>1750</v>
      </c>
      <c r="D540" t="s">
        <v>1643</v>
      </c>
      <c r="E540" t="s">
        <v>1644</v>
      </c>
      <c r="F540" t="s">
        <v>1644</v>
      </c>
      <c r="G540" t="s">
        <v>1751</v>
      </c>
      <c r="H540" t="s">
        <v>1645</v>
      </c>
      <c r="I540" t="s">
        <v>1645</v>
      </c>
      <c r="J540" t="s">
        <v>1645</v>
      </c>
      <c r="K540" t="s">
        <v>1645</v>
      </c>
      <c r="L540" t="s">
        <v>1909</v>
      </c>
      <c r="M540" t="s">
        <v>1910</v>
      </c>
      <c r="N540" t="s">
        <v>197</v>
      </c>
      <c r="O540" t="s">
        <v>1707</v>
      </c>
      <c r="P540" t="s">
        <v>1735</v>
      </c>
      <c r="Q540" t="s">
        <v>1644</v>
      </c>
      <c r="R540" t="s">
        <v>1644</v>
      </c>
      <c r="S540" t="s">
        <v>1643</v>
      </c>
      <c r="T540" t="s">
        <v>1644</v>
      </c>
      <c r="U540" t="s">
        <v>1645</v>
      </c>
    </row>
    <row r="541" spans="1:21" x14ac:dyDescent="0.2">
      <c r="A541" t="s">
        <v>1911</v>
      </c>
      <c r="B541" t="s">
        <v>1670</v>
      </c>
      <c r="C541" t="s">
        <v>1642</v>
      </c>
      <c r="D541" t="s">
        <v>1643</v>
      </c>
      <c r="E541" t="s">
        <v>1644</v>
      </c>
      <c r="F541" t="s">
        <v>1644</v>
      </c>
      <c r="G541" t="s">
        <v>1645</v>
      </c>
      <c r="H541" t="s">
        <v>1645</v>
      </c>
      <c r="I541" t="s">
        <v>1645</v>
      </c>
      <c r="J541" t="s">
        <v>1645</v>
      </c>
      <c r="K541" t="s">
        <v>1645</v>
      </c>
      <c r="L541" t="s">
        <v>1909</v>
      </c>
      <c r="M541" t="s">
        <v>1910</v>
      </c>
      <c r="N541" t="s">
        <v>197</v>
      </c>
      <c r="O541" t="s">
        <v>1707</v>
      </c>
      <c r="P541" t="s">
        <v>1735</v>
      </c>
      <c r="Q541" t="s">
        <v>1644</v>
      </c>
      <c r="R541" t="s">
        <v>1644</v>
      </c>
      <c r="S541" t="s">
        <v>1643</v>
      </c>
      <c r="T541" t="s">
        <v>1644</v>
      </c>
      <c r="U541" t="s">
        <v>1645</v>
      </c>
    </row>
    <row r="542" spans="1:21" x14ac:dyDescent="0.2">
      <c r="A542" t="s">
        <v>1912</v>
      </c>
      <c r="B542" t="s">
        <v>1648</v>
      </c>
      <c r="C542" t="s">
        <v>1746</v>
      </c>
      <c r="D542" t="s">
        <v>1643</v>
      </c>
      <c r="E542" t="s">
        <v>1644</v>
      </c>
      <c r="F542" t="s">
        <v>1644</v>
      </c>
      <c r="G542" t="s">
        <v>1645</v>
      </c>
      <c r="H542" t="s">
        <v>1645</v>
      </c>
      <c r="I542" t="s">
        <v>1645</v>
      </c>
      <c r="J542" t="s">
        <v>1645</v>
      </c>
      <c r="K542" t="s">
        <v>1645</v>
      </c>
      <c r="L542" t="s">
        <v>1909</v>
      </c>
      <c r="M542" t="s">
        <v>1910</v>
      </c>
      <c r="N542" t="s">
        <v>197</v>
      </c>
      <c r="O542" t="s">
        <v>1707</v>
      </c>
      <c r="P542" t="s">
        <v>1735</v>
      </c>
      <c r="Q542" t="s">
        <v>1644</v>
      </c>
      <c r="R542" t="s">
        <v>1644</v>
      </c>
      <c r="S542" t="s">
        <v>1643</v>
      </c>
      <c r="T542" t="s">
        <v>1644</v>
      </c>
      <c r="U542" t="s">
        <v>1645</v>
      </c>
    </row>
    <row r="543" spans="1:21" x14ac:dyDescent="0.2">
      <c r="A543" t="s">
        <v>1913</v>
      </c>
      <c r="B543" t="s">
        <v>1673</v>
      </c>
      <c r="C543" t="s">
        <v>1906</v>
      </c>
      <c r="D543" t="s">
        <v>1643</v>
      </c>
      <c r="E543" t="s">
        <v>1644</v>
      </c>
      <c r="F543" t="s">
        <v>1644</v>
      </c>
      <c r="G543" t="s">
        <v>1645</v>
      </c>
      <c r="H543" t="s">
        <v>1645</v>
      </c>
      <c r="I543" t="s">
        <v>1645</v>
      </c>
      <c r="J543" t="s">
        <v>1645</v>
      </c>
      <c r="K543" t="s">
        <v>1645</v>
      </c>
      <c r="L543" t="s">
        <v>1909</v>
      </c>
      <c r="M543" t="s">
        <v>1910</v>
      </c>
      <c r="N543" t="s">
        <v>197</v>
      </c>
      <c r="O543" t="s">
        <v>1707</v>
      </c>
      <c r="P543" t="s">
        <v>1735</v>
      </c>
      <c r="Q543" t="s">
        <v>1644</v>
      </c>
      <c r="R543" t="s">
        <v>1644</v>
      </c>
      <c r="S543" t="s">
        <v>1643</v>
      </c>
      <c r="T543" t="s">
        <v>1644</v>
      </c>
      <c r="U543" t="s">
        <v>1645</v>
      </c>
    </row>
    <row r="544" spans="1:21" x14ac:dyDescent="0.2">
      <c r="A544" t="s">
        <v>2053</v>
      </c>
      <c r="B544" t="s">
        <v>1652</v>
      </c>
      <c r="C544" t="s">
        <v>1746</v>
      </c>
      <c r="D544" t="s">
        <v>1643</v>
      </c>
      <c r="E544" t="s">
        <v>1644</v>
      </c>
      <c r="F544" t="s">
        <v>1644</v>
      </c>
      <c r="G544" t="s">
        <v>1645</v>
      </c>
      <c r="H544" t="s">
        <v>1645</v>
      </c>
      <c r="I544" t="s">
        <v>1645</v>
      </c>
      <c r="J544" t="s">
        <v>1645</v>
      </c>
      <c r="K544" t="s">
        <v>1645</v>
      </c>
      <c r="L544" t="s">
        <v>2053</v>
      </c>
      <c r="M544" t="s">
        <v>2054</v>
      </c>
      <c r="N544" t="s">
        <v>48</v>
      </c>
      <c r="O544" t="s">
        <v>1681</v>
      </c>
      <c r="P544" t="s">
        <v>1681</v>
      </c>
      <c r="Q544" t="s">
        <v>1644</v>
      </c>
      <c r="R544" t="s">
        <v>1644</v>
      </c>
      <c r="S544" t="s">
        <v>1643</v>
      </c>
      <c r="T544" t="s">
        <v>1644</v>
      </c>
      <c r="U544" t="s">
        <v>1645</v>
      </c>
    </row>
    <row r="545" spans="1:21" x14ac:dyDescent="0.2">
      <c r="A545" t="s">
        <v>2055</v>
      </c>
      <c r="B545" t="s">
        <v>1652</v>
      </c>
      <c r="C545" t="s">
        <v>1750</v>
      </c>
      <c r="D545" t="s">
        <v>1643</v>
      </c>
      <c r="E545" t="s">
        <v>1644</v>
      </c>
      <c r="F545" t="s">
        <v>1644</v>
      </c>
      <c r="G545" t="s">
        <v>1645</v>
      </c>
      <c r="H545" t="s">
        <v>1645</v>
      </c>
      <c r="I545" t="s">
        <v>1645</v>
      </c>
      <c r="J545" t="s">
        <v>1645</v>
      </c>
      <c r="K545" t="s">
        <v>1645</v>
      </c>
      <c r="L545" t="s">
        <v>2055</v>
      </c>
      <c r="M545" t="s">
        <v>2056</v>
      </c>
      <c r="N545" t="s">
        <v>48</v>
      </c>
      <c r="O545" t="s">
        <v>1685</v>
      </c>
      <c r="P545" t="s">
        <v>1685</v>
      </c>
      <c r="Q545" t="s">
        <v>1644</v>
      </c>
      <c r="R545" t="s">
        <v>1644</v>
      </c>
      <c r="S545" t="s">
        <v>1643</v>
      </c>
      <c r="T545" t="s">
        <v>1644</v>
      </c>
      <c r="U545" t="s">
        <v>1645</v>
      </c>
    </row>
    <row r="546" spans="1:21" x14ac:dyDescent="0.2">
      <c r="A546" t="s">
        <v>2057</v>
      </c>
      <c r="B546" t="s">
        <v>1652</v>
      </c>
      <c r="C546" t="s">
        <v>1750</v>
      </c>
      <c r="D546" t="s">
        <v>1643</v>
      </c>
      <c r="E546" t="s">
        <v>1644</v>
      </c>
      <c r="F546" t="s">
        <v>1644</v>
      </c>
      <c r="G546" t="s">
        <v>1645</v>
      </c>
      <c r="H546" t="s">
        <v>1645</v>
      </c>
      <c r="I546" t="s">
        <v>1645</v>
      </c>
      <c r="J546" t="s">
        <v>1645</v>
      </c>
      <c r="K546" t="s">
        <v>1645</v>
      </c>
      <c r="L546" t="s">
        <v>2057</v>
      </c>
      <c r="M546" t="s">
        <v>2058</v>
      </c>
      <c r="N546" t="s">
        <v>48</v>
      </c>
      <c r="O546" t="s">
        <v>1705</v>
      </c>
      <c r="P546" t="s">
        <v>1705</v>
      </c>
      <c r="Q546" t="s">
        <v>1644</v>
      </c>
      <c r="R546" t="s">
        <v>1643</v>
      </c>
      <c r="S546" t="s">
        <v>1643</v>
      </c>
      <c r="T546" t="s">
        <v>1644</v>
      </c>
      <c r="U546" t="s">
        <v>1645</v>
      </c>
    </row>
    <row r="547" spans="1:21" x14ac:dyDescent="0.2">
      <c r="A547" t="s">
        <v>2057</v>
      </c>
      <c r="B547" t="s">
        <v>1652</v>
      </c>
      <c r="C547" t="s">
        <v>1750</v>
      </c>
      <c r="D547" t="s">
        <v>1643</v>
      </c>
      <c r="E547" t="s">
        <v>1644</v>
      </c>
      <c r="F547" t="s">
        <v>1644</v>
      </c>
      <c r="G547" t="s">
        <v>1645</v>
      </c>
      <c r="H547" t="s">
        <v>1645</v>
      </c>
      <c r="I547" t="s">
        <v>1645</v>
      </c>
      <c r="J547" t="s">
        <v>1645</v>
      </c>
      <c r="K547" t="s">
        <v>1645</v>
      </c>
      <c r="L547" t="s">
        <v>2059</v>
      </c>
      <c r="M547" t="s">
        <v>2060</v>
      </c>
      <c r="N547" t="s">
        <v>48</v>
      </c>
      <c r="O547" t="s">
        <v>1689</v>
      </c>
      <c r="P547" t="s">
        <v>1689</v>
      </c>
      <c r="Q547" t="s">
        <v>1644</v>
      </c>
      <c r="R547" t="s">
        <v>1643</v>
      </c>
      <c r="S547" t="s">
        <v>1643</v>
      </c>
      <c r="T547" t="s">
        <v>1644</v>
      </c>
      <c r="U547" t="s">
        <v>1645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B0BD-7BEF-4BA0-ACDB-B053AAEE8362}">
  <sheetPr codeName="Sheet3">
    <tabColor rgb="FF00539E"/>
  </sheetPr>
  <dimension ref="A1:BN266"/>
  <sheetViews>
    <sheetView showGridLines="0" zoomScaleNormal="100" workbookViewId="0"/>
  </sheetViews>
  <sheetFormatPr defaultColWidth="8.7109375" defaultRowHeight="12.75" x14ac:dyDescent="0.2"/>
  <cols>
    <col min="1" max="1" width="6.140625" customWidth="1"/>
    <col min="2" max="2" width="54.7109375" customWidth="1"/>
    <col min="3" max="3" width="14.5703125" customWidth="1"/>
    <col min="4" max="4" width="13.140625" customWidth="1"/>
    <col min="5" max="6" width="11.7109375" customWidth="1"/>
    <col min="7" max="7" width="10.85546875" customWidth="1"/>
    <col min="21" max="21" width="10.85546875" customWidth="1"/>
    <col min="36" max="36" width="9.85546875" customWidth="1"/>
  </cols>
  <sheetData>
    <row r="1" spans="1:66" ht="20.25" x14ac:dyDescent="0.2">
      <c r="A1" s="53">
        <v>4</v>
      </c>
      <c r="B1" s="54" t="str">
        <f>VLOOKUP("T.04.01",HE_label,2,FALSE)</f>
        <v>Kranken VVG: FINMA vorgegebene Parameter</v>
      </c>
    </row>
    <row r="2" spans="1:66" x14ac:dyDescent="0.2">
      <c r="B2" s="228" t="str" cm="1">
        <f t="array" ref="B2">HE_company_name&amp;" - SST "&amp;HE_CY&amp;HE_suffix</f>
        <v xml:space="preserve"> - SST 2025</v>
      </c>
    </row>
    <row r="4" spans="1:66" x14ac:dyDescent="0.2">
      <c r="J4" s="48"/>
      <c r="K4" s="48"/>
      <c r="L4" s="48"/>
      <c r="M4" s="48"/>
      <c r="N4" s="48"/>
      <c r="O4" s="48"/>
      <c r="P4" s="48"/>
      <c r="X4" s="48"/>
      <c r="Y4" s="48"/>
      <c r="Z4" s="48"/>
      <c r="AA4" s="48"/>
      <c r="AB4" s="48"/>
      <c r="AC4" s="48"/>
      <c r="AD4" s="48"/>
    </row>
    <row r="5" spans="1:66" ht="15.75" x14ac:dyDescent="0.25">
      <c r="B5" s="222" t="str">
        <f>VLOOKUP("T.04.02",HE_label,2,FALSE)&amp;HE_CY-1</f>
        <v>Allgemeine Parameter per 31.12.2024</v>
      </c>
      <c r="C5" s="249" t="str">
        <f>VLOOKUP("T.04.03",HE_label,2,FALSE)&amp;HE_CY</f>
        <v>Aktualisierung der Werte im Januar 2025</v>
      </c>
      <c r="D5" s="249"/>
      <c r="E5" s="249"/>
      <c r="F5" s="249"/>
      <c r="G5" s="249" t="str">
        <f>VLOOKUP("T.04.03a",HE_label,2,FALSE)</f>
        <v>vor der Aktualisierung rot markiert</v>
      </c>
      <c r="H5" s="249"/>
      <c r="I5" s="250"/>
      <c r="J5" s="261"/>
      <c r="K5" s="261"/>
      <c r="L5" s="261"/>
      <c r="M5" s="261"/>
      <c r="N5" s="261"/>
      <c r="O5" s="261"/>
      <c r="P5" s="48"/>
      <c r="U5" s="250"/>
      <c r="V5" s="248"/>
      <c r="W5" s="250"/>
      <c r="X5" s="261"/>
      <c r="Y5" s="261"/>
      <c r="Z5" s="261"/>
      <c r="AA5" s="261"/>
      <c r="AB5" s="261"/>
      <c r="AC5" s="261"/>
      <c r="AD5" s="48"/>
    </row>
    <row r="6" spans="1:66" ht="12.75" customHeight="1" x14ac:dyDescent="0.25">
      <c r="B6" s="222"/>
      <c r="D6" s="248"/>
      <c r="F6" s="249"/>
      <c r="G6" s="250"/>
      <c r="H6" s="248"/>
      <c r="I6" s="250"/>
      <c r="J6" s="261"/>
      <c r="K6" s="261"/>
      <c r="L6" s="261"/>
      <c r="M6" s="261"/>
      <c r="N6" s="261"/>
      <c r="O6" s="261"/>
      <c r="P6" s="48"/>
      <c r="U6" s="250"/>
      <c r="V6" s="248"/>
      <c r="W6" s="250"/>
      <c r="X6" s="261"/>
      <c r="Y6" s="261"/>
      <c r="Z6" s="261"/>
      <c r="AA6" s="261"/>
      <c r="AB6" s="261"/>
      <c r="AC6" s="261"/>
      <c r="AD6" s="48"/>
    </row>
    <row r="7" spans="1:66" s="68" customFormat="1" ht="20.100000000000001" customHeight="1" x14ac:dyDescent="0.2">
      <c r="B7" s="229" t="str">
        <f>VLOOKUP("T.04.04",HE_label,2,FALSE)</f>
        <v xml:space="preserve">Risikoloser Zinssatz r(t) </v>
      </c>
      <c r="C7" s="1092" t="str">
        <f>VLOOKUP("T.04.05",HE_label,2,FALSE)</f>
        <v>in Prozent</v>
      </c>
    </row>
    <row r="8" spans="1:66" x14ac:dyDescent="0.2">
      <c r="B8" s="245" t="str">
        <f>VLOOKUP("T.04.06",HE_label,2,FALSE)</f>
        <v>Fälligkeit (in Jahren)</v>
      </c>
      <c r="C8" s="246">
        <v>1</v>
      </c>
      <c r="D8" s="246">
        <v>2</v>
      </c>
      <c r="E8" s="246">
        <v>3</v>
      </c>
      <c r="F8" s="246">
        <v>4</v>
      </c>
      <c r="G8" s="246">
        <v>5</v>
      </c>
      <c r="H8" s="246">
        <v>6</v>
      </c>
      <c r="I8" s="246">
        <v>7</v>
      </c>
      <c r="J8" s="246">
        <v>8</v>
      </c>
      <c r="K8" s="246">
        <v>9</v>
      </c>
      <c r="L8" s="246">
        <v>10</v>
      </c>
      <c r="M8" s="246">
        <v>11</v>
      </c>
      <c r="N8" s="246">
        <v>12</v>
      </c>
      <c r="O8" s="246">
        <v>13</v>
      </c>
      <c r="P8" s="246">
        <v>14</v>
      </c>
      <c r="Q8" s="246">
        <v>15</v>
      </c>
      <c r="R8" s="246">
        <v>16</v>
      </c>
      <c r="S8" s="246">
        <v>17</v>
      </c>
      <c r="T8" s="246">
        <v>18</v>
      </c>
      <c r="U8" s="246">
        <v>19</v>
      </c>
      <c r="V8" s="246">
        <v>20</v>
      </c>
      <c r="W8" s="246">
        <v>21</v>
      </c>
      <c r="X8" s="246">
        <v>22</v>
      </c>
      <c r="Y8" s="246">
        <v>23</v>
      </c>
      <c r="Z8" s="246">
        <v>24</v>
      </c>
      <c r="AA8" s="246">
        <v>25</v>
      </c>
      <c r="AB8" s="246">
        <v>26</v>
      </c>
      <c r="AC8" s="246">
        <v>27</v>
      </c>
      <c r="AD8" s="246">
        <v>28</v>
      </c>
      <c r="AE8" s="246">
        <v>29</v>
      </c>
      <c r="AF8" s="246">
        <v>30</v>
      </c>
      <c r="AG8" s="246">
        <v>31</v>
      </c>
      <c r="AH8" s="246">
        <v>32</v>
      </c>
      <c r="AI8" s="246">
        <v>33</v>
      </c>
      <c r="AJ8" s="246">
        <v>34</v>
      </c>
      <c r="AK8" s="246">
        <v>35</v>
      </c>
      <c r="AL8" s="246">
        <v>36</v>
      </c>
      <c r="AM8" s="246">
        <v>37</v>
      </c>
      <c r="AN8" s="246">
        <v>38</v>
      </c>
      <c r="AO8" s="246">
        <v>39</v>
      </c>
      <c r="AP8" s="246">
        <v>40</v>
      </c>
      <c r="AQ8" s="246">
        <v>41</v>
      </c>
      <c r="AR8" s="246">
        <v>42</v>
      </c>
      <c r="AS8" s="246">
        <v>43</v>
      </c>
      <c r="AT8" s="246">
        <v>44</v>
      </c>
      <c r="AU8" s="246">
        <v>45</v>
      </c>
      <c r="AV8" s="246">
        <v>46</v>
      </c>
      <c r="AW8" s="246">
        <v>47</v>
      </c>
      <c r="AX8" s="246">
        <v>48</v>
      </c>
      <c r="AY8" s="246">
        <v>49</v>
      </c>
      <c r="AZ8" s="251">
        <v>50</v>
      </c>
      <c r="BA8" s="561"/>
      <c r="BB8" s="561"/>
      <c r="BC8" s="561"/>
      <c r="BD8" s="561"/>
      <c r="BE8" s="561"/>
      <c r="BF8" s="561"/>
      <c r="BG8" s="561"/>
      <c r="BH8" s="561"/>
      <c r="BI8" s="561"/>
      <c r="BJ8" s="561"/>
      <c r="BK8" s="561"/>
      <c r="BL8" s="561"/>
      <c r="BM8" s="561"/>
      <c r="BN8" s="561"/>
    </row>
    <row r="9" spans="1:66" x14ac:dyDescent="0.2">
      <c r="B9" s="252" t="s">
        <v>31</v>
      </c>
      <c r="C9" s="1400">
        <v>9.1420006628673001E-2</v>
      </c>
      <c r="D9" s="1400">
        <v>4.0545125003177418E-3</v>
      </c>
      <c r="E9" s="1400">
        <v>2.5688580647931225E-2</v>
      </c>
      <c r="F9" s="1400">
        <v>7.1238121760042183E-2</v>
      </c>
      <c r="G9" s="1400">
        <v>0.12102185850064728</v>
      </c>
      <c r="H9" s="1400">
        <v>0.16900319963351063</v>
      </c>
      <c r="I9" s="1400">
        <v>0.2130446566205757</v>
      </c>
      <c r="J9" s="1400">
        <v>0.25242676210057713</v>
      </c>
      <c r="K9" s="1400">
        <v>0.28702449550792597</v>
      </c>
      <c r="L9" s="1400">
        <v>0.31698122566639064</v>
      </c>
      <c r="M9" s="1400">
        <v>0.34106051021147721</v>
      </c>
      <c r="N9" s="1400">
        <v>0.36073302415180475</v>
      </c>
      <c r="O9" s="1400">
        <v>0.37765677721910418</v>
      </c>
      <c r="P9" s="1400">
        <v>0.39301092012267169</v>
      </c>
      <c r="Q9" s="1400">
        <v>0.40766116217987314</v>
      </c>
      <c r="R9" s="1400">
        <v>0.42214444521131433</v>
      </c>
      <c r="S9" s="1400">
        <v>0.43643573557035076</v>
      </c>
      <c r="T9" s="1400">
        <v>0.4504254371872296</v>
      </c>
      <c r="U9" s="1400">
        <v>0.46404082764701649</v>
      </c>
      <c r="V9" s="1400">
        <v>0.47723540291886302</v>
      </c>
      <c r="W9" s="1400">
        <v>0.48998143201393063</v>
      </c>
      <c r="X9" s="1400">
        <v>0.50226467835305932</v>
      </c>
      <c r="Y9" s="1400">
        <v>0.51408061087023782</v>
      </c>
      <c r="Z9" s="1400">
        <v>0.52543165616536491</v>
      </c>
      <c r="AA9" s="1400">
        <v>0.53632518866413292</v>
      </c>
      <c r="AB9" s="1400">
        <v>0.54677205062152456</v>
      </c>
      <c r="AC9" s="1400">
        <v>0.5567854567914754</v>
      </c>
      <c r="AD9" s="1400">
        <v>0.5663801811167879</v>
      </c>
      <c r="AE9" s="1400">
        <v>0.57557195196213939</v>
      </c>
      <c r="AF9" s="1400">
        <v>0.58437700270335124</v>
      </c>
      <c r="AG9" s="1400">
        <v>0.59281173878198423</v>
      </c>
      <c r="AH9" s="1400">
        <v>0.6008924925281045</v>
      </c>
      <c r="AI9" s="1400">
        <v>0.60863534440147582</v>
      </c>
      <c r="AJ9" s="1400">
        <v>0.61605599464953364</v>
      </c>
      <c r="AK9" s="1400">
        <v>0.62316967331097484</v>
      </c>
      <c r="AL9" s="1400">
        <v>0.62999107940411303</v>
      </c>
      <c r="AM9" s="1400">
        <v>0.63653434231369932</v>
      </c>
      <c r="AN9" s="1400">
        <v>0.64281300002382302</v>
      </c>
      <c r="AO9" s="1400">
        <v>0.64883999008129578</v>
      </c>
      <c r="AP9" s="1400">
        <v>0.65462765011627955</v>
      </c>
      <c r="AQ9" s="1400">
        <v>0.66018772546705407</v>
      </c>
      <c r="AR9" s="1400">
        <v>0.66553138201039808</v>
      </c>
      <c r="AS9" s="1400">
        <v>0.67066922272747131</v>
      </c>
      <c r="AT9" s="1400">
        <v>0.67561130686695225</v>
      </c>
      <c r="AU9" s="1400">
        <v>0.68036717082569087</v>
      </c>
      <c r="AV9" s="1400">
        <v>0.6849458500687966</v>
      </c>
      <c r="AW9" s="1400">
        <v>0.68935590156873339</v>
      </c>
      <c r="AX9" s="1400">
        <v>0.69360542636642819</v>
      </c>
      <c r="AY9" s="1400">
        <v>0.69770209195467725</v>
      </c>
      <c r="AZ9" s="1400">
        <v>0.70165315425989583</v>
      </c>
      <c r="BA9" s="643"/>
      <c r="BB9" s="643"/>
      <c r="BC9" s="643"/>
      <c r="BD9" s="643"/>
      <c r="BE9" s="643"/>
      <c r="BF9" s="643"/>
      <c r="BG9" s="643"/>
      <c r="BH9" s="643"/>
      <c r="BI9" s="643"/>
      <c r="BJ9" s="643"/>
      <c r="BK9" s="643"/>
      <c r="BL9" s="643"/>
      <c r="BM9" s="643"/>
      <c r="BN9" s="643"/>
    </row>
    <row r="10" spans="1:66" x14ac:dyDescent="0.2">
      <c r="BA10" s="46"/>
      <c r="BB10" s="46"/>
      <c r="BC10" s="46"/>
      <c r="BD10" s="46"/>
      <c r="BE10" s="46"/>
      <c r="BF10" s="46"/>
      <c r="BG10" s="46"/>
      <c r="BH10" s="46"/>
      <c r="BI10" s="46"/>
      <c r="BJ10" s="46"/>
      <c r="BK10" s="46"/>
      <c r="BL10" s="46"/>
      <c r="BM10" s="46"/>
      <c r="BN10" s="46"/>
    </row>
    <row r="11" spans="1:66" s="68" customFormat="1" ht="20.100000000000001" customHeight="1" x14ac:dyDescent="0.2">
      <c r="B11" s="229" t="str">
        <f>VLOOKUP("T.04.07",HE_label,2,FALSE)</f>
        <v xml:space="preserve">Diskontfaktoren </v>
      </c>
      <c r="C11" s="247" t="str">
        <f>VLOOKUP("T.04.08",HE_label,2,FALSE)</f>
        <v>Diskontfunktion d(t) = (1+r(t)/100)^(-t)</v>
      </c>
      <c r="BA11" s="644"/>
      <c r="BB11" s="644"/>
      <c r="BC11" s="644"/>
      <c r="BD11" s="644"/>
      <c r="BE11" s="644"/>
      <c r="BF11" s="644"/>
      <c r="BG11" s="644"/>
      <c r="BH11" s="644"/>
      <c r="BI11" s="644"/>
      <c r="BJ11" s="644"/>
      <c r="BK11" s="644"/>
      <c r="BL11" s="644"/>
      <c r="BM11" s="644"/>
      <c r="BN11" s="644"/>
    </row>
    <row r="12" spans="1:66" x14ac:dyDescent="0.2">
      <c r="B12" s="245" t="str">
        <f>VLOOKUP("T.04.06",HE_label,2,FALSE)</f>
        <v>Fälligkeit (in Jahren)</v>
      </c>
      <c r="C12" s="1139">
        <v>1</v>
      </c>
      <c r="D12" s="560">
        <v>2</v>
      </c>
      <c r="E12" s="560">
        <v>3</v>
      </c>
      <c r="F12" s="560">
        <v>4</v>
      </c>
      <c r="G12" s="560">
        <v>5</v>
      </c>
      <c r="H12" s="560">
        <v>6</v>
      </c>
      <c r="I12" s="560">
        <v>7</v>
      </c>
      <c r="J12" s="560">
        <v>8</v>
      </c>
      <c r="K12" s="560">
        <v>9</v>
      </c>
      <c r="L12" s="560">
        <v>10</v>
      </c>
      <c r="M12" s="560">
        <v>11</v>
      </c>
      <c r="N12" s="560">
        <v>12</v>
      </c>
      <c r="O12" s="560">
        <v>13</v>
      </c>
      <c r="P12" s="560">
        <v>14</v>
      </c>
      <c r="Q12" s="560">
        <v>15</v>
      </c>
      <c r="R12" s="560">
        <v>16</v>
      </c>
      <c r="S12" s="560">
        <v>17</v>
      </c>
      <c r="T12" s="560">
        <v>18</v>
      </c>
      <c r="U12" s="560">
        <v>19</v>
      </c>
      <c r="V12" s="560">
        <v>20</v>
      </c>
      <c r="W12" s="560">
        <v>21</v>
      </c>
      <c r="X12" s="560">
        <v>22</v>
      </c>
      <c r="Y12" s="560">
        <v>23</v>
      </c>
      <c r="Z12" s="560">
        <v>24</v>
      </c>
      <c r="AA12" s="560">
        <v>25</v>
      </c>
      <c r="AB12" s="560">
        <v>26</v>
      </c>
      <c r="AC12" s="560">
        <v>27</v>
      </c>
      <c r="AD12" s="560">
        <v>28</v>
      </c>
      <c r="AE12" s="560">
        <v>29</v>
      </c>
      <c r="AF12" s="560">
        <v>30</v>
      </c>
      <c r="AG12" s="560">
        <v>31</v>
      </c>
      <c r="AH12" s="560">
        <v>32</v>
      </c>
      <c r="AI12" s="560">
        <v>33</v>
      </c>
      <c r="AJ12" s="560">
        <v>34</v>
      </c>
      <c r="AK12" s="560">
        <v>35</v>
      </c>
      <c r="AL12" s="560">
        <v>36</v>
      </c>
      <c r="AM12" s="560">
        <v>37</v>
      </c>
      <c r="AN12" s="560">
        <v>38</v>
      </c>
      <c r="AO12" s="560">
        <v>39</v>
      </c>
      <c r="AP12" s="560">
        <v>40</v>
      </c>
      <c r="AQ12" s="560">
        <v>41</v>
      </c>
      <c r="AR12" s="560">
        <v>42</v>
      </c>
      <c r="AS12" s="560">
        <v>43</v>
      </c>
      <c r="AT12" s="560">
        <v>44</v>
      </c>
      <c r="AU12" s="560">
        <v>45</v>
      </c>
      <c r="AV12" s="560">
        <v>46</v>
      </c>
      <c r="AW12" s="560">
        <v>47</v>
      </c>
      <c r="AX12" s="560">
        <v>48</v>
      </c>
      <c r="AY12" s="560">
        <v>49</v>
      </c>
      <c r="AZ12" s="1190">
        <v>50</v>
      </c>
      <c r="BA12" s="561"/>
      <c r="BB12" s="561"/>
      <c r="BC12" s="561"/>
      <c r="BD12" s="561"/>
      <c r="BE12" s="561"/>
      <c r="BF12" s="561"/>
      <c r="BG12" s="561"/>
      <c r="BH12" s="561"/>
      <c r="BI12" s="561"/>
      <c r="BJ12" s="561"/>
      <c r="BK12" s="561"/>
      <c r="BL12" s="561"/>
      <c r="BM12" s="561"/>
      <c r="BN12" s="561"/>
    </row>
    <row r="13" spans="1:66" x14ac:dyDescent="0.2">
      <c r="B13" s="1189" t="s">
        <v>31</v>
      </c>
      <c r="C13" s="645">
        <f t="shared" ref="C13:F13" si="0">IF(ISBLANK(C9),"",(1+C9/100)^(-C$8))</f>
        <v>0.99908663493211891</v>
      </c>
      <c r="D13" s="645">
        <f t="shared" si="0"/>
        <v>0.99991891468144845</v>
      </c>
      <c r="E13" s="645">
        <f t="shared" si="0"/>
        <v>0.99922973835301299</v>
      </c>
      <c r="F13" s="645">
        <f t="shared" si="0"/>
        <v>0.99715554277811003</v>
      </c>
      <c r="G13" s="645">
        <f t="shared" ref="G13:AZ13" si="1">IF(ISBLANK(G9),"",(1+G9/100)^(-G$8))</f>
        <v>0.99397081462190939</v>
      </c>
      <c r="H13" s="645">
        <f t="shared" si="1"/>
        <v>0.98991951910088871</v>
      </c>
      <c r="I13" s="645">
        <f t="shared" si="1"/>
        <v>0.98521315256170905</v>
      </c>
      <c r="J13" s="645">
        <f t="shared" si="1"/>
        <v>0.98003333158862449</v>
      </c>
      <c r="K13" s="645">
        <f t="shared" si="1"/>
        <v>0.97453465094250991</v>
      </c>
      <c r="L13" s="645">
        <f t="shared" si="1"/>
        <v>0.96884756615968104</v>
      </c>
      <c r="M13" s="645">
        <f t="shared" si="1"/>
        <v>0.9632398584812204</v>
      </c>
      <c r="N13" s="645">
        <f t="shared" si="1"/>
        <v>0.9577101797207217</v>
      </c>
      <c r="O13" s="645">
        <f t="shared" si="1"/>
        <v>0.952178360979276</v>
      </c>
      <c r="P13" s="645">
        <f t="shared" si="1"/>
        <v>0.94656684170382122</v>
      </c>
      <c r="Q13" s="645">
        <f t="shared" si="1"/>
        <v>0.94079984055255106</v>
      </c>
      <c r="R13" s="645">
        <f t="shared" si="1"/>
        <v>0.93482031330906956</v>
      </c>
      <c r="S13" s="645">
        <f t="shared" si="1"/>
        <v>0.92864138262637042</v>
      </c>
      <c r="T13" s="645">
        <f t="shared" si="1"/>
        <v>0.92229095998916422</v>
      </c>
      <c r="U13" s="645">
        <f t="shared" si="1"/>
        <v>0.91579400889776597</v>
      </c>
      <c r="V13" s="645">
        <f t="shared" si="1"/>
        <v>0.90917284989273572</v>
      </c>
      <c r="W13" s="645">
        <f t="shared" si="1"/>
        <v>0.90244743407453587</v>
      </c>
      <c r="X13" s="645">
        <f t="shared" si="1"/>
        <v>0.89563558837165724</v>
      </c>
      <c r="Y13" s="645">
        <f t="shared" si="1"/>
        <v>0.88875323547488194</v>
      </c>
      <c r="Z13" s="645">
        <f t="shared" si="1"/>
        <v>0.88181459105389404</v>
      </c>
      <c r="AA13" s="645">
        <f t="shared" si="1"/>
        <v>0.87483234060230497</v>
      </c>
      <c r="AB13" s="645">
        <f t="shared" si="1"/>
        <v>0.86781779801496683</v>
      </c>
      <c r="AC13" s="645">
        <f t="shared" si="1"/>
        <v>0.86078104778408959</v>
      </c>
      <c r="AD13" s="645">
        <f t="shared" si="1"/>
        <v>0.85373107250584801</v>
      </c>
      <c r="AE13" s="645">
        <f t="shared" si="1"/>
        <v>0.84667586721456878</v>
      </c>
      <c r="AF13" s="645">
        <f t="shared" si="1"/>
        <v>0.83962254190479568</v>
      </c>
      <c r="AG13" s="645">
        <f t="shared" si="1"/>
        <v>0.83257741346114755</v>
      </c>
      <c r="AH13" s="645">
        <f t="shared" si="1"/>
        <v>0.82554608808986318</v>
      </c>
      <c r="AI13" s="645">
        <f t="shared" si="1"/>
        <v>0.81853353523288996</v>
      </c>
      <c r="AJ13" s="645">
        <f t="shared" si="1"/>
        <v>0.81154415384431522</v>
      </c>
      <c r="AK13" s="645">
        <f t="shared" si="1"/>
        <v>0.80458183181769016</v>
      </c>
      <c r="AL13" s="645">
        <f t="shared" si="1"/>
        <v>0.79764999927184632</v>
      </c>
      <c r="AM13" s="645">
        <f t="shared" si="1"/>
        <v>0.79075167632925702</v>
      </c>
      <c r="AN13" s="645">
        <f t="shared" si="1"/>
        <v>0.78388951595585654</v>
      </c>
      <c r="AO13" s="645">
        <f t="shared" si="1"/>
        <v>0.77706584237236898</v>
      </c>
      <c r="AP13" s="645">
        <f t="shared" si="1"/>
        <v>0.77028268549441903</v>
      </c>
      <c r="AQ13" s="645">
        <f t="shared" si="1"/>
        <v>0.76354181181168057</v>
      </c>
      <c r="AR13" s="645">
        <f t="shared" si="1"/>
        <v>0.75684475207375235</v>
      </c>
      <c r="AS13" s="645">
        <f t="shared" si="1"/>
        <v>0.7501928261126326</v>
      </c>
      <c r="AT13" s="645">
        <f t="shared" si="1"/>
        <v>0.74358716509749112</v>
      </c>
      <c r="AU13" s="645">
        <f t="shared" si="1"/>
        <v>0.73702873148697468</v>
      </c>
      <c r="AV13" s="645">
        <f t="shared" si="1"/>
        <v>0.73051833691682944</v>
      </c>
      <c r="AW13" s="645">
        <f t="shared" si="1"/>
        <v>0.724056658236094</v>
      </c>
      <c r="AX13" s="645">
        <f t="shared" si="1"/>
        <v>0.71764425188317849</v>
      </c>
      <c r="AY13" s="645">
        <f t="shared" si="1"/>
        <v>0.71128156677315779</v>
      </c>
      <c r="AZ13" s="645">
        <f t="shared" si="1"/>
        <v>0.70496895585018027</v>
      </c>
      <c r="BA13" s="645"/>
      <c r="BB13" s="645"/>
      <c r="BC13" s="645"/>
      <c r="BD13" s="645"/>
      <c r="BE13" s="645"/>
      <c r="BF13" s="645"/>
      <c r="BG13" s="645"/>
      <c r="BH13" s="645"/>
      <c r="BI13" s="645"/>
      <c r="BJ13" s="645"/>
      <c r="BK13" s="645"/>
      <c r="BL13" s="645"/>
      <c r="BM13" s="645"/>
      <c r="BN13" s="645"/>
    </row>
    <row r="14" spans="1:66" x14ac:dyDescent="0.2">
      <c r="B14" s="1189" t="str">
        <f>VLOOKUP("T.04.07a",HE_label,2,FALSE)</f>
        <v>Alternative</v>
      </c>
      <c r="C14" s="1224"/>
      <c r="D14" s="1225"/>
      <c r="E14" s="1225"/>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1225"/>
      <c r="AV14" s="1225"/>
      <c r="AW14" s="1225"/>
      <c r="AX14" s="1225"/>
      <c r="AY14" s="1225"/>
      <c r="AZ14" s="1225"/>
    </row>
    <row r="15" spans="1:66" x14ac:dyDescent="0.2">
      <c r="B15" s="1189" t="str">
        <f>VLOOKUP("T.04.07b",HE_label,2,FALSE)</f>
        <v>Verwendet (für die LZV)</v>
      </c>
      <c r="C15" s="333">
        <f>IF(ISBLANK(C14),C13,C14)</f>
        <v>0.99908663493211891</v>
      </c>
      <c r="D15" s="334">
        <f t="shared" ref="D15:AZ15" si="2">IF(ISBLANK(D14),D13,D14)</f>
        <v>0.99991891468144845</v>
      </c>
      <c r="E15" s="334">
        <f t="shared" si="2"/>
        <v>0.99922973835301299</v>
      </c>
      <c r="F15" s="334">
        <f t="shared" si="2"/>
        <v>0.99715554277811003</v>
      </c>
      <c r="G15" s="334">
        <f t="shared" si="2"/>
        <v>0.99397081462190939</v>
      </c>
      <c r="H15" s="334">
        <f t="shared" si="2"/>
        <v>0.98991951910088871</v>
      </c>
      <c r="I15" s="334">
        <f t="shared" si="2"/>
        <v>0.98521315256170905</v>
      </c>
      <c r="J15" s="334">
        <f t="shared" si="2"/>
        <v>0.98003333158862449</v>
      </c>
      <c r="K15" s="334">
        <f t="shared" si="2"/>
        <v>0.97453465094250991</v>
      </c>
      <c r="L15" s="334">
        <f t="shared" si="2"/>
        <v>0.96884756615968104</v>
      </c>
      <c r="M15" s="334">
        <f t="shared" si="2"/>
        <v>0.9632398584812204</v>
      </c>
      <c r="N15" s="334">
        <f t="shared" si="2"/>
        <v>0.9577101797207217</v>
      </c>
      <c r="O15" s="334">
        <f t="shared" si="2"/>
        <v>0.952178360979276</v>
      </c>
      <c r="P15" s="334">
        <f t="shared" si="2"/>
        <v>0.94656684170382122</v>
      </c>
      <c r="Q15" s="334">
        <f t="shared" si="2"/>
        <v>0.94079984055255106</v>
      </c>
      <c r="R15" s="334">
        <f t="shared" si="2"/>
        <v>0.93482031330906956</v>
      </c>
      <c r="S15" s="334">
        <f t="shared" si="2"/>
        <v>0.92864138262637042</v>
      </c>
      <c r="T15" s="334">
        <f t="shared" si="2"/>
        <v>0.92229095998916422</v>
      </c>
      <c r="U15" s="334">
        <f t="shared" si="2"/>
        <v>0.91579400889776597</v>
      </c>
      <c r="V15" s="334">
        <f t="shared" si="2"/>
        <v>0.90917284989273572</v>
      </c>
      <c r="W15" s="334">
        <f t="shared" si="2"/>
        <v>0.90244743407453587</v>
      </c>
      <c r="X15" s="334">
        <f t="shared" si="2"/>
        <v>0.89563558837165724</v>
      </c>
      <c r="Y15" s="334">
        <f t="shared" si="2"/>
        <v>0.88875323547488194</v>
      </c>
      <c r="Z15" s="334">
        <f t="shared" si="2"/>
        <v>0.88181459105389404</v>
      </c>
      <c r="AA15" s="334">
        <f t="shared" si="2"/>
        <v>0.87483234060230497</v>
      </c>
      <c r="AB15" s="334">
        <f t="shared" si="2"/>
        <v>0.86781779801496683</v>
      </c>
      <c r="AC15" s="334">
        <f t="shared" si="2"/>
        <v>0.86078104778408959</v>
      </c>
      <c r="AD15" s="334">
        <f t="shared" si="2"/>
        <v>0.85373107250584801</v>
      </c>
      <c r="AE15" s="334">
        <f t="shared" si="2"/>
        <v>0.84667586721456878</v>
      </c>
      <c r="AF15" s="334">
        <f t="shared" si="2"/>
        <v>0.83962254190479568</v>
      </c>
      <c r="AG15" s="334">
        <f t="shared" si="2"/>
        <v>0.83257741346114755</v>
      </c>
      <c r="AH15" s="334">
        <f t="shared" si="2"/>
        <v>0.82554608808986318</v>
      </c>
      <c r="AI15" s="334">
        <f t="shared" si="2"/>
        <v>0.81853353523288996</v>
      </c>
      <c r="AJ15" s="334">
        <f t="shared" si="2"/>
        <v>0.81154415384431522</v>
      </c>
      <c r="AK15" s="334">
        <f t="shared" si="2"/>
        <v>0.80458183181769016</v>
      </c>
      <c r="AL15" s="334">
        <f t="shared" si="2"/>
        <v>0.79764999927184632</v>
      </c>
      <c r="AM15" s="334">
        <f t="shared" si="2"/>
        <v>0.79075167632925702</v>
      </c>
      <c r="AN15" s="334">
        <f t="shared" si="2"/>
        <v>0.78388951595585654</v>
      </c>
      <c r="AO15" s="334">
        <f t="shared" si="2"/>
        <v>0.77706584237236898</v>
      </c>
      <c r="AP15" s="334">
        <f t="shared" si="2"/>
        <v>0.77028268549441903</v>
      </c>
      <c r="AQ15" s="334">
        <f t="shared" si="2"/>
        <v>0.76354181181168057</v>
      </c>
      <c r="AR15" s="334">
        <f t="shared" si="2"/>
        <v>0.75684475207375235</v>
      </c>
      <c r="AS15" s="334">
        <f t="shared" si="2"/>
        <v>0.7501928261126326</v>
      </c>
      <c r="AT15" s="334">
        <f t="shared" si="2"/>
        <v>0.74358716509749112</v>
      </c>
      <c r="AU15" s="334">
        <f t="shared" si="2"/>
        <v>0.73702873148697468</v>
      </c>
      <c r="AV15" s="334">
        <f t="shared" si="2"/>
        <v>0.73051833691682944</v>
      </c>
      <c r="AW15" s="334">
        <f t="shared" si="2"/>
        <v>0.724056658236094</v>
      </c>
      <c r="AX15" s="334">
        <f t="shared" si="2"/>
        <v>0.71764425188317849</v>
      </c>
      <c r="AY15" s="334">
        <f t="shared" si="2"/>
        <v>0.71128156677315779</v>
      </c>
      <c r="AZ15" s="335">
        <f t="shared" si="2"/>
        <v>0.70496895585018027</v>
      </c>
    </row>
    <row r="17" spans="2:29" x14ac:dyDescent="0.2">
      <c r="B17" s="229" t="str">
        <f>VLOOKUP("T.04.09",HE_label,2,FALSE)</f>
        <v>Periodensterbetafeln des Bundesamts für Statistik (BFS)</v>
      </c>
    </row>
    <row r="18" spans="2:29" x14ac:dyDescent="0.2">
      <c r="B18" s="224" t="str">
        <f>VLOOKUP("T.04.10",HE_label,2,FALSE)</f>
        <v>Berücksichtigte(s) Jahr(e)</v>
      </c>
      <c r="C18" s="292">
        <v>2023</v>
      </c>
      <c r="D18" s="292">
        <v>2022</v>
      </c>
      <c r="E18" s="292">
        <v>2021</v>
      </c>
      <c r="F18" s="292">
        <v>2020</v>
      </c>
      <c r="G18" s="292">
        <v>2019</v>
      </c>
      <c r="H18" s="292"/>
      <c r="I18" s="292"/>
      <c r="J18" s="292"/>
      <c r="K18" s="562"/>
      <c r="L18" s="562"/>
      <c r="M18" s="562"/>
      <c r="N18" s="562"/>
      <c r="O18" s="279"/>
      <c r="U18" s="47"/>
      <c r="V18" s="47"/>
      <c r="W18" s="47"/>
      <c r="X18" s="47"/>
      <c r="Y18" s="562"/>
      <c r="Z18" s="562"/>
      <c r="AA18" s="562"/>
      <c r="AB18" s="562"/>
      <c r="AC18" s="279"/>
    </row>
    <row r="19" spans="2:29" x14ac:dyDescent="0.2">
      <c r="B19" s="224" t="str">
        <f>VLOOKUP("T.04.11",HE_label,2,FALSE)</f>
        <v>Quelle für Sterbetafeln: Männer</v>
      </c>
      <c r="C19" s="1386" t="s">
        <v>2142</v>
      </c>
      <c r="D19" s="1387"/>
      <c r="E19" s="1387"/>
      <c r="F19" s="1387"/>
      <c r="G19" s="283"/>
      <c r="H19" s="283"/>
      <c r="I19" s="282"/>
      <c r="J19" s="282"/>
      <c r="K19" s="279"/>
      <c r="L19" s="279"/>
      <c r="M19" s="279"/>
      <c r="N19" s="279"/>
      <c r="O19" s="279"/>
      <c r="U19" s="646"/>
      <c r="V19" s="646"/>
      <c r="W19" s="46"/>
      <c r="X19" s="46"/>
      <c r="Y19" s="279"/>
      <c r="Z19" s="279"/>
      <c r="AA19" s="279"/>
      <c r="AB19" s="279"/>
      <c r="AC19" s="279"/>
    </row>
    <row r="20" spans="2:29" x14ac:dyDescent="0.2">
      <c r="B20" s="224" t="str">
        <f>VLOOKUP("T.04.12",HE_label,2,FALSE)</f>
        <v>Quelle für Sterbetafeln: Frauen</v>
      </c>
      <c r="C20" s="1386" t="s">
        <v>2143</v>
      </c>
      <c r="D20" s="1388"/>
      <c r="E20" s="1388"/>
      <c r="F20" s="1388"/>
      <c r="G20" s="282"/>
      <c r="H20" s="282"/>
      <c r="I20" s="282"/>
      <c r="J20" s="282"/>
      <c r="K20" s="279"/>
      <c r="L20" s="279"/>
      <c r="M20" s="279"/>
      <c r="N20" s="279"/>
      <c r="O20" s="279"/>
      <c r="U20" s="46"/>
      <c r="V20" s="46"/>
      <c r="W20" s="46"/>
      <c r="X20" s="46"/>
      <c r="Y20" s="279"/>
      <c r="Z20" s="279"/>
      <c r="AA20" s="279"/>
      <c r="AB20" s="279"/>
      <c r="AC20" s="279"/>
    </row>
    <row r="21" spans="2:29" x14ac:dyDescent="0.2">
      <c r="B21" s="224" t="str">
        <f>VLOOKUP("T.04.13",HE_label,2,FALSE)</f>
        <v>Zugrundeliegende Sterbetafel</v>
      </c>
      <c r="C21" s="282" t="str">
        <f>VLOOKUP("T.04.13a",HE_label,2,FALSE)</f>
        <v>siehe Sterbetafel unten, berechnet aus den BFS Daten</v>
      </c>
      <c r="D21" s="282"/>
      <c r="E21" s="282"/>
      <c r="F21" s="282"/>
      <c r="G21" s="282"/>
      <c r="H21" s="282"/>
      <c r="I21" s="282"/>
      <c r="J21" s="282"/>
      <c r="K21" s="279"/>
      <c r="L21" s="279"/>
      <c r="M21" s="279"/>
      <c r="N21" s="279"/>
      <c r="O21" s="279"/>
      <c r="U21" s="46"/>
      <c r="V21" s="46"/>
      <c r="W21" s="46"/>
      <c r="X21" s="46"/>
      <c r="Y21" s="279"/>
      <c r="Z21" s="279"/>
      <c r="AA21" s="279"/>
      <c r="AB21" s="279"/>
      <c r="AC21" s="279"/>
    </row>
    <row r="23" spans="2:29" x14ac:dyDescent="0.2">
      <c r="B23" s="229" t="str">
        <f>VLOOKUP("T.04.14",HE_label,2,FALSE)</f>
        <v>Für Schätzung der Leistungen des aktuellen Jahres (CY) berücksichtigte Vorjahre (PY)</v>
      </c>
    </row>
    <row r="24" spans="2:29" x14ac:dyDescent="0.2">
      <c r="B24" s="245"/>
      <c r="C24" s="246" t="s">
        <v>1066</v>
      </c>
      <c r="D24" s="246" t="s">
        <v>1067</v>
      </c>
      <c r="E24" s="246" t="s">
        <v>1068</v>
      </c>
    </row>
    <row r="25" spans="2:29" x14ac:dyDescent="0.2">
      <c r="B25" s="245" t="str">
        <f>VLOOKUP("T.04.15",HE_label,2,FALSE)</f>
        <v>Berücksichtigte Jahre</v>
      </c>
      <c r="C25" s="336">
        <v>2024</v>
      </c>
      <c r="D25" s="289">
        <v>2023</v>
      </c>
      <c r="E25" s="290">
        <v>2022</v>
      </c>
    </row>
    <row r="26" spans="2:29" x14ac:dyDescent="0.2">
      <c r="B26" s="300" t="str">
        <f>VLOOKUP("T.04.16",HE_label,2,FALSE)</f>
        <v>Anzahl Jahre bis CY</v>
      </c>
      <c r="C26" s="288">
        <f>HE_CY-HE_PY1</f>
        <v>1</v>
      </c>
      <c r="D26" s="286">
        <f>HE_CY-HE_PY2</f>
        <v>2</v>
      </c>
      <c r="E26" s="287">
        <f>HE_CY-HE_PY3</f>
        <v>3</v>
      </c>
    </row>
    <row r="27" spans="2:29" s="48" customFormat="1" x14ac:dyDescent="0.2"/>
    <row r="28" spans="2:29" s="48" customFormat="1" x14ac:dyDescent="0.2">
      <c r="B28" s="229" t="str">
        <f>VLOOKUP("T.04.17",HE_label,2,FALSE)</f>
        <v>Für Schätzung der Verwaltungskostensätze berücksichtigte Vorjahre</v>
      </c>
      <c r="C28"/>
      <c r="D28"/>
      <c r="E28"/>
    </row>
    <row r="29" spans="2:29" s="48" customFormat="1" x14ac:dyDescent="0.2">
      <c r="B29" s="278"/>
      <c r="C29" s="246" t="s">
        <v>1069</v>
      </c>
      <c r="D29" s="246" t="s">
        <v>1070</v>
      </c>
      <c r="E29" s="246" t="s">
        <v>1071</v>
      </c>
    </row>
    <row r="30" spans="2:29" s="48" customFormat="1" x14ac:dyDescent="0.2">
      <c r="B30" s="284" t="str">
        <f>VLOOKUP("T.04.15",HE_label,2,FALSE)</f>
        <v>Berücksichtigte Jahre</v>
      </c>
      <c r="C30" s="336">
        <v>2024</v>
      </c>
      <c r="D30" s="289">
        <v>2023</v>
      </c>
      <c r="E30" s="290">
        <v>2022</v>
      </c>
    </row>
    <row r="31" spans="2:29" s="48" customFormat="1" x14ac:dyDescent="0.2">
      <c r="B31" s="277"/>
      <c r="C31" s="551"/>
      <c r="D31" s="551"/>
      <c r="E31" s="551"/>
    </row>
    <row r="32" spans="2:29" s="48" customFormat="1" x14ac:dyDescent="0.2">
      <c r="B32" s="223" t="str">
        <f>VLOOKUP("T.04.18",HE_label,2,FALSE)</f>
        <v>Cost of Capital-Satz zur Berechnung des Mindestbetrages</v>
      </c>
      <c r="C32"/>
      <c r="D32" s="551"/>
      <c r="E32" s="551"/>
    </row>
    <row r="33" spans="2:54" s="48" customFormat="1" x14ac:dyDescent="0.2">
      <c r="B33" s="246" t="str">
        <f>VLOOKUP("T.04.19",HE_label,2,FALSE)</f>
        <v xml:space="preserve">CoC-Satz </v>
      </c>
      <c r="C33" s="280">
        <v>0.06</v>
      </c>
      <c r="D33" s="551"/>
      <c r="E33" s="551"/>
    </row>
    <row r="34" spans="2:54" s="48" customFormat="1" x14ac:dyDescent="0.2">
      <c r="B34"/>
      <c r="C34"/>
      <c r="D34" s="551"/>
      <c r="E34" s="551"/>
    </row>
    <row r="35" spans="2:54" s="48" customFormat="1" x14ac:dyDescent="0.2">
      <c r="B35" s="223" t="str">
        <f>VLOOKUP("T.04.20",HE_label,2,FALSE)</f>
        <v>Schutzniveau</v>
      </c>
      <c r="C35"/>
      <c r="D35" s="551"/>
      <c r="E35" s="551"/>
    </row>
    <row r="36" spans="2:54" s="48" customFormat="1" x14ac:dyDescent="0.2">
      <c r="B36" s="246" t="str">
        <f>VLOOKUP("T.04.21",HE_label,2,FALSE)</f>
        <v>Alpha</v>
      </c>
      <c r="C36" s="280">
        <v>0.01</v>
      </c>
      <c r="D36" s="551"/>
      <c r="E36" s="551"/>
    </row>
    <row r="37" spans="2:54" s="48" customFormat="1" x14ac:dyDescent="0.2">
      <c r="B37" s="560" t="str">
        <f>"1 - "&amp;B36</f>
        <v>1 - Alpha</v>
      </c>
      <c r="C37" s="558">
        <f>1-C36</f>
        <v>0.99</v>
      </c>
      <c r="D37" s="551"/>
      <c r="E37" s="551"/>
    </row>
    <row r="38" spans="2:54" s="48" customFormat="1" x14ac:dyDescent="0.2">
      <c r="B38" s="277"/>
      <c r="C38" s="551"/>
      <c r="D38" s="551"/>
      <c r="E38" s="551"/>
    </row>
    <row r="39" spans="2:54" s="48" customFormat="1" x14ac:dyDescent="0.2">
      <c r="B39" s="277"/>
      <c r="C39" s="551"/>
      <c r="D39" s="551"/>
      <c r="E39" s="551"/>
    </row>
    <row r="40" spans="2:54" ht="15.75" x14ac:dyDescent="0.2">
      <c r="B40" s="222" t="str">
        <f>VLOOKUP("T.04.22",HE_label,2,FALSE)</f>
        <v>Parameter für das Risikomodell</v>
      </c>
    </row>
    <row r="42" spans="2:54" x14ac:dyDescent="0.2">
      <c r="B42" s="223" t="str">
        <f>VLOOKUP("T.04.23",HE_label,2,FALSE)</f>
        <v>Delta-Sensitivität (Risiko der zukünftigen Jahre FY)</v>
      </c>
    </row>
    <row r="43" spans="2:54" ht="13.5" thickBot="1" x14ac:dyDescent="0.25">
      <c r="C43" s="715" t="str">
        <f>VLOOKUP("T.04.24",HE_label,2,FALSE)</f>
        <v>Sensitivität</v>
      </c>
      <c r="D43" s="697"/>
      <c r="E43" s="715" t="str">
        <f>VLOOKUP("T.04.25",HE_label,2,FALSE)</f>
        <v>Zu berücksichtigende Jahre</v>
      </c>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row>
    <row r="44" spans="2:54" ht="13.5" thickTop="1" x14ac:dyDescent="0.2">
      <c r="B44" s="223" t="str">
        <f>VLOOKUP("T.04.26",HE_label,2,FALSE)</f>
        <v>Risikofaktoren</v>
      </c>
      <c r="C44" s="251" t="str">
        <f>VLOOKUP("T.04.24a",HE_label,2,FALSE)</f>
        <v>nach oben</v>
      </c>
      <c r="D44" s="786" t="str">
        <f>VLOOKUP("T.04.24b",HE_label,2,FALSE)</f>
        <v>nach unten</v>
      </c>
      <c r="E44" s="784">
        <v>1</v>
      </c>
      <c r="F44" s="782">
        <v>2</v>
      </c>
      <c r="G44" s="782">
        <v>3</v>
      </c>
      <c r="H44" s="782">
        <v>4</v>
      </c>
      <c r="I44" s="782">
        <v>5</v>
      </c>
      <c r="J44" s="782">
        <v>6</v>
      </c>
      <c r="K44" s="782">
        <v>7</v>
      </c>
      <c r="L44" s="782">
        <v>8</v>
      </c>
      <c r="M44" s="782">
        <v>9</v>
      </c>
      <c r="N44" s="782">
        <v>10</v>
      </c>
      <c r="O44" s="782">
        <v>11</v>
      </c>
      <c r="P44" s="782">
        <v>12</v>
      </c>
      <c r="Q44" s="782">
        <v>13</v>
      </c>
      <c r="R44" s="782">
        <v>14</v>
      </c>
      <c r="S44" s="782">
        <v>15</v>
      </c>
      <c r="T44" s="782">
        <v>16</v>
      </c>
      <c r="U44" s="782">
        <v>17</v>
      </c>
      <c r="V44" s="782">
        <v>18</v>
      </c>
      <c r="W44" s="782">
        <v>19</v>
      </c>
      <c r="X44" s="782">
        <v>20</v>
      </c>
      <c r="Y44" s="782">
        <v>21</v>
      </c>
      <c r="Z44" s="782">
        <v>22</v>
      </c>
      <c r="AA44" s="782">
        <v>23</v>
      </c>
      <c r="AB44" s="782">
        <v>24</v>
      </c>
      <c r="AC44" s="782">
        <v>25</v>
      </c>
      <c r="AD44" s="782">
        <v>26</v>
      </c>
      <c r="AE44" s="782">
        <v>27</v>
      </c>
      <c r="AF44" s="782">
        <v>28</v>
      </c>
      <c r="AG44" s="782">
        <v>29</v>
      </c>
      <c r="AH44" s="782">
        <v>30</v>
      </c>
      <c r="AI44" s="782">
        <v>31</v>
      </c>
      <c r="AJ44" s="782">
        <v>32</v>
      </c>
      <c r="AK44" s="782">
        <v>33</v>
      </c>
      <c r="AL44" s="782">
        <v>34</v>
      </c>
      <c r="AM44" s="782">
        <v>35</v>
      </c>
      <c r="AN44" s="782">
        <v>36</v>
      </c>
      <c r="AO44" s="782">
        <v>37</v>
      </c>
      <c r="AP44" s="782">
        <v>38</v>
      </c>
      <c r="AQ44" s="782">
        <v>39</v>
      </c>
      <c r="AR44" s="782">
        <v>40</v>
      </c>
      <c r="AS44" s="782">
        <v>41</v>
      </c>
      <c r="AT44" s="782">
        <v>42</v>
      </c>
      <c r="AU44" s="782">
        <v>43</v>
      </c>
      <c r="AV44" s="782">
        <v>44</v>
      </c>
      <c r="AW44" s="782">
        <v>45</v>
      </c>
      <c r="AX44" s="782">
        <v>46</v>
      </c>
      <c r="AY44" s="782">
        <v>47</v>
      </c>
      <c r="AZ44" s="782">
        <v>48</v>
      </c>
      <c r="BA44" s="782">
        <v>49</v>
      </c>
      <c r="BB44" s="783">
        <v>50</v>
      </c>
    </row>
    <row r="45" spans="2:54" x14ac:dyDescent="0.2">
      <c r="B45" s="224" t="str">
        <f>VLOOKUP("T.04.27",HE_label,2,FALSE)</f>
        <v>Sterblichkeit (q)</v>
      </c>
      <c r="C45" s="291">
        <v>0.2</v>
      </c>
      <c r="D45" s="785">
        <v>-0.2</v>
      </c>
      <c r="E45" s="781">
        <v>1</v>
      </c>
      <c r="F45" s="781">
        <v>1</v>
      </c>
      <c r="G45" s="781">
        <v>1</v>
      </c>
      <c r="H45" s="781">
        <v>1</v>
      </c>
      <c r="I45" s="781">
        <v>1</v>
      </c>
      <c r="J45" s="781">
        <v>0</v>
      </c>
      <c r="K45" s="781">
        <v>0</v>
      </c>
      <c r="L45" s="781">
        <v>0</v>
      </c>
      <c r="M45" s="781">
        <v>0</v>
      </c>
      <c r="N45" s="781">
        <v>0</v>
      </c>
      <c r="O45" s="781">
        <v>0</v>
      </c>
      <c r="P45" s="781">
        <v>0</v>
      </c>
      <c r="Q45" s="781">
        <v>0</v>
      </c>
      <c r="R45" s="781">
        <v>0</v>
      </c>
      <c r="S45" s="781">
        <v>0</v>
      </c>
      <c r="T45" s="781">
        <v>0</v>
      </c>
      <c r="U45" s="781">
        <v>0</v>
      </c>
      <c r="V45" s="781">
        <v>0</v>
      </c>
      <c r="W45" s="781">
        <v>0</v>
      </c>
      <c r="X45" s="781">
        <v>0</v>
      </c>
      <c r="Y45" s="781">
        <v>0</v>
      </c>
      <c r="Z45" s="781">
        <v>0</v>
      </c>
      <c r="AA45" s="781">
        <v>0</v>
      </c>
      <c r="AB45" s="781">
        <v>0</v>
      </c>
      <c r="AC45" s="781">
        <v>0</v>
      </c>
      <c r="AD45" s="781">
        <v>0</v>
      </c>
      <c r="AE45" s="781">
        <v>0</v>
      </c>
      <c r="AF45" s="781">
        <v>0</v>
      </c>
      <c r="AG45" s="781">
        <v>0</v>
      </c>
      <c r="AH45" s="781">
        <v>0</v>
      </c>
      <c r="AI45" s="781">
        <v>0</v>
      </c>
      <c r="AJ45" s="781">
        <v>0</v>
      </c>
      <c r="AK45" s="781">
        <v>0</v>
      </c>
      <c r="AL45" s="781">
        <v>0</v>
      </c>
      <c r="AM45" s="781">
        <v>0</v>
      </c>
      <c r="AN45" s="781">
        <v>0</v>
      </c>
      <c r="AO45" s="781">
        <v>0</v>
      </c>
      <c r="AP45" s="781">
        <v>0</v>
      </c>
      <c r="AQ45" s="781">
        <v>0</v>
      </c>
      <c r="AR45" s="781">
        <v>0</v>
      </c>
      <c r="AS45" s="781">
        <v>0</v>
      </c>
      <c r="AT45" s="781">
        <v>0</v>
      </c>
      <c r="AU45" s="781">
        <v>0</v>
      </c>
      <c r="AV45" s="781">
        <v>0</v>
      </c>
      <c r="AW45" s="781">
        <v>0</v>
      </c>
      <c r="AX45" s="781">
        <v>0</v>
      </c>
      <c r="AY45" s="781">
        <v>0</v>
      </c>
      <c r="AZ45" s="781">
        <v>0</v>
      </c>
      <c r="BA45" s="781">
        <v>0</v>
      </c>
      <c r="BB45" s="781">
        <v>0</v>
      </c>
    </row>
    <row r="46" spans="2:54" x14ac:dyDescent="0.2">
      <c r="B46" s="224" t="str">
        <f>VLOOKUP("T.04.28",HE_label,2,FALSE)</f>
        <v>Storno (s)</v>
      </c>
      <c r="C46" s="291">
        <v>0.3</v>
      </c>
      <c r="D46" s="785">
        <v>-0.3</v>
      </c>
      <c r="E46" s="780">
        <v>1</v>
      </c>
      <c r="F46" s="780">
        <v>1</v>
      </c>
      <c r="G46" s="780">
        <v>1</v>
      </c>
      <c r="H46" s="780">
        <v>1</v>
      </c>
      <c r="I46" s="780">
        <v>1</v>
      </c>
      <c r="J46" s="780">
        <v>1</v>
      </c>
      <c r="K46" s="780">
        <v>1</v>
      </c>
      <c r="L46" s="780">
        <v>1</v>
      </c>
      <c r="M46" s="780">
        <v>1</v>
      </c>
      <c r="N46" s="780">
        <v>1</v>
      </c>
      <c r="O46" s="780">
        <v>1</v>
      </c>
      <c r="P46" s="780">
        <v>1</v>
      </c>
      <c r="Q46" s="780">
        <v>1</v>
      </c>
      <c r="R46" s="780">
        <v>1</v>
      </c>
      <c r="S46" s="780">
        <v>1</v>
      </c>
      <c r="T46" s="780">
        <v>1</v>
      </c>
      <c r="U46" s="780">
        <v>1</v>
      </c>
      <c r="V46" s="780">
        <v>1</v>
      </c>
      <c r="W46" s="780">
        <v>1</v>
      </c>
      <c r="X46" s="780">
        <v>1</v>
      </c>
      <c r="Y46" s="780">
        <v>1</v>
      </c>
      <c r="Z46" s="780">
        <v>1</v>
      </c>
      <c r="AA46" s="780">
        <v>1</v>
      </c>
      <c r="AB46" s="780">
        <v>1</v>
      </c>
      <c r="AC46" s="780">
        <v>1</v>
      </c>
      <c r="AD46" s="780">
        <v>1</v>
      </c>
      <c r="AE46" s="780">
        <v>1</v>
      </c>
      <c r="AF46" s="780">
        <v>1</v>
      </c>
      <c r="AG46" s="780">
        <v>1</v>
      </c>
      <c r="AH46" s="780">
        <v>1</v>
      </c>
      <c r="AI46" s="780">
        <v>1</v>
      </c>
      <c r="AJ46" s="780">
        <v>1</v>
      </c>
      <c r="AK46" s="780">
        <v>1</v>
      </c>
      <c r="AL46" s="780">
        <v>1</v>
      </c>
      <c r="AM46" s="780">
        <v>1</v>
      </c>
      <c r="AN46" s="780">
        <v>1</v>
      </c>
      <c r="AO46" s="780">
        <v>1</v>
      </c>
      <c r="AP46" s="780">
        <v>1</v>
      </c>
      <c r="AQ46" s="780">
        <v>1</v>
      </c>
      <c r="AR46" s="780">
        <v>1</v>
      </c>
      <c r="AS46" s="780">
        <v>1</v>
      </c>
      <c r="AT46" s="780">
        <v>1</v>
      </c>
      <c r="AU46" s="780">
        <v>1</v>
      </c>
      <c r="AV46" s="780">
        <v>1</v>
      </c>
      <c r="AW46" s="780">
        <v>1</v>
      </c>
      <c r="AX46" s="780">
        <v>1</v>
      </c>
      <c r="AY46" s="780">
        <v>1</v>
      </c>
      <c r="AZ46" s="780">
        <v>1</v>
      </c>
      <c r="BA46" s="780">
        <v>1</v>
      </c>
      <c r="BB46" s="780">
        <v>1</v>
      </c>
    </row>
    <row r="47" spans="2:54" x14ac:dyDescent="0.2">
      <c r="B47" s="224" t="str">
        <f>VLOOKUP("T.04.29",HE_label,2,FALSE)</f>
        <v>Kosten (k)</v>
      </c>
      <c r="C47" s="291">
        <v>0.2</v>
      </c>
      <c r="D47" s="785">
        <v>-0.2</v>
      </c>
      <c r="E47" s="780">
        <v>1</v>
      </c>
      <c r="F47" s="780">
        <v>1</v>
      </c>
      <c r="G47" s="780">
        <v>1</v>
      </c>
      <c r="H47" s="780">
        <v>1</v>
      </c>
      <c r="I47" s="780">
        <v>1</v>
      </c>
      <c r="J47" s="780">
        <v>0</v>
      </c>
      <c r="K47" s="780">
        <v>0</v>
      </c>
      <c r="L47" s="780">
        <v>0</v>
      </c>
      <c r="M47" s="780">
        <v>0</v>
      </c>
      <c r="N47" s="780">
        <v>0</v>
      </c>
      <c r="O47" s="780">
        <v>0</v>
      </c>
      <c r="P47" s="780">
        <v>0</v>
      </c>
      <c r="Q47" s="780">
        <v>0</v>
      </c>
      <c r="R47" s="780">
        <v>0</v>
      </c>
      <c r="S47" s="780">
        <v>0</v>
      </c>
      <c r="T47" s="780">
        <v>0</v>
      </c>
      <c r="U47" s="780">
        <v>0</v>
      </c>
      <c r="V47" s="780">
        <v>0</v>
      </c>
      <c r="W47" s="780">
        <v>0</v>
      </c>
      <c r="X47" s="780">
        <v>0</v>
      </c>
      <c r="Y47" s="780">
        <v>0</v>
      </c>
      <c r="Z47" s="780">
        <v>0</v>
      </c>
      <c r="AA47" s="780">
        <v>0</v>
      </c>
      <c r="AB47" s="780">
        <v>0</v>
      </c>
      <c r="AC47" s="780">
        <v>0</v>
      </c>
      <c r="AD47" s="780">
        <v>0</v>
      </c>
      <c r="AE47" s="780">
        <v>0</v>
      </c>
      <c r="AF47" s="780">
        <v>0</v>
      </c>
      <c r="AG47" s="780">
        <v>0</v>
      </c>
      <c r="AH47" s="780">
        <v>0</v>
      </c>
      <c r="AI47" s="780">
        <v>0</v>
      </c>
      <c r="AJ47" s="780">
        <v>0</v>
      </c>
      <c r="AK47" s="780">
        <v>0</v>
      </c>
      <c r="AL47" s="780">
        <v>0</v>
      </c>
      <c r="AM47" s="780">
        <v>0</v>
      </c>
      <c r="AN47" s="780">
        <v>0</v>
      </c>
      <c r="AO47" s="780">
        <v>0</v>
      </c>
      <c r="AP47" s="780">
        <v>0</v>
      </c>
      <c r="AQ47" s="780">
        <v>0</v>
      </c>
      <c r="AR47" s="780">
        <v>0</v>
      </c>
      <c r="AS47" s="780">
        <v>0</v>
      </c>
      <c r="AT47" s="780">
        <v>0</v>
      </c>
      <c r="AU47" s="780">
        <v>0</v>
      </c>
      <c r="AV47" s="780">
        <v>0</v>
      </c>
      <c r="AW47" s="780">
        <v>0</v>
      </c>
      <c r="AX47" s="780">
        <v>0</v>
      </c>
      <c r="AY47" s="780">
        <v>0</v>
      </c>
      <c r="AZ47" s="780">
        <v>0</v>
      </c>
      <c r="BA47" s="780">
        <v>0</v>
      </c>
      <c r="BB47" s="780">
        <v>0</v>
      </c>
    </row>
    <row r="48" spans="2:54" x14ac:dyDescent="0.2">
      <c r="B48" s="224" t="str">
        <f>VLOOKUP("T.04.30",HE_label,2,FALSE)</f>
        <v>Leistungen (l)</v>
      </c>
      <c r="C48" s="291">
        <v>0.05</v>
      </c>
      <c r="D48" s="785">
        <v>0</v>
      </c>
      <c r="E48" s="780">
        <v>1</v>
      </c>
      <c r="F48" s="780">
        <v>1</v>
      </c>
      <c r="G48" s="780">
        <v>1</v>
      </c>
      <c r="H48" s="780">
        <v>1</v>
      </c>
      <c r="I48" s="780">
        <v>1</v>
      </c>
      <c r="J48" s="780">
        <v>0</v>
      </c>
      <c r="K48" s="780">
        <v>0</v>
      </c>
      <c r="L48" s="780">
        <v>0</v>
      </c>
      <c r="M48" s="780">
        <v>0</v>
      </c>
      <c r="N48" s="780">
        <v>0</v>
      </c>
      <c r="O48" s="780">
        <v>0</v>
      </c>
      <c r="P48" s="780">
        <v>0</v>
      </c>
      <c r="Q48" s="780">
        <v>0</v>
      </c>
      <c r="R48" s="780">
        <v>0</v>
      </c>
      <c r="S48" s="780">
        <v>0</v>
      </c>
      <c r="T48" s="780">
        <v>0</v>
      </c>
      <c r="U48" s="780">
        <v>0</v>
      </c>
      <c r="V48" s="780">
        <v>0</v>
      </c>
      <c r="W48" s="780">
        <v>0</v>
      </c>
      <c r="X48" s="780">
        <v>0</v>
      </c>
      <c r="Y48" s="780">
        <v>0</v>
      </c>
      <c r="Z48" s="780">
        <v>0</v>
      </c>
      <c r="AA48" s="780">
        <v>0</v>
      </c>
      <c r="AB48" s="780">
        <v>0</v>
      </c>
      <c r="AC48" s="780">
        <v>0</v>
      </c>
      <c r="AD48" s="780">
        <v>0</v>
      </c>
      <c r="AE48" s="780">
        <v>0</v>
      </c>
      <c r="AF48" s="780">
        <v>0</v>
      </c>
      <c r="AG48" s="780">
        <v>0</v>
      </c>
      <c r="AH48" s="780">
        <v>0</v>
      </c>
      <c r="AI48" s="780">
        <v>0</v>
      </c>
      <c r="AJ48" s="780">
        <v>0</v>
      </c>
      <c r="AK48" s="780">
        <v>0</v>
      </c>
      <c r="AL48" s="780">
        <v>0</v>
      </c>
      <c r="AM48" s="780">
        <v>0</v>
      </c>
      <c r="AN48" s="780">
        <v>0</v>
      </c>
      <c r="AO48" s="780">
        <v>0</v>
      </c>
      <c r="AP48" s="780">
        <v>0</v>
      </c>
      <c r="AQ48" s="780">
        <v>0</v>
      </c>
      <c r="AR48" s="780">
        <v>0</v>
      </c>
      <c r="AS48" s="780">
        <v>0</v>
      </c>
      <c r="AT48" s="780">
        <v>0</v>
      </c>
      <c r="AU48" s="780">
        <v>0</v>
      </c>
      <c r="AV48" s="780">
        <v>0</v>
      </c>
      <c r="AW48" s="780">
        <v>0</v>
      </c>
      <c r="AX48" s="780">
        <v>0</v>
      </c>
      <c r="AY48" s="780">
        <v>0</v>
      </c>
      <c r="AZ48" s="780">
        <v>0</v>
      </c>
      <c r="BA48" s="780">
        <v>0</v>
      </c>
      <c r="BB48" s="780">
        <v>0</v>
      </c>
    </row>
    <row r="50" spans="2:54" x14ac:dyDescent="0.2">
      <c r="B50" s="224" t="str">
        <f>VLOOKUP("T.04.30bis",HE_label,2,FALSE)</f>
        <v xml:space="preserve">Hilfsvektor für das nicht-hedgbare Marktrisiko </v>
      </c>
      <c r="C50" s="780"/>
      <c r="D50" s="780"/>
      <c r="E50" s="780">
        <v>0</v>
      </c>
      <c r="F50" s="780">
        <v>0</v>
      </c>
      <c r="G50" s="780">
        <v>0</v>
      </c>
      <c r="H50" s="780">
        <v>0</v>
      </c>
      <c r="I50" s="780">
        <v>0</v>
      </c>
      <c r="J50" s="780">
        <v>0</v>
      </c>
      <c r="K50" s="780">
        <v>0</v>
      </c>
      <c r="L50" s="780">
        <v>0</v>
      </c>
      <c r="M50" s="780">
        <v>0</v>
      </c>
      <c r="N50" s="780">
        <v>0</v>
      </c>
      <c r="O50" s="780">
        <v>0</v>
      </c>
      <c r="P50" s="780">
        <v>0</v>
      </c>
      <c r="Q50" s="780">
        <v>0</v>
      </c>
      <c r="R50" s="780">
        <v>0</v>
      </c>
      <c r="S50" s="780">
        <v>0</v>
      </c>
      <c r="T50" s="780">
        <v>1</v>
      </c>
      <c r="U50" s="780">
        <v>1</v>
      </c>
      <c r="V50" s="780">
        <v>1</v>
      </c>
      <c r="W50" s="780">
        <v>1</v>
      </c>
      <c r="X50" s="780">
        <v>1</v>
      </c>
      <c r="Y50" s="780">
        <v>1</v>
      </c>
      <c r="Z50" s="780">
        <v>1</v>
      </c>
      <c r="AA50" s="780">
        <v>1</v>
      </c>
      <c r="AB50" s="780">
        <v>1</v>
      </c>
      <c r="AC50" s="780">
        <v>1</v>
      </c>
      <c r="AD50" s="780">
        <v>1</v>
      </c>
      <c r="AE50" s="780">
        <v>1</v>
      </c>
      <c r="AF50" s="780">
        <v>1</v>
      </c>
      <c r="AG50" s="780">
        <v>1</v>
      </c>
      <c r="AH50" s="780">
        <v>1</v>
      </c>
      <c r="AI50" s="780">
        <v>1</v>
      </c>
      <c r="AJ50" s="780">
        <v>1</v>
      </c>
      <c r="AK50" s="780">
        <v>1</v>
      </c>
      <c r="AL50" s="780">
        <v>1</v>
      </c>
      <c r="AM50" s="780">
        <v>1</v>
      </c>
      <c r="AN50" s="780">
        <v>1</v>
      </c>
      <c r="AO50" s="780">
        <v>1</v>
      </c>
      <c r="AP50" s="780">
        <v>1</v>
      </c>
      <c r="AQ50" s="780">
        <v>1</v>
      </c>
      <c r="AR50" s="780">
        <v>1</v>
      </c>
      <c r="AS50" s="780">
        <v>1</v>
      </c>
      <c r="AT50" s="780">
        <v>1</v>
      </c>
      <c r="AU50" s="780">
        <v>1</v>
      </c>
      <c r="AV50" s="780">
        <v>1</v>
      </c>
      <c r="AW50" s="780">
        <v>1</v>
      </c>
      <c r="AX50" s="780">
        <v>1</v>
      </c>
      <c r="AY50" s="780">
        <v>1</v>
      </c>
      <c r="AZ50" s="780">
        <v>1</v>
      </c>
      <c r="BA50" s="780">
        <v>1</v>
      </c>
      <c r="BB50" s="780">
        <v>1</v>
      </c>
    </row>
    <row r="52" spans="2:54" x14ac:dyDescent="0.2">
      <c r="B52" s="1295" t="str">
        <f>VLOOKUP("T.04.31",HE_label,2,FALSE)</f>
        <v>Risikoparameter</v>
      </c>
    </row>
    <row r="53" spans="2:54" x14ac:dyDescent="0.2">
      <c r="B53" s="224" t="str">
        <f>B45&amp;VLOOKUP("T.04.32",HE_label,2,FALSE)</f>
        <v>Sterblichkeit (q) - Variationskoeffizient</v>
      </c>
      <c r="C53" s="291">
        <v>0.15</v>
      </c>
    </row>
    <row r="54" spans="2:54" x14ac:dyDescent="0.2">
      <c r="B54" s="224" t="str">
        <f>B46&amp;VLOOKUP("T.04.32",HE_label,2,FALSE)</f>
        <v>Storno (s) - Variationskoeffizient</v>
      </c>
      <c r="C54" s="291">
        <v>0.08</v>
      </c>
    </row>
    <row r="55" spans="2:54" x14ac:dyDescent="0.2">
      <c r="B55" s="224" t="str">
        <f>B47&amp;VLOOKUP("T.04.32",HE_label,2,FALSE)</f>
        <v>Kosten (k) - Variationskoeffizient</v>
      </c>
      <c r="C55" s="291">
        <v>0.1</v>
      </c>
    </row>
    <row r="56" spans="2:54" x14ac:dyDescent="0.2">
      <c r="B56" s="224" t="str">
        <f>B48&amp;VLOOKUP("T.04.33",HE_label,2,FALSE)</f>
        <v>Leistungen (l) - Anzahl Jahre, Xi, Eta, Quelle</v>
      </c>
      <c r="C56" s="552">
        <v>10</v>
      </c>
      <c r="D56" s="553">
        <v>3.0779999999999998</v>
      </c>
      <c r="E56" s="553">
        <v>1.1439999999999999</v>
      </c>
      <c r="F56" s="555" t="s">
        <v>221</v>
      </c>
      <c r="G56" s="553"/>
      <c r="H56" s="553"/>
      <c r="I56" s="553"/>
      <c r="J56" s="279"/>
      <c r="K56" s="279"/>
      <c r="L56" s="279"/>
      <c r="M56" s="279"/>
      <c r="N56" s="279"/>
      <c r="U56" s="647"/>
      <c r="V56" s="647"/>
      <c r="W56" s="647"/>
      <c r="X56" s="279"/>
      <c r="Y56" s="279"/>
      <c r="Z56" s="279"/>
      <c r="AA56" s="279"/>
      <c r="AB56" s="279"/>
    </row>
    <row r="57" spans="2:54" x14ac:dyDescent="0.2">
      <c r="B57" s="224" t="str">
        <f>B48&amp;VLOOKUP("T.04.34",HE_label,2,FALSE)</f>
        <v>Leistungen (l) - Variationskoeffizient, Maximum, Minimum</v>
      </c>
      <c r="C57" s="291">
        <v>0.09</v>
      </c>
      <c r="D57" s="291">
        <v>0.03</v>
      </c>
      <c r="U57" s="46"/>
      <c r="V57" s="46"/>
      <c r="W57" s="46"/>
    </row>
    <row r="58" spans="2:54" x14ac:dyDescent="0.2">
      <c r="B58" s="278" t="str">
        <f>VLOOKUP("T.04.35",HE_label,2,FALSE)</f>
        <v>Szenario Antiselektion (AS) - Eintrittwahrscheinlichkeit</v>
      </c>
      <c r="C58" s="291">
        <v>5.0000000000000001E-3</v>
      </c>
      <c r="D58" s="557"/>
      <c r="U58" s="46"/>
      <c r="V58" s="46"/>
      <c r="W58" s="46"/>
    </row>
    <row r="59" spans="2:54" s="48" customFormat="1" x14ac:dyDescent="0.2">
      <c r="B59" s="277"/>
      <c r="C59" s="551"/>
      <c r="D59" s="551"/>
      <c r="E59" s="551"/>
      <c r="U59" s="46"/>
      <c r="V59" s="46"/>
      <c r="W59" s="46"/>
    </row>
    <row r="60" spans="2:54" s="48" customFormat="1" x14ac:dyDescent="0.2">
      <c r="B60" s="223" t="str">
        <f>VLOOKUP("T.04.36",HE_label,2,FALSE)</f>
        <v xml:space="preserve">Korrelationsmatrix der Risikofaktoren für die Einzelkrankenversicherung (EK) </v>
      </c>
      <c r="C60" s="551"/>
      <c r="D60" s="551"/>
      <c r="E60" s="551"/>
      <c r="U60" s="46"/>
      <c r="V60" s="46"/>
      <c r="W60" s="46"/>
    </row>
    <row r="61" spans="2:54" s="48" customFormat="1" x14ac:dyDescent="0.2">
      <c r="B61" s="223"/>
      <c r="C61" s="251" t="s">
        <v>223</v>
      </c>
      <c r="D61" s="251" t="s">
        <v>224</v>
      </c>
      <c r="E61" s="251" t="s">
        <v>225</v>
      </c>
      <c r="F61" s="251" t="s">
        <v>226</v>
      </c>
      <c r="G61" s="251" t="s">
        <v>44</v>
      </c>
      <c r="U61" s="561"/>
      <c r="V61" s="46"/>
      <c r="W61" s="46"/>
    </row>
    <row r="62" spans="2:54" s="48" customFormat="1" x14ac:dyDescent="0.2">
      <c r="B62" s="224" t="str">
        <f>B45</f>
        <v>Sterblichkeit (q)</v>
      </c>
      <c r="C62" s="556">
        <v>1</v>
      </c>
      <c r="D62" s="556">
        <v>0</v>
      </c>
      <c r="E62" s="556">
        <v>0.25</v>
      </c>
      <c r="F62" s="556">
        <v>0</v>
      </c>
      <c r="G62" s="556">
        <v>0</v>
      </c>
      <c r="U62" s="648"/>
      <c r="V62" s="46"/>
      <c r="W62" s="46"/>
    </row>
    <row r="63" spans="2:54" s="48" customFormat="1" x14ac:dyDescent="0.2">
      <c r="B63" s="224" t="str">
        <f>B46</f>
        <v>Storno (s)</v>
      </c>
      <c r="C63" s="556">
        <v>0</v>
      </c>
      <c r="D63" s="556">
        <v>1</v>
      </c>
      <c r="E63" s="556">
        <v>0.5</v>
      </c>
      <c r="F63" s="556">
        <v>0</v>
      </c>
      <c r="G63" s="556">
        <v>0</v>
      </c>
      <c r="U63" s="648"/>
      <c r="V63" s="46"/>
      <c r="W63" s="46"/>
    </row>
    <row r="64" spans="2:54" s="48" customFormat="1" x14ac:dyDescent="0.2">
      <c r="B64" s="224" t="str">
        <f>B47</f>
        <v>Kosten (k)</v>
      </c>
      <c r="C64" s="556">
        <v>0.25</v>
      </c>
      <c r="D64" s="556">
        <v>0.5</v>
      </c>
      <c r="E64" s="556">
        <v>1</v>
      </c>
      <c r="F64" s="556">
        <v>0</v>
      </c>
      <c r="G64" s="556">
        <v>0</v>
      </c>
      <c r="U64" s="648"/>
      <c r="V64" s="46"/>
      <c r="W64" s="46"/>
    </row>
    <row r="65" spans="2:23" s="48" customFormat="1" x14ac:dyDescent="0.2">
      <c r="B65" s="224" t="str">
        <f>B48</f>
        <v>Leistungen (l)</v>
      </c>
      <c r="C65" s="556">
        <v>0</v>
      </c>
      <c r="D65" s="556">
        <v>0</v>
      </c>
      <c r="E65" s="556">
        <v>0</v>
      </c>
      <c r="F65" s="556">
        <v>1</v>
      </c>
      <c r="G65" s="556">
        <v>0.5</v>
      </c>
      <c r="U65" s="648"/>
      <c r="V65" s="46"/>
      <c r="W65" s="46"/>
    </row>
    <row r="66" spans="2:23" s="48" customFormat="1" x14ac:dyDescent="0.2">
      <c r="B66" s="224" t="str">
        <f>VLOOKUP("T.04.37",HE_label,2,FALSE)</f>
        <v>CY-Risiko</v>
      </c>
      <c r="C66" s="556">
        <v>0</v>
      </c>
      <c r="D66" s="556">
        <v>0</v>
      </c>
      <c r="E66" s="556">
        <v>0</v>
      </c>
      <c r="F66" s="556">
        <v>0.5</v>
      </c>
      <c r="G66" s="556">
        <v>1</v>
      </c>
      <c r="U66" s="648"/>
      <c r="V66" s="46"/>
      <c r="W66" s="46"/>
    </row>
    <row r="67" spans="2:23" s="48" customFormat="1" x14ac:dyDescent="0.2">
      <c r="B67" s="277"/>
      <c r="C67" s="551"/>
      <c r="D67" s="551"/>
      <c r="E67" s="551"/>
    </row>
    <row r="68" spans="2:23" s="48" customFormat="1" x14ac:dyDescent="0.2">
      <c r="B68" s="223" t="str">
        <f>VLOOKUP("T.04.38",HE_label,2,FALSE)</f>
        <v>Risikofaktoren für die Kollektivtaggeldversicherung (KTG)</v>
      </c>
      <c r="C68"/>
      <c r="D68" s="551"/>
      <c r="E68" s="551"/>
    </row>
    <row r="69" spans="2:23" s="48" customFormat="1" x14ac:dyDescent="0.2">
      <c r="B69" s="224" t="str">
        <f>VLOOKUP("T.04.39",HE_label,2,FALSE)</f>
        <v>Variationskoeffizient des Einzelschadens</v>
      </c>
      <c r="C69" s="556">
        <v>2.5</v>
      </c>
      <c r="D69" s="551"/>
      <c r="E69" s="551"/>
    </row>
    <row r="70" spans="2:23" s="48" customFormat="1" x14ac:dyDescent="0.2">
      <c r="B70" s="224" t="str">
        <f>VLOOKUP("T.04.40",HE_label,2,FALSE)</f>
        <v>Variationskoeffizient des Parameterrisikos</v>
      </c>
      <c r="C70" s="1234">
        <v>0.08</v>
      </c>
      <c r="D70" s="551"/>
      <c r="E70" s="551"/>
    </row>
    <row r="71" spans="2:23" s="48" customFormat="1" x14ac:dyDescent="0.2">
      <c r="B71" s="278" t="str">
        <f>VLOOKUP("T.04.41",HE_label,2,FALSE)</f>
        <v>Szenario KTG - Eintrittwahrscheinlichkeit</v>
      </c>
      <c r="C71" s="291">
        <v>5.0000000000000001E-3</v>
      </c>
      <c r="D71" s="551"/>
      <c r="E71" s="551"/>
    </row>
    <row r="72" spans="2:23" s="48" customFormat="1" x14ac:dyDescent="0.2">
      <c r="B72" s="277"/>
      <c r="C72" s="551"/>
      <c r="D72" s="551"/>
      <c r="E72" s="551"/>
    </row>
    <row r="73" spans="2:23" s="48" customFormat="1" x14ac:dyDescent="0.2">
      <c r="B73" s="223" t="str">
        <f>VLOOKUP("T.04.42",HE_label,2,FALSE)</f>
        <v>Korrelationsmatrix der Branchen EK und KTG</v>
      </c>
      <c r="C73" s="251" t="str">
        <f>VLOOKUP("T.04.43a",HE_label,2,FALSE)</f>
        <v>EK</v>
      </c>
      <c r="D73" s="251" t="str">
        <f>VLOOKUP("T.04.44a",HE_label,2,FALSE)</f>
        <v>KTG</v>
      </c>
      <c r="E73" s="551"/>
    </row>
    <row r="74" spans="2:23" s="48" customFormat="1" x14ac:dyDescent="0.2">
      <c r="B74" s="224" t="str">
        <f>VLOOKUP("T.04.43",HE_label,2,FALSE)&amp;" ("&amp;VLOOKUP("T.04.43a",HE_label,2,FALSE)&amp;")"</f>
        <v>Einzelkranken (EK)</v>
      </c>
      <c r="C74" s="556">
        <v>1</v>
      </c>
      <c r="D74" s="556">
        <v>0.25</v>
      </c>
      <c r="E74" s="551"/>
    </row>
    <row r="75" spans="2:23" s="48" customFormat="1" x14ac:dyDescent="0.2">
      <c r="B75" s="224" t="str">
        <f>VLOOKUP("T.04.44",HE_label,2,FALSE)&amp;" ("&amp;VLOOKUP("T.04.44a",HE_label,2,FALSE)&amp;")"</f>
        <v>Kollektivtaggeld (KTG)</v>
      </c>
      <c r="C75" s="556">
        <v>0.25</v>
      </c>
      <c r="D75" s="556">
        <v>1</v>
      </c>
      <c r="E75" s="551"/>
    </row>
    <row r="76" spans="2:23" s="48" customFormat="1" x14ac:dyDescent="0.2">
      <c r="B76" s="277"/>
      <c r="C76" s="551"/>
      <c r="D76" s="551"/>
      <c r="E76" s="551"/>
    </row>
    <row r="77" spans="2:23" s="48" customFormat="1" x14ac:dyDescent="0.2">
      <c r="B77" s="561"/>
      <c r="C77" s="559"/>
      <c r="D77" s="551"/>
      <c r="E77" s="551"/>
    </row>
    <row r="78" spans="2:23" ht="15.75" x14ac:dyDescent="0.2">
      <c r="B78" s="222" t="str">
        <f>VLOOKUP("T.04.45",HE_label,2,FALSE)</f>
        <v>Merkmale der Vertragsgruppen (CG)</v>
      </c>
    </row>
    <row r="80" spans="2:23" x14ac:dyDescent="0.2">
      <c r="C80" s="223" t="str">
        <f>VLOOKUP("T.04.46",HE_label,2,FALSE)</f>
        <v xml:space="preserve">Daten für CY-Anpassungen </v>
      </c>
      <c r="D80" s="223"/>
      <c r="K80" s="223" t="str">
        <f>VLOOKUP("T.04.47",HE_label,2,FALSE)</f>
        <v>Korrelationsmatrix der Leistungen</v>
      </c>
    </row>
    <row r="81" spans="1:22" ht="38.25" x14ac:dyDescent="0.2">
      <c r="B81" s="440"/>
      <c r="C81" s="436" t="str">
        <f>VLOOKUP("T.04.46a",HE_label,2,FALSE)</f>
        <v>CY, Faktor für fehlende Prämien</v>
      </c>
      <c r="D81" s="1304" t="str">
        <f>VLOOKUP("T.04.46b",HE_label,2,FALSE)</f>
        <v>Jahr PY, jährliche nicht-strukturelle Teuerung der Leistungen für CY-Anpassung</v>
      </c>
      <c r="E81" s="1301" t="str">
        <f>VLOOKUP("T.04.46",HE_label,2,FALSE)</f>
        <v xml:space="preserve">Daten für CY-Anpassungen </v>
      </c>
      <c r="F81" s="1305" t="str">
        <f>VLOOKUP("T.04.46",HE_label,2,FALSE)</f>
        <v xml:space="preserve">Daten für CY-Anpassungen </v>
      </c>
      <c r="G81" s="1301" t="str">
        <f>VLOOKUP("T.04.46c",HE_label,2,FALSE)</f>
        <v>Jahr PY, CY-Anpassungsfaktor</v>
      </c>
      <c r="H81" s="1301" t="str">
        <f>VLOOKUP("T.04.46",HE_label,2,FALSE)</f>
        <v xml:space="preserve">Daten für CY-Anpassungen </v>
      </c>
      <c r="I81" s="1301" t="str">
        <f>VLOOKUP("T.04.46",HE_label,2,FALSE)</f>
        <v xml:space="preserve">Daten für CY-Anpassungen </v>
      </c>
      <c r="K81" s="223"/>
      <c r="U81" s="432"/>
      <c r="V81" s="432"/>
    </row>
    <row r="82" spans="1:22" x14ac:dyDescent="0.2">
      <c r="B82" s="441" t="str">
        <f>VLOOKUP("T.04.48",HE_label,2,FALSE)</f>
        <v>Produktegruppen (PG)</v>
      </c>
      <c r="C82" s="437">
        <f>HE_CY</f>
        <v>2025</v>
      </c>
      <c r="D82" s="675">
        <f>HE_PY1</f>
        <v>2024</v>
      </c>
      <c r="E82" s="285">
        <f>HE_PY2</f>
        <v>2023</v>
      </c>
      <c r="F82" s="676">
        <f>HE_PY3</f>
        <v>2022</v>
      </c>
      <c r="G82" s="435">
        <f>HE_PY1</f>
        <v>2024</v>
      </c>
      <c r="H82" s="285">
        <f>HE_PY2</f>
        <v>2023</v>
      </c>
      <c r="I82" s="431">
        <f>HE_PY3</f>
        <v>2022</v>
      </c>
      <c r="K82" s="251" t="s">
        <v>143</v>
      </c>
      <c r="L82" s="251" t="s">
        <v>144</v>
      </c>
      <c r="M82" s="251" t="s">
        <v>145</v>
      </c>
      <c r="N82" s="251" t="s">
        <v>146</v>
      </c>
      <c r="O82" s="251" t="s">
        <v>147</v>
      </c>
      <c r="U82" s="433"/>
      <c r="V82" s="433"/>
    </row>
    <row r="83" spans="1:22" x14ac:dyDescent="0.2">
      <c r="A83" s="358">
        <v>1</v>
      </c>
      <c r="B83" s="442" t="str">
        <f>VLOOKUP("T.04.49",HE_label,2,FALSE)</f>
        <v>PG1 - Stationäre Produkte Halbprivat, Privat und Flex</v>
      </c>
      <c r="C83" s="438">
        <v>1</v>
      </c>
      <c r="D83" s="1396">
        <v>0</v>
      </c>
      <c r="E83" s="1396">
        <v>0</v>
      </c>
      <c r="F83" s="1397">
        <v>0</v>
      </c>
      <c r="G83" s="1226">
        <f>(1+D83)^$C$26</f>
        <v>1</v>
      </c>
      <c r="H83" s="1226">
        <f>(1+E83)^$D$26</f>
        <v>1</v>
      </c>
      <c r="I83" s="1226">
        <f>(1+F83)^$E$26</f>
        <v>1</v>
      </c>
      <c r="K83" s="556">
        <v>1</v>
      </c>
      <c r="L83" s="556">
        <v>0.5</v>
      </c>
      <c r="M83" s="556">
        <v>0.5</v>
      </c>
      <c r="N83" s="556">
        <v>0.25</v>
      </c>
      <c r="O83" s="556">
        <v>0.25</v>
      </c>
      <c r="U83" s="434"/>
      <c r="V83" s="434"/>
    </row>
    <row r="84" spans="1:22" x14ac:dyDescent="0.2">
      <c r="A84" s="358">
        <v>2</v>
      </c>
      <c r="B84" s="442" t="str">
        <f>VLOOKUP("T.04.50",HE_label,2,FALSE)</f>
        <v>PG2 - Übrige stationäre Produkte</v>
      </c>
      <c r="C84" s="439">
        <v>1</v>
      </c>
      <c r="D84" s="1398">
        <v>1.4999999999999999E-2</v>
      </c>
      <c r="E84" s="1398">
        <v>1.4999999999999999E-2</v>
      </c>
      <c r="F84" s="1399">
        <v>1.4999999999999999E-2</v>
      </c>
      <c r="G84" s="1227">
        <f t="shared" ref="G84:G87" si="3">(1+D84)^$C$26</f>
        <v>1.0149999999999999</v>
      </c>
      <c r="H84" s="1227">
        <f t="shared" ref="H84:H87" si="4">(1+E84)^$D$26</f>
        <v>1.0302249999999997</v>
      </c>
      <c r="I84" s="1227">
        <f t="shared" ref="I84:I87" si="5">(1+F84)^$E$26</f>
        <v>1.0456783749999996</v>
      </c>
      <c r="K84" s="556">
        <v>0.5</v>
      </c>
      <c r="L84" s="556">
        <v>1</v>
      </c>
      <c r="M84" s="556">
        <v>0.5</v>
      </c>
      <c r="N84" s="556">
        <v>0.25</v>
      </c>
      <c r="O84" s="556">
        <v>0.25</v>
      </c>
      <c r="U84" s="434"/>
      <c r="V84" s="434"/>
    </row>
    <row r="85" spans="1:22" x14ac:dyDescent="0.2">
      <c r="A85" s="358">
        <v>3</v>
      </c>
      <c r="B85" s="442" t="str">
        <f>VLOOKUP("T.04.51",HE_label,2,FALSE)</f>
        <v>PG3 - Ambulante Produkte</v>
      </c>
      <c r="C85" s="439">
        <v>1</v>
      </c>
      <c r="D85" s="1398">
        <v>3.5000000000000003E-2</v>
      </c>
      <c r="E85" s="1398">
        <v>3.5000000000000003E-2</v>
      </c>
      <c r="F85" s="1399">
        <v>3.5000000000000003E-2</v>
      </c>
      <c r="G85" s="1227">
        <f t="shared" si="3"/>
        <v>1.0349999999999999</v>
      </c>
      <c r="H85" s="1227">
        <f t="shared" si="4"/>
        <v>1.0712249999999999</v>
      </c>
      <c r="I85" s="1227">
        <f t="shared" si="5"/>
        <v>1.1087178749999997</v>
      </c>
      <c r="K85" s="556">
        <v>0.5</v>
      </c>
      <c r="L85" s="556">
        <v>0.5</v>
      </c>
      <c r="M85" s="556">
        <v>1</v>
      </c>
      <c r="N85" s="556">
        <v>0.25</v>
      </c>
      <c r="O85" s="556">
        <v>0.25</v>
      </c>
      <c r="U85" s="434"/>
      <c r="V85" s="434"/>
    </row>
    <row r="86" spans="1:22" x14ac:dyDescent="0.2">
      <c r="A86" s="358">
        <v>4</v>
      </c>
      <c r="B86" s="442" t="str">
        <f>VLOOKUP("T.04.52",HE_label,2,FALSE)</f>
        <v>PG4 - Langzeitpflege</v>
      </c>
      <c r="C86" s="439">
        <v>1</v>
      </c>
      <c r="D86" s="1398">
        <v>0</v>
      </c>
      <c r="E86" s="1398">
        <v>0</v>
      </c>
      <c r="F86" s="1399">
        <v>0</v>
      </c>
      <c r="G86" s="1227">
        <f t="shared" si="3"/>
        <v>1</v>
      </c>
      <c r="H86" s="1227">
        <f t="shared" si="4"/>
        <v>1</v>
      </c>
      <c r="I86" s="1227">
        <f t="shared" si="5"/>
        <v>1</v>
      </c>
      <c r="K86" s="556">
        <v>0.25</v>
      </c>
      <c r="L86" s="556">
        <v>0.25</v>
      </c>
      <c r="M86" s="556">
        <v>0.25</v>
      </c>
      <c r="N86" s="556">
        <v>1</v>
      </c>
      <c r="O86" s="556">
        <v>0.25</v>
      </c>
      <c r="U86" s="434"/>
      <c r="V86" s="434"/>
    </row>
    <row r="87" spans="1:22" x14ac:dyDescent="0.2">
      <c r="A87" s="358">
        <v>5</v>
      </c>
      <c r="B87" s="442" t="str">
        <f>VLOOKUP("T.04.53",HE_label,2,FALSE)</f>
        <v>PG5 - Einzeltaggeldversicherung</v>
      </c>
      <c r="C87" s="439">
        <v>1</v>
      </c>
      <c r="D87" s="1398">
        <v>0</v>
      </c>
      <c r="E87" s="1398">
        <v>0</v>
      </c>
      <c r="F87" s="1399">
        <v>0</v>
      </c>
      <c r="G87" s="1227">
        <f t="shared" si="3"/>
        <v>1</v>
      </c>
      <c r="H87" s="1227">
        <f t="shared" si="4"/>
        <v>1</v>
      </c>
      <c r="I87" s="1227">
        <f t="shared" si="5"/>
        <v>1</v>
      </c>
      <c r="K87" s="556">
        <v>0.25</v>
      </c>
      <c r="L87" s="556">
        <v>0.25</v>
      </c>
      <c r="M87" s="556">
        <v>0.25</v>
      </c>
      <c r="N87" s="556">
        <v>0.25</v>
      </c>
      <c r="O87" s="556">
        <v>1</v>
      </c>
      <c r="U87" s="434"/>
      <c r="V87" s="434"/>
    </row>
    <row r="88" spans="1:22" x14ac:dyDescent="0.2">
      <c r="B88" s="529" t="str">
        <f>VLOOKUP("T.04.54",HE_label,2,FALSE)</f>
        <v>Total fünf Produktegruppen</v>
      </c>
    </row>
    <row r="90" spans="1:22" x14ac:dyDescent="0.2">
      <c r="B90" s="441" t="str">
        <f>VLOOKUP("T.04.55",HE_label,2,FALSE)</f>
        <v>Produktegruppen und -untergruppen</v>
      </c>
    </row>
    <row r="91" spans="1:22" x14ac:dyDescent="0.2">
      <c r="A91" s="358"/>
      <c r="B91" s="442" t="str">
        <f>VLOOKUP("T.04.56",HE_label,2,FALSE)</f>
        <v>PG1.1 - Stationäre Produkte Halbprivat</v>
      </c>
    </row>
    <row r="92" spans="1:22" x14ac:dyDescent="0.2">
      <c r="A92" s="358"/>
      <c r="B92" s="442" t="str">
        <f>VLOOKUP("T.04.57",HE_label,2,FALSE)</f>
        <v>PG1.2 - Stationäre Produkte Privat</v>
      </c>
    </row>
    <row r="93" spans="1:22" x14ac:dyDescent="0.2">
      <c r="A93" s="358"/>
      <c r="B93" s="442" t="str">
        <f>VLOOKUP("T.04.58",HE_label,2,FALSE)</f>
        <v>PG1.3 - Stationäre Produkte Flex</v>
      </c>
    </row>
    <row r="94" spans="1:22" x14ac:dyDescent="0.2">
      <c r="A94" s="358"/>
      <c r="B94" s="442" t="str">
        <f>VLOOKUP("T.04.59",HE_label,2,FALSE)</f>
        <v>PG2 - Übrige stationäre Produkte</v>
      </c>
    </row>
    <row r="95" spans="1:22" x14ac:dyDescent="0.2">
      <c r="A95" s="358"/>
      <c r="B95" s="442" t="str">
        <f>VLOOKUP("T.04.60",HE_label,2,FALSE)</f>
        <v>PG3 - Ambulante Produkte</v>
      </c>
    </row>
    <row r="96" spans="1:22" x14ac:dyDescent="0.2">
      <c r="A96" s="358"/>
      <c r="B96" s="442" t="str">
        <f>VLOOKUP("T.04.61",HE_label,2,FALSE)</f>
        <v>PG4 - Langzeitpflege</v>
      </c>
    </row>
    <row r="97" spans="1:2" x14ac:dyDescent="0.2">
      <c r="A97" s="358"/>
      <c r="B97" s="442" t="str">
        <f>VLOOKUP("T.04.62",HE_label,2,FALSE)</f>
        <v>PG5 - Einzeltaggeld</v>
      </c>
    </row>
    <row r="99" spans="1:2" x14ac:dyDescent="0.2">
      <c r="B99" s="223" t="str">
        <f>VLOOKUP("T.04.63",HE_label,2,FALSE)</f>
        <v>Arten der Tarifierung</v>
      </c>
    </row>
    <row r="100" spans="1:2" x14ac:dyDescent="0.2">
      <c r="A100" s="358"/>
      <c r="B100" s="259" t="str">
        <f>VLOOKUP("T.04.64",HE_label,2,FALSE)</f>
        <v>Effektivalter</v>
      </c>
    </row>
    <row r="101" spans="1:2" x14ac:dyDescent="0.2">
      <c r="A101" s="358"/>
      <c r="B101" s="260" t="str">
        <f>VLOOKUP("T.04.65",HE_label,2,FALSE)</f>
        <v>Eintrittsalter</v>
      </c>
    </row>
    <row r="103" spans="1:2" x14ac:dyDescent="0.2">
      <c r="B103" s="223" t="str">
        <f>VLOOKUP("T.04.66",HE_label,2,FALSE)</f>
        <v>Produkteuntergruppen und Arten der Tarifierung</v>
      </c>
    </row>
    <row r="104" spans="1:2" x14ac:dyDescent="0.2">
      <c r="B104" s="224" t="str">
        <f>VLOOKUP("T.04.67",HE_label,2,FALSE)</f>
        <v>.0.1 - Effektivalter</v>
      </c>
    </row>
    <row r="105" spans="1:2" x14ac:dyDescent="0.2">
      <c r="B105" s="224" t="str">
        <f>VLOOKUP("T.04.68",HE_label,2,FALSE)</f>
        <v>.1.1 - Halbprivat, Effektivalter</v>
      </c>
    </row>
    <row r="106" spans="1:2" x14ac:dyDescent="0.2">
      <c r="B106" s="224" t="str">
        <f>VLOOKUP("T.04.69",HE_label,2,FALSE)</f>
        <v>.2.1 - Privat, Effektivalter</v>
      </c>
    </row>
    <row r="107" spans="1:2" x14ac:dyDescent="0.2">
      <c r="B107" s="224" t="str">
        <f>VLOOKUP("T.04.70",HE_label,2,FALSE)</f>
        <v>.3.1 - Flex, Effektivalter</v>
      </c>
    </row>
    <row r="108" spans="1:2" x14ac:dyDescent="0.2">
      <c r="B108" s="224" t="str">
        <f>VLOOKUP("T.04.71",HE_label,2,FALSE)</f>
        <v>.0.2 - Eintrittsalter</v>
      </c>
    </row>
    <row r="109" spans="1:2" x14ac:dyDescent="0.2">
      <c r="B109" s="224" t="str">
        <f>VLOOKUP("T.04.72",HE_label,2,FALSE)</f>
        <v>.1.2 - Halbprivat, Eintrittsalter</v>
      </c>
    </row>
    <row r="110" spans="1:2" x14ac:dyDescent="0.2">
      <c r="B110" s="224" t="str">
        <f>VLOOKUP("T.04.73",HE_label,2,FALSE)</f>
        <v>.2.2 - Privat, Eintrittsalter</v>
      </c>
    </row>
    <row r="111" spans="1:2" x14ac:dyDescent="0.2">
      <c r="B111" s="224" t="str">
        <f>VLOOKUP("T.04.74",HE_label,2,FALSE)</f>
        <v>.3.2 - Flex, Eintrittsalter</v>
      </c>
    </row>
    <row r="113" spans="2:22" x14ac:dyDescent="0.2">
      <c r="B113" s="223" t="str">
        <f>VLOOKUP("T.04.75",HE_label,2,FALSE)</f>
        <v>Indikator ja/nein</v>
      </c>
    </row>
    <row r="114" spans="2:22" x14ac:dyDescent="0.2">
      <c r="B114" s="259" t="str">
        <f>VLOOKUP("T.04.76",HE_label,2,FALSE)</f>
        <v>ja</v>
      </c>
    </row>
    <row r="115" spans="2:22" x14ac:dyDescent="0.2">
      <c r="B115" s="260" t="str">
        <f>VLOOKUP("T.04.77",HE_label,2,FALSE)</f>
        <v>nein</v>
      </c>
    </row>
    <row r="118" spans="2:22" ht="15.75" x14ac:dyDescent="0.2">
      <c r="B118" s="222" t="str">
        <f>VLOOKUP("T.04.78",HE_label,2,FALSE)</f>
        <v>Merkmale gemäss Altersgruppe und Geschlecht</v>
      </c>
    </row>
    <row r="119" spans="2:22" ht="12" customHeight="1" x14ac:dyDescent="0.2">
      <c r="B119" s="222"/>
    </row>
    <row r="120" spans="2:22" ht="12" customHeight="1" x14ac:dyDescent="0.2">
      <c r="B120" s="259" t="str">
        <f>VLOOKUP("T.04.79",HE_label,2,FALSE)</f>
        <v>Nr. für Input-Tabellenblätter pro Altersgruppe und Geschlecht</v>
      </c>
      <c r="C120" s="447">
        <v>15</v>
      </c>
    </row>
    <row r="121" spans="2:22" ht="12" customHeight="1" x14ac:dyDescent="0.2">
      <c r="B121" s="222"/>
    </row>
    <row r="122" spans="2:22" x14ac:dyDescent="0.2">
      <c r="B122" s="223" t="str">
        <f>VLOOKUP("T.04.80",HE_label,2,FALSE)</f>
        <v>Korrekturfaktor Sterblichkeit BFS, nach Geschlecht</v>
      </c>
      <c r="D122" s="281"/>
    </row>
    <row r="123" spans="2:22" x14ac:dyDescent="0.2">
      <c r="B123" s="259" t="str">
        <f>VLOOKUP("T.04.81",HE_label,2,FALSE)</f>
        <v>Männer</v>
      </c>
      <c r="C123" s="1395">
        <v>0.89100000000000001</v>
      </c>
      <c r="D123" s="277"/>
    </row>
    <row r="124" spans="2:22" x14ac:dyDescent="0.2">
      <c r="B124" s="260" t="str">
        <f>VLOOKUP("T.04.82",HE_label,2,FALSE)</f>
        <v>Frauen</v>
      </c>
      <c r="C124" s="1395">
        <v>0.88600000000000001</v>
      </c>
      <c r="D124" s="277"/>
      <c r="E124" s="554"/>
    </row>
    <row r="125" spans="2:22" s="48" customFormat="1" x14ac:dyDescent="0.2">
      <c r="B125" s="277"/>
      <c r="C125" s="353"/>
      <c r="D125" s="277"/>
    </row>
    <row r="126" spans="2:22" s="279" customFormat="1" x14ac:dyDescent="0.2">
      <c r="B126" s="223" t="str">
        <f>VLOOKUP("T.04.83",HE_label,2,FALSE)</f>
        <v>Gewichtungsfaktor für Durchschnittsbestand</v>
      </c>
      <c r="C126"/>
      <c r="H126"/>
      <c r="V126"/>
    </row>
    <row r="127" spans="2:22" s="279" customFormat="1" x14ac:dyDescent="0.2">
      <c r="B127" s="259" t="str">
        <f>VLOOKUP("T.04.84",HE_label,2,FALSE)</f>
        <v>Beginn der Periode</v>
      </c>
      <c r="C127" s="280">
        <v>0.5</v>
      </c>
      <c r="H127"/>
      <c r="V127"/>
    </row>
    <row r="128" spans="2:22" s="279" customFormat="1" x14ac:dyDescent="0.2">
      <c r="B128" s="260" t="str">
        <f>VLOOKUP("T.04.85",HE_label,2,FALSE)</f>
        <v>Ende der Periode</v>
      </c>
      <c r="C128" s="354">
        <f>1-C127</f>
        <v>0.5</v>
      </c>
      <c r="H128"/>
      <c r="V128"/>
    </row>
    <row r="129" spans="2:36" s="279" customFormat="1" x14ac:dyDescent="0.2">
      <c r="B129" s="277"/>
      <c r="H129"/>
      <c r="V129"/>
    </row>
    <row r="130" spans="2:36" s="279" customFormat="1" x14ac:dyDescent="0.2">
      <c r="B130" s="223" t="str">
        <f>VLOOKUP("T.04.86",HE_label,2,FALSE)</f>
        <v>Sterblichkeit und Storno CY</v>
      </c>
    </row>
    <row r="131" spans="2:36" s="279" customFormat="1" ht="13.5" thickBot="1" x14ac:dyDescent="0.25">
      <c r="B131" s="297" t="str">
        <f>VLOOKUP("T.04.87",HE_label,2,FALSE)</f>
        <v>Altersklasse</v>
      </c>
      <c r="C131" s="293"/>
      <c r="D131" s="298" t="str">
        <f>VLOOKUP("T.04.88",HE_label,2,FALSE)</f>
        <v xml:space="preserve">Erwartete Sterblichkeit BFS während CY  </v>
      </c>
      <c r="E131" s="293"/>
      <c r="F131" s="294"/>
      <c r="G131" s="297" t="str">
        <f>VLOOKUP("T.04.89",HE_label,2,FALSE)</f>
        <v>Erwartete Stornoquoten während CY, pro Produktegruppe und -untergruppe (Tarifierung nach Effektivalter)</v>
      </c>
      <c r="H131" s="293"/>
      <c r="I131" s="293"/>
      <c r="J131" s="293"/>
      <c r="K131" s="293"/>
      <c r="L131" s="293"/>
      <c r="M131" s="293"/>
      <c r="N131" s="293"/>
      <c r="O131" s="293"/>
      <c r="P131" s="293"/>
      <c r="Q131" s="293"/>
      <c r="R131" s="293"/>
      <c r="S131" s="293"/>
      <c r="T131" s="294"/>
      <c r="U131" s="297" t="str">
        <f>VLOOKUP("T.04.90",HE_label,2,FALSE)</f>
        <v>Erwartete Stornoquoten während CY, pro Produktegruppe und -untergruppe (Tarifierung nach Eintrittsalter)</v>
      </c>
      <c r="V131" s="293"/>
      <c r="W131" s="293"/>
      <c r="X131" s="293"/>
      <c r="Y131" s="293"/>
      <c r="Z131" s="293"/>
      <c r="AA131" s="293"/>
      <c r="AB131" s="293"/>
      <c r="AC131" s="293"/>
      <c r="AD131" s="293"/>
      <c r="AE131" s="293"/>
      <c r="AF131" s="293"/>
      <c r="AG131" s="293"/>
      <c r="AH131" s="294"/>
      <c r="AI131" s="297" t="str">
        <f>VLOOKUP("T.04.91",HE_label,2,FALSE)</f>
        <v>Szenario AS</v>
      </c>
      <c r="AJ131" s="297"/>
    </row>
    <row r="132" spans="2:36" s="279" customFormat="1" ht="51" customHeight="1" thickTop="1" x14ac:dyDescent="0.2">
      <c r="B132" s="299" t="str">
        <f>VLOOKUP("T.04.87a",HE_label,2,FALSE)</f>
        <v>Altersklasse x = Alter am 31.12.CY = Jahr CY - Geburtsjahr</v>
      </c>
      <c r="C132" s="295" t="str">
        <f>VLOOKUP("T.04.87b",HE_label,2,FALSE)</f>
        <v>Indiz i der Altersklasse; i=x+1</v>
      </c>
      <c r="D132" s="327" t="str">
        <f>VLOOKUP("T.04.88a",HE_label,2,FALSE)</f>
        <v>Alter am 31.12.CY-1  = x-1</v>
      </c>
      <c r="E132" s="1307" t="str">
        <f>VLOOKUP("T.04.88b",HE_label,2,FALSE)</f>
        <v>q(i,1)=[Q(x-1)+Q(x)]/2 wobei Q gemäss BFS definiert wird</v>
      </c>
      <c r="F132" s="1308" t="str">
        <f>VLOOKUP("T.04.88",HE_label,2,FALSE)</f>
        <v xml:space="preserve">Erwartete Sterblichkeit BFS während CY  </v>
      </c>
      <c r="G132" s="1299" t="str">
        <f>$B$91&amp;" ("&amp;$B$100&amp;")"</f>
        <v>PG1.1 - Stationäre Produkte Halbprivat (Effektivalter)</v>
      </c>
      <c r="H132" s="1300"/>
      <c r="I132" s="1299" t="str">
        <f>$B$92&amp;" ("&amp;$B$100&amp;")"</f>
        <v>PG1.2 - Stationäre Produkte Privat (Effektivalter)</v>
      </c>
      <c r="J132" s="1300"/>
      <c r="K132" s="1299" t="str">
        <f>$B$93&amp;" ("&amp;$B$100&amp;")"</f>
        <v>PG1.3 - Stationäre Produkte Flex (Effektivalter)</v>
      </c>
      <c r="L132" s="1300"/>
      <c r="M132" s="1299" t="str">
        <f>$B$94&amp;" ("&amp;$B$100&amp;")"</f>
        <v>PG2 - Übrige stationäre Produkte (Effektivalter)</v>
      </c>
      <c r="N132" s="1300"/>
      <c r="O132" s="1299" t="str">
        <f>$B$95&amp;" ("&amp;$B$100&amp;")"</f>
        <v>PG3 - Ambulante Produkte (Effektivalter)</v>
      </c>
      <c r="P132" s="1300"/>
      <c r="Q132" s="1299" t="str">
        <f>$B$96&amp;" ("&amp;$B$100&amp;")"</f>
        <v>PG4 - Langzeitpflege (Effektivalter)</v>
      </c>
      <c r="R132" s="1300"/>
      <c r="S132" s="1302" t="str">
        <f>$B$97&amp;" ("&amp;$B$100&amp;")"</f>
        <v>PG5 - Einzeltaggeld (Effektivalter)</v>
      </c>
      <c r="T132" s="1303"/>
      <c r="U132" s="1299" t="str">
        <f>$B$91&amp;" ("&amp;$B$101&amp;")"</f>
        <v>PG1.1 - Stationäre Produkte Halbprivat (Eintrittsalter)</v>
      </c>
      <c r="V132" s="1300"/>
      <c r="W132" s="1306" t="str">
        <f>$B$92&amp;" ("&amp;$B$101&amp;")"</f>
        <v>PG1.2 - Stationäre Produkte Privat (Eintrittsalter)</v>
      </c>
      <c r="X132" s="1300"/>
      <c r="Y132" s="1306" t="str">
        <f>$B$93&amp;" ("&amp;$B$101&amp;")"</f>
        <v>PG1.3 - Stationäre Produkte Flex (Eintrittsalter)</v>
      </c>
      <c r="Z132" s="1300"/>
      <c r="AA132" s="1306" t="str">
        <f>$B$94&amp;" ("&amp;$B$101&amp;")"</f>
        <v>PG2 - Übrige stationäre Produkte (Eintrittsalter)</v>
      </c>
      <c r="AB132" s="1300"/>
      <c r="AC132" s="1306" t="str">
        <f>$B$95&amp;" ("&amp;$B$101&amp;")"</f>
        <v>PG3 - Ambulante Produkte (Eintrittsalter)</v>
      </c>
      <c r="AD132" s="1300"/>
      <c r="AE132" s="1306" t="str">
        <f>$B$96&amp;" ("&amp;$B$101&amp;")"</f>
        <v>PG4 - Langzeitpflege (Eintrittsalter)</v>
      </c>
      <c r="AF132" s="1300"/>
      <c r="AG132" s="1306" t="str">
        <f>$B$97&amp;" ("&amp;$B$101&amp;")"</f>
        <v>PG5 - Einzeltaggeld (Eintrittsalter)</v>
      </c>
      <c r="AH132" s="1303"/>
      <c r="AI132" s="1299" t="str">
        <f>VLOOKUP("T.04.91a",HE_label,2,FALSE)</f>
        <v>Stornoquoten des Szenarios Antiselektion (AS)</v>
      </c>
      <c r="AJ132" s="1302" t="str">
        <f>VLOOKUP("T.04.91",HE_label,2,FALSE)</f>
        <v>Szenario AS</v>
      </c>
    </row>
    <row r="133" spans="2:36" x14ac:dyDescent="0.2">
      <c r="B133" s="300"/>
      <c r="C133" s="296"/>
      <c r="D133" s="328"/>
      <c r="E133" s="500" t="str">
        <f>HE_M_label</f>
        <v>Männer</v>
      </c>
      <c r="F133" s="501" t="str">
        <f>HE_F_label</f>
        <v>Frauen</v>
      </c>
      <c r="G133" s="502" t="str">
        <f>HE_M_label</f>
        <v>Männer</v>
      </c>
      <c r="H133" s="503" t="str">
        <f>HE_F_label</f>
        <v>Frauen</v>
      </c>
      <c r="I133" s="502" t="str">
        <f>HE_M_label</f>
        <v>Männer</v>
      </c>
      <c r="J133" s="503" t="str">
        <f>HE_F_label</f>
        <v>Frauen</v>
      </c>
      <c r="K133" s="502" t="str">
        <f>HE_M_label</f>
        <v>Männer</v>
      </c>
      <c r="L133" s="503" t="str">
        <f>HE_F_label</f>
        <v>Frauen</v>
      </c>
      <c r="M133" s="502" t="str">
        <f>HE_M_label</f>
        <v>Männer</v>
      </c>
      <c r="N133" s="503" t="str">
        <f>HE_F_label</f>
        <v>Frauen</v>
      </c>
      <c r="O133" s="502" t="str">
        <f>HE_M_label</f>
        <v>Männer</v>
      </c>
      <c r="P133" s="503" t="str">
        <f>HE_F_label</f>
        <v>Frauen</v>
      </c>
      <c r="Q133" s="502" t="str">
        <f>HE_M_label</f>
        <v>Männer</v>
      </c>
      <c r="R133" s="503" t="str">
        <f>HE_F_label</f>
        <v>Frauen</v>
      </c>
      <c r="S133" s="500" t="str">
        <f>HE_M_label</f>
        <v>Männer</v>
      </c>
      <c r="T133" s="501" t="str">
        <f>HE_F_label</f>
        <v>Frauen</v>
      </c>
      <c r="U133" s="502" t="str">
        <f>HE_M_label</f>
        <v>Männer</v>
      </c>
      <c r="V133" s="503" t="str">
        <f>HE_F_label</f>
        <v>Frauen</v>
      </c>
      <c r="W133" s="502" t="str">
        <f>HE_M_label</f>
        <v>Männer</v>
      </c>
      <c r="X133" s="503" t="str">
        <f>HE_F_label</f>
        <v>Frauen</v>
      </c>
      <c r="Y133" s="502" t="str">
        <f>HE_M_label</f>
        <v>Männer</v>
      </c>
      <c r="Z133" s="503" t="str">
        <f>HE_F_label</f>
        <v>Frauen</v>
      </c>
      <c r="AA133" s="502" t="str">
        <f>HE_M_label</f>
        <v>Männer</v>
      </c>
      <c r="AB133" s="503" t="str">
        <f>HE_F_label</f>
        <v>Frauen</v>
      </c>
      <c r="AC133" s="502" t="str">
        <f>HE_M_label</f>
        <v>Männer</v>
      </c>
      <c r="AD133" s="503" t="str">
        <f>HE_F_label</f>
        <v>Frauen</v>
      </c>
      <c r="AE133" s="502" t="str">
        <f>HE_M_label</f>
        <v>Männer</v>
      </c>
      <c r="AF133" s="503" t="str">
        <f>HE_F_label</f>
        <v>Frauen</v>
      </c>
      <c r="AG133" s="500" t="str">
        <f>HE_M_label</f>
        <v>Männer</v>
      </c>
      <c r="AH133" s="501" t="str">
        <f>HE_F_label</f>
        <v>Frauen</v>
      </c>
      <c r="AI133" s="314" t="str">
        <f>HE_M_label</f>
        <v>Männer</v>
      </c>
      <c r="AJ133" s="504" t="str">
        <f>HE_F_label</f>
        <v>Frauen</v>
      </c>
    </row>
    <row r="134" spans="2:36" x14ac:dyDescent="0.2">
      <c r="B134" s="276">
        <v>0</v>
      </c>
      <c r="C134" s="319">
        <f>B134+1</f>
        <v>1</v>
      </c>
      <c r="D134" s="315">
        <f>B134-1</f>
        <v>-1</v>
      </c>
      <c r="E134" s="1389">
        <v>3.764375808528514E-3</v>
      </c>
      <c r="F134" s="1389">
        <v>3.1154015793066455E-3</v>
      </c>
      <c r="G134" s="349">
        <v>9.2474576271186437E-2</v>
      </c>
      <c r="H134" s="1261">
        <v>9.2474576271186437E-2</v>
      </c>
      <c r="I134" s="349">
        <v>3.5269271383315731E-2</v>
      </c>
      <c r="J134" s="1261">
        <v>3.5269271383315731E-2</v>
      </c>
      <c r="K134" s="349">
        <v>2.2222222222222223E-2</v>
      </c>
      <c r="L134" s="1261">
        <v>3.2520325203252036E-2</v>
      </c>
      <c r="M134" s="349">
        <v>6.1337209302325578E-2</v>
      </c>
      <c r="N134" s="1261">
        <v>6.9503980404164112E-2</v>
      </c>
      <c r="O134" s="1262">
        <v>5.7782843550225484E-2</v>
      </c>
      <c r="P134" s="1261">
        <v>6.1621933319354165E-2</v>
      </c>
      <c r="Q134" s="349">
        <v>0.26470926921949972</v>
      </c>
      <c r="R134" s="1261">
        <v>0.37934673986497569</v>
      </c>
      <c r="S134" s="308">
        <v>0</v>
      </c>
      <c r="T134" s="499">
        <v>0</v>
      </c>
      <c r="U134" s="349">
        <v>5.4325955734406441E-2</v>
      </c>
      <c r="V134" s="1261">
        <v>5.4325955734406441E-2</v>
      </c>
      <c r="W134" s="349">
        <v>6.9364161849710976E-2</v>
      </c>
      <c r="X134" s="1261">
        <v>6.9364161849710976E-2</v>
      </c>
      <c r="Y134" s="349">
        <v>2.2222222222222223E-2</v>
      </c>
      <c r="Z134" s="1261">
        <v>3.2520325203252036E-2</v>
      </c>
      <c r="AA134" s="349">
        <v>7.9330422125181946E-2</v>
      </c>
      <c r="AB134" s="1261">
        <v>7.9650092081031312E-2</v>
      </c>
      <c r="AC134" s="1262">
        <v>5.7782843550225484E-2</v>
      </c>
      <c r="AD134" s="1261">
        <v>6.1621933319354165E-2</v>
      </c>
      <c r="AE134" s="349">
        <v>0.26470926921949972</v>
      </c>
      <c r="AF134" s="1261">
        <v>0.37934673986497569</v>
      </c>
      <c r="AG134" s="308">
        <v>0</v>
      </c>
      <c r="AH134" s="499">
        <v>0</v>
      </c>
      <c r="AI134" s="349">
        <v>0.5</v>
      </c>
      <c r="AJ134" s="349">
        <v>0.5</v>
      </c>
    </row>
    <row r="135" spans="2:36" x14ac:dyDescent="0.2">
      <c r="B135" s="276">
        <v>1</v>
      </c>
      <c r="C135" s="320">
        <f t="shared" ref="C135:C198" si="6">B135+1</f>
        <v>2</v>
      </c>
      <c r="D135" s="315">
        <f t="shared" ref="D135:D198" si="7">B135-1</f>
        <v>0</v>
      </c>
      <c r="E135" s="1389">
        <v>1.9785999140955854E-3</v>
      </c>
      <c r="F135" s="1389">
        <v>1.650254948232217E-3</v>
      </c>
      <c r="G135" s="350">
        <v>7.8361789298932324E-2</v>
      </c>
      <c r="H135" s="1256">
        <v>7.8361789298932324E-2</v>
      </c>
      <c r="I135" s="350">
        <v>5.7902973395931145E-2</v>
      </c>
      <c r="J135" s="1256">
        <v>5.7902973395931145E-2</v>
      </c>
      <c r="K135" s="350">
        <v>4.60351892022174E-2</v>
      </c>
      <c r="L135" s="1256">
        <v>4.4400125957804133E-2</v>
      </c>
      <c r="M135" s="350">
        <v>0.12755866785329523</v>
      </c>
      <c r="N135" s="1256">
        <v>0.12763976311966926</v>
      </c>
      <c r="O135" s="1257">
        <v>5.9459141935822961E-2</v>
      </c>
      <c r="P135" s="1256">
        <v>5.9224326334272291E-2</v>
      </c>
      <c r="Q135" s="350">
        <v>0.19122135505537732</v>
      </c>
      <c r="R135" s="1256">
        <v>0.20533708940078843</v>
      </c>
      <c r="S135" s="306">
        <v>0</v>
      </c>
      <c r="T135" s="471">
        <v>0</v>
      </c>
      <c r="U135" s="350">
        <v>7.3443983402489629E-2</v>
      </c>
      <c r="V135" s="1256">
        <v>7.3443983402489629E-2</v>
      </c>
      <c r="W135" s="350">
        <v>6.5943792874529769E-2</v>
      </c>
      <c r="X135" s="1256">
        <v>6.5943792874529769E-2</v>
      </c>
      <c r="Y135" s="350">
        <v>4.60351892022174E-2</v>
      </c>
      <c r="Z135" s="1256">
        <v>4.4400125957804133E-2</v>
      </c>
      <c r="AA135" s="350">
        <v>7.2697147963362865E-2</v>
      </c>
      <c r="AB135" s="1256">
        <v>7.0976988926411688E-2</v>
      </c>
      <c r="AC135" s="1257">
        <v>5.9459141935822961E-2</v>
      </c>
      <c r="AD135" s="1256">
        <v>5.9224326334272291E-2</v>
      </c>
      <c r="AE135" s="350">
        <v>0.19122135505537732</v>
      </c>
      <c r="AF135" s="1256">
        <v>0.20533708940078843</v>
      </c>
      <c r="AG135" s="306">
        <v>0</v>
      </c>
      <c r="AH135" s="471">
        <v>0</v>
      </c>
      <c r="AI135" s="350">
        <v>0.5</v>
      </c>
      <c r="AJ135" s="350">
        <v>0.5</v>
      </c>
    </row>
    <row r="136" spans="2:36" x14ac:dyDescent="0.2">
      <c r="B136" s="276">
        <v>2</v>
      </c>
      <c r="C136" s="320">
        <f t="shared" si="6"/>
        <v>3</v>
      </c>
      <c r="D136" s="315">
        <f t="shared" si="7"/>
        <v>1</v>
      </c>
      <c r="E136" s="1389">
        <v>1.5810599399038012E-4</v>
      </c>
      <c r="F136" s="1390">
        <v>1.5211833059927752E-4</v>
      </c>
      <c r="G136" s="304">
        <v>8.1902452380021126E-2</v>
      </c>
      <c r="H136" s="324">
        <v>8.1902452380021126E-2</v>
      </c>
      <c r="I136" s="304">
        <v>6.3496885918274348E-2</v>
      </c>
      <c r="J136" s="324">
        <v>6.3496885918274348E-2</v>
      </c>
      <c r="K136" s="304">
        <v>4.4470407288000238E-2</v>
      </c>
      <c r="L136" s="324">
        <v>4.4847612040762021E-2</v>
      </c>
      <c r="M136" s="304">
        <v>9.700167546075171E-2</v>
      </c>
      <c r="N136" s="324">
        <v>9.6625297630924353E-2</v>
      </c>
      <c r="O136" s="305">
        <v>6.0218405408946456E-2</v>
      </c>
      <c r="P136" s="324">
        <v>6.0154073893106216E-2</v>
      </c>
      <c r="Q136" s="304">
        <v>0.16034546440344388</v>
      </c>
      <c r="R136" s="324">
        <v>0.13456973490646695</v>
      </c>
      <c r="S136" s="306">
        <v>0</v>
      </c>
      <c r="T136" s="471">
        <v>0</v>
      </c>
      <c r="U136" s="304">
        <v>7.6545385874354777E-2</v>
      </c>
      <c r="V136" s="324">
        <v>7.6545385874354777E-2</v>
      </c>
      <c r="W136" s="304">
        <v>7.1225071225071226E-2</v>
      </c>
      <c r="X136" s="324">
        <v>7.1225071225071226E-2</v>
      </c>
      <c r="Y136" s="304">
        <v>4.4470407288000238E-2</v>
      </c>
      <c r="Z136" s="324">
        <v>4.4847612040762021E-2</v>
      </c>
      <c r="AA136" s="304">
        <v>6.9700864688011219E-2</v>
      </c>
      <c r="AB136" s="324">
        <v>6.846106431066365E-2</v>
      </c>
      <c r="AC136" s="305">
        <v>6.0218405408946456E-2</v>
      </c>
      <c r="AD136" s="324">
        <v>6.0154073893106216E-2</v>
      </c>
      <c r="AE136" s="304">
        <v>0.16034546440344388</v>
      </c>
      <c r="AF136" s="324">
        <v>0.13456973490646695</v>
      </c>
      <c r="AG136" s="306">
        <v>0</v>
      </c>
      <c r="AH136" s="471">
        <v>0</v>
      </c>
      <c r="AI136" s="350">
        <v>0.5</v>
      </c>
      <c r="AJ136" s="350">
        <v>0.5</v>
      </c>
    </row>
    <row r="137" spans="2:36" x14ac:dyDescent="0.2">
      <c r="B137" s="276">
        <v>3</v>
      </c>
      <c r="C137" s="320">
        <f t="shared" si="6"/>
        <v>4</v>
      </c>
      <c r="D137" s="315">
        <f t="shared" si="7"/>
        <v>2</v>
      </c>
      <c r="E137" s="1389">
        <v>1.1887699989233008E-4</v>
      </c>
      <c r="F137" s="1390">
        <v>1.1302380190468826E-4</v>
      </c>
      <c r="G137" s="304">
        <v>0.10929437141733503</v>
      </c>
      <c r="H137" s="324">
        <v>0.10929437141733503</v>
      </c>
      <c r="I137" s="304">
        <v>7.8561716271340079E-2</v>
      </c>
      <c r="J137" s="324">
        <v>7.8561716271340079E-2</v>
      </c>
      <c r="K137" s="304">
        <v>8.7528289191999509E-2</v>
      </c>
      <c r="L137" s="324">
        <v>8.8461476192789032E-2</v>
      </c>
      <c r="M137" s="304">
        <v>0.11312123639934872</v>
      </c>
      <c r="N137" s="324">
        <v>0.1138138838936401</v>
      </c>
      <c r="O137" s="305">
        <v>8.014469667191744E-2</v>
      </c>
      <c r="P137" s="324">
        <v>8.0915586043260226E-2</v>
      </c>
      <c r="Q137" s="304">
        <v>0.15149744295046341</v>
      </c>
      <c r="R137" s="324">
        <v>0.12040711779241686</v>
      </c>
      <c r="S137" s="306">
        <v>0</v>
      </c>
      <c r="T137" s="471">
        <v>0</v>
      </c>
      <c r="U137" s="304">
        <v>7.3117287510091111E-2</v>
      </c>
      <c r="V137" s="324">
        <v>7.3117287510091111E-2</v>
      </c>
      <c r="W137" s="304">
        <v>7.0676955454226587E-2</v>
      </c>
      <c r="X137" s="324">
        <v>7.0676955454226587E-2</v>
      </c>
      <c r="Y137" s="304">
        <v>8.7528289191999509E-2</v>
      </c>
      <c r="Z137" s="324">
        <v>8.8461476192789032E-2</v>
      </c>
      <c r="AA137" s="304">
        <v>7.5588424955666617E-2</v>
      </c>
      <c r="AB137" s="324">
        <v>7.5112967857447352E-2</v>
      </c>
      <c r="AC137" s="305">
        <v>8.014469667191744E-2</v>
      </c>
      <c r="AD137" s="324">
        <v>8.0915586043260226E-2</v>
      </c>
      <c r="AE137" s="304">
        <v>0.15149744295046341</v>
      </c>
      <c r="AF137" s="324">
        <v>0.12040711779241686</v>
      </c>
      <c r="AG137" s="306">
        <v>0</v>
      </c>
      <c r="AH137" s="471">
        <v>0</v>
      </c>
      <c r="AI137" s="350">
        <v>0.5</v>
      </c>
      <c r="AJ137" s="350">
        <v>0.5</v>
      </c>
    </row>
    <row r="138" spans="2:36" x14ac:dyDescent="0.2">
      <c r="B138" s="276">
        <v>4</v>
      </c>
      <c r="C138" s="320">
        <f t="shared" si="6"/>
        <v>5</v>
      </c>
      <c r="D138" s="315">
        <f t="shared" si="7"/>
        <v>3</v>
      </c>
      <c r="E138" s="1389">
        <v>1.0764252354932864E-4</v>
      </c>
      <c r="F138" s="1390">
        <v>9.9058974243082854E-5</v>
      </c>
      <c r="G138" s="304">
        <v>9.6604661586732407E-2</v>
      </c>
      <c r="H138" s="324">
        <v>9.6604661586732407E-2</v>
      </c>
      <c r="I138" s="304">
        <v>7.2876817138485081E-2</v>
      </c>
      <c r="J138" s="324">
        <v>7.2876817138485081E-2</v>
      </c>
      <c r="K138" s="304">
        <v>6.7813364966389872E-2</v>
      </c>
      <c r="L138" s="324">
        <v>6.7610254978271875E-2</v>
      </c>
      <c r="M138" s="304">
        <v>9.1690049069801466E-2</v>
      </c>
      <c r="N138" s="324">
        <v>8.9885571857474644E-2</v>
      </c>
      <c r="O138" s="305">
        <v>6.9918014630515501E-2</v>
      </c>
      <c r="P138" s="324">
        <v>7.0355855058758007E-2</v>
      </c>
      <c r="Q138" s="304">
        <v>0.15108366686552599</v>
      </c>
      <c r="R138" s="324">
        <v>0.13111179474301404</v>
      </c>
      <c r="S138" s="306">
        <v>0</v>
      </c>
      <c r="T138" s="471">
        <v>0</v>
      </c>
      <c r="U138" s="304">
        <v>7.3809523809523811E-2</v>
      </c>
      <c r="V138" s="324">
        <v>7.3809523809523811E-2</v>
      </c>
      <c r="W138" s="304">
        <v>6.3752276867030971E-2</v>
      </c>
      <c r="X138" s="324">
        <v>6.3752276867030971E-2</v>
      </c>
      <c r="Y138" s="304">
        <v>6.7813364966389872E-2</v>
      </c>
      <c r="Z138" s="324">
        <v>6.7610254978271875E-2</v>
      </c>
      <c r="AA138" s="304">
        <v>6.5794961628294957E-2</v>
      </c>
      <c r="AB138" s="324">
        <v>6.8207304470195032E-2</v>
      </c>
      <c r="AC138" s="305">
        <v>6.9918014630515501E-2</v>
      </c>
      <c r="AD138" s="324">
        <v>7.0355855058758007E-2</v>
      </c>
      <c r="AE138" s="304">
        <v>0.15108366686552599</v>
      </c>
      <c r="AF138" s="324">
        <v>0.13111179474301404</v>
      </c>
      <c r="AG138" s="306">
        <v>0</v>
      </c>
      <c r="AH138" s="471">
        <v>0</v>
      </c>
      <c r="AI138" s="350">
        <v>0.5</v>
      </c>
      <c r="AJ138" s="350">
        <v>0.5</v>
      </c>
    </row>
    <row r="139" spans="2:36" x14ac:dyDescent="0.2">
      <c r="B139" s="276">
        <v>5</v>
      </c>
      <c r="C139" s="320">
        <f t="shared" si="6"/>
        <v>6</v>
      </c>
      <c r="D139" s="315">
        <f t="shared" si="7"/>
        <v>4</v>
      </c>
      <c r="E139" s="1389">
        <v>9.37041973496052E-5</v>
      </c>
      <c r="F139" s="1390">
        <v>8.3522189931157367E-5</v>
      </c>
      <c r="G139" s="304">
        <v>0.11976138012575913</v>
      </c>
      <c r="H139" s="324">
        <v>0.11976138012575913</v>
      </c>
      <c r="I139" s="304">
        <v>9.287164272329794E-2</v>
      </c>
      <c r="J139" s="324">
        <v>9.287164272329794E-2</v>
      </c>
      <c r="K139" s="304">
        <v>8.1516485876919773E-2</v>
      </c>
      <c r="L139" s="324">
        <v>8.3369690991520765E-2</v>
      </c>
      <c r="M139" s="304">
        <v>0.11595287076865532</v>
      </c>
      <c r="N139" s="324">
        <v>0.11466125392116507</v>
      </c>
      <c r="O139" s="305">
        <v>9.3079426182024444E-2</v>
      </c>
      <c r="P139" s="324">
        <v>9.4050162735199894E-2</v>
      </c>
      <c r="Q139" s="304">
        <v>0.15098551683461348</v>
      </c>
      <c r="R139" s="324">
        <v>0.14677553326456572</v>
      </c>
      <c r="S139" s="306">
        <v>0</v>
      </c>
      <c r="T139" s="471">
        <v>0</v>
      </c>
      <c r="U139" s="304">
        <v>6.7143538388173579E-2</v>
      </c>
      <c r="V139" s="324">
        <v>6.7143538388173579E-2</v>
      </c>
      <c r="W139" s="304">
        <v>7.1170463472113116E-2</v>
      </c>
      <c r="X139" s="324">
        <v>7.1170463472113116E-2</v>
      </c>
      <c r="Y139" s="304">
        <v>8.1516485876919773E-2</v>
      </c>
      <c r="Z139" s="324">
        <v>8.3369690991520765E-2</v>
      </c>
      <c r="AA139" s="304">
        <v>6.9906388852939913E-2</v>
      </c>
      <c r="AB139" s="324">
        <v>7.0873520135301918E-2</v>
      </c>
      <c r="AC139" s="305">
        <v>9.3079426182024444E-2</v>
      </c>
      <c r="AD139" s="324">
        <v>9.4050162735199894E-2</v>
      </c>
      <c r="AE139" s="304">
        <v>0.15098551683461348</v>
      </c>
      <c r="AF139" s="324">
        <v>0.14677553326456572</v>
      </c>
      <c r="AG139" s="306">
        <v>0</v>
      </c>
      <c r="AH139" s="471">
        <v>0</v>
      </c>
      <c r="AI139" s="350">
        <v>0.5</v>
      </c>
      <c r="AJ139" s="350">
        <v>0.5</v>
      </c>
    </row>
    <row r="140" spans="2:36" x14ac:dyDescent="0.2">
      <c r="B140" s="276">
        <v>6</v>
      </c>
      <c r="C140" s="320">
        <f t="shared" si="6"/>
        <v>7</v>
      </c>
      <c r="D140" s="315">
        <f t="shared" si="7"/>
        <v>5</v>
      </c>
      <c r="E140" s="1389">
        <v>8.0035192111302075E-5</v>
      </c>
      <c r="F140" s="1390">
        <v>6.9429792695201718E-5</v>
      </c>
      <c r="G140" s="304">
        <v>9.8793571367992536E-2</v>
      </c>
      <c r="H140" s="324">
        <v>9.8793571367992536E-2</v>
      </c>
      <c r="I140" s="304">
        <v>7.8451496366845924E-2</v>
      </c>
      <c r="J140" s="324">
        <v>7.8451496366845924E-2</v>
      </c>
      <c r="K140" s="304">
        <v>7.2450839700577904E-2</v>
      </c>
      <c r="L140" s="324">
        <v>6.9686913865243116E-2</v>
      </c>
      <c r="M140" s="304">
        <v>9.000177734027863E-2</v>
      </c>
      <c r="N140" s="324">
        <v>9.1244052454450511E-2</v>
      </c>
      <c r="O140" s="305">
        <v>7.462448610840472E-2</v>
      </c>
      <c r="P140" s="324">
        <v>7.2966243625948099E-2</v>
      </c>
      <c r="Q140" s="304">
        <v>0.14720549394540283</v>
      </c>
      <c r="R140" s="324">
        <v>0.15656148851197083</v>
      </c>
      <c r="S140" s="306">
        <v>0</v>
      </c>
      <c r="T140" s="471">
        <v>0</v>
      </c>
      <c r="U140" s="304">
        <v>6.8515205724508046E-2</v>
      </c>
      <c r="V140" s="324">
        <v>6.8515205724508046E-2</v>
      </c>
      <c r="W140" s="304">
        <v>6.090133982947625E-2</v>
      </c>
      <c r="X140" s="324">
        <v>6.090133982947625E-2</v>
      </c>
      <c r="Y140" s="304">
        <v>7.2450839700577904E-2</v>
      </c>
      <c r="Z140" s="324">
        <v>6.9686913865243116E-2</v>
      </c>
      <c r="AA140" s="304">
        <v>6.1391511515044558E-2</v>
      </c>
      <c r="AB140" s="324">
        <v>5.9688925271898022E-2</v>
      </c>
      <c r="AC140" s="305">
        <v>7.462448610840472E-2</v>
      </c>
      <c r="AD140" s="324">
        <v>7.2966243625948099E-2</v>
      </c>
      <c r="AE140" s="304">
        <v>0.14720549394540283</v>
      </c>
      <c r="AF140" s="324">
        <v>0.15656148851197083</v>
      </c>
      <c r="AG140" s="306">
        <v>0</v>
      </c>
      <c r="AH140" s="471">
        <v>0</v>
      </c>
      <c r="AI140" s="350">
        <v>0.5</v>
      </c>
      <c r="AJ140" s="350">
        <v>0.5</v>
      </c>
    </row>
    <row r="141" spans="2:36" x14ac:dyDescent="0.2">
      <c r="B141" s="276">
        <v>7</v>
      </c>
      <c r="C141" s="320">
        <f t="shared" si="6"/>
        <v>8</v>
      </c>
      <c r="D141" s="315">
        <f t="shared" si="7"/>
        <v>6</v>
      </c>
      <c r="E141" s="1389">
        <v>6.8496419612300625E-5</v>
      </c>
      <c r="F141" s="1390">
        <v>5.8202355479756372E-5</v>
      </c>
      <c r="G141" s="304">
        <v>9.3924703236551499E-2</v>
      </c>
      <c r="H141" s="324">
        <v>9.3924703236551499E-2</v>
      </c>
      <c r="I141" s="304">
        <v>7.1369547253511939E-2</v>
      </c>
      <c r="J141" s="324">
        <v>7.1369547253511939E-2</v>
      </c>
      <c r="K141" s="304">
        <v>6.80544096803537E-2</v>
      </c>
      <c r="L141" s="324">
        <v>6.8427397749598148E-2</v>
      </c>
      <c r="M141" s="304">
        <v>8.1915314602295217E-2</v>
      </c>
      <c r="N141" s="324">
        <v>8.1219973795312275E-2</v>
      </c>
      <c r="O141" s="305">
        <v>6.6855861065743219E-2</v>
      </c>
      <c r="P141" s="324">
        <v>6.6593331959516916E-2</v>
      </c>
      <c r="Q141" s="304">
        <v>0.13867497742231283</v>
      </c>
      <c r="R141" s="324">
        <v>0.15625946139408065</v>
      </c>
      <c r="S141" s="306">
        <v>0</v>
      </c>
      <c r="T141" s="471">
        <v>0</v>
      </c>
      <c r="U141" s="304">
        <v>6.1200338123415049E-2</v>
      </c>
      <c r="V141" s="324">
        <v>6.1200338123415049E-2</v>
      </c>
      <c r="W141" s="304">
        <v>5.5380930998353541E-2</v>
      </c>
      <c r="X141" s="324">
        <v>5.5380930998353541E-2</v>
      </c>
      <c r="Y141" s="304">
        <v>6.80544096803537E-2</v>
      </c>
      <c r="Z141" s="324">
        <v>6.8427397749598148E-2</v>
      </c>
      <c r="AA141" s="304">
        <v>5.6339305965071446E-2</v>
      </c>
      <c r="AB141" s="324">
        <v>5.6030549017724196E-2</v>
      </c>
      <c r="AC141" s="305">
        <v>6.6855861065743219E-2</v>
      </c>
      <c r="AD141" s="324">
        <v>6.6593331959516916E-2</v>
      </c>
      <c r="AE141" s="304">
        <v>0.13867497742231283</v>
      </c>
      <c r="AF141" s="324">
        <v>0.15625946139408065</v>
      </c>
      <c r="AG141" s="306">
        <v>0</v>
      </c>
      <c r="AH141" s="471">
        <v>0</v>
      </c>
      <c r="AI141" s="350">
        <v>0.5</v>
      </c>
      <c r="AJ141" s="350">
        <v>0.5</v>
      </c>
    </row>
    <row r="142" spans="2:36" x14ac:dyDescent="0.2">
      <c r="B142" s="276">
        <v>8</v>
      </c>
      <c r="C142" s="320">
        <f t="shared" si="6"/>
        <v>9</v>
      </c>
      <c r="D142" s="315">
        <f t="shared" si="7"/>
        <v>7</v>
      </c>
      <c r="E142" s="1389">
        <v>5.9867860529008187E-5</v>
      </c>
      <c r="F142" s="1390">
        <v>5.0141144558668265E-5</v>
      </c>
      <c r="G142" s="304">
        <v>9.4329737070025552E-2</v>
      </c>
      <c r="H142" s="324">
        <v>9.4329737070025552E-2</v>
      </c>
      <c r="I142" s="304">
        <v>6.8668334723380589E-2</v>
      </c>
      <c r="J142" s="324">
        <v>6.8668334723380589E-2</v>
      </c>
      <c r="K142" s="304">
        <v>6.9649904225612153E-2</v>
      </c>
      <c r="L142" s="324">
        <v>6.8951259850179983E-2</v>
      </c>
      <c r="M142" s="304">
        <v>7.3912924873151833E-2</v>
      </c>
      <c r="N142" s="324">
        <v>7.7785870356882739E-2</v>
      </c>
      <c r="O142" s="305">
        <v>6.3890742285237695E-2</v>
      </c>
      <c r="P142" s="324">
        <v>6.3472086585553894E-2</v>
      </c>
      <c r="Q142" s="304">
        <v>0.12622362421179156</v>
      </c>
      <c r="R142" s="324">
        <v>0.14615423795776561</v>
      </c>
      <c r="S142" s="306">
        <v>0</v>
      </c>
      <c r="T142" s="471">
        <v>0</v>
      </c>
      <c r="U142" s="304">
        <v>6.1030961257902416E-2</v>
      </c>
      <c r="V142" s="324">
        <v>6.1030961257902416E-2</v>
      </c>
      <c r="W142" s="304">
        <v>5.7421932810418824E-2</v>
      </c>
      <c r="X142" s="324">
        <v>5.7421932810418824E-2</v>
      </c>
      <c r="Y142" s="304">
        <v>6.9649904225612153E-2</v>
      </c>
      <c r="Z142" s="324">
        <v>6.8951259850179983E-2</v>
      </c>
      <c r="AA142" s="304">
        <v>5.5030134445989802E-2</v>
      </c>
      <c r="AB142" s="324">
        <v>5.2854122621564484E-2</v>
      </c>
      <c r="AC142" s="305">
        <v>6.3890742285237695E-2</v>
      </c>
      <c r="AD142" s="324">
        <v>6.3472086585553894E-2</v>
      </c>
      <c r="AE142" s="304">
        <v>0.12622362421179156</v>
      </c>
      <c r="AF142" s="324">
        <v>0.14615423795776561</v>
      </c>
      <c r="AG142" s="306">
        <v>0</v>
      </c>
      <c r="AH142" s="471">
        <v>0</v>
      </c>
      <c r="AI142" s="350">
        <v>0.5</v>
      </c>
      <c r="AJ142" s="350">
        <v>0.5</v>
      </c>
    </row>
    <row r="143" spans="2:36" x14ac:dyDescent="0.2">
      <c r="B143" s="276">
        <v>9</v>
      </c>
      <c r="C143" s="320">
        <f t="shared" si="6"/>
        <v>10</v>
      </c>
      <c r="D143" s="315">
        <f t="shared" si="7"/>
        <v>8</v>
      </c>
      <c r="E143" s="1389">
        <v>5.4324925142481059E-5</v>
      </c>
      <c r="F143" s="1390">
        <v>4.5066557179545576E-5</v>
      </c>
      <c r="G143" s="304">
        <v>8.9733190099313798E-2</v>
      </c>
      <c r="H143" s="324">
        <v>8.9733190099313798E-2</v>
      </c>
      <c r="I143" s="304">
        <v>6.7577566221082228E-2</v>
      </c>
      <c r="J143" s="324">
        <v>6.7577566221082228E-2</v>
      </c>
      <c r="K143" s="304">
        <v>6.643638747415663E-2</v>
      </c>
      <c r="L143" s="324">
        <v>6.8567495300876288E-2</v>
      </c>
      <c r="M143" s="304">
        <v>7.1119055356949415E-2</v>
      </c>
      <c r="N143" s="324">
        <v>7.0500954474460573E-2</v>
      </c>
      <c r="O143" s="305">
        <v>5.8907619424163844E-2</v>
      </c>
      <c r="P143" s="324">
        <v>5.9139163010882817E-2</v>
      </c>
      <c r="Q143" s="304">
        <v>0.11171041041784013</v>
      </c>
      <c r="R143" s="324">
        <v>0.12920701005067947</v>
      </c>
      <c r="S143" s="306">
        <v>0</v>
      </c>
      <c r="T143" s="471">
        <v>0</v>
      </c>
      <c r="U143" s="304">
        <v>5.5568636684718627E-2</v>
      </c>
      <c r="V143" s="324">
        <v>5.5568636684718627E-2</v>
      </c>
      <c r="W143" s="304">
        <v>5.0691915513474142E-2</v>
      </c>
      <c r="X143" s="324">
        <v>5.0691915513474142E-2</v>
      </c>
      <c r="Y143" s="304">
        <v>6.643638747415663E-2</v>
      </c>
      <c r="Z143" s="324">
        <v>6.8567495300876288E-2</v>
      </c>
      <c r="AA143" s="304">
        <v>5.0068749703665073E-2</v>
      </c>
      <c r="AB143" s="324">
        <v>4.7208249496981894E-2</v>
      </c>
      <c r="AC143" s="305">
        <v>5.8907619424163844E-2</v>
      </c>
      <c r="AD143" s="324">
        <v>5.9139163010882817E-2</v>
      </c>
      <c r="AE143" s="304">
        <v>0.11171041041784013</v>
      </c>
      <c r="AF143" s="324">
        <v>0.12920701005067947</v>
      </c>
      <c r="AG143" s="306">
        <v>0</v>
      </c>
      <c r="AH143" s="471">
        <v>0</v>
      </c>
      <c r="AI143" s="350">
        <v>0.5</v>
      </c>
      <c r="AJ143" s="350">
        <v>0.5</v>
      </c>
    </row>
    <row r="144" spans="2:36" x14ac:dyDescent="0.2">
      <c r="B144" s="276">
        <v>10</v>
      </c>
      <c r="C144" s="320">
        <f t="shared" si="6"/>
        <v>11</v>
      </c>
      <c r="D144" s="315">
        <f t="shared" si="7"/>
        <v>9</v>
      </c>
      <c r="E144" s="1389">
        <v>5.1928904334901609E-5</v>
      </c>
      <c r="F144" s="1390">
        <v>4.2797788398379713E-5</v>
      </c>
      <c r="G144" s="304">
        <v>9.1228782038276862E-2</v>
      </c>
      <c r="H144" s="324">
        <v>9.1228782038276862E-2</v>
      </c>
      <c r="I144" s="304">
        <v>6.5789473684210523E-2</v>
      </c>
      <c r="J144" s="324">
        <v>6.5789473684210523E-2</v>
      </c>
      <c r="K144" s="304">
        <v>6.8941810581894178E-2</v>
      </c>
      <c r="L144" s="324">
        <v>6.9384690901741111E-2</v>
      </c>
      <c r="M144" s="304">
        <v>6.7393619172136779E-2</v>
      </c>
      <c r="N144" s="324">
        <v>6.8224526975656646E-2</v>
      </c>
      <c r="O144" s="305">
        <v>5.7566004955711889E-2</v>
      </c>
      <c r="P144" s="324">
        <v>5.7339590119699163E-2</v>
      </c>
      <c r="Q144" s="304">
        <v>9.7316314587780894E-2</v>
      </c>
      <c r="R144" s="324">
        <v>0.1095498772627348</v>
      </c>
      <c r="S144" s="306">
        <v>0</v>
      </c>
      <c r="T144" s="471">
        <v>0</v>
      </c>
      <c r="U144" s="304">
        <v>5.5105472332619997E-2</v>
      </c>
      <c r="V144" s="324">
        <v>5.5105472332619997E-2</v>
      </c>
      <c r="W144" s="304">
        <v>4.6206503137478608E-2</v>
      </c>
      <c r="X144" s="324">
        <v>4.6206503137478608E-2</v>
      </c>
      <c r="Y144" s="304">
        <v>6.8941810581894178E-2</v>
      </c>
      <c r="Z144" s="324">
        <v>6.9384690901741111E-2</v>
      </c>
      <c r="AA144" s="304">
        <v>4.8495831823124322E-2</v>
      </c>
      <c r="AB144" s="324">
        <v>4.8693526205877857E-2</v>
      </c>
      <c r="AC144" s="305">
        <v>5.7566004955711889E-2</v>
      </c>
      <c r="AD144" s="324">
        <v>5.7339590119699163E-2</v>
      </c>
      <c r="AE144" s="304">
        <v>9.7316314587780894E-2</v>
      </c>
      <c r="AF144" s="324">
        <v>0.1095498772627348</v>
      </c>
      <c r="AG144" s="306">
        <v>0</v>
      </c>
      <c r="AH144" s="471">
        <v>0</v>
      </c>
      <c r="AI144" s="350">
        <v>0.5</v>
      </c>
      <c r="AJ144" s="350">
        <v>0.5</v>
      </c>
    </row>
    <row r="145" spans="2:36" x14ac:dyDescent="0.2">
      <c r="B145" s="276">
        <v>11</v>
      </c>
      <c r="C145" s="320">
        <f t="shared" si="6"/>
        <v>12</v>
      </c>
      <c r="D145" s="315">
        <f t="shared" si="7"/>
        <v>10</v>
      </c>
      <c r="E145" s="1389">
        <v>5.3046580079416976E-5</v>
      </c>
      <c r="F145" s="1390">
        <v>4.3495463190541501E-5</v>
      </c>
      <c r="G145" s="304">
        <v>8.383499514897895E-2</v>
      </c>
      <c r="H145" s="324">
        <v>8.383499514897895E-2</v>
      </c>
      <c r="I145" s="304">
        <v>6.4847566110830382E-2</v>
      </c>
      <c r="J145" s="324">
        <v>6.4847566110830382E-2</v>
      </c>
      <c r="K145" s="304">
        <v>6.9623857335531239E-2</v>
      </c>
      <c r="L145" s="324">
        <v>6.9571482270392185E-2</v>
      </c>
      <c r="M145" s="304">
        <v>6.5402792839833454E-2</v>
      </c>
      <c r="N145" s="324">
        <v>6.2948670658003011E-2</v>
      </c>
      <c r="O145" s="305">
        <v>5.3385551751564821E-2</v>
      </c>
      <c r="P145" s="324">
        <v>5.2392389029378782E-2</v>
      </c>
      <c r="Q145" s="304">
        <v>8.4998642848263195E-2</v>
      </c>
      <c r="R145" s="324">
        <v>9.1293430146254018E-2</v>
      </c>
      <c r="S145" s="306">
        <v>0</v>
      </c>
      <c r="T145" s="471">
        <v>0</v>
      </c>
      <c r="U145" s="304">
        <v>4.785932721712538E-2</v>
      </c>
      <c r="V145" s="324">
        <v>4.785932721712538E-2</v>
      </c>
      <c r="W145" s="304">
        <v>5.3566394135889484E-2</v>
      </c>
      <c r="X145" s="324">
        <v>5.3566394135889484E-2</v>
      </c>
      <c r="Y145" s="304">
        <v>6.9623857335531239E-2</v>
      </c>
      <c r="Z145" s="324">
        <v>6.9571482270392185E-2</v>
      </c>
      <c r="AA145" s="304">
        <v>4.4158459611464501E-2</v>
      </c>
      <c r="AB145" s="324">
        <v>4.4410532305623092E-2</v>
      </c>
      <c r="AC145" s="305">
        <v>5.3385551751564821E-2</v>
      </c>
      <c r="AD145" s="324">
        <v>5.2392389029378782E-2</v>
      </c>
      <c r="AE145" s="304">
        <v>8.4998642848263195E-2</v>
      </c>
      <c r="AF145" s="324">
        <v>9.1293430146254018E-2</v>
      </c>
      <c r="AG145" s="306">
        <v>0</v>
      </c>
      <c r="AH145" s="471">
        <v>0</v>
      </c>
      <c r="AI145" s="350">
        <v>0.5</v>
      </c>
      <c r="AJ145" s="350">
        <v>0.5</v>
      </c>
    </row>
    <row r="146" spans="2:36" x14ac:dyDescent="0.2">
      <c r="B146" s="276">
        <v>12</v>
      </c>
      <c r="C146" s="320">
        <f t="shared" si="6"/>
        <v>13</v>
      </c>
      <c r="D146" s="315">
        <f t="shared" si="7"/>
        <v>11</v>
      </c>
      <c r="E146" s="1389">
        <v>5.8880238681131641E-5</v>
      </c>
      <c r="F146" s="1390">
        <v>4.8079340493019608E-5</v>
      </c>
      <c r="G146" s="304">
        <v>8.2987200135627701E-2</v>
      </c>
      <c r="H146" s="324">
        <v>8.2987200135627701E-2</v>
      </c>
      <c r="I146" s="304">
        <v>6.0550130983567513E-2</v>
      </c>
      <c r="J146" s="324">
        <v>6.0550130983567513E-2</v>
      </c>
      <c r="K146" s="304">
        <v>6.9145826567067234E-2</v>
      </c>
      <c r="L146" s="324">
        <v>7.1559322033898309E-2</v>
      </c>
      <c r="M146" s="304">
        <v>6.2438570859343873E-2</v>
      </c>
      <c r="N146" s="324">
        <v>6.0142054608369175E-2</v>
      </c>
      <c r="O146" s="305">
        <v>5.0310890395325811E-2</v>
      </c>
      <c r="P146" s="324">
        <v>4.9655730446863409E-2</v>
      </c>
      <c r="Q146" s="304">
        <v>7.6106995891513041E-2</v>
      </c>
      <c r="R146" s="324">
        <v>7.7647414714869356E-2</v>
      </c>
      <c r="S146" s="306">
        <v>0</v>
      </c>
      <c r="T146" s="471">
        <v>0</v>
      </c>
      <c r="U146" s="304">
        <v>4.7673706764615853E-2</v>
      </c>
      <c r="V146" s="324">
        <v>4.7673706764615853E-2</v>
      </c>
      <c r="W146" s="304">
        <v>4.8676949200509412E-2</v>
      </c>
      <c r="X146" s="324">
        <v>4.8676949200509412E-2</v>
      </c>
      <c r="Y146" s="304">
        <v>6.9145826567067234E-2</v>
      </c>
      <c r="Z146" s="324">
        <v>7.1559322033898309E-2</v>
      </c>
      <c r="AA146" s="304">
        <v>4.3547345945677544E-2</v>
      </c>
      <c r="AB146" s="324">
        <v>4.203898207660553E-2</v>
      </c>
      <c r="AC146" s="305">
        <v>5.0310890395325811E-2</v>
      </c>
      <c r="AD146" s="324">
        <v>4.9655730446863409E-2</v>
      </c>
      <c r="AE146" s="304">
        <v>7.6106995891513041E-2</v>
      </c>
      <c r="AF146" s="324">
        <v>7.7647414714869356E-2</v>
      </c>
      <c r="AG146" s="306">
        <v>0</v>
      </c>
      <c r="AH146" s="471">
        <v>0</v>
      </c>
      <c r="AI146" s="350">
        <v>0.5</v>
      </c>
      <c r="AJ146" s="350">
        <v>0.5</v>
      </c>
    </row>
    <row r="147" spans="2:36" x14ac:dyDescent="0.2">
      <c r="B147" s="276">
        <v>13</v>
      </c>
      <c r="C147" s="320">
        <f t="shared" si="6"/>
        <v>14</v>
      </c>
      <c r="D147" s="315">
        <f t="shared" si="7"/>
        <v>12</v>
      </c>
      <c r="E147" s="1389">
        <v>7.2220921644240076E-5</v>
      </c>
      <c r="F147" s="1390">
        <v>5.8693282583751621E-5</v>
      </c>
      <c r="G147" s="304">
        <v>8.3598776234781624E-2</v>
      </c>
      <c r="H147" s="324">
        <v>8.3598776234781624E-2</v>
      </c>
      <c r="I147" s="304">
        <v>6.286176635339516E-2</v>
      </c>
      <c r="J147" s="324">
        <v>6.286176635339516E-2</v>
      </c>
      <c r="K147" s="304">
        <v>7.0730425643720438E-2</v>
      </c>
      <c r="L147" s="324">
        <v>7.3885490311000404E-2</v>
      </c>
      <c r="M147" s="304">
        <v>6.0519032948671087E-2</v>
      </c>
      <c r="N147" s="324">
        <v>6.0629031368873695E-2</v>
      </c>
      <c r="O147" s="305">
        <v>4.9890260169053513E-2</v>
      </c>
      <c r="P147" s="324">
        <v>4.9598174681391806E-2</v>
      </c>
      <c r="Q147" s="304">
        <v>7.1160877811824008E-2</v>
      </c>
      <c r="R147" s="324">
        <v>7.0354478221068106E-2</v>
      </c>
      <c r="S147" s="306">
        <v>0</v>
      </c>
      <c r="T147" s="471">
        <v>0</v>
      </c>
      <c r="U147" s="304">
        <v>4.6245877751361297E-2</v>
      </c>
      <c r="V147" s="324">
        <v>4.6245877751361297E-2</v>
      </c>
      <c r="W147" s="304">
        <v>4.6424090338770388E-2</v>
      </c>
      <c r="X147" s="324">
        <v>4.6424090338770388E-2</v>
      </c>
      <c r="Y147" s="304">
        <v>7.0730425643720438E-2</v>
      </c>
      <c r="Z147" s="324">
        <v>7.3885490311000404E-2</v>
      </c>
      <c r="AA147" s="304">
        <v>4.1423672815558282E-2</v>
      </c>
      <c r="AB147" s="324">
        <v>4.1744384605280439E-2</v>
      </c>
      <c r="AC147" s="305">
        <v>4.9890260169053513E-2</v>
      </c>
      <c r="AD147" s="324">
        <v>4.9598174681391806E-2</v>
      </c>
      <c r="AE147" s="304">
        <v>7.1160877811824008E-2</v>
      </c>
      <c r="AF147" s="324">
        <v>7.0354478221068106E-2</v>
      </c>
      <c r="AG147" s="306">
        <v>0</v>
      </c>
      <c r="AH147" s="471">
        <v>0</v>
      </c>
      <c r="AI147" s="350">
        <v>0.5</v>
      </c>
      <c r="AJ147" s="350">
        <v>0.5</v>
      </c>
    </row>
    <row r="148" spans="2:36" x14ac:dyDescent="0.2">
      <c r="B148" s="276">
        <v>14</v>
      </c>
      <c r="C148" s="320">
        <f t="shared" si="6"/>
        <v>15</v>
      </c>
      <c r="D148" s="315">
        <f t="shared" si="7"/>
        <v>13</v>
      </c>
      <c r="E148" s="1389">
        <v>9.7074939239813582E-5</v>
      </c>
      <c r="F148" s="1390">
        <v>7.7427619248481678E-5</v>
      </c>
      <c r="G148" s="304">
        <v>8.4424902252471665E-2</v>
      </c>
      <c r="H148" s="324">
        <v>8.4424902252471665E-2</v>
      </c>
      <c r="I148" s="304">
        <v>6.6719409282700426E-2</v>
      </c>
      <c r="J148" s="324">
        <v>6.6719409282700426E-2</v>
      </c>
      <c r="K148" s="304">
        <v>7.3775410696871949E-2</v>
      </c>
      <c r="L148" s="324">
        <v>7.3801753627177294E-2</v>
      </c>
      <c r="M148" s="304">
        <v>5.9179989685404846E-2</v>
      </c>
      <c r="N148" s="324">
        <v>6.0905573280836331E-2</v>
      </c>
      <c r="O148" s="305">
        <v>4.922196492573637E-2</v>
      </c>
      <c r="P148" s="324">
        <v>5.0535769808477952E-2</v>
      </c>
      <c r="Q148" s="304">
        <v>6.9788946792266326E-2</v>
      </c>
      <c r="R148" s="324">
        <v>6.9436996212490776E-2</v>
      </c>
      <c r="S148" s="306">
        <v>0</v>
      </c>
      <c r="T148" s="471">
        <v>0</v>
      </c>
      <c r="U148" s="304">
        <v>4.5709456864100793E-2</v>
      </c>
      <c r="V148" s="324">
        <v>4.5709456864100793E-2</v>
      </c>
      <c r="W148" s="304">
        <v>5.1654334775931871E-2</v>
      </c>
      <c r="X148" s="324">
        <v>5.1654334775931871E-2</v>
      </c>
      <c r="Y148" s="304">
        <v>7.3775410696871949E-2</v>
      </c>
      <c r="Z148" s="324">
        <v>7.3801753627177294E-2</v>
      </c>
      <c r="AA148" s="304">
        <v>4.2304613229260483E-2</v>
      </c>
      <c r="AB148" s="324">
        <v>4.1183264213344534E-2</v>
      </c>
      <c r="AC148" s="305">
        <v>4.922196492573637E-2</v>
      </c>
      <c r="AD148" s="324">
        <v>5.0535769808477952E-2</v>
      </c>
      <c r="AE148" s="304">
        <v>6.9788946792266326E-2</v>
      </c>
      <c r="AF148" s="324">
        <v>6.9436996212490776E-2</v>
      </c>
      <c r="AG148" s="306">
        <v>0</v>
      </c>
      <c r="AH148" s="471">
        <v>0</v>
      </c>
      <c r="AI148" s="350">
        <v>0.5</v>
      </c>
      <c r="AJ148" s="350">
        <v>0.5</v>
      </c>
    </row>
    <row r="149" spans="2:36" x14ac:dyDescent="0.2">
      <c r="B149" s="276">
        <v>15</v>
      </c>
      <c r="C149" s="320">
        <f t="shared" si="6"/>
        <v>16</v>
      </c>
      <c r="D149" s="315">
        <f t="shared" si="7"/>
        <v>14</v>
      </c>
      <c r="E149" s="1389">
        <v>1.3674680137519711E-4</v>
      </c>
      <c r="F149" s="1390">
        <v>1.0329222601044582E-4</v>
      </c>
      <c r="G149" s="304">
        <v>9.9241816320318768E-2</v>
      </c>
      <c r="H149" s="324">
        <v>9.9241816320318768E-2</v>
      </c>
      <c r="I149" s="304">
        <v>7.1191595244677913E-2</v>
      </c>
      <c r="J149" s="324">
        <v>7.1191595244677913E-2</v>
      </c>
      <c r="K149" s="304">
        <v>9.0757798591222225E-2</v>
      </c>
      <c r="L149" s="324">
        <v>8.760971626862625E-2</v>
      </c>
      <c r="M149" s="304">
        <v>6.5512038645382964E-2</v>
      </c>
      <c r="N149" s="324">
        <v>6.494925007326105E-2</v>
      </c>
      <c r="O149" s="305">
        <v>5.4316628802800838E-2</v>
      </c>
      <c r="P149" s="324">
        <v>5.5141192680810296E-2</v>
      </c>
      <c r="Q149" s="304">
        <v>7.0829907641690504E-2</v>
      </c>
      <c r="R149" s="324">
        <v>7.3256980866904797E-2</v>
      </c>
      <c r="S149" s="306">
        <v>0</v>
      </c>
      <c r="T149" s="471">
        <v>0</v>
      </c>
      <c r="U149" s="304">
        <v>4.8578931109051593E-2</v>
      </c>
      <c r="V149" s="324">
        <v>4.8578931109051593E-2</v>
      </c>
      <c r="W149" s="304">
        <v>5.582855582855583E-2</v>
      </c>
      <c r="X149" s="324">
        <v>5.582855582855583E-2</v>
      </c>
      <c r="Y149" s="304">
        <v>9.0757798591222225E-2</v>
      </c>
      <c r="Z149" s="324">
        <v>8.760971626862625E-2</v>
      </c>
      <c r="AA149" s="304">
        <v>4.2715749262024656E-2</v>
      </c>
      <c r="AB149" s="324">
        <v>4.5131753505189498E-2</v>
      </c>
      <c r="AC149" s="305">
        <v>5.4316628802800838E-2</v>
      </c>
      <c r="AD149" s="324">
        <v>5.5141192680810296E-2</v>
      </c>
      <c r="AE149" s="304">
        <v>7.0829907641690504E-2</v>
      </c>
      <c r="AF149" s="324">
        <v>7.3256980866904797E-2</v>
      </c>
      <c r="AG149" s="306">
        <v>0</v>
      </c>
      <c r="AH149" s="471">
        <v>0</v>
      </c>
      <c r="AI149" s="350">
        <v>0.5</v>
      </c>
      <c r="AJ149" s="350">
        <v>0.5</v>
      </c>
    </row>
    <row r="150" spans="2:36" x14ac:dyDescent="0.2">
      <c r="B150" s="276">
        <v>16</v>
      </c>
      <c r="C150" s="320">
        <f t="shared" si="6"/>
        <v>17</v>
      </c>
      <c r="D150" s="315">
        <f t="shared" si="7"/>
        <v>15</v>
      </c>
      <c r="E150" s="1389">
        <v>1.8994288702185071E-4</v>
      </c>
      <c r="F150" s="1390">
        <v>1.2950898540262486E-4</v>
      </c>
      <c r="G150" s="304">
        <v>8.8354662874748191E-2</v>
      </c>
      <c r="H150" s="324">
        <v>8.8354662874748191E-2</v>
      </c>
      <c r="I150" s="304">
        <v>7.0589094094459445E-2</v>
      </c>
      <c r="J150" s="324">
        <v>7.0589094094459445E-2</v>
      </c>
      <c r="K150" s="304">
        <v>7.0753217861115519E-2</v>
      </c>
      <c r="L150" s="324">
        <v>7.5364498475163966E-2</v>
      </c>
      <c r="M150" s="304">
        <v>6.3287524983551197E-2</v>
      </c>
      <c r="N150" s="324">
        <v>6.0221726035933121E-2</v>
      </c>
      <c r="O150" s="305">
        <v>5.3786589605358558E-2</v>
      </c>
      <c r="P150" s="324">
        <v>5.3594507396176584E-2</v>
      </c>
      <c r="Q150" s="304">
        <v>7.2595046181897604E-2</v>
      </c>
      <c r="R150" s="324">
        <v>7.8889070605854705E-2</v>
      </c>
      <c r="S150" s="350">
        <v>5.8823529411764705E-2</v>
      </c>
      <c r="T150" s="1258">
        <v>5.8823529411764705E-2</v>
      </c>
      <c r="U150" s="304">
        <v>4.7939444911690499E-2</v>
      </c>
      <c r="V150" s="324">
        <v>4.7939444911690499E-2</v>
      </c>
      <c r="W150" s="304">
        <v>5.3629469122426866E-2</v>
      </c>
      <c r="X150" s="324">
        <v>5.3629469122426866E-2</v>
      </c>
      <c r="Y150" s="304">
        <v>7.0753217861115519E-2</v>
      </c>
      <c r="Z150" s="324">
        <v>7.5364498475163966E-2</v>
      </c>
      <c r="AA150" s="304">
        <v>4.6150470525135309E-2</v>
      </c>
      <c r="AB150" s="324">
        <v>4.3173412779946581E-2</v>
      </c>
      <c r="AC150" s="305">
        <v>5.3786589605358558E-2</v>
      </c>
      <c r="AD150" s="324">
        <v>5.3594507396176584E-2</v>
      </c>
      <c r="AE150" s="304">
        <v>7.2595046181897604E-2</v>
      </c>
      <c r="AF150" s="324">
        <v>7.8889070605854705E-2</v>
      </c>
      <c r="AG150" s="350">
        <v>9.5238095238095233E-2</v>
      </c>
      <c r="AH150" s="1258">
        <v>5.8823529411764705E-2</v>
      </c>
      <c r="AI150" s="350">
        <v>0.5</v>
      </c>
      <c r="AJ150" s="350">
        <v>0.5</v>
      </c>
    </row>
    <row r="151" spans="2:36" x14ac:dyDescent="0.2">
      <c r="B151" s="276">
        <v>17</v>
      </c>
      <c r="C151" s="320">
        <f t="shared" si="6"/>
        <v>18</v>
      </c>
      <c r="D151" s="315">
        <f t="shared" si="7"/>
        <v>16</v>
      </c>
      <c r="E151" s="1389">
        <v>2.5075269792407533E-4</v>
      </c>
      <c r="F151" s="1390">
        <v>1.4848607251541059E-4</v>
      </c>
      <c r="G151" s="304">
        <v>8.975206091498332E-2</v>
      </c>
      <c r="H151" s="324">
        <v>8.975206091498332E-2</v>
      </c>
      <c r="I151" s="304">
        <v>6.8349425986466969E-2</v>
      </c>
      <c r="J151" s="324">
        <v>6.8349425986466969E-2</v>
      </c>
      <c r="K151" s="304">
        <v>7.5850043591979083E-2</v>
      </c>
      <c r="L151" s="324">
        <v>7.7225568942436415E-2</v>
      </c>
      <c r="M151" s="304">
        <v>6.3589595306080646E-2</v>
      </c>
      <c r="N151" s="324">
        <v>6.5109100718973106E-2</v>
      </c>
      <c r="O151" s="305">
        <v>5.9491342298628305E-2</v>
      </c>
      <c r="P151" s="324">
        <v>5.79497079264579E-2</v>
      </c>
      <c r="Q151" s="304">
        <v>7.3292405485135603E-2</v>
      </c>
      <c r="R151" s="324">
        <v>8.2806600987103351E-2</v>
      </c>
      <c r="S151" s="304">
        <v>0.17808219178082191</v>
      </c>
      <c r="T151" s="472">
        <v>0.17808219178082191</v>
      </c>
      <c r="U151" s="304">
        <v>4.7676432929125552E-2</v>
      </c>
      <c r="V151" s="324">
        <v>4.7676432929125552E-2</v>
      </c>
      <c r="W151" s="304">
        <v>4.6881314832278052E-2</v>
      </c>
      <c r="X151" s="324">
        <v>4.6881314832278052E-2</v>
      </c>
      <c r="Y151" s="304">
        <v>7.5850043591979083E-2</v>
      </c>
      <c r="Z151" s="324">
        <v>7.7225568942436415E-2</v>
      </c>
      <c r="AA151" s="304">
        <v>4.5408943244792659E-2</v>
      </c>
      <c r="AB151" s="324">
        <v>4.3626516899007123E-2</v>
      </c>
      <c r="AC151" s="305">
        <v>5.9491342298628305E-2</v>
      </c>
      <c r="AD151" s="324">
        <v>5.79497079264579E-2</v>
      </c>
      <c r="AE151" s="304">
        <v>7.3292405485135603E-2</v>
      </c>
      <c r="AF151" s="324">
        <v>8.2806600987103351E-2</v>
      </c>
      <c r="AG151" s="304">
        <v>9.5238095238095233E-2</v>
      </c>
      <c r="AH151" s="472">
        <v>0.17808219178082191</v>
      </c>
      <c r="AI151" s="350">
        <v>0.5</v>
      </c>
      <c r="AJ151" s="350">
        <v>0.5</v>
      </c>
    </row>
    <row r="152" spans="2:36" ht="13.5" thickBot="1" x14ac:dyDescent="0.25">
      <c r="B152" s="313">
        <v>18</v>
      </c>
      <c r="C152" s="321">
        <f t="shared" si="6"/>
        <v>19</v>
      </c>
      <c r="D152" s="316">
        <f t="shared" si="7"/>
        <v>17</v>
      </c>
      <c r="E152" s="1391">
        <v>3.125115361957998E-4</v>
      </c>
      <c r="F152" s="1392">
        <v>1.582642959147432E-4</v>
      </c>
      <c r="G152" s="310">
        <v>0.16824266447202674</v>
      </c>
      <c r="H152" s="325">
        <v>0.16824266447202674</v>
      </c>
      <c r="I152" s="310">
        <v>0.15394955325373608</v>
      </c>
      <c r="J152" s="325">
        <v>0.15394955325373608</v>
      </c>
      <c r="K152" s="310">
        <v>0.10067329272202628</v>
      </c>
      <c r="L152" s="325">
        <v>9.9504368279569891E-2</v>
      </c>
      <c r="M152" s="310">
        <v>0.10753329357980521</v>
      </c>
      <c r="N152" s="325">
        <v>0.11157437885548485</v>
      </c>
      <c r="O152" s="311">
        <v>0.12071838520445546</v>
      </c>
      <c r="P152" s="325">
        <v>0.11875418916697229</v>
      </c>
      <c r="Q152" s="310">
        <v>7.1612603961722865E-2</v>
      </c>
      <c r="R152" s="325">
        <v>8.1880756875643002E-2</v>
      </c>
      <c r="S152" s="310">
        <v>0.25688073394495414</v>
      </c>
      <c r="T152" s="473">
        <v>0.25688073394495414</v>
      </c>
      <c r="U152" s="310">
        <v>0.10808762222390662</v>
      </c>
      <c r="V152" s="325">
        <v>0.10808762222390662</v>
      </c>
      <c r="W152" s="310">
        <v>0.11774973147153599</v>
      </c>
      <c r="X152" s="325">
        <v>0.11774973147153599</v>
      </c>
      <c r="Y152" s="310">
        <v>0.10067329272202628</v>
      </c>
      <c r="Z152" s="325">
        <v>9.9504368279569891E-2</v>
      </c>
      <c r="AA152" s="310">
        <v>8.8149078726968172E-2</v>
      </c>
      <c r="AB152" s="325">
        <v>8.5062646828504312E-2</v>
      </c>
      <c r="AC152" s="311">
        <v>0.12071838520445546</v>
      </c>
      <c r="AD152" s="325">
        <v>0.11875418916697229</v>
      </c>
      <c r="AE152" s="310">
        <v>7.1612603961722865E-2</v>
      </c>
      <c r="AF152" s="325">
        <v>8.1880756875643002E-2</v>
      </c>
      <c r="AG152" s="310">
        <v>0.30303030303030304</v>
      </c>
      <c r="AH152" s="473">
        <v>0.25688073394495414</v>
      </c>
      <c r="AI152" s="351">
        <v>0.5</v>
      </c>
      <c r="AJ152" s="351">
        <v>0.5</v>
      </c>
    </row>
    <row r="153" spans="2:36" ht="13.5" thickTop="1" x14ac:dyDescent="0.2">
      <c r="B153" s="312">
        <v>19</v>
      </c>
      <c r="C153" s="322">
        <f t="shared" si="6"/>
        <v>20</v>
      </c>
      <c r="D153" s="315">
        <f t="shared" si="7"/>
        <v>18</v>
      </c>
      <c r="E153" s="1393">
        <v>3.6815521394088064E-4</v>
      </c>
      <c r="F153" s="1394">
        <v>1.611441883746935E-4</v>
      </c>
      <c r="G153" s="303">
        <v>0.11507105536015613</v>
      </c>
      <c r="H153" s="326">
        <v>0.11507105536015613</v>
      </c>
      <c r="I153" s="303">
        <v>9.7490973058050184E-2</v>
      </c>
      <c r="J153" s="326">
        <v>9.7490973058050184E-2</v>
      </c>
      <c r="K153" s="303">
        <v>9.0494398604682363E-2</v>
      </c>
      <c r="L153" s="326">
        <v>8.9348406122735577E-2</v>
      </c>
      <c r="M153" s="303">
        <v>8.6016348541526788E-2</v>
      </c>
      <c r="N153" s="326">
        <v>8.2927590164117077E-2</v>
      </c>
      <c r="O153" s="309">
        <v>8.2576440517144745E-2</v>
      </c>
      <c r="P153" s="326">
        <v>7.9333571641542727E-2</v>
      </c>
      <c r="Q153" s="303">
        <v>6.7476295298058098E-2</v>
      </c>
      <c r="R153" s="326">
        <v>7.4692805893533887E-2</v>
      </c>
      <c r="S153" s="303">
        <v>0.13333333333333333</v>
      </c>
      <c r="T153" s="474">
        <v>0.13333333333333333</v>
      </c>
      <c r="U153" s="303">
        <v>7.8108085602464822E-2</v>
      </c>
      <c r="V153" s="326">
        <v>7.8108085602464822E-2</v>
      </c>
      <c r="W153" s="303">
        <v>0.10941435768261965</v>
      </c>
      <c r="X153" s="326">
        <v>0.10941435768261965</v>
      </c>
      <c r="Y153" s="303">
        <v>9.0494398604682363E-2</v>
      </c>
      <c r="Z153" s="326">
        <v>8.9348406122735577E-2</v>
      </c>
      <c r="AA153" s="303">
        <v>6.6313796368017902E-2</v>
      </c>
      <c r="AB153" s="326">
        <v>6.1097939084442825E-2</v>
      </c>
      <c r="AC153" s="309">
        <v>8.2576440517144745E-2</v>
      </c>
      <c r="AD153" s="326">
        <v>7.9333571641542727E-2</v>
      </c>
      <c r="AE153" s="303">
        <v>6.7476295298058098E-2</v>
      </c>
      <c r="AF153" s="326">
        <v>7.4692805893533887E-2</v>
      </c>
      <c r="AG153" s="303">
        <v>0.21875</v>
      </c>
      <c r="AH153" s="474">
        <v>0.13333333333333333</v>
      </c>
      <c r="AI153" s="349">
        <v>0.5</v>
      </c>
      <c r="AJ153" s="349">
        <v>0.5</v>
      </c>
    </row>
    <row r="154" spans="2:36" x14ac:dyDescent="0.2">
      <c r="B154" s="276">
        <v>20</v>
      </c>
      <c r="C154" s="320">
        <f t="shared" si="6"/>
        <v>21</v>
      </c>
      <c r="D154" s="315">
        <f t="shared" si="7"/>
        <v>19</v>
      </c>
      <c r="E154" s="1389">
        <v>4.0986489822363416E-4</v>
      </c>
      <c r="F154" s="1390">
        <v>1.6078352046121442E-4</v>
      </c>
      <c r="G154" s="304">
        <v>0.11453774462005942</v>
      </c>
      <c r="H154" s="324">
        <v>0.11453774462005942</v>
      </c>
      <c r="I154" s="304">
        <v>7.7065291427459381E-2</v>
      </c>
      <c r="J154" s="324">
        <v>7.7065291427459381E-2</v>
      </c>
      <c r="K154" s="304">
        <v>0.11171264628651084</v>
      </c>
      <c r="L154" s="324">
        <v>0.11381208008373003</v>
      </c>
      <c r="M154" s="304">
        <v>8.7333684430179762E-2</v>
      </c>
      <c r="N154" s="324">
        <v>8.6075370512793861E-2</v>
      </c>
      <c r="O154" s="305">
        <v>8.1187707309275464E-2</v>
      </c>
      <c r="P154" s="324">
        <v>8.0443264557572822E-2</v>
      </c>
      <c r="Q154" s="304">
        <v>6.2943270244699256E-2</v>
      </c>
      <c r="R154" s="324">
        <v>6.3159413148429877E-2</v>
      </c>
      <c r="S154" s="304">
        <v>0.21797323135755259</v>
      </c>
      <c r="T154" s="472">
        <v>0.21797323135755259</v>
      </c>
      <c r="U154" s="304">
        <v>6.300691539315291E-2</v>
      </c>
      <c r="V154" s="324">
        <v>6.300691539315291E-2</v>
      </c>
      <c r="W154" s="304">
        <v>5.8549222797927458E-2</v>
      </c>
      <c r="X154" s="324">
        <v>5.8549222797927458E-2</v>
      </c>
      <c r="Y154" s="304">
        <v>0.11171264628651084</v>
      </c>
      <c r="Z154" s="324">
        <v>0.11381208008373003</v>
      </c>
      <c r="AA154" s="304">
        <v>6.7080113867425781E-2</v>
      </c>
      <c r="AB154" s="324">
        <v>6.1600188812839275E-2</v>
      </c>
      <c r="AC154" s="305">
        <v>8.1187707309275464E-2</v>
      </c>
      <c r="AD154" s="324">
        <v>8.0443264557572822E-2</v>
      </c>
      <c r="AE154" s="304">
        <v>6.2943270244699256E-2</v>
      </c>
      <c r="AF154" s="324">
        <v>6.3159413148429877E-2</v>
      </c>
      <c r="AG154" s="304">
        <v>0.17924528301886791</v>
      </c>
      <c r="AH154" s="472">
        <v>0.21797323135755259</v>
      </c>
      <c r="AI154" s="350">
        <v>0.5</v>
      </c>
      <c r="AJ154" s="350">
        <v>0.5</v>
      </c>
    </row>
    <row r="155" spans="2:36" x14ac:dyDescent="0.2">
      <c r="B155" s="276">
        <v>21</v>
      </c>
      <c r="C155" s="320">
        <f t="shared" si="6"/>
        <v>22</v>
      </c>
      <c r="D155" s="315">
        <f t="shared" si="7"/>
        <v>20</v>
      </c>
      <c r="E155" s="1389">
        <v>4.3348527924012272E-4</v>
      </c>
      <c r="F155" s="1390">
        <v>1.5976789614900489E-4</v>
      </c>
      <c r="G155" s="304">
        <v>9.0034212016047652E-2</v>
      </c>
      <c r="H155" s="324">
        <v>9.0034212016047652E-2</v>
      </c>
      <c r="I155" s="304">
        <v>6.1870929544108944E-2</v>
      </c>
      <c r="J155" s="324">
        <v>6.1870929544108944E-2</v>
      </c>
      <c r="K155" s="304">
        <v>9.1073155011279411E-2</v>
      </c>
      <c r="L155" s="324">
        <v>8.6982229083861648E-2</v>
      </c>
      <c r="M155" s="304">
        <v>9.2424411262164774E-2</v>
      </c>
      <c r="N155" s="324">
        <v>8.645603010202102E-2</v>
      </c>
      <c r="O155" s="305">
        <v>8.1726258889859862E-2</v>
      </c>
      <c r="P155" s="324">
        <v>7.4883106628635038E-2</v>
      </c>
      <c r="Q155" s="304">
        <v>6.3283200254883099E-2</v>
      </c>
      <c r="R155" s="324">
        <v>5.4471037240581666E-2</v>
      </c>
      <c r="S155" s="304">
        <v>0.19187675070028012</v>
      </c>
      <c r="T155" s="472">
        <v>0.19187675070028012</v>
      </c>
      <c r="U155" s="304">
        <v>6.1663319946452473E-2</v>
      </c>
      <c r="V155" s="324">
        <v>6.1663319946452473E-2</v>
      </c>
      <c r="W155" s="304">
        <v>5.4702664549144166E-2</v>
      </c>
      <c r="X155" s="324">
        <v>5.4702664549144166E-2</v>
      </c>
      <c r="Y155" s="304">
        <v>9.1073155011279411E-2</v>
      </c>
      <c r="Z155" s="324">
        <v>8.6982229083861648E-2</v>
      </c>
      <c r="AA155" s="304">
        <v>7.011718004503989E-2</v>
      </c>
      <c r="AB155" s="324">
        <v>6.530135994206164E-2</v>
      </c>
      <c r="AC155" s="305">
        <v>8.1726258889859862E-2</v>
      </c>
      <c r="AD155" s="324">
        <v>7.4883106628635038E-2</v>
      </c>
      <c r="AE155" s="304">
        <v>6.3283200254883099E-2</v>
      </c>
      <c r="AF155" s="324">
        <v>5.4471037240581666E-2</v>
      </c>
      <c r="AG155" s="304">
        <v>0.1761006289308176</v>
      </c>
      <c r="AH155" s="472">
        <v>0.19187675070028012</v>
      </c>
      <c r="AI155" s="350">
        <v>0.5</v>
      </c>
      <c r="AJ155" s="350">
        <v>0.5</v>
      </c>
    </row>
    <row r="156" spans="2:36" x14ac:dyDescent="0.2">
      <c r="B156" s="276">
        <v>22</v>
      </c>
      <c r="C156" s="320">
        <f t="shared" si="6"/>
        <v>23</v>
      </c>
      <c r="D156" s="315">
        <f t="shared" si="7"/>
        <v>21</v>
      </c>
      <c r="E156" s="1389">
        <v>4.4156515228720329E-4</v>
      </c>
      <c r="F156" s="1390">
        <v>1.5921114525440001E-4</v>
      </c>
      <c r="G156" s="304">
        <v>8.703802213947362E-2</v>
      </c>
      <c r="H156" s="324">
        <v>8.703802213947362E-2</v>
      </c>
      <c r="I156" s="304">
        <v>6.7108931833477548E-2</v>
      </c>
      <c r="J156" s="324">
        <v>6.7108931833477548E-2</v>
      </c>
      <c r="K156" s="304">
        <v>9.6279748052995745E-2</v>
      </c>
      <c r="L156" s="324">
        <v>9.1588379375561968E-2</v>
      </c>
      <c r="M156" s="304">
        <v>9.455482293349636E-2</v>
      </c>
      <c r="N156" s="324">
        <v>8.7346441811441453E-2</v>
      </c>
      <c r="O156" s="305">
        <v>8.4132187771464709E-2</v>
      </c>
      <c r="P156" s="324">
        <v>7.7132133668001673E-2</v>
      </c>
      <c r="Q156" s="304">
        <v>7.8208022973054625E-2</v>
      </c>
      <c r="R156" s="324">
        <v>6.334340754889034E-2</v>
      </c>
      <c r="S156" s="304">
        <v>0.18418314255983351</v>
      </c>
      <c r="T156" s="472">
        <v>0.18418314255983351</v>
      </c>
      <c r="U156" s="304">
        <v>5.9287900757209605E-2</v>
      </c>
      <c r="V156" s="324">
        <v>5.9287900757209605E-2</v>
      </c>
      <c r="W156" s="304">
        <v>5.9116809116809117E-2</v>
      </c>
      <c r="X156" s="324">
        <v>5.9116809116809117E-2</v>
      </c>
      <c r="Y156" s="304">
        <v>9.6279748052995745E-2</v>
      </c>
      <c r="Z156" s="324">
        <v>9.1588379375561968E-2</v>
      </c>
      <c r="AA156" s="304">
        <v>7.4091167282022155E-2</v>
      </c>
      <c r="AB156" s="324">
        <v>6.7046887646582717E-2</v>
      </c>
      <c r="AC156" s="305">
        <v>8.4132187771464709E-2</v>
      </c>
      <c r="AD156" s="324">
        <v>7.7132133668001673E-2</v>
      </c>
      <c r="AE156" s="304">
        <v>7.8208022973054625E-2</v>
      </c>
      <c r="AF156" s="324">
        <v>6.334340754889034E-2</v>
      </c>
      <c r="AG156" s="304">
        <v>0.21212121212121213</v>
      </c>
      <c r="AH156" s="472">
        <v>0.18418314255983351</v>
      </c>
      <c r="AI156" s="350">
        <v>0.5</v>
      </c>
      <c r="AJ156" s="350">
        <v>0.5</v>
      </c>
    </row>
    <row r="157" spans="2:36" x14ac:dyDescent="0.2">
      <c r="B157" s="276">
        <v>23</v>
      </c>
      <c r="C157" s="320">
        <f t="shared" si="6"/>
        <v>24</v>
      </c>
      <c r="D157" s="315">
        <f t="shared" si="7"/>
        <v>22</v>
      </c>
      <c r="E157" s="1389">
        <v>4.4042545288852338E-4</v>
      </c>
      <c r="F157" s="1390">
        <v>1.597439598891262E-4</v>
      </c>
      <c r="G157" s="304">
        <v>8.7659683188553911E-2</v>
      </c>
      <c r="H157" s="324">
        <v>8.7659683188553911E-2</v>
      </c>
      <c r="I157" s="304">
        <v>6.6401553685378714E-2</v>
      </c>
      <c r="J157" s="324">
        <v>6.6401553685378714E-2</v>
      </c>
      <c r="K157" s="304">
        <v>0.10175523252307135</v>
      </c>
      <c r="L157" s="324">
        <v>9.6489670277629794E-2</v>
      </c>
      <c r="M157" s="304">
        <v>0.10136572074167609</v>
      </c>
      <c r="N157" s="324">
        <v>9.407287505166001E-2</v>
      </c>
      <c r="O157" s="305">
        <v>8.7395924205386513E-2</v>
      </c>
      <c r="P157" s="324">
        <v>7.9673581456874948E-2</v>
      </c>
      <c r="Q157" s="304">
        <v>0.12326596957390379</v>
      </c>
      <c r="R157" s="324">
        <v>0.11458208279568005</v>
      </c>
      <c r="S157" s="304">
        <v>0.19020866773675763</v>
      </c>
      <c r="T157" s="472">
        <v>0.19020866773675763</v>
      </c>
      <c r="U157" s="304">
        <v>6.7096874514072466E-2</v>
      </c>
      <c r="V157" s="324">
        <v>6.7096874514072466E-2</v>
      </c>
      <c r="W157" s="304">
        <v>5.6127886323268206E-2</v>
      </c>
      <c r="X157" s="324">
        <v>5.6127886323268206E-2</v>
      </c>
      <c r="Y157" s="304">
        <v>0.10175523252307135</v>
      </c>
      <c r="Z157" s="324">
        <v>9.6489670277629794E-2</v>
      </c>
      <c r="AA157" s="304">
        <v>7.7230183053093676E-2</v>
      </c>
      <c r="AB157" s="324">
        <v>6.9723286804261458E-2</v>
      </c>
      <c r="AC157" s="305">
        <v>8.7395924205386513E-2</v>
      </c>
      <c r="AD157" s="324">
        <v>7.9673581456874948E-2</v>
      </c>
      <c r="AE157" s="304">
        <v>0.12326596957390379</v>
      </c>
      <c r="AF157" s="324">
        <v>0.11458208279568005</v>
      </c>
      <c r="AG157" s="304">
        <v>0.14233576642335766</v>
      </c>
      <c r="AH157" s="472">
        <v>0.19020866773675763</v>
      </c>
      <c r="AI157" s="350">
        <v>0.5</v>
      </c>
      <c r="AJ157" s="350">
        <v>0.5</v>
      </c>
    </row>
    <row r="158" spans="2:36" x14ac:dyDescent="0.2">
      <c r="B158" s="276">
        <v>24</v>
      </c>
      <c r="C158" s="320">
        <f t="shared" si="6"/>
        <v>25</v>
      </c>
      <c r="D158" s="315">
        <f t="shared" si="7"/>
        <v>23</v>
      </c>
      <c r="E158" s="1389">
        <v>4.3668351701765812E-4</v>
      </c>
      <c r="F158" s="1390">
        <v>1.61659309111287E-4</v>
      </c>
      <c r="G158" s="304">
        <v>8.6622362012987009E-2</v>
      </c>
      <c r="H158" s="324">
        <v>8.6622362012987009E-2</v>
      </c>
      <c r="I158" s="304">
        <v>7.3335706657173372E-2</v>
      </c>
      <c r="J158" s="324">
        <v>7.3335706657173372E-2</v>
      </c>
      <c r="K158" s="304">
        <v>0.10166011105969458</v>
      </c>
      <c r="L158" s="324">
        <v>9.3932256617317189E-2</v>
      </c>
      <c r="M158" s="304">
        <v>0.10215040931764481</v>
      </c>
      <c r="N158" s="324">
        <v>9.676837270341207E-2</v>
      </c>
      <c r="O158" s="305">
        <v>8.7095978667981938E-2</v>
      </c>
      <c r="P158" s="324">
        <v>8.15524026495974E-2</v>
      </c>
      <c r="Q158" s="304">
        <v>0.22139723395131039</v>
      </c>
      <c r="R158" s="324">
        <v>0.2459600908894668</v>
      </c>
      <c r="S158" s="304">
        <v>0.18660598179453836</v>
      </c>
      <c r="T158" s="472">
        <v>0.18660598179453836</v>
      </c>
      <c r="U158" s="304">
        <v>6.7119667799169502E-2</v>
      </c>
      <c r="V158" s="324">
        <v>6.7119667799169502E-2</v>
      </c>
      <c r="W158" s="304">
        <v>5.793763288447909E-2</v>
      </c>
      <c r="X158" s="324">
        <v>5.793763288447909E-2</v>
      </c>
      <c r="Y158" s="304">
        <v>0.10166011105969458</v>
      </c>
      <c r="Z158" s="324">
        <v>9.3932256617317189E-2</v>
      </c>
      <c r="AA158" s="304">
        <v>7.8038770656178591E-2</v>
      </c>
      <c r="AB158" s="324">
        <v>7.5049212598425202E-2</v>
      </c>
      <c r="AC158" s="305">
        <v>8.7095978667981938E-2</v>
      </c>
      <c r="AD158" s="324">
        <v>8.15524026495974E-2</v>
      </c>
      <c r="AE158" s="304">
        <v>0.22139723395131039</v>
      </c>
      <c r="AF158" s="324">
        <v>0.2459600908894668</v>
      </c>
      <c r="AG158" s="304">
        <v>0.16304347826086957</v>
      </c>
      <c r="AH158" s="472">
        <v>0.18660598179453836</v>
      </c>
      <c r="AI158" s="350">
        <v>0.5</v>
      </c>
      <c r="AJ158" s="350">
        <v>0.5</v>
      </c>
    </row>
    <row r="159" spans="2:36" ht="13.5" thickBot="1" x14ac:dyDescent="0.25">
      <c r="B159" s="313">
        <v>25</v>
      </c>
      <c r="C159" s="321">
        <f t="shared" si="6"/>
        <v>26</v>
      </c>
      <c r="D159" s="316">
        <f t="shared" si="7"/>
        <v>24</v>
      </c>
      <c r="E159" s="1391">
        <v>4.3390134130210235E-4</v>
      </c>
      <c r="F159" s="1392">
        <v>1.649250919134238E-4</v>
      </c>
      <c r="G159" s="310">
        <v>0.16490632001378733</v>
      </c>
      <c r="H159" s="325">
        <v>0.16490632001378733</v>
      </c>
      <c r="I159" s="310">
        <v>0.1273560876209883</v>
      </c>
      <c r="J159" s="325">
        <v>0.1273560876209883</v>
      </c>
      <c r="K159" s="310">
        <v>0.11986727498963086</v>
      </c>
      <c r="L159" s="325">
        <v>0.11810734166579141</v>
      </c>
      <c r="M159" s="310">
        <v>0.14899240676515974</v>
      </c>
      <c r="N159" s="325">
        <v>0.15171855473201865</v>
      </c>
      <c r="O159" s="311">
        <v>0.12816569245018003</v>
      </c>
      <c r="P159" s="325">
        <v>0.12436171512338139</v>
      </c>
      <c r="Q159" s="310">
        <v>0.11479061640310195</v>
      </c>
      <c r="R159" s="325">
        <v>9.9237249236210121E-2</v>
      </c>
      <c r="S159" s="310">
        <v>0.20519618239660659</v>
      </c>
      <c r="T159" s="473">
        <v>0.20519618239660659</v>
      </c>
      <c r="U159" s="310">
        <v>0.1144073913671142</v>
      </c>
      <c r="V159" s="325">
        <v>0.1144073913671142</v>
      </c>
      <c r="W159" s="310">
        <v>8.782365290412876E-2</v>
      </c>
      <c r="X159" s="325">
        <v>8.782365290412876E-2</v>
      </c>
      <c r="Y159" s="310">
        <v>0.11986727498963086</v>
      </c>
      <c r="Z159" s="325">
        <v>0.11810734166579141</v>
      </c>
      <c r="AA159" s="310">
        <v>0.12320304494217538</v>
      </c>
      <c r="AB159" s="325">
        <v>0.1173019173019173</v>
      </c>
      <c r="AC159" s="311">
        <v>0.12816569245018003</v>
      </c>
      <c r="AD159" s="325">
        <v>0.12436171512338139</v>
      </c>
      <c r="AE159" s="310">
        <v>0.11479061640310195</v>
      </c>
      <c r="AF159" s="325">
        <v>9.9237249236210121E-2</v>
      </c>
      <c r="AG159" s="310">
        <v>0.17608695652173914</v>
      </c>
      <c r="AH159" s="473">
        <v>0.20519618239660659</v>
      </c>
      <c r="AI159" s="351">
        <v>0.5</v>
      </c>
      <c r="AJ159" s="351">
        <v>0.5</v>
      </c>
    </row>
    <row r="160" spans="2:36" ht="13.5" thickTop="1" x14ac:dyDescent="0.2">
      <c r="B160" s="312">
        <v>26</v>
      </c>
      <c r="C160" s="322">
        <f t="shared" si="6"/>
        <v>27</v>
      </c>
      <c r="D160" s="315">
        <f t="shared" si="7"/>
        <v>25</v>
      </c>
      <c r="E160" s="1393">
        <v>4.3267752530865564E-4</v>
      </c>
      <c r="F160" s="1394">
        <v>1.694248172814171E-4</v>
      </c>
      <c r="G160" s="303">
        <v>0.10878930939297785</v>
      </c>
      <c r="H160" s="326">
        <v>0.10878930939297785</v>
      </c>
      <c r="I160" s="303">
        <v>8.5704401971806621E-2</v>
      </c>
      <c r="J160" s="326">
        <v>8.5704401971806621E-2</v>
      </c>
      <c r="K160" s="303">
        <v>0.10411240411957275</v>
      </c>
      <c r="L160" s="326">
        <v>9.2943636405413477E-2</v>
      </c>
      <c r="M160" s="303">
        <v>0.10731432858214554</v>
      </c>
      <c r="N160" s="326">
        <v>0.10049650892164469</v>
      </c>
      <c r="O160" s="309">
        <v>9.7782013192069805E-2</v>
      </c>
      <c r="P160" s="326">
        <v>9.0787134958910332E-2</v>
      </c>
      <c r="Q160" s="303">
        <v>0.11080919366943989</v>
      </c>
      <c r="R160" s="326">
        <v>9.6062308328066254E-2</v>
      </c>
      <c r="S160" s="303">
        <v>0.15599484314568113</v>
      </c>
      <c r="T160" s="474">
        <v>0.15599484314568113</v>
      </c>
      <c r="U160" s="303">
        <v>0.10068374783980764</v>
      </c>
      <c r="V160" s="326">
        <v>0.10068374783980764</v>
      </c>
      <c r="W160" s="303">
        <v>7.9192842185417861E-2</v>
      </c>
      <c r="X160" s="326">
        <v>7.9192842185417861E-2</v>
      </c>
      <c r="Y160" s="303">
        <v>0.10411240411957275</v>
      </c>
      <c r="Z160" s="326">
        <v>9.2943636405413477E-2</v>
      </c>
      <c r="AA160" s="303">
        <v>9.2878151860418631E-2</v>
      </c>
      <c r="AB160" s="326">
        <v>8.6314761954062083E-2</v>
      </c>
      <c r="AC160" s="309">
        <v>9.7782013192069805E-2</v>
      </c>
      <c r="AD160" s="326">
        <v>9.0787134958910332E-2</v>
      </c>
      <c r="AE160" s="303">
        <v>0.11080919366943989</v>
      </c>
      <c r="AF160" s="326">
        <v>9.6062308328066254E-2</v>
      </c>
      <c r="AG160" s="303">
        <v>0.13523131672597866</v>
      </c>
      <c r="AH160" s="474">
        <v>0.15599484314568113</v>
      </c>
      <c r="AI160" s="349">
        <v>0.5</v>
      </c>
      <c r="AJ160" s="349">
        <v>0.5</v>
      </c>
    </row>
    <row r="161" spans="2:36" x14ac:dyDescent="0.2">
      <c r="B161" s="276">
        <v>27</v>
      </c>
      <c r="C161" s="320">
        <f t="shared" si="6"/>
        <v>28</v>
      </c>
      <c r="D161" s="315">
        <f t="shared" si="7"/>
        <v>26</v>
      </c>
      <c r="E161" s="1389">
        <v>4.3314004590431468E-4</v>
      </c>
      <c r="F161" s="1390">
        <v>1.7516506693034952E-4</v>
      </c>
      <c r="G161" s="304">
        <v>0.10242713411471839</v>
      </c>
      <c r="H161" s="324">
        <v>0.10242713411471839</v>
      </c>
      <c r="I161" s="304">
        <v>8.7496829825006339E-2</v>
      </c>
      <c r="J161" s="324">
        <v>8.7496829825006339E-2</v>
      </c>
      <c r="K161" s="304">
        <v>0.13350785340314136</v>
      </c>
      <c r="L161" s="324">
        <v>0.11876064735945485</v>
      </c>
      <c r="M161" s="304">
        <v>0.11208004472746019</v>
      </c>
      <c r="N161" s="324">
        <v>0.10426095636966817</v>
      </c>
      <c r="O161" s="305">
        <v>0.10370149707613227</v>
      </c>
      <c r="P161" s="324">
        <v>9.4857059942019872E-2</v>
      </c>
      <c r="Q161" s="304">
        <v>0.1069148447525633</v>
      </c>
      <c r="R161" s="324">
        <v>9.2955639631025308E-2</v>
      </c>
      <c r="S161" s="304">
        <v>0.15092165898617513</v>
      </c>
      <c r="T161" s="472">
        <v>0.15092165898617513</v>
      </c>
      <c r="U161" s="304">
        <v>9.2877621850007544E-2</v>
      </c>
      <c r="V161" s="324">
        <v>9.2877621850007544E-2</v>
      </c>
      <c r="W161" s="304">
        <v>8.1596188207266232E-2</v>
      </c>
      <c r="X161" s="324">
        <v>8.1596188207266232E-2</v>
      </c>
      <c r="Y161" s="304">
        <v>0.13350785340314136</v>
      </c>
      <c r="Z161" s="324">
        <v>0.11876064735945485</v>
      </c>
      <c r="AA161" s="304">
        <v>9.6088133183893282E-2</v>
      </c>
      <c r="AB161" s="324">
        <v>8.8617510876103353E-2</v>
      </c>
      <c r="AC161" s="305">
        <v>0.10370149707613227</v>
      </c>
      <c r="AD161" s="324">
        <v>9.4857059942019872E-2</v>
      </c>
      <c r="AE161" s="304">
        <v>0.1069148447525633</v>
      </c>
      <c r="AF161" s="324">
        <v>9.2955639631025308E-2</v>
      </c>
      <c r="AG161" s="304">
        <v>0.12846715328467154</v>
      </c>
      <c r="AH161" s="472">
        <v>0.15092165898617513</v>
      </c>
      <c r="AI161" s="350">
        <v>0.5</v>
      </c>
      <c r="AJ161" s="350">
        <v>0.5</v>
      </c>
    </row>
    <row r="162" spans="2:36" x14ac:dyDescent="0.2">
      <c r="B162" s="276">
        <v>28</v>
      </c>
      <c r="C162" s="320">
        <f t="shared" si="6"/>
        <v>29</v>
      </c>
      <c r="D162" s="315">
        <f t="shared" si="7"/>
        <v>27</v>
      </c>
      <c r="E162" s="1389">
        <v>4.3550060231275015E-4</v>
      </c>
      <c r="F162" s="1390">
        <v>1.8225813789993242E-4</v>
      </c>
      <c r="G162" s="304">
        <v>9.8398344700743351E-2</v>
      </c>
      <c r="H162" s="324">
        <v>9.8398344700743351E-2</v>
      </c>
      <c r="I162" s="304">
        <v>8.1337770922964528E-2</v>
      </c>
      <c r="J162" s="324">
        <v>8.1337770922964528E-2</v>
      </c>
      <c r="K162" s="304">
        <v>9.967803689523147E-2</v>
      </c>
      <c r="L162" s="324">
        <v>8.771929824561403E-2</v>
      </c>
      <c r="M162" s="304">
        <v>0.11166659545072569</v>
      </c>
      <c r="N162" s="324">
        <v>0.10388923574130522</v>
      </c>
      <c r="O162" s="305">
        <v>9.9517454420642457E-2</v>
      </c>
      <c r="P162" s="324">
        <v>8.8255731071139848E-2</v>
      </c>
      <c r="Q162" s="304">
        <v>0.10310756965247225</v>
      </c>
      <c r="R162" s="324">
        <v>8.9917243145087283E-2</v>
      </c>
      <c r="S162" s="304">
        <v>0.14472327260226883</v>
      </c>
      <c r="T162" s="472">
        <v>0.14472327260226883</v>
      </c>
      <c r="U162" s="304">
        <v>9.0507566432553768E-2</v>
      </c>
      <c r="V162" s="324">
        <v>9.0507566432553768E-2</v>
      </c>
      <c r="W162" s="304">
        <v>7.3376495978026285E-2</v>
      </c>
      <c r="X162" s="324">
        <v>7.3376495978026285E-2</v>
      </c>
      <c r="Y162" s="304">
        <v>9.967803689523147E-2</v>
      </c>
      <c r="Z162" s="324">
        <v>8.771929824561403E-2</v>
      </c>
      <c r="AA162" s="304">
        <v>9.5940861989307638E-2</v>
      </c>
      <c r="AB162" s="324">
        <v>8.9179596117131416E-2</v>
      </c>
      <c r="AC162" s="305">
        <v>9.9517454420642457E-2</v>
      </c>
      <c r="AD162" s="324">
        <v>8.8255731071139848E-2</v>
      </c>
      <c r="AE162" s="304">
        <v>0.10310756965247225</v>
      </c>
      <c r="AF162" s="324">
        <v>8.9917243145087283E-2</v>
      </c>
      <c r="AG162" s="304">
        <v>0.11485642946317104</v>
      </c>
      <c r="AH162" s="472">
        <v>0.14472327260226883</v>
      </c>
      <c r="AI162" s="350">
        <v>0.5</v>
      </c>
      <c r="AJ162" s="350">
        <v>0.5</v>
      </c>
    </row>
    <row r="163" spans="2:36" x14ac:dyDescent="0.2">
      <c r="B163" s="276">
        <v>29</v>
      </c>
      <c r="C163" s="320">
        <f t="shared" si="6"/>
        <v>30</v>
      </c>
      <c r="D163" s="315">
        <f t="shared" si="7"/>
        <v>28</v>
      </c>
      <c r="E163" s="1389">
        <v>4.4001955391842268E-4</v>
      </c>
      <c r="F163" s="1390">
        <v>1.9087198647371783E-4</v>
      </c>
      <c r="G163" s="304">
        <v>9.8356993944207285E-2</v>
      </c>
      <c r="H163" s="324">
        <v>9.8356993944207285E-2</v>
      </c>
      <c r="I163" s="304">
        <v>7.9944547134935304E-2</v>
      </c>
      <c r="J163" s="324">
        <v>7.9944547134935304E-2</v>
      </c>
      <c r="K163" s="304">
        <v>0.10245715465620484</v>
      </c>
      <c r="L163" s="324">
        <v>8.9408501328332557E-2</v>
      </c>
      <c r="M163" s="304">
        <v>0.10752308604670865</v>
      </c>
      <c r="N163" s="324">
        <v>9.8685507003087342E-2</v>
      </c>
      <c r="O163" s="305">
        <v>9.6585036269558514E-2</v>
      </c>
      <c r="P163" s="324">
        <v>8.6672510441450537E-2</v>
      </c>
      <c r="Q163" s="304">
        <v>9.9387368369166673E-2</v>
      </c>
      <c r="R163" s="324">
        <v>8.6947118870252138E-2</v>
      </c>
      <c r="S163" s="304">
        <v>0.16792929292929293</v>
      </c>
      <c r="T163" s="472">
        <v>0.16792929292929293</v>
      </c>
      <c r="U163" s="304">
        <v>8.0144109849772285E-2</v>
      </c>
      <c r="V163" s="324">
        <v>8.0144109849772285E-2</v>
      </c>
      <c r="W163" s="304">
        <v>7.9678222562727441E-2</v>
      </c>
      <c r="X163" s="324">
        <v>7.9678222562727441E-2</v>
      </c>
      <c r="Y163" s="304">
        <v>0.10245715465620484</v>
      </c>
      <c r="Z163" s="324">
        <v>8.9408501328332557E-2</v>
      </c>
      <c r="AA163" s="304">
        <v>9.2703163771712158E-2</v>
      </c>
      <c r="AB163" s="324">
        <v>8.8770487511127399E-2</v>
      </c>
      <c r="AC163" s="305">
        <v>9.6585036269558514E-2</v>
      </c>
      <c r="AD163" s="324">
        <v>8.6672510441450537E-2</v>
      </c>
      <c r="AE163" s="304">
        <v>9.9387368369166673E-2</v>
      </c>
      <c r="AF163" s="324">
        <v>8.6947118870252138E-2</v>
      </c>
      <c r="AG163" s="304">
        <v>0.1232583065380493</v>
      </c>
      <c r="AH163" s="472">
        <v>0.16792929292929293</v>
      </c>
      <c r="AI163" s="350">
        <v>0.5</v>
      </c>
      <c r="AJ163" s="350">
        <v>0.5</v>
      </c>
    </row>
    <row r="164" spans="2:36" ht="13.5" thickBot="1" x14ac:dyDescent="0.25">
      <c r="B164" s="313">
        <v>30</v>
      </c>
      <c r="C164" s="321">
        <f t="shared" si="6"/>
        <v>31</v>
      </c>
      <c r="D164" s="316">
        <f t="shared" si="7"/>
        <v>29</v>
      </c>
      <c r="E164" s="1391">
        <v>4.4698379072096231E-4</v>
      </c>
      <c r="F164" s="1392">
        <v>2.0119001926310063E-4</v>
      </c>
      <c r="G164" s="310">
        <v>0.1117839292579777</v>
      </c>
      <c r="H164" s="325">
        <v>0.1117839292579777</v>
      </c>
      <c r="I164" s="310">
        <v>9.1573236889692586E-2</v>
      </c>
      <c r="J164" s="325">
        <v>9.1573236889692586E-2</v>
      </c>
      <c r="K164" s="310">
        <v>0.12864771886313178</v>
      </c>
      <c r="L164" s="325">
        <v>0.12445216865649086</v>
      </c>
      <c r="M164" s="310">
        <v>0.1307306237786619</v>
      </c>
      <c r="N164" s="325">
        <v>0.11402227695795279</v>
      </c>
      <c r="O164" s="311">
        <v>0.11403507420016552</v>
      </c>
      <c r="P164" s="325">
        <v>0.10108333187841542</v>
      </c>
      <c r="Q164" s="310">
        <v>9.5754240902646559E-2</v>
      </c>
      <c r="R164" s="325">
        <v>8.4045266806519914E-2</v>
      </c>
      <c r="S164" s="310">
        <v>0.20201123927832002</v>
      </c>
      <c r="T164" s="473">
        <v>0.20201123927832002</v>
      </c>
      <c r="U164" s="310">
        <v>8.4636556987363942E-2</v>
      </c>
      <c r="V164" s="325">
        <v>8.4636556987363942E-2</v>
      </c>
      <c r="W164" s="310">
        <v>7.2076978939724035E-2</v>
      </c>
      <c r="X164" s="325">
        <v>7.2076978939724035E-2</v>
      </c>
      <c r="Y164" s="310">
        <v>0.12864771886313178</v>
      </c>
      <c r="Z164" s="325">
        <v>0.12445216865649086</v>
      </c>
      <c r="AA164" s="310">
        <v>9.7064688623286891E-2</v>
      </c>
      <c r="AB164" s="325">
        <v>9.196896192302248E-2</v>
      </c>
      <c r="AC164" s="311">
        <v>0.11403507420016552</v>
      </c>
      <c r="AD164" s="325">
        <v>0.10108333187841542</v>
      </c>
      <c r="AE164" s="310">
        <v>9.5754240902646559E-2</v>
      </c>
      <c r="AF164" s="325">
        <v>8.4045266806519914E-2</v>
      </c>
      <c r="AG164" s="310">
        <v>0.12573099415204678</v>
      </c>
      <c r="AH164" s="473">
        <v>0.20201123927832002</v>
      </c>
      <c r="AI164" s="351">
        <v>0.5</v>
      </c>
      <c r="AJ164" s="351">
        <v>0.5</v>
      </c>
    </row>
    <row r="165" spans="2:36" ht="13.5" thickTop="1" x14ac:dyDescent="0.2">
      <c r="B165" s="314">
        <v>31</v>
      </c>
      <c r="C165" s="320">
        <f t="shared" si="6"/>
        <v>32</v>
      </c>
      <c r="D165" s="317">
        <f t="shared" si="7"/>
        <v>30</v>
      </c>
      <c r="E165" s="1389">
        <v>4.5669572212857549E-4</v>
      </c>
      <c r="F165" s="1390">
        <v>2.1337878489664634E-4</v>
      </c>
      <c r="G165" s="304">
        <v>8.8368473185227114E-2</v>
      </c>
      <c r="H165" s="324">
        <v>8.8368473185227114E-2</v>
      </c>
      <c r="I165" s="304">
        <v>7.4247398197946499E-2</v>
      </c>
      <c r="J165" s="324">
        <v>7.4247398197946499E-2</v>
      </c>
      <c r="K165" s="304">
        <v>9.4438634851221601E-2</v>
      </c>
      <c r="L165" s="324">
        <v>7.7714600146735147E-2</v>
      </c>
      <c r="M165" s="304">
        <v>0.10034399577498965</v>
      </c>
      <c r="N165" s="324">
        <v>9.5435836592403803E-2</v>
      </c>
      <c r="O165" s="305">
        <v>9.1154333222356707E-2</v>
      </c>
      <c r="P165" s="324">
        <v>8.0770896491987876E-2</v>
      </c>
      <c r="Q165" s="304">
        <v>9.2208187252911966E-2</v>
      </c>
      <c r="R165" s="324">
        <v>8.1211686953890583E-2</v>
      </c>
      <c r="S165" s="304">
        <v>0.14959723820483314</v>
      </c>
      <c r="T165" s="472">
        <v>0.14959723820483314</v>
      </c>
      <c r="U165" s="304">
        <v>7.8769517594966212E-2</v>
      </c>
      <c r="V165" s="324">
        <v>7.8769517594966212E-2</v>
      </c>
      <c r="W165" s="304">
        <v>7.0420110192837462E-2</v>
      </c>
      <c r="X165" s="324">
        <v>7.0420110192837462E-2</v>
      </c>
      <c r="Y165" s="304">
        <v>9.4438634851221601E-2</v>
      </c>
      <c r="Z165" s="324">
        <v>7.7714600146735147E-2</v>
      </c>
      <c r="AA165" s="304">
        <v>9.0287294901615647E-2</v>
      </c>
      <c r="AB165" s="324">
        <v>8.4566865049086934E-2</v>
      </c>
      <c r="AC165" s="305">
        <v>9.1154333222356707E-2</v>
      </c>
      <c r="AD165" s="324">
        <v>8.0770896491987876E-2</v>
      </c>
      <c r="AE165" s="304">
        <v>9.2208187252911966E-2</v>
      </c>
      <c r="AF165" s="324">
        <v>8.1211686953890583E-2</v>
      </c>
      <c r="AG165" s="304">
        <v>9.7914777878513146E-2</v>
      </c>
      <c r="AH165" s="472">
        <v>0.14959723820483314</v>
      </c>
      <c r="AI165" s="350">
        <v>0.5</v>
      </c>
      <c r="AJ165" s="350">
        <v>0.5</v>
      </c>
    </row>
    <row r="166" spans="2:36" x14ac:dyDescent="0.2">
      <c r="B166" s="312">
        <v>32</v>
      </c>
      <c r="C166" s="322">
        <f t="shared" si="6"/>
        <v>33</v>
      </c>
      <c r="D166" s="315">
        <f t="shared" si="7"/>
        <v>31</v>
      </c>
      <c r="E166" s="1393">
        <v>4.6947248123536869E-4</v>
      </c>
      <c r="F166" s="1394">
        <v>2.2756385519638432E-4</v>
      </c>
      <c r="G166" s="303">
        <v>8.9385982859351204E-2</v>
      </c>
      <c r="H166" s="326">
        <v>8.9385982859351204E-2</v>
      </c>
      <c r="I166" s="303">
        <v>7.6257652382219862E-2</v>
      </c>
      <c r="J166" s="326">
        <v>7.6257652382219862E-2</v>
      </c>
      <c r="K166" s="303">
        <v>9.4749649040711273E-2</v>
      </c>
      <c r="L166" s="326">
        <v>7.9461860824834973E-2</v>
      </c>
      <c r="M166" s="303">
        <v>0.1055480572159022</v>
      </c>
      <c r="N166" s="326">
        <v>9.5451770227227589E-2</v>
      </c>
      <c r="O166" s="309">
        <v>9.3232982010265614E-2</v>
      </c>
      <c r="P166" s="326">
        <v>8.0890940839076733E-2</v>
      </c>
      <c r="Q166" s="303">
        <v>8.8749207419962867E-2</v>
      </c>
      <c r="R166" s="326">
        <v>7.8446379312364145E-2</v>
      </c>
      <c r="S166" s="303">
        <v>0.16444207154297918</v>
      </c>
      <c r="T166" s="474">
        <v>0.16444207154297918</v>
      </c>
      <c r="U166" s="303">
        <v>7.6399847635631499E-2</v>
      </c>
      <c r="V166" s="326">
        <v>7.6399847635631499E-2</v>
      </c>
      <c r="W166" s="303">
        <v>6.6762728146013445E-2</v>
      </c>
      <c r="X166" s="326">
        <v>6.6762728146013445E-2</v>
      </c>
      <c r="Y166" s="303">
        <v>9.4749649040711273E-2</v>
      </c>
      <c r="Z166" s="326">
        <v>7.9461860824834973E-2</v>
      </c>
      <c r="AA166" s="303">
        <v>9.2438248219427185E-2</v>
      </c>
      <c r="AB166" s="326">
        <v>8.2972841528655902E-2</v>
      </c>
      <c r="AC166" s="309">
        <v>9.3232982010265614E-2</v>
      </c>
      <c r="AD166" s="326">
        <v>8.0890940839076733E-2</v>
      </c>
      <c r="AE166" s="303">
        <v>8.8749207419962867E-2</v>
      </c>
      <c r="AF166" s="326">
        <v>7.8446379312364145E-2</v>
      </c>
      <c r="AG166" s="303">
        <v>0.11334405144694534</v>
      </c>
      <c r="AH166" s="474">
        <v>0.16444207154297918</v>
      </c>
      <c r="AI166" s="349">
        <v>0.5</v>
      </c>
      <c r="AJ166" s="349">
        <v>0.5</v>
      </c>
    </row>
    <row r="167" spans="2:36" x14ac:dyDescent="0.2">
      <c r="B167" s="276">
        <v>33</v>
      </c>
      <c r="C167" s="320">
        <f t="shared" si="6"/>
        <v>34</v>
      </c>
      <c r="D167" s="315">
        <f t="shared" si="7"/>
        <v>32</v>
      </c>
      <c r="E167" s="1389">
        <v>4.8565561440650504E-4</v>
      </c>
      <c r="F167" s="1390">
        <v>2.438171077037087E-4</v>
      </c>
      <c r="G167" s="304">
        <v>8.5264682644192777E-2</v>
      </c>
      <c r="H167" s="324">
        <v>8.5264682644192777E-2</v>
      </c>
      <c r="I167" s="304">
        <v>7.3211102622867327E-2</v>
      </c>
      <c r="J167" s="324">
        <v>7.3211102622867327E-2</v>
      </c>
      <c r="K167" s="304">
        <v>9.3546007744790702E-2</v>
      </c>
      <c r="L167" s="324">
        <v>8.0889949766646485E-2</v>
      </c>
      <c r="M167" s="304">
        <v>0.10410602722906359</v>
      </c>
      <c r="N167" s="324">
        <v>9.3843710103619249E-2</v>
      </c>
      <c r="O167" s="305">
        <v>9.0973726339579994E-2</v>
      </c>
      <c r="P167" s="324">
        <v>7.9079950486458966E-2</v>
      </c>
      <c r="Q167" s="304">
        <v>8.5377301403799233E-2</v>
      </c>
      <c r="R167" s="324">
        <v>7.5749343881940628E-2</v>
      </c>
      <c r="S167" s="304">
        <v>0.15636458878994239</v>
      </c>
      <c r="T167" s="472">
        <v>0.15636458878994239</v>
      </c>
      <c r="U167" s="304">
        <v>7.5493015612161055E-2</v>
      </c>
      <c r="V167" s="324">
        <v>7.5493015612161055E-2</v>
      </c>
      <c r="W167" s="304">
        <v>7.1524764327397877E-2</v>
      </c>
      <c r="X167" s="324">
        <v>7.1524764327397877E-2</v>
      </c>
      <c r="Y167" s="304">
        <v>9.3546007744790702E-2</v>
      </c>
      <c r="Z167" s="324">
        <v>8.0889949766646485E-2</v>
      </c>
      <c r="AA167" s="304">
        <v>8.9346287264953986E-2</v>
      </c>
      <c r="AB167" s="324">
        <v>8.1493308410244422E-2</v>
      </c>
      <c r="AC167" s="305">
        <v>9.0973726339579994E-2</v>
      </c>
      <c r="AD167" s="324">
        <v>7.9079950486458966E-2</v>
      </c>
      <c r="AE167" s="304">
        <v>8.5377301403799233E-2</v>
      </c>
      <c r="AF167" s="324">
        <v>7.5749343881940628E-2</v>
      </c>
      <c r="AG167" s="304">
        <v>0.109104589917231</v>
      </c>
      <c r="AH167" s="472">
        <v>0.15636458878994239</v>
      </c>
      <c r="AI167" s="350">
        <v>0.5</v>
      </c>
      <c r="AJ167" s="350">
        <v>0.5</v>
      </c>
    </row>
    <row r="168" spans="2:36" x14ac:dyDescent="0.2">
      <c r="B168" s="276">
        <v>34</v>
      </c>
      <c r="C168" s="320">
        <f t="shared" si="6"/>
        <v>35</v>
      </c>
      <c r="D168" s="315">
        <f t="shared" si="7"/>
        <v>33</v>
      </c>
      <c r="E168" s="1389">
        <v>5.0561333919489138E-4</v>
      </c>
      <c r="F168" s="1390">
        <v>2.6217911170449561E-4</v>
      </c>
      <c r="G168" s="304">
        <v>8.7432849710249144E-2</v>
      </c>
      <c r="H168" s="324">
        <v>8.7432849710249144E-2</v>
      </c>
      <c r="I168" s="304">
        <v>6.9891158126452246E-2</v>
      </c>
      <c r="J168" s="324">
        <v>6.9891158126452246E-2</v>
      </c>
      <c r="K168" s="304">
        <v>8.8636655830440614E-2</v>
      </c>
      <c r="L168" s="324">
        <v>7.6444841447074585E-2</v>
      </c>
      <c r="M168" s="304">
        <v>0.1021512423898162</v>
      </c>
      <c r="N168" s="324">
        <v>9.160065289986373E-2</v>
      </c>
      <c r="O168" s="305">
        <v>8.8751793309411978E-2</v>
      </c>
      <c r="P168" s="324">
        <v>7.6009659181283162E-2</v>
      </c>
      <c r="Q168" s="304">
        <v>8.209246920442112E-2</v>
      </c>
      <c r="R168" s="324">
        <v>7.3120580662619977E-2</v>
      </c>
      <c r="S168" s="304">
        <v>0.13730964467005077</v>
      </c>
      <c r="T168" s="472">
        <v>0.13730964467005077</v>
      </c>
      <c r="U168" s="304">
        <v>6.9428350714561604E-2</v>
      </c>
      <c r="V168" s="324">
        <v>6.9428350714561604E-2</v>
      </c>
      <c r="W168" s="304">
        <v>6.6768250450200864E-2</v>
      </c>
      <c r="X168" s="324">
        <v>6.6768250450200864E-2</v>
      </c>
      <c r="Y168" s="304">
        <v>8.8636655830440614E-2</v>
      </c>
      <c r="Z168" s="324">
        <v>7.6444841447074585E-2</v>
      </c>
      <c r="AA168" s="304">
        <v>8.6231058373606798E-2</v>
      </c>
      <c r="AB168" s="324">
        <v>7.8223400729201198E-2</v>
      </c>
      <c r="AC168" s="305">
        <v>8.8751793309411978E-2</v>
      </c>
      <c r="AD168" s="324">
        <v>7.6009659181283162E-2</v>
      </c>
      <c r="AE168" s="304">
        <v>8.209246920442112E-2</v>
      </c>
      <c r="AF168" s="324">
        <v>7.3120580662619977E-2</v>
      </c>
      <c r="AG168" s="304">
        <v>0.1066571224051539</v>
      </c>
      <c r="AH168" s="472">
        <v>0.13730964467005077</v>
      </c>
      <c r="AI168" s="350">
        <v>0.5</v>
      </c>
      <c r="AJ168" s="350">
        <v>0.5</v>
      </c>
    </row>
    <row r="169" spans="2:36" ht="13.5" thickBot="1" x14ac:dyDescent="0.25">
      <c r="B169" s="313">
        <v>35</v>
      </c>
      <c r="C169" s="321">
        <f t="shared" si="6"/>
        <v>36</v>
      </c>
      <c r="D169" s="316">
        <f t="shared" si="7"/>
        <v>34</v>
      </c>
      <c r="E169" s="1391">
        <v>5.2969398608905408E-4</v>
      </c>
      <c r="F169" s="1392">
        <v>2.827672517235815E-4</v>
      </c>
      <c r="G169" s="310">
        <v>9.4854539807433483E-2</v>
      </c>
      <c r="H169" s="325">
        <v>9.4854539807433483E-2</v>
      </c>
      <c r="I169" s="310">
        <v>7.9438976957982202E-2</v>
      </c>
      <c r="J169" s="325">
        <v>7.9438976957982202E-2</v>
      </c>
      <c r="K169" s="310">
        <v>0.11366061899679829</v>
      </c>
      <c r="L169" s="325">
        <v>9.4364824374571318E-2</v>
      </c>
      <c r="M169" s="310">
        <v>0.12453175910807036</v>
      </c>
      <c r="N169" s="325">
        <v>0.10379735308402137</v>
      </c>
      <c r="O169" s="311">
        <v>9.8052179871191247E-2</v>
      </c>
      <c r="P169" s="325">
        <v>8.2247228924774818E-2</v>
      </c>
      <c r="Q169" s="310">
        <v>7.8894710821828501E-2</v>
      </c>
      <c r="R169" s="325">
        <v>7.0560089654402275E-2</v>
      </c>
      <c r="S169" s="310">
        <v>0.16445942692029858</v>
      </c>
      <c r="T169" s="473">
        <v>0.16445942692029858</v>
      </c>
      <c r="U169" s="310">
        <v>6.7387042356266816E-2</v>
      </c>
      <c r="V169" s="325">
        <v>6.7387042356266816E-2</v>
      </c>
      <c r="W169" s="310">
        <v>6.2926264316046837E-2</v>
      </c>
      <c r="X169" s="325">
        <v>6.2926264316046837E-2</v>
      </c>
      <c r="Y169" s="310">
        <v>0.11366061899679829</v>
      </c>
      <c r="Z169" s="325">
        <v>9.4364824374571318E-2</v>
      </c>
      <c r="AA169" s="310">
        <v>8.6316610835317706E-2</v>
      </c>
      <c r="AB169" s="325">
        <v>7.5349179122764023E-2</v>
      </c>
      <c r="AC169" s="311">
        <v>9.8052179871191247E-2</v>
      </c>
      <c r="AD169" s="325">
        <v>8.2247228924774818E-2</v>
      </c>
      <c r="AE169" s="310">
        <v>7.8894710821828501E-2</v>
      </c>
      <c r="AF169" s="325">
        <v>7.0560089654402275E-2</v>
      </c>
      <c r="AG169" s="310">
        <v>0.10249494268374916</v>
      </c>
      <c r="AH169" s="473">
        <v>0.16445942692029858</v>
      </c>
      <c r="AI169" s="351">
        <v>0.5</v>
      </c>
      <c r="AJ169" s="351">
        <v>0.5</v>
      </c>
    </row>
    <row r="170" spans="2:36" ht="13.5" thickTop="1" x14ac:dyDescent="0.2">
      <c r="B170" s="276">
        <v>36</v>
      </c>
      <c r="C170" s="320">
        <f t="shared" si="6"/>
        <v>37</v>
      </c>
      <c r="D170" s="315">
        <f t="shared" si="7"/>
        <v>35</v>
      </c>
      <c r="E170" s="1389">
        <v>5.5825011704902113E-4</v>
      </c>
      <c r="F170" s="1390">
        <v>3.058378576225331E-4</v>
      </c>
      <c r="G170" s="304">
        <v>7.7624186572895187E-2</v>
      </c>
      <c r="H170" s="324">
        <v>7.7624186572895187E-2</v>
      </c>
      <c r="I170" s="304">
        <v>6.7991271390834954E-2</v>
      </c>
      <c r="J170" s="324">
        <v>6.7991271390834954E-2</v>
      </c>
      <c r="K170" s="304">
        <v>7.8829168868423033E-2</v>
      </c>
      <c r="L170" s="324">
        <v>6.6746943312337909E-2</v>
      </c>
      <c r="M170" s="304">
        <v>8.6261254433564735E-2</v>
      </c>
      <c r="N170" s="324">
        <v>7.7172667789234123E-2</v>
      </c>
      <c r="O170" s="305">
        <v>7.7519367305044967E-2</v>
      </c>
      <c r="P170" s="324">
        <v>6.6366238549286152E-2</v>
      </c>
      <c r="Q170" s="304">
        <v>7.578402625602132E-2</v>
      </c>
      <c r="R170" s="324">
        <v>6.8067870857287466E-2</v>
      </c>
      <c r="S170" s="304">
        <v>0.1361671469740634</v>
      </c>
      <c r="T170" s="472">
        <v>0.1361671469740634</v>
      </c>
      <c r="U170" s="304">
        <v>6.4793028322440091E-2</v>
      </c>
      <c r="V170" s="324">
        <v>6.4793028322440091E-2</v>
      </c>
      <c r="W170" s="304">
        <v>6.2852344968213986E-2</v>
      </c>
      <c r="X170" s="324">
        <v>6.2852344968213986E-2</v>
      </c>
      <c r="Y170" s="304">
        <v>7.8829168868423033E-2</v>
      </c>
      <c r="Z170" s="324">
        <v>6.6746943312337909E-2</v>
      </c>
      <c r="AA170" s="304">
        <v>8.4116122485361267E-2</v>
      </c>
      <c r="AB170" s="324">
        <v>7.2749605683737423E-2</v>
      </c>
      <c r="AC170" s="305">
        <v>7.7519367305044967E-2</v>
      </c>
      <c r="AD170" s="324">
        <v>6.6366238549286152E-2</v>
      </c>
      <c r="AE170" s="304">
        <v>7.578402625602132E-2</v>
      </c>
      <c r="AF170" s="324">
        <v>6.8067870857287466E-2</v>
      </c>
      <c r="AG170" s="304">
        <v>9.1439688715953302E-2</v>
      </c>
      <c r="AH170" s="472">
        <v>0.1361671469740634</v>
      </c>
      <c r="AI170" s="350">
        <v>0.5</v>
      </c>
      <c r="AJ170" s="350">
        <v>0.5</v>
      </c>
    </row>
    <row r="171" spans="2:36" x14ac:dyDescent="0.2">
      <c r="B171" s="276">
        <v>37</v>
      </c>
      <c r="C171" s="320">
        <f t="shared" si="6"/>
        <v>38</v>
      </c>
      <c r="D171" s="315">
        <f t="shared" si="7"/>
        <v>36</v>
      </c>
      <c r="E171" s="1389">
        <v>5.9172313575315844E-4</v>
      </c>
      <c r="F171" s="1390">
        <v>3.3174421108228558E-4</v>
      </c>
      <c r="G171" s="304">
        <v>7.554211187932118E-2</v>
      </c>
      <c r="H171" s="324">
        <v>7.554211187932118E-2</v>
      </c>
      <c r="I171" s="304">
        <v>6.508444145205633E-2</v>
      </c>
      <c r="J171" s="324">
        <v>6.508444145205633E-2</v>
      </c>
      <c r="K171" s="304">
        <v>8.0385110594384759E-2</v>
      </c>
      <c r="L171" s="324">
        <v>6.9408106775869255E-2</v>
      </c>
      <c r="M171" s="304">
        <v>9.3094827389682139E-2</v>
      </c>
      <c r="N171" s="324">
        <v>7.9723306411098663E-2</v>
      </c>
      <c r="O171" s="305">
        <v>7.8189755387729556E-2</v>
      </c>
      <c r="P171" s="324">
        <v>6.6262262174260234E-2</v>
      </c>
      <c r="Q171" s="304">
        <v>7.2760415506999687E-2</v>
      </c>
      <c r="R171" s="324">
        <v>6.5643924271275522E-2</v>
      </c>
      <c r="S171" s="304">
        <v>0.13328822733423545</v>
      </c>
      <c r="T171" s="472">
        <v>0.13328822733423545</v>
      </c>
      <c r="U171" s="304">
        <v>6.1977948546608756E-2</v>
      </c>
      <c r="V171" s="324">
        <v>6.1977948546608756E-2</v>
      </c>
      <c r="W171" s="304">
        <v>6.0283286118980171E-2</v>
      </c>
      <c r="X171" s="324">
        <v>6.0283286118980171E-2</v>
      </c>
      <c r="Y171" s="304">
        <v>8.0385110594384759E-2</v>
      </c>
      <c r="Z171" s="324">
        <v>6.9408106775869255E-2</v>
      </c>
      <c r="AA171" s="304">
        <v>7.79904374104394E-2</v>
      </c>
      <c r="AB171" s="324">
        <v>6.9113847308630572E-2</v>
      </c>
      <c r="AC171" s="305">
        <v>7.8189755387729556E-2</v>
      </c>
      <c r="AD171" s="324">
        <v>6.6262262174260234E-2</v>
      </c>
      <c r="AE171" s="304">
        <v>7.2760415506999687E-2</v>
      </c>
      <c r="AF171" s="324">
        <v>6.5643924271275522E-2</v>
      </c>
      <c r="AG171" s="304">
        <v>7.7553593947036564E-2</v>
      </c>
      <c r="AH171" s="472">
        <v>0.13328822733423545</v>
      </c>
      <c r="AI171" s="350">
        <v>0.5</v>
      </c>
      <c r="AJ171" s="350">
        <v>0.5</v>
      </c>
    </row>
    <row r="172" spans="2:36" x14ac:dyDescent="0.2">
      <c r="B172" s="276">
        <v>38</v>
      </c>
      <c r="C172" s="320">
        <f t="shared" si="6"/>
        <v>39</v>
      </c>
      <c r="D172" s="315">
        <f t="shared" si="7"/>
        <v>37</v>
      </c>
      <c r="E172" s="1389">
        <v>6.306631040326647E-4</v>
      </c>
      <c r="F172" s="1390">
        <v>3.6090575285076753E-4</v>
      </c>
      <c r="G172" s="304">
        <v>7.2683038090169544E-2</v>
      </c>
      <c r="H172" s="324">
        <v>7.2683038090169544E-2</v>
      </c>
      <c r="I172" s="304">
        <v>5.997585601404741E-2</v>
      </c>
      <c r="J172" s="324">
        <v>5.997585601404741E-2</v>
      </c>
      <c r="K172" s="304">
        <v>8.1935699013319208E-2</v>
      </c>
      <c r="L172" s="324">
        <v>7.1162364143690607E-2</v>
      </c>
      <c r="M172" s="304">
        <v>9.0817162949968208E-2</v>
      </c>
      <c r="N172" s="324">
        <v>8.0245951464330806E-2</v>
      </c>
      <c r="O172" s="305">
        <v>7.7166657670786773E-2</v>
      </c>
      <c r="P172" s="324">
        <v>6.4469001355027505E-2</v>
      </c>
      <c r="Q172" s="304">
        <v>6.982387857476352E-2</v>
      </c>
      <c r="R172" s="324">
        <v>6.3288249896366527E-2</v>
      </c>
      <c r="S172" s="304">
        <v>0.13881019830028329</v>
      </c>
      <c r="T172" s="472">
        <v>0.13881019830028329</v>
      </c>
      <c r="U172" s="304">
        <v>5.9255985858910495E-2</v>
      </c>
      <c r="V172" s="324">
        <v>5.9255985858910495E-2</v>
      </c>
      <c r="W172" s="304">
        <v>5.7206302210003175E-2</v>
      </c>
      <c r="X172" s="324">
        <v>5.7206302210003175E-2</v>
      </c>
      <c r="Y172" s="304">
        <v>8.1935699013319208E-2</v>
      </c>
      <c r="Z172" s="324">
        <v>7.1162364143690607E-2</v>
      </c>
      <c r="AA172" s="304">
        <v>7.8227740103852542E-2</v>
      </c>
      <c r="AB172" s="324">
        <v>6.6901355703692614E-2</v>
      </c>
      <c r="AC172" s="305">
        <v>7.7166657670786773E-2</v>
      </c>
      <c r="AD172" s="324">
        <v>6.4469001355027505E-2</v>
      </c>
      <c r="AE172" s="304">
        <v>6.982387857476352E-2</v>
      </c>
      <c r="AF172" s="324">
        <v>6.3288249896366527E-2</v>
      </c>
      <c r="AG172" s="304">
        <v>0.10064365125804564</v>
      </c>
      <c r="AH172" s="472">
        <v>0.13881019830028329</v>
      </c>
      <c r="AI172" s="350">
        <v>0.5</v>
      </c>
      <c r="AJ172" s="350">
        <v>0.5</v>
      </c>
    </row>
    <row r="173" spans="2:36" x14ac:dyDescent="0.2">
      <c r="B173" s="276">
        <v>39</v>
      </c>
      <c r="C173" s="320">
        <f t="shared" si="6"/>
        <v>40</v>
      </c>
      <c r="D173" s="315">
        <f t="shared" si="7"/>
        <v>38</v>
      </c>
      <c r="E173" s="1389">
        <v>6.7573105150643838E-4</v>
      </c>
      <c r="F173" s="1390">
        <v>3.9378845524625644E-4</v>
      </c>
      <c r="G173" s="304">
        <v>6.7702980472764643E-2</v>
      </c>
      <c r="H173" s="324">
        <v>6.7702980472764643E-2</v>
      </c>
      <c r="I173" s="304">
        <v>5.8842426513894097E-2</v>
      </c>
      <c r="J173" s="324">
        <v>5.8842426513894097E-2</v>
      </c>
      <c r="K173" s="304">
        <v>7.8231156582207653E-2</v>
      </c>
      <c r="L173" s="324">
        <v>6.9544026423910416E-2</v>
      </c>
      <c r="M173" s="304">
        <v>8.9207065477754255E-2</v>
      </c>
      <c r="N173" s="324">
        <v>7.6107982801694771E-2</v>
      </c>
      <c r="O173" s="305">
        <v>7.388607066419875E-2</v>
      </c>
      <c r="P173" s="324">
        <v>6.1938372151205741E-2</v>
      </c>
      <c r="Q173" s="304">
        <v>6.6974415459312875E-2</v>
      </c>
      <c r="R173" s="324">
        <v>6.1000847732560398E-2</v>
      </c>
      <c r="S173" s="304">
        <v>0.12731048805815162</v>
      </c>
      <c r="T173" s="472">
        <v>0.12731048805815162</v>
      </c>
      <c r="U173" s="304">
        <v>5.6810324959668125E-2</v>
      </c>
      <c r="V173" s="324">
        <v>5.6810324959668125E-2</v>
      </c>
      <c r="W173" s="304">
        <v>5.5687909469922574E-2</v>
      </c>
      <c r="X173" s="324">
        <v>5.5687909469922574E-2</v>
      </c>
      <c r="Y173" s="304">
        <v>7.8231156582207653E-2</v>
      </c>
      <c r="Z173" s="324">
        <v>6.9544026423910416E-2</v>
      </c>
      <c r="AA173" s="304">
        <v>7.5856057014391243E-2</v>
      </c>
      <c r="AB173" s="324">
        <v>6.326739427012279E-2</v>
      </c>
      <c r="AC173" s="305">
        <v>7.388607066419875E-2</v>
      </c>
      <c r="AD173" s="324">
        <v>6.1938372151205741E-2</v>
      </c>
      <c r="AE173" s="304">
        <v>6.6974415459312875E-2</v>
      </c>
      <c r="AF173" s="324">
        <v>6.1000847732560398E-2</v>
      </c>
      <c r="AG173" s="304">
        <v>7.2512647554806076E-2</v>
      </c>
      <c r="AH173" s="472">
        <v>0.12731048805815162</v>
      </c>
      <c r="AI173" s="350">
        <v>0.5</v>
      </c>
      <c r="AJ173" s="350">
        <v>0.5</v>
      </c>
    </row>
    <row r="174" spans="2:36" ht="13.5" thickBot="1" x14ac:dyDescent="0.25">
      <c r="B174" s="313">
        <v>40</v>
      </c>
      <c r="C174" s="321">
        <f t="shared" si="6"/>
        <v>41</v>
      </c>
      <c r="D174" s="316">
        <f t="shared" si="7"/>
        <v>39</v>
      </c>
      <c r="E174" s="1391">
        <v>7.2770352457819957E-4</v>
      </c>
      <c r="F174" s="1392">
        <v>4.3088417667485463E-4</v>
      </c>
      <c r="G174" s="310">
        <v>7.7455662269878753E-2</v>
      </c>
      <c r="H174" s="325">
        <v>7.7455662269878753E-2</v>
      </c>
      <c r="I174" s="310">
        <v>6.5599580162686966E-2</v>
      </c>
      <c r="J174" s="325">
        <v>6.5599580162686966E-2</v>
      </c>
      <c r="K174" s="310">
        <v>0.10050025523226136</v>
      </c>
      <c r="L174" s="325">
        <v>8.6794329768714248E-2</v>
      </c>
      <c r="M174" s="310">
        <v>0.11217533733718119</v>
      </c>
      <c r="N174" s="325">
        <v>9.5370355799644355E-2</v>
      </c>
      <c r="O174" s="311">
        <v>8.2878473252249577E-2</v>
      </c>
      <c r="P174" s="325">
        <v>6.7745721256992575E-2</v>
      </c>
      <c r="Q174" s="310">
        <v>6.4212026160647695E-2</v>
      </c>
      <c r="R174" s="325">
        <v>5.8781717779857218E-2</v>
      </c>
      <c r="S174" s="310">
        <v>0.13870592793490896</v>
      </c>
      <c r="T174" s="473">
        <v>0.13870592793490896</v>
      </c>
      <c r="U174" s="310">
        <v>5.6850939609560301E-2</v>
      </c>
      <c r="V174" s="325">
        <v>5.6850939609560301E-2</v>
      </c>
      <c r="W174" s="310">
        <v>5.6003752345215763E-2</v>
      </c>
      <c r="X174" s="325">
        <v>5.6003752345215763E-2</v>
      </c>
      <c r="Y174" s="310">
        <v>0.10050025523226136</v>
      </c>
      <c r="Z174" s="325">
        <v>8.6794329768714248E-2</v>
      </c>
      <c r="AA174" s="310">
        <v>7.9235318301128996E-2</v>
      </c>
      <c r="AB174" s="325">
        <v>6.3581495393110532E-2</v>
      </c>
      <c r="AC174" s="311">
        <v>8.2878473252249577E-2</v>
      </c>
      <c r="AD174" s="325">
        <v>6.7745721256992575E-2</v>
      </c>
      <c r="AE174" s="310">
        <v>6.4212026160647695E-2</v>
      </c>
      <c r="AF174" s="325">
        <v>5.8781717779857218E-2</v>
      </c>
      <c r="AG174" s="310">
        <v>0.10421052631578948</v>
      </c>
      <c r="AH174" s="473">
        <v>0.13870592793490896</v>
      </c>
      <c r="AI174" s="351">
        <v>0.5</v>
      </c>
      <c r="AJ174" s="351">
        <v>0.5</v>
      </c>
    </row>
    <row r="175" spans="2:36" ht="13.5" thickTop="1" x14ac:dyDescent="0.2">
      <c r="B175" s="276">
        <v>41</v>
      </c>
      <c r="C175" s="320">
        <f t="shared" si="6"/>
        <v>42</v>
      </c>
      <c r="D175" s="315">
        <f t="shared" si="7"/>
        <v>40</v>
      </c>
      <c r="E175" s="1389">
        <v>7.8747922569185496E-4</v>
      </c>
      <c r="F175" s="1390">
        <v>4.7268996267245942E-4</v>
      </c>
      <c r="G175" s="304">
        <v>6.0488837233507384E-2</v>
      </c>
      <c r="H175" s="324">
        <v>6.0488837233507384E-2</v>
      </c>
      <c r="I175" s="304">
        <v>4.9638850468725987E-2</v>
      </c>
      <c r="J175" s="324">
        <v>4.9638850468725987E-2</v>
      </c>
      <c r="K175" s="304">
        <v>6.9241967130108231E-2</v>
      </c>
      <c r="L175" s="324">
        <v>5.8442255274397441E-2</v>
      </c>
      <c r="M175" s="304">
        <v>7.5172496310772538E-2</v>
      </c>
      <c r="N175" s="324">
        <v>6.2863720662531181E-2</v>
      </c>
      <c r="O175" s="305">
        <v>6.5638114291203101E-2</v>
      </c>
      <c r="P175" s="324">
        <v>5.43353758542812E-2</v>
      </c>
      <c r="Q175" s="304">
        <v>6.1536710678767981E-2</v>
      </c>
      <c r="R175" s="324">
        <v>5.6630860038256903E-2</v>
      </c>
      <c r="S175" s="304">
        <v>0.12026850643296662</v>
      </c>
      <c r="T175" s="472">
        <v>0.12026850643296662</v>
      </c>
      <c r="U175" s="304">
        <v>5.2216235007822007E-2</v>
      </c>
      <c r="V175" s="324">
        <v>5.2216235007822007E-2</v>
      </c>
      <c r="W175" s="304">
        <v>5.1354701611475116E-2</v>
      </c>
      <c r="X175" s="324">
        <v>5.1354701611475116E-2</v>
      </c>
      <c r="Y175" s="304">
        <v>6.9241967130108231E-2</v>
      </c>
      <c r="Z175" s="324">
        <v>5.8442255274397441E-2</v>
      </c>
      <c r="AA175" s="304">
        <v>6.978642805825877E-2</v>
      </c>
      <c r="AB175" s="324">
        <v>5.7077512874936245E-2</v>
      </c>
      <c r="AC175" s="305">
        <v>6.5638114291203101E-2</v>
      </c>
      <c r="AD175" s="324">
        <v>5.43353758542812E-2</v>
      </c>
      <c r="AE175" s="304">
        <v>6.1536710678767981E-2</v>
      </c>
      <c r="AF175" s="324">
        <v>5.6630860038256903E-2</v>
      </c>
      <c r="AG175" s="304">
        <v>7.4589756340129293E-2</v>
      </c>
      <c r="AH175" s="472">
        <v>0.12026850643296662</v>
      </c>
      <c r="AI175" s="350">
        <v>0.5</v>
      </c>
      <c r="AJ175" s="350">
        <v>0.5</v>
      </c>
    </row>
    <row r="176" spans="2:36" x14ac:dyDescent="0.2">
      <c r="B176" s="276">
        <v>42</v>
      </c>
      <c r="C176" s="320">
        <f t="shared" si="6"/>
        <v>43</v>
      </c>
      <c r="D176" s="315">
        <f t="shared" si="7"/>
        <v>41</v>
      </c>
      <c r="E176" s="1389">
        <v>8.5608795888647636E-4</v>
      </c>
      <c r="F176" s="1390">
        <v>5.1968990954174459E-4</v>
      </c>
      <c r="G176" s="304">
        <v>6.1059985222005779E-2</v>
      </c>
      <c r="H176" s="324">
        <v>6.1059985222005779E-2</v>
      </c>
      <c r="I176" s="304">
        <v>5.2773478456238455E-2</v>
      </c>
      <c r="J176" s="324">
        <v>5.2773478456238455E-2</v>
      </c>
      <c r="K176" s="304">
        <v>7.1814371516225203E-2</v>
      </c>
      <c r="L176" s="324">
        <v>6.3485385296722763E-2</v>
      </c>
      <c r="M176" s="304">
        <v>7.933485251701114E-2</v>
      </c>
      <c r="N176" s="324">
        <v>6.8091989927644786E-2</v>
      </c>
      <c r="O176" s="305">
        <v>6.5415327965904921E-2</v>
      </c>
      <c r="P176" s="324">
        <v>5.3974774374691399E-2</v>
      </c>
      <c r="Q176" s="304">
        <v>5.8948469013673788E-2</v>
      </c>
      <c r="R176" s="324">
        <v>5.4548274507759481E-2</v>
      </c>
      <c r="S176" s="304">
        <v>0.11981728742094168</v>
      </c>
      <c r="T176" s="472">
        <v>0.11981728742094168</v>
      </c>
      <c r="U176" s="304">
        <v>4.8330201430784953E-2</v>
      </c>
      <c r="V176" s="324">
        <v>4.8330201430784953E-2</v>
      </c>
      <c r="W176" s="304">
        <v>4.6871083632717851E-2</v>
      </c>
      <c r="X176" s="324">
        <v>4.6871083632717851E-2</v>
      </c>
      <c r="Y176" s="304">
        <v>7.1814371516225203E-2</v>
      </c>
      <c r="Z176" s="324">
        <v>6.3485385296722763E-2</v>
      </c>
      <c r="AA176" s="304">
        <v>6.9560107454667564E-2</v>
      </c>
      <c r="AB176" s="324">
        <v>5.5642725784953856E-2</v>
      </c>
      <c r="AC176" s="305">
        <v>6.5415327965904921E-2</v>
      </c>
      <c r="AD176" s="324">
        <v>5.3974774374691399E-2</v>
      </c>
      <c r="AE176" s="304">
        <v>5.8948469013673788E-2</v>
      </c>
      <c r="AF176" s="324">
        <v>5.4548274507759481E-2</v>
      </c>
      <c r="AG176" s="304">
        <v>7.4741107609185051E-2</v>
      </c>
      <c r="AH176" s="472">
        <v>0.11981728742094168</v>
      </c>
      <c r="AI176" s="350">
        <v>0.5</v>
      </c>
      <c r="AJ176" s="350">
        <v>0.5</v>
      </c>
    </row>
    <row r="177" spans="2:36" x14ac:dyDescent="0.2">
      <c r="B177" s="276">
        <v>43</v>
      </c>
      <c r="C177" s="320">
        <f t="shared" si="6"/>
        <v>44</v>
      </c>
      <c r="D177" s="315">
        <f t="shared" si="7"/>
        <v>42</v>
      </c>
      <c r="E177" s="1389">
        <v>9.3470260560489992E-4</v>
      </c>
      <c r="F177" s="1390">
        <v>5.7234503658111198E-4</v>
      </c>
      <c r="G177" s="304">
        <v>5.6986525112290728E-2</v>
      </c>
      <c r="H177" s="324">
        <v>5.6986525112290728E-2</v>
      </c>
      <c r="I177" s="304">
        <v>4.9488137402357961E-2</v>
      </c>
      <c r="J177" s="324">
        <v>4.9488137402357961E-2</v>
      </c>
      <c r="K177" s="304">
        <v>7.2783063643789045E-2</v>
      </c>
      <c r="L177" s="324">
        <v>6.4775767469278558E-2</v>
      </c>
      <c r="M177" s="304">
        <v>7.9647994638540276E-2</v>
      </c>
      <c r="N177" s="324">
        <v>6.9026774262931065E-2</v>
      </c>
      <c r="O177" s="305">
        <v>6.3479202638487081E-2</v>
      </c>
      <c r="P177" s="324">
        <v>5.3118066292201331E-2</v>
      </c>
      <c r="Q177" s="304">
        <v>5.6447301165365088E-2</v>
      </c>
      <c r="R177" s="324">
        <v>5.253396118836498E-2</v>
      </c>
      <c r="S177" s="304">
        <v>0.11545409755296436</v>
      </c>
      <c r="T177" s="472">
        <v>0.11545409755296436</v>
      </c>
      <c r="U177" s="304">
        <v>4.6167247386759584E-2</v>
      </c>
      <c r="V177" s="324">
        <v>4.6167247386759584E-2</v>
      </c>
      <c r="W177" s="304">
        <v>4.6762589928057555E-2</v>
      </c>
      <c r="X177" s="324">
        <v>4.6762589928057555E-2</v>
      </c>
      <c r="Y177" s="304">
        <v>7.2783063643789045E-2</v>
      </c>
      <c r="Z177" s="324">
        <v>6.4775767469278558E-2</v>
      </c>
      <c r="AA177" s="304">
        <v>6.6166086866668958E-2</v>
      </c>
      <c r="AB177" s="324">
        <v>5.390114694234429E-2</v>
      </c>
      <c r="AC177" s="305">
        <v>6.3479202638487081E-2</v>
      </c>
      <c r="AD177" s="324">
        <v>5.3118066292201331E-2</v>
      </c>
      <c r="AE177" s="304">
        <v>5.6447301165365088E-2</v>
      </c>
      <c r="AF177" s="324">
        <v>5.253396118836498E-2</v>
      </c>
      <c r="AG177" s="304">
        <v>8.3228774571309075E-2</v>
      </c>
      <c r="AH177" s="472">
        <v>0.11545409755296436</v>
      </c>
      <c r="AI177" s="350">
        <v>0.5</v>
      </c>
      <c r="AJ177" s="350">
        <v>0.5</v>
      </c>
    </row>
    <row r="178" spans="2:36" x14ac:dyDescent="0.2">
      <c r="B178" s="276">
        <v>44</v>
      </c>
      <c r="C178" s="320">
        <f t="shared" si="6"/>
        <v>45</v>
      </c>
      <c r="D178" s="315">
        <f t="shared" si="7"/>
        <v>43</v>
      </c>
      <c r="E178" s="1389">
        <v>1.0246406334657697E-3</v>
      </c>
      <c r="F178" s="1390">
        <v>6.3111248515072479E-4</v>
      </c>
      <c r="G178" s="304">
        <v>5.4229005695790825E-2</v>
      </c>
      <c r="H178" s="324">
        <v>5.4229005695790825E-2</v>
      </c>
      <c r="I178" s="304">
        <v>5.2227988965259271E-2</v>
      </c>
      <c r="J178" s="324">
        <v>5.2227988965259271E-2</v>
      </c>
      <c r="K178" s="304">
        <v>7.2717467023212967E-2</v>
      </c>
      <c r="L178" s="324">
        <v>6.0718654081373613E-2</v>
      </c>
      <c r="M178" s="304">
        <v>7.838636925112169E-2</v>
      </c>
      <c r="N178" s="324">
        <v>6.6382295936199279E-2</v>
      </c>
      <c r="O178" s="305">
        <v>6.1818316383253608E-2</v>
      </c>
      <c r="P178" s="324">
        <v>5.125240465097803E-2</v>
      </c>
      <c r="Q178" s="304">
        <v>5.4033207133841882E-2</v>
      </c>
      <c r="R178" s="324">
        <v>5.0587920080073373E-2</v>
      </c>
      <c r="S178" s="304">
        <v>0.11081242532855436</v>
      </c>
      <c r="T178" s="472">
        <v>0.11081242532855436</v>
      </c>
      <c r="U178" s="304">
        <v>4.2357383045248068E-2</v>
      </c>
      <c r="V178" s="324">
        <v>4.2357383045248068E-2</v>
      </c>
      <c r="W178" s="304">
        <v>4.0620919773683449E-2</v>
      </c>
      <c r="X178" s="324">
        <v>4.0620919773683449E-2</v>
      </c>
      <c r="Y178" s="304">
        <v>7.2717467023212967E-2</v>
      </c>
      <c r="Z178" s="324">
        <v>6.0718654081373613E-2</v>
      </c>
      <c r="AA178" s="304">
        <v>6.7484877093604678E-2</v>
      </c>
      <c r="AB178" s="324">
        <v>5.2064787125546665E-2</v>
      </c>
      <c r="AC178" s="305">
        <v>6.1818316383253608E-2</v>
      </c>
      <c r="AD178" s="324">
        <v>5.125240465097803E-2</v>
      </c>
      <c r="AE178" s="304">
        <v>5.4033207133841882E-2</v>
      </c>
      <c r="AF178" s="324">
        <v>5.0587920080073373E-2</v>
      </c>
      <c r="AG178" s="304">
        <v>7.2904483430799222E-2</v>
      </c>
      <c r="AH178" s="472">
        <v>0.11081242532855436</v>
      </c>
      <c r="AI178" s="350">
        <v>0.5</v>
      </c>
      <c r="AJ178" s="350">
        <v>0.5</v>
      </c>
    </row>
    <row r="179" spans="2:36" ht="13.5" thickBot="1" x14ac:dyDescent="0.25">
      <c r="B179" s="313">
        <v>45</v>
      </c>
      <c r="C179" s="321">
        <f t="shared" si="6"/>
        <v>46</v>
      </c>
      <c r="D179" s="316">
        <f t="shared" si="7"/>
        <v>44</v>
      </c>
      <c r="E179" s="1391">
        <v>1.127317450631579E-3</v>
      </c>
      <c r="F179" s="1392">
        <v>6.9653659026890969E-4</v>
      </c>
      <c r="G179" s="310">
        <v>6.2804075762675562E-2</v>
      </c>
      <c r="H179" s="325">
        <v>6.2804075762675562E-2</v>
      </c>
      <c r="I179" s="310">
        <v>5.5050847457627117E-2</v>
      </c>
      <c r="J179" s="325">
        <v>5.5050847457627117E-2</v>
      </c>
      <c r="K179" s="310">
        <v>9.3116115636479799E-2</v>
      </c>
      <c r="L179" s="325">
        <v>8.0110174832520253E-2</v>
      </c>
      <c r="M179" s="310">
        <v>9.3157283899585053E-2</v>
      </c>
      <c r="N179" s="325">
        <v>8.1912097798893524E-2</v>
      </c>
      <c r="O179" s="311">
        <v>6.8234232585726584E-2</v>
      </c>
      <c r="P179" s="325">
        <v>5.6395529058202588E-2</v>
      </c>
      <c r="Q179" s="310">
        <v>5.1706186919104169E-2</v>
      </c>
      <c r="R179" s="325">
        <v>4.8710151182884714E-2</v>
      </c>
      <c r="S179" s="310">
        <v>0.12467353951890034</v>
      </c>
      <c r="T179" s="473">
        <v>0.12467353951890034</v>
      </c>
      <c r="U179" s="310">
        <v>4.6339639365149711E-2</v>
      </c>
      <c r="V179" s="325">
        <v>4.6339639365149711E-2</v>
      </c>
      <c r="W179" s="310">
        <v>4.3848559451726665E-2</v>
      </c>
      <c r="X179" s="325">
        <v>4.3848559451726665E-2</v>
      </c>
      <c r="Y179" s="310">
        <v>9.3116115636479799E-2</v>
      </c>
      <c r="Z179" s="325">
        <v>8.0110174832520253E-2</v>
      </c>
      <c r="AA179" s="310">
        <v>6.5629062291395854E-2</v>
      </c>
      <c r="AB179" s="325">
        <v>5.2165337301244008E-2</v>
      </c>
      <c r="AC179" s="311">
        <v>6.8234232585726584E-2</v>
      </c>
      <c r="AD179" s="325">
        <v>5.6395529058202588E-2</v>
      </c>
      <c r="AE179" s="310">
        <v>5.1706186919104169E-2</v>
      </c>
      <c r="AF179" s="325">
        <v>4.8710151182884714E-2</v>
      </c>
      <c r="AG179" s="310">
        <v>7.7733381765346901E-2</v>
      </c>
      <c r="AH179" s="473">
        <v>0.12467353951890034</v>
      </c>
      <c r="AI179" s="351">
        <v>0.5</v>
      </c>
      <c r="AJ179" s="351">
        <v>0.5</v>
      </c>
    </row>
    <row r="180" spans="2:36" ht="13.5" thickTop="1" x14ac:dyDescent="0.2">
      <c r="B180" s="276">
        <v>46</v>
      </c>
      <c r="C180" s="320">
        <f t="shared" si="6"/>
        <v>47</v>
      </c>
      <c r="D180" s="315">
        <f t="shared" si="7"/>
        <v>45</v>
      </c>
      <c r="E180" s="1389">
        <v>1.2442407363911648E-3</v>
      </c>
      <c r="F180" s="1390">
        <v>7.6931609150275289E-4</v>
      </c>
      <c r="G180" s="304">
        <v>4.9097569692637601E-2</v>
      </c>
      <c r="H180" s="324">
        <v>4.9097569692637601E-2</v>
      </c>
      <c r="I180" s="304">
        <v>4.6184472461844726E-2</v>
      </c>
      <c r="J180" s="324">
        <v>4.6184472461844726E-2</v>
      </c>
      <c r="K180" s="304">
        <v>6.1653788490370197E-2</v>
      </c>
      <c r="L180" s="324">
        <v>5.2978573110430895E-2</v>
      </c>
      <c r="M180" s="304">
        <v>6.7936848338387923E-2</v>
      </c>
      <c r="N180" s="324">
        <v>5.56648883619838E-2</v>
      </c>
      <c r="O180" s="305">
        <v>5.4087542505783889E-2</v>
      </c>
      <c r="P180" s="324">
        <v>4.514093578742822E-2</v>
      </c>
      <c r="Q180" s="304">
        <v>4.946624052115195E-2</v>
      </c>
      <c r="R180" s="324">
        <v>4.6900654496798894E-2</v>
      </c>
      <c r="S180" s="304">
        <v>0.10236822001527884</v>
      </c>
      <c r="T180" s="472">
        <v>0.10236822001527884</v>
      </c>
      <c r="U180" s="304">
        <v>3.9393859114631627E-2</v>
      </c>
      <c r="V180" s="324">
        <v>3.9393859114631627E-2</v>
      </c>
      <c r="W180" s="304">
        <v>4.3317452357071212E-2</v>
      </c>
      <c r="X180" s="324">
        <v>4.3317452357071212E-2</v>
      </c>
      <c r="Y180" s="304">
        <v>6.1653788490370197E-2</v>
      </c>
      <c r="Z180" s="324">
        <v>5.2978573110430895E-2</v>
      </c>
      <c r="AA180" s="304">
        <v>5.9968888189747084E-2</v>
      </c>
      <c r="AB180" s="324">
        <v>4.9092904420590555E-2</v>
      </c>
      <c r="AC180" s="305">
        <v>5.4087542505783889E-2</v>
      </c>
      <c r="AD180" s="324">
        <v>4.514093578742822E-2</v>
      </c>
      <c r="AE180" s="304">
        <v>4.946624052115195E-2</v>
      </c>
      <c r="AF180" s="324">
        <v>4.6900654496798894E-2</v>
      </c>
      <c r="AG180" s="304">
        <v>7.2285143237841437E-2</v>
      </c>
      <c r="AH180" s="472">
        <v>0.10236822001527884</v>
      </c>
      <c r="AI180" s="350">
        <v>0.5</v>
      </c>
      <c r="AJ180" s="350">
        <v>0.5</v>
      </c>
    </row>
    <row r="181" spans="2:36" x14ac:dyDescent="0.2">
      <c r="B181" s="276">
        <v>47</v>
      </c>
      <c r="C181" s="320">
        <f t="shared" si="6"/>
        <v>48</v>
      </c>
      <c r="D181" s="315">
        <f t="shared" si="7"/>
        <v>46</v>
      </c>
      <c r="E181" s="1389">
        <v>1.3770564261128171E-3</v>
      </c>
      <c r="F181" s="1390">
        <v>8.5028828962321022E-4</v>
      </c>
      <c r="G181" s="304">
        <v>4.8880099737758483E-2</v>
      </c>
      <c r="H181" s="324">
        <v>4.8880099737758483E-2</v>
      </c>
      <c r="I181" s="304">
        <v>4.4657370177089574E-2</v>
      </c>
      <c r="J181" s="324">
        <v>4.4657370177089574E-2</v>
      </c>
      <c r="K181" s="304">
        <v>6.5883388950685948E-2</v>
      </c>
      <c r="L181" s="324">
        <v>5.562364476289243E-2</v>
      </c>
      <c r="M181" s="304">
        <v>7.0052040016158543E-2</v>
      </c>
      <c r="N181" s="324">
        <v>5.9734616642526751E-2</v>
      </c>
      <c r="O181" s="305">
        <v>5.4494674728283919E-2</v>
      </c>
      <c r="P181" s="324">
        <v>4.5542702869978607E-2</v>
      </c>
      <c r="Q181" s="304">
        <v>4.731336793998514E-2</v>
      </c>
      <c r="R181" s="324">
        <v>4.5159430021816022E-2</v>
      </c>
      <c r="S181" s="304">
        <v>0.10575573233504913</v>
      </c>
      <c r="T181" s="472">
        <v>0.10575573233504913</v>
      </c>
      <c r="U181" s="304">
        <v>3.9845661110130381E-2</v>
      </c>
      <c r="V181" s="324">
        <v>3.9845661110130381E-2</v>
      </c>
      <c r="W181" s="304">
        <v>4.0181197787975055E-2</v>
      </c>
      <c r="X181" s="324">
        <v>4.0181197787975055E-2</v>
      </c>
      <c r="Y181" s="304">
        <v>6.5883388950685948E-2</v>
      </c>
      <c r="Z181" s="324">
        <v>5.562364476289243E-2</v>
      </c>
      <c r="AA181" s="304">
        <v>5.7735152823226346E-2</v>
      </c>
      <c r="AB181" s="324">
        <v>4.7338090010976948E-2</v>
      </c>
      <c r="AC181" s="305">
        <v>5.4494674728283919E-2</v>
      </c>
      <c r="AD181" s="324">
        <v>4.5542702869978607E-2</v>
      </c>
      <c r="AE181" s="304">
        <v>4.731336793998514E-2</v>
      </c>
      <c r="AF181" s="324">
        <v>4.5159430021816022E-2</v>
      </c>
      <c r="AG181" s="304">
        <v>7.7353215284249766E-2</v>
      </c>
      <c r="AH181" s="472">
        <v>0.10575573233504913</v>
      </c>
      <c r="AI181" s="350">
        <v>0.5</v>
      </c>
      <c r="AJ181" s="350">
        <v>0.5</v>
      </c>
    </row>
    <row r="182" spans="2:36" x14ac:dyDescent="0.2">
      <c r="B182" s="276">
        <v>48</v>
      </c>
      <c r="C182" s="320">
        <f t="shared" si="6"/>
        <v>49</v>
      </c>
      <c r="D182" s="315">
        <f t="shared" si="7"/>
        <v>47</v>
      </c>
      <c r="E182" s="1389">
        <v>1.5275529369790592E-3</v>
      </c>
      <c r="F182" s="1390">
        <v>9.4040496259733403E-4</v>
      </c>
      <c r="G182" s="304">
        <v>4.6031285810932084E-2</v>
      </c>
      <c r="H182" s="324">
        <v>4.6031285810932084E-2</v>
      </c>
      <c r="I182" s="304">
        <v>4.1907573707303074E-2</v>
      </c>
      <c r="J182" s="324">
        <v>4.1907573707303074E-2</v>
      </c>
      <c r="K182" s="304">
        <v>6.400907470426187E-2</v>
      </c>
      <c r="L182" s="324">
        <v>5.3459488648369448E-2</v>
      </c>
      <c r="M182" s="304">
        <v>6.9171701913393752E-2</v>
      </c>
      <c r="N182" s="324">
        <v>5.9861135727881508E-2</v>
      </c>
      <c r="O182" s="305">
        <v>5.2662313531878752E-2</v>
      </c>
      <c r="P182" s="324">
        <v>4.4598753357848887E-2</v>
      </c>
      <c r="Q182" s="304">
        <v>4.5247569175603908E-2</v>
      </c>
      <c r="R182" s="324">
        <v>4.3486477757936043E-2</v>
      </c>
      <c r="S182" s="304">
        <v>0.10223330442324371</v>
      </c>
      <c r="T182" s="472">
        <v>0.10223330442324371</v>
      </c>
      <c r="U182" s="304">
        <v>3.6979415988511247E-2</v>
      </c>
      <c r="V182" s="324">
        <v>3.6979415988511247E-2</v>
      </c>
      <c r="W182" s="304">
        <v>4.0064014127255673E-2</v>
      </c>
      <c r="X182" s="324">
        <v>4.0064014127255673E-2</v>
      </c>
      <c r="Y182" s="304">
        <v>6.400907470426187E-2</v>
      </c>
      <c r="Z182" s="324">
        <v>5.3459488648369448E-2</v>
      </c>
      <c r="AA182" s="304">
        <v>5.5162561745925202E-2</v>
      </c>
      <c r="AB182" s="324">
        <v>4.5545331944894928E-2</v>
      </c>
      <c r="AC182" s="305">
        <v>5.2662313531878752E-2</v>
      </c>
      <c r="AD182" s="324">
        <v>4.4598753357848887E-2</v>
      </c>
      <c r="AE182" s="304">
        <v>4.5247569175603908E-2</v>
      </c>
      <c r="AF182" s="324">
        <v>4.3486477757936043E-2</v>
      </c>
      <c r="AG182" s="304">
        <v>7.1084678561314077E-2</v>
      </c>
      <c r="AH182" s="472">
        <v>0.10223330442324371</v>
      </c>
      <c r="AI182" s="350">
        <v>0.5</v>
      </c>
      <c r="AJ182" s="350">
        <v>0.5</v>
      </c>
    </row>
    <row r="183" spans="2:36" x14ac:dyDescent="0.2">
      <c r="B183" s="276">
        <v>49</v>
      </c>
      <c r="C183" s="320">
        <f t="shared" si="6"/>
        <v>50</v>
      </c>
      <c r="D183" s="315">
        <f t="shared" si="7"/>
        <v>48</v>
      </c>
      <c r="E183" s="1389">
        <v>1.697644814209373E-3</v>
      </c>
      <c r="F183" s="1390">
        <v>1.0407046157751324E-3</v>
      </c>
      <c r="G183" s="304">
        <v>4.6338237062572653E-2</v>
      </c>
      <c r="H183" s="324">
        <v>4.6338237062572653E-2</v>
      </c>
      <c r="I183" s="304">
        <v>3.9239371858317419E-2</v>
      </c>
      <c r="J183" s="324">
        <v>3.9239371858317419E-2</v>
      </c>
      <c r="K183" s="304">
        <v>6.2795220894692971E-2</v>
      </c>
      <c r="L183" s="324">
        <v>5.1143441370719439E-2</v>
      </c>
      <c r="M183" s="304">
        <v>6.7469277103727368E-2</v>
      </c>
      <c r="N183" s="324">
        <v>5.7746682823848608E-2</v>
      </c>
      <c r="O183" s="305">
        <v>5.0977954117970438E-2</v>
      </c>
      <c r="P183" s="324">
        <v>4.2230038341001107E-2</v>
      </c>
      <c r="Q183" s="304">
        <v>4.3268844228008169E-2</v>
      </c>
      <c r="R183" s="324">
        <v>4.1881797705158957E-2</v>
      </c>
      <c r="S183" s="304">
        <v>9.7416306424047458E-2</v>
      </c>
      <c r="T183" s="472">
        <v>9.7416306424047458E-2</v>
      </c>
      <c r="U183" s="304">
        <v>3.5219465431056127E-2</v>
      </c>
      <c r="V183" s="324">
        <v>3.5219465431056127E-2</v>
      </c>
      <c r="W183" s="304">
        <v>3.2502708559046585E-2</v>
      </c>
      <c r="X183" s="324">
        <v>3.2502708559046585E-2</v>
      </c>
      <c r="Y183" s="304">
        <v>6.2795220894692971E-2</v>
      </c>
      <c r="Z183" s="324">
        <v>5.1143441370719439E-2</v>
      </c>
      <c r="AA183" s="304">
        <v>5.4222115926678853E-2</v>
      </c>
      <c r="AB183" s="324">
        <v>4.1987829614604462E-2</v>
      </c>
      <c r="AC183" s="305">
        <v>5.0977954117970438E-2</v>
      </c>
      <c r="AD183" s="324">
        <v>4.2230038341001107E-2</v>
      </c>
      <c r="AE183" s="304">
        <v>4.3268844228008169E-2</v>
      </c>
      <c r="AF183" s="324">
        <v>4.1881797705158957E-2</v>
      </c>
      <c r="AG183" s="304">
        <v>6.6052631578947363E-2</v>
      </c>
      <c r="AH183" s="472">
        <v>9.7416306424047458E-2</v>
      </c>
      <c r="AI183" s="350">
        <v>0.5</v>
      </c>
      <c r="AJ183" s="350">
        <v>0.5</v>
      </c>
    </row>
    <row r="184" spans="2:36" ht="13.5" thickBot="1" x14ac:dyDescent="0.25">
      <c r="B184" s="313">
        <v>50</v>
      </c>
      <c r="C184" s="321">
        <f t="shared" si="6"/>
        <v>51</v>
      </c>
      <c r="D184" s="316">
        <f t="shared" si="7"/>
        <v>49</v>
      </c>
      <c r="E184" s="1391">
        <v>1.8893474150189467E-3</v>
      </c>
      <c r="F184" s="1392">
        <v>1.1522716833635E-3</v>
      </c>
      <c r="G184" s="310">
        <v>5.256671380200563E-2</v>
      </c>
      <c r="H184" s="325">
        <v>5.256671380200563E-2</v>
      </c>
      <c r="I184" s="310">
        <v>4.6005653079440642E-2</v>
      </c>
      <c r="J184" s="325">
        <v>4.6005653079440642E-2</v>
      </c>
      <c r="K184" s="310">
        <v>8.3317980840088429E-2</v>
      </c>
      <c r="L184" s="325">
        <v>7.1053807966496477E-2</v>
      </c>
      <c r="M184" s="310">
        <v>8.5051766256931255E-2</v>
      </c>
      <c r="N184" s="325">
        <v>7.1839254372692604E-2</v>
      </c>
      <c r="O184" s="311">
        <v>5.6083743911748883E-2</v>
      </c>
      <c r="P184" s="325">
        <v>4.667347872693877E-2</v>
      </c>
      <c r="Q184" s="310">
        <v>4.1377193097197895E-2</v>
      </c>
      <c r="R184" s="325">
        <v>4.0345389863484765E-2</v>
      </c>
      <c r="S184" s="310">
        <v>0.10713276170734005</v>
      </c>
      <c r="T184" s="473">
        <v>0.10713276170734005</v>
      </c>
      <c r="U184" s="310">
        <v>3.3722551411641689E-2</v>
      </c>
      <c r="V184" s="325">
        <v>3.3722551411641689E-2</v>
      </c>
      <c r="W184" s="310">
        <v>3.1527424540524977E-2</v>
      </c>
      <c r="X184" s="325">
        <v>3.1527424540524977E-2</v>
      </c>
      <c r="Y184" s="310">
        <v>8.3317980840088429E-2</v>
      </c>
      <c r="Z184" s="325">
        <v>7.1053807966496477E-2</v>
      </c>
      <c r="AA184" s="310">
        <v>5.2084393338082152E-2</v>
      </c>
      <c r="AB184" s="325">
        <v>4.1357174066480692E-2</v>
      </c>
      <c r="AC184" s="311">
        <v>5.6083743911748883E-2</v>
      </c>
      <c r="AD184" s="325">
        <v>4.667347872693877E-2</v>
      </c>
      <c r="AE184" s="310">
        <v>4.1377193097197895E-2</v>
      </c>
      <c r="AF184" s="325">
        <v>4.0345389863484765E-2</v>
      </c>
      <c r="AG184" s="310">
        <v>6.6601130498894073E-2</v>
      </c>
      <c r="AH184" s="473">
        <v>0.10713276170734005</v>
      </c>
      <c r="AI184" s="351">
        <v>0.5</v>
      </c>
      <c r="AJ184" s="351">
        <v>0.5</v>
      </c>
    </row>
    <row r="185" spans="2:36" ht="13.5" thickTop="1" x14ac:dyDescent="0.2">
      <c r="B185" s="276">
        <v>51</v>
      </c>
      <c r="C185" s="320">
        <f t="shared" si="6"/>
        <v>52</v>
      </c>
      <c r="D185" s="315">
        <f t="shared" si="7"/>
        <v>50</v>
      </c>
      <c r="E185" s="1389">
        <v>2.104741060530645E-3</v>
      </c>
      <c r="F185" s="1390">
        <v>1.2761831463388011E-3</v>
      </c>
      <c r="G185" s="304">
        <v>4.01763966874343E-2</v>
      </c>
      <c r="H185" s="324">
        <v>4.01763966874343E-2</v>
      </c>
      <c r="I185" s="304">
        <v>3.6738546431423803E-2</v>
      </c>
      <c r="J185" s="324">
        <v>3.6738546431423803E-2</v>
      </c>
      <c r="K185" s="304">
        <v>5.0114054280526975E-2</v>
      </c>
      <c r="L185" s="324">
        <v>4.3134469696969699E-2</v>
      </c>
      <c r="M185" s="304">
        <v>5.3781591409949828E-2</v>
      </c>
      <c r="N185" s="324">
        <v>4.5957745083846979E-2</v>
      </c>
      <c r="O185" s="305">
        <v>4.3806574957638456E-2</v>
      </c>
      <c r="P185" s="324">
        <v>3.636693319026009E-2</v>
      </c>
      <c r="Q185" s="304">
        <v>3.9572615783173143E-2</v>
      </c>
      <c r="R185" s="324">
        <v>3.8877254232913522E-2</v>
      </c>
      <c r="S185" s="304">
        <v>9.1928251121076235E-2</v>
      </c>
      <c r="T185" s="472">
        <v>9.1928251121076235E-2</v>
      </c>
      <c r="U185" s="304">
        <v>3.3236568639824979E-2</v>
      </c>
      <c r="V185" s="324">
        <v>3.3236568639824979E-2</v>
      </c>
      <c r="W185" s="304">
        <v>2.9388982548867727E-2</v>
      </c>
      <c r="X185" s="324">
        <v>2.9388982548867727E-2</v>
      </c>
      <c r="Y185" s="304">
        <v>5.0114054280526975E-2</v>
      </c>
      <c r="Z185" s="324">
        <v>4.3134469696969699E-2</v>
      </c>
      <c r="AA185" s="304">
        <v>4.9707602339181284E-2</v>
      </c>
      <c r="AB185" s="324">
        <v>3.7934934918035554E-2</v>
      </c>
      <c r="AC185" s="305">
        <v>4.3806574957638456E-2</v>
      </c>
      <c r="AD185" s="324">
        <v>3.636693319026009E-2</v>
      </c>
      <c r="AE185" s="304">
        <v>3.9572615783173143E-2</v>
      </c>
      <c r="AF185" s="324">
        <v>3.8877254232913522E-2</v>
      </c>
      <c r="AG185" s="304">
        <v>7.0667284522706209E-2</v>
      </c>
      <c r="AH185" s="472">
        <v>9.1928251121076235E-2</v>
      </c>
      <c r="AI185" s="350">
        <v>0.4</v>
      </c>
      <c r="AJ185" s="350">
        <v>0.4</v>
      </c>
    </row>
    <row r="186" spans="2:36" x14ac:dyDescent="0.2">
      <c r="B186" s="276">
        <v>52</v>
      </c>
      <c r="C186" s="320">
        <f t="shared" si="6"/>
        <v>53</v>
      </c>
      <c r="D186" s="315">
        <f t="shared" si="7"/>
        <v>51</v>
      </c>
      <c r="E186" s="1389">
        <v>2.3459234591145673E-3</v>
      </c>
      <c r="F186" s="1390">
        <v>1.4134469136431499E-3</v>
      </c>
      <c r="G186" s="304">
        <v>3.8809979346958429E-2</v>
      </c>
      <c r="H186" s="324">
        <v>3.8809979346958429E-2</v>
      </c>
      <c r="I186" s="304">
        <v>3.4137604045938255E-2</v>
      </c>
      <c r="J186" s="324">
        <v>3.4137604045938255E-2</v>
      </c>
      <c r="K186" s="304">
        <v>5.3637238562475056E-2</v>
      </c>
      <c r="L186" s="324">
        <v>4.4438025083652292E-2</v>
      </c>
      <c r="M186" s="304">
        <v>5.8152971673069112E-2</v>
      </c>
      <c r="N186" s="324">
        <v>4.8376593875882119E-2</v>
      </c>
      <c r="O186" s="305">
        <v>4.3757005465993218E-2</v>
      </c>
      <c r="P186" s="324">
        <v>3.5736764722248668E-2</v>
      </c>
      <c r="Q186" s="304">
        <v>3.7855112285933856E-2</v>
      </c>
      <c r="R186" s="324">
        <v>3.7477390813445116E-2</v>
      </c>
      <c r="S186" s="304">
        <v>9.5530012771392087E-2</v>
      </c>
      <c r="T186" s="472">
        <v>9.5530012771392087E-2</v>
      </c>
      <c r="U186" s="304">
        <v>2.8900540852978818E-2</v>
      </c>
      <c r="V186" s="324">
        <v>2.8900540852978818E-2</v>
      </c>
      <c r="W186" s="304">
        <v>2.8965154041955588E-2</v>
      </c>
      <c r="X186" s="324">
        <v>2.8965154041955588E-2</v>
      </c>
      <c r="Y186" s="304">
        <v>5.3637238562475056E-2</v>
      </c>
      <c r="Z186" s="324">
        <v>4.4438025083652292E-2</v>
      </c>
      <c r="AA186" s="304">
        <v>4.4883778349970017E-2</v>
      </c>
      <c r="AB186" s="324">
        <v>3.5533082823945003E-2</v>
      </c>
      <c r="AC186" s="305">
        <v>4.3757005465993218E-2</v>
      </c>
      <c r="AD186" s="324">
        <v>3.5736764722248668E-2</v>
      </c>
      <c r="AE186" s="304">
        <v>3.7855112285933856E-2</v>
      </c>
      <c r="AF186" s="324">
        <v>3.7477390813445116E-2</v>
      </c>
      <c r="AG186" s="304">
        <v>6.5566458519179305E-2</v>
      </c>
      <c r="AH186" s="472">
        <v>9.5530012771392087E-2</v>
      </c>
      <c r="AI186" s="350">
        <v>0.4</v>
      </c>
      <c r="AJ186" s="350">
        <v>0.4</v>
      </c>
    </row>
    <row r="187" spans="2:36" x14ac:dyDescent="0.2">
      <c r="B187" s="276">
        <v>53</v>
      </c>
      <c r="C187" s="320">
        <f t="shared" si="6"/>
        <v>54</v>
      </c>
      <c r="D187" s="315">
        <f t="shared" si="7"/>
        <v>52</v>
      </c>
      <c r="E187" s="1389">
        <v>2.6149498822871306E-3</v>
      </c>
      <c r="F187" s="1390">
        <v>1.5649420546667921E-3</v>
      </c>
      <c r="G187" s="304">
        <v>3.7703095924968469E-2</v>
      </c>
      <c r="H187" s="324">
        <v>3.7703095924968469E-2</v>
      </c>
      <c r="I187" s="304">
        <v>3.3106234379814442E-2</v>
      </c>
      <c r="J187" s="324">
        <v>3.3106234379814442E-2</v>
      </c>
      <c r="K187" s="304">
        <v>5.2381634211531115E-2</v>
      </c>
      <c r="L187" s="324">
        <v>4.2913289118152786E-2</v>
      </c>
      <c r="M187" s="304">
        <v>5.7634483084334318E-2</v>
      </c>
      <c r="N187" s="324">
        <v>4.7282756948443611E-2</v>
      </c>
      <c r="O187" s="305">
        <v>4.1853136704766904E-2</v>
      </c>
      <c r="P187" s="324">
        <v>3.4501901591996002E-2</v>
      </c>
      <c r="Q187" s="304">
        <v>3.6224682605480091E-2</v>
      </c>
      <c r="R187" s="324">
        <v>3.6145799605079632E-2</v>
      </c>
      <c r="S187" s="304">
        <v>8.8382800295979613E-2</v>
      </c>
      <c r="T187" s="472">
        <v>8.8382800295979613E-2</v>
      </c>
      <c r="U187" s="304">
        <v>2.9385938042435011E-2</v>
      </c>
      <c r="V187" s="324">
        <v>2.9385938042435011E-2</v>
      </c>
      <c r="W187" s="304">
        <v>2.7637658429061931E-2</v>
      </c>
      <c r="X187" s="324">
        <v>2.7637658429061931E-2</v>
      </c>
      <c r="Y187" s="304">
        <v>5.2381634211531115E-2</v>
      </c>
      <c r="Z187" s="324">
        <v>4.2913289118152786E-2</v>
      </c>
      <c r="AA187" s="304">
        <v>4.2017113353159039E-2</v>
      </c>
      <c r="AB187" s="324">
        <v>3.331783389369769E-2</v>
      </c>
      <c r="AC187" s="305">
        <v>4.1853136704766904E-2</v>
      </c>
      <c r="AD187" s="324">
        <v>3.4501901591996002E-2</v>
      </c>
      <c r="AE187" s="304">
        <v>3.6224682605480091E-2</v>
      </c>
      <c r="AF187" s="324">
        <v>3.6145799605079632E-2</v>
      </c>
      <c r="AG187" s="304">
        <v>6.8519715578539114E-2</v>
      </c>
      <c r="AH187" s="472">
        <v>8.8382800295979613E-2</v>
      </c>
      <c r="AI187" s="350">
        <v>0.4</v>
      </c>
      <c r="AJ187" s="350">
        <v>0.4</v>
      </c>
    </row>
    <row r="188" spans="2:36" x14ac:dyDescent="0.2">
      <c r="B188" s="276">
        <v>54</v>
      </c>
      <c r="C188" s="320">
        <f t="shared" si="6"/>
        <v>55</v>
      </c>
      <c r="D188" s="315">
        <f t="shared" si="7"/>
        <v>53</v>
      </c>
      <c r="E188" s="1389">
        <v>2.9138526608167713E-3</v>
      </c>
      <c r="F188" s="1390">
        <v>1.731449287852454E-3</v>
      </c>
      <c r="G188" s="304">
        <v>3.6281067206357827E-2</v>
      </c>
      <c r="H188" s="324">
        <v>3.6281067206357827E-2</v>
      </c>
      <c r="I188" s="304">
        <v>3.279290098745663E-2</v>
      </c>
      <c r="J188" s="324">
        <v>3.279290098745663E-2</v>
      </c>
      <c r="K188" s="304">
        <v>4.8690881481300054E-2</v>
      </c>
      <c r="L188" s="324">
        <v>4.0939648009668407E-2</v>
      </c>
      <c r="M188" s="304">
        <v>5.3566167395268469E-2</v>
      </c>
      <c r="N188" s="324">
        <v>4.4484668129036217E-2</v>
      </c>
      <c r="O188" s="305">
        <v>3.9346337725508489E-2</v>
      </c>
      <c r="P188" s="324">
        <v>3.3312597974570153E-2</v>
      </c>
      <c r="Q188" s="304">
        <v>3.4681326741811735E-2</v>
      </c>
      <c r="R188" s="324">
        <v>3.488248060781704E-2</v>
      </c>
      <c r="S188" s="304">
        <v>8.1538216052337645E-2</v>
      </c>
      <c r="T188" s="472">
        <v>8.1538216052337645E-2</v>
      </c>
      <c r="U188" s="304">
        <v>2.8040986101247844E-2</v>
      </c>
      <c r="V188" s="324">
        <v>2.8040986101247844E-2</v>
      </c>
      <c r="W188" s="304">
        <v>2.559362418864514E-2</v>
      </c>
      <c r="X188" s="324">
        <v>2.559362418864514E-2</v>
      </c>
      <c r="Y188" s="304">
        <v>4.8690881481300054E-2</v>
      </c>
      <c r="Z188" s="324">
        <v>4.0939648009668407E-2</v>
      </c>
      <c r="AA188" s="304">
        <v>3.6884857894836497E-2</v>
      </c>
      <c r="AB188" s="324">
        <v>3.2696027376878441E-2</v>
      </c>
      <c r="AC188" s="305">
        <v>3.9346337725508489E-2</v>
      </c>
      <c r="AD188" s="324">
        <v>3.3312597974570153E-2</v>
      </c>
      <c r="AE188" s="304">
        <v>3.4681326741811735E-2</v>
      </c>
      <c r="AF188" s="324">
        <v>3.488248060781704E-2</v>
      </c>
      <c r="AG188" s="304">
        <v>6.9548872180451124E-2</v>
      </c>
      <c r="AH188" s="472">
        <v>8.1538216052337645E-2</v>
      </c>
      <c r="AI188" s="350">
        <v>0.4</v>
      </c>
      <c r="AJ188" s="350">
        <v>0.4</v>
      </c>
    </row>
    <row r="189" spans="2:36" ht="13.5" thickBot="1" x14ac:dyDescent="0.25">
      <c r="B189" s="313">
        <v>55</v>
      </c>
      <c r="C189" s="321">
        <f t="shared" si="6"/>
        <v>56</v>
      </c>
      <c r="D189" s="316">
        <f t="shared" si="7"/>
        <v>54</v>
      </c>
      <c r="E189" s="1391">
        <v>3.245002293992346E-3</v>
      </c>
      <c r="F189" s="1392">
        <v>1.9140027021856681E-3</v>
      </c>
      <c r="G189" s="310">
        <v>4.3696923716991749E-2</v>
      </c>
      <c r="H189" s="325">
        <v>4.3696923716991749E-2</v>
      </c>
      <c r="I189" s="310">
        <v>3.9254106658828905E-2</v>
      </c>
      <c r="J189" s="325">
        <v>3.9254106658828905E-2</v>
      </c>
      <c r="K189" s="310">
        <v>6.6481223922114044E-2</v>
      </c>
      <c r="L189" s="325">
        <v>5.2853243208111272E-2</v>
      </c>
      <c r="M189" s="310">
        <v>6.8008181678537644E-2</v>
      </c>
      <c r="N189" s="325">
        <v>5.5456535334584112E-2</v>
      </c>
      <c r="O189" s="311">
        <v>4.2691486756009658E-2</v>
      </c>
      <c r="P189" s="325">
        <v>3.5816039915344822E-2</v>
      </c>
      <c r="Q189" s="310">
        <v>3.3225044694928929E-2</v>
      </c>
      <c r="R189" s="325">
        <v>3.368743382165737E-2</v>
      </c>
      <c r="S189" s="310">
        <v>9.613747194055268E-2</v>
      </c>
      <c r="T189" s="473">
        <v>9.613747194055268E-2</v>
      </c>
      <c r="U189" s="310">
        <v>2.6907460153930064E-2</v>
      </c>
      <c r="V189" s="325">
        <v>2.6907460153930064E-2</v>
      </c>
      <c r="W189" s="310">
        <v>2.5301782716444159E-2</v>
      </c>
      <c r="X189" s="325">
        <v>2.5301782716444159E-2</v>
      </c>
      <c r="Y189" s="310">
        <v>6.6481223922114044E-2</v>
      </c>
      <c r="Z189" s="325">
        <v>5.2853243208111272E-2</v>
      </c>
      <c r="AA189" s="310">
        <v>3.6557231588287491E-2</v>
      </c>
      <c r="AB189" s="325">
        <v>2.967845094865745E-2</v>
      </c>
      <c r="AC189" s="311">
        <v>4.2691486756009658E-2</v>
      </c>
      <c r="AD189" s="325">
        <v>3.5816039915344822E-2</v>
      </c>
      <c r="AE189" s="310">
        <v>3.3225044694928929E-2</v>
      </c>
      <c r="AF189" s="325">
        <v>3.368743382165737E-2</v>
      </c>
      <c r="AG189" s="310">
        <v>6.0156571899464356E-2</v>
      </c>
      <c r="AH189" s="473">
        <v>9.613747194055268E-2</v>
      </c>
      <c r="AI189" s="351">
        <v>0.4</v>
      </c>
      <c r="AJ189" s="351">
        <v>0.4</v>
      </c>
    </row>
    <row r="190" spans="2:36" ht="13.5" thickTop="1" x14ac:dyDescent="0.2">
      <c r="B190" s="276">
        <v>56</v>
      </c>
      <c r="C190" s="320">
        <f t="shared" si="6"/>
        <v>57</v>
      </c>
      <c r="D190" s="315">
        <f t="shared" si="7"/>
        <v>55</v>
      </c>
      <c r="E190" s="1389">
        <v>3.6112522980940262E-3</v>
      </c>
      <c r="F190" s="1390">
        <v>2.1141122532512451E-3</v>
      </c>
      <c r="G190" s="304">
        <v>3.1691264949289068E-2</v>
      </c>
      <c r="H190" s="324">
        <v>3.1691264949289068E-2</v>
      </c>
      <c r="I190" s="304">
        <v>3.0065189893944799E-2</v>
      </c>
      <c r="J190" s="324">
        <v>3.0065189893944799E-2</v>
      </c>
      <c r="K190" s="304">
        <v>4.0689983597015714E-2</v>
      </c>
      <c r="L190" s="324">
        <v>3.1676531798156708E-2</v>
      </c>
      <c r="M190" s="304">
        <v>4.258088198488312E-2</v>
      </c>
      <c r="N190" s="324">
        <v>3.5476771637789603E-2</v>
      </c>
      <c r="O190" s="305">
        <v>3.3104417288020375E-2</v>
      </c>
      <c r="P190" s="324">
        <v>2.7547493138421381E-2</v>
      </c>
      <c r="Q190" s="304">
        <v>3.1855836464831616E-2</v>
      </c>
      <c r="R190" s="324">
        <v>3.2560659246600648E-2</v>
      </c>
      <c r="S190" s="304">
        <v>8.0027728568127551E-2</v>
      </c>
      <c r="T190" s="472">
        <v>8.0027728568127551E-2</v>
      </c>
      <c r="U190" s="304">
        <v>2.4330506244560048E-2</v>
      </c>
      <c r="V190" s="324">
        <v>2.4330506244560048E-2</v>
      </c>
      <c r="W190" s="304">
        <v>2.0282872241218528E-2</v>
      </c>
      <c r="X190" s="324">
        <v>2.0282872241218528E-2</v>
      </c>
      <c r="Y190" s="304">
        <v>4.0689983597015714E-2</v>
      </c>
      <c r="Z190" s="324">
        <v>3.1676531798156708E-2</v>
      </c>
      <c r="AA190" s="304">
        <v>3.3280277817971347E-2</v>
      </c>
      <c r="AB190" s="324">
        <v>2.6457086646446429E-2</v>
      </c>
      <c r="AC190" s="305">
        <v>3.3104417288020375E-2</v>
      </c>
      <c r="AD190" s="324">
        <v>2.7547493138421381E-2</v>
      </c>
      <c r="AE190" s="304">
        <v>3.1855836464831616E-2</v>
      </c>
      <c r="AF190" s="324">
        <v>3.2560659246600648E-2</v>
      </c>
      <c r="AG190" s="304">
        <v>5.9785901838012523E-2</v>
      </c>
      <c r="AH190" s="472">
        <v>8.0027728568127551E-2</v>
      </c>
      <c r="AI190" s="350">
        <v>0.4</v>
      </c>
      <c r="AJ190" s="350">
        <v>0.4</v>
      </c>
    </row>
    <row r="191" spans="2:36" x14ac:dyDescent="0.2">
      <c r="B191" s="276">
        <v>57</v>
      </c>
      <c r="C191" s="320">
        <f t="shared" si="6"/>
        <v>58</v>
      </c>
      <c r="D191" s="315">
        <f t="shared" si="7"/>
        <v>56</v>
      </c>
      <c r="E191" s="1389">
        <v>4.0156930909006454E-3</v>
      </c>
      <c r="F191" s="1390">
        <v>2.3336546855354167E-3</v>
      </c>
      <c r="G191" s="304">
        <v>3.1307505459184926E-2</v>
      </c>
      <c r="H191" s="324">
        <v>3.1307505459184926E-2</v>
      </c>
      <c r="I191" s="304">
        <v>2.725266289223683E-2</v>
      </c>
      <c r="J191" s="324">
        <v>2.725266289223683E-2</v>
      </c>
      <c r="K191" s="304">
        <v>4.1398267436694801E-2</v>
      </c>
      <c r="L191" s="324">
        <v>3.2204930137453139E-2</v>
      </c>
      <c r="M191" s="304">
        <v>4.4662151197054981E-2</v>
      </c>
      <c r="N191" s="324">
        <v>3.7667191188040912E-2</v>
      </c>
      <c r="O191" s="305">
        <v>3.2254185873347455E-2</v>
      </c>
      <c r="P191" s="324">
        <v>2.7965258017229891E-2</v>
      </c>
      <c r="Q191" s="304">
        <v>3.0573702051519797E-2</v>
      </c>
      <c r="R191" s="324">
        <v>3.1502156882646765E-2</v>
      </c>
      <c r="S191" s="304">
        <v>7.9911124731841865E-2</v>
      </c>
      <c r="T191" s="472">
        <v>7.9911124731841865E-2</v>
      </c>
      <c r="U191" s="304">
        <v>2.236810114271821E-2</v>
      </c>
      <c r="V191" s="324">
        <v>2.236810114271821E-2</v>
      </c>
      <c r="W191" s="304">
        <v>2.0450131383525649E-2</v>
      </c>
      <c r="X191" s="324">
        <v>2.0450131383525649E-2</v>
      </c>
      <c r="Y191" s="304">
        <v>4.1398267436694801E-2</v>
      </c>
      <c r="Z191" s="324">
        <v>3.2204930137453139E-2</v>
      </c>
      <c r="AA191" s="304">
        <v>3.0140451888685336E-2</v>
      </c>
      <c r="AB191" s="324">
        <v>2.6195579225390227E-2</v>
      </c>
      <c r="AC191" s="305">
        <v>3.2254185873347455E-2</v>
      </c>
      <c r="AD191" s="324">
        <v>2.7965258017229891E-2</v>
      </c>
      <c r="AE191" s="304">
        <v>3.0573702051519797E-2</v>
      </c>
      <c r="AF191" s="324">
        <v>3.1502156882646765E-2</v>
      </c>
      <c r="AG191" s="304">
        <v>6.4674660900334191E-2</v>
      </c>
      <c r="AH191" s="472">
        <v>7.9911124731841865E-2</v>
      </c>
      <c r="AI191" s="350">
        <v>0.4</v>
      </c>
      <c r="AJ191" s="350">
        <v>0.4</v>
      </c>
    </row>
    <row r="192" spans="2:36" x14ac:dyDescent="0.2">
      <c r="B192" s="276">
        <v>58</v>
      </c>
      <c r="C192" s="320">
        <f t="shared" si="6"/>
        <v>59</v>
      </c>
      <c r="D192" s="315">
        <f t="shared" si="7"/>
        <v>57</v>
      </c>
      <c r="E192" s="1389">
        <v>4.461557145701082E-3</v>
      </c>
      <c r="F192" s="1390">
        <v>2.5748482082546082E-3</v>
      </c>
      <c r="G192" s="304">
        <v>3.0467805972725703E-2</v>
      </c>
      <c r="H192" s="324">
        <v>3.0467805972725703E-2</v>
      </c>
      <c r="I192" s="304">
        <v>2.6741686686053864E-2</v>
      </c>
      <c r="J192" s="324">
        <v>2.6741686686053864E-2</v>
      </c>
      <c r="K192" s="304">
        <v>3.9596684108413195E-2</v>
      </c>
      <c r="L192" s="324">
        <v>3.4083101831107923E-2</v>
      </c>
      <c r="M192" s="304">
        <v>4.3145889294993175E-2</v>
      </c>
      <c r="N192" s="324">
        <v>3.6703350370064752E-2</v>
      </c>
      <c r="O192" s="305">
        <v>3.1764052881219092E-2</v>
      </c>
      <c r="P192" s="324">
        <v>2.719178192043881E-2</v>
      </c>
      <c r="Q192" s="304">
        <v>2.937864145499347E-2</v>
      </c>
      <c r="R192" s="324">
        <v>3.0511926729795802E-2</v>
      </c>
      <c r="S192" s="304">
        <v>8.2343929528916129E-2</v>
      </c>
      <c r="T192" s="472">
        <v>8.2343929528916129E-2</v>
      </c>
      <c r="U192" s="304">
        <v>2.369018637098259E-2</v>
      </c>
      <c r="V192" s="324">
        <v>2.369018637098259E-2</v>
      </c>
      <c r="W192" s="304">
        <v>2.0645113118793398E-2</v>
      </c>
      <c r="X192" s="324">
        <v>2.0645113118793398E-2</v>
      </c>
      <c r="Y192" s="304">
        <v>3.9596684108413195E-2</v>
      </c>
      <c r="Z192" s="324">
        <v>3.4083101831107923E-2</v>
      </c>
      <c r="AA192" s="304">
        <v>2.9579119537423114E-2</v>
      </c>
      <c r="AB192" s="324">
        <v>2.415092605358702E-2</v>
      </c>
      <c r="AC192" s="305">
        <v>3.1764052881219092E-2</v>
      </c>
      <c r="AD192" s="324">
        <v>2.719178192043881E-2</v>
      </c>
      <c r="AE192" s="304">
        <v>2.937864145499347E-2</v>
      </c>
      <c r="AF192" s="324">
        <v>3.0511926729795802E-2</v>
      </c>
      <c r="AG192" s="304">
        <v>6.7644183773216029E-2</v>
      </c>
      <c r="AH192" s="472">
        <v>8.2343929528916129E-2</v>
      </c>
      <c r="AI192" s="350">
        <v>0.4</v>
      </c>
      <c r="AJ192" s="350">
        <v>0.4</v>
      </c>
    </row>
    <row r="193" spans="2:36" x14ac:dyDescent="0.2">
      <c r="B193" s="276">
        <v>59</v>
      </c>
      <c r="C193" s="320">
        <f t="shared" si="6"/>
        <v>60</v>
      </c>
      <c r="D193" s="315">
        <f t="shared" si="7"/>
        <v>58</v>
      </c>
      <c r="E193" s="1389">
        <v>4.9521902721965652E-3</v>
      </c>
      <c r="F193" s="1390">
        <v>2.8402768529029133E-3</v>
      </c>
      <c r="G193" s="304">
        <v>2.917416392628901E-2</v>
      </c>
      <c r="H193" s="324">
        <v>2.917416392628901E-2</v>
      </c>
      <c r="I193" s="304">
        <v>2.5314470340976818E-2</v>
      </c>
      <c r="J193" s="324">
        <v>2.5314470340976818E-2</v>
      </c>
      <c r="K193" s="304">
        <v>3.8486935194792946E-2</v>
      </c>
      <c r="L193" s="324">
        <v>3.1370564796660554E-2</v>
      </c>
      <c r="M193" s="304">
        <v>3.9642765355949627E-2</v>
      </c>
      <c r="N193" s="324">
        <v>3.5233043281333018E-2</v>
      </c>
      <c r="O193" s="305">
        <v>2.9594948736417832E-2</v>
      </c>
      <c r="P193" s="324">
        <v>2.5848641856846117E-2</v>
      </c>
      <c r="Q193" s="304">
        <v>2.8270654675252638E-2</v>
      </c>
      <c r="R193" s="324">
        <v>2.9589968788047732E-2</v>
      </c>
      <c r="S193" s="304">
        <v>8.5857418111753375E-2</v>
      </c>
      <c r="T193" s="472">
        <v>8.5857418111753375E-2</v>
      </c>
      <c r="U193" s="304">
        <v>2.268015590015756E-2</v>
      </c>
      <c r="V193" s="324">
        <v>2.268015590015756E-2</v>
      </c>
      <c r="W193" s="304">
        <v>1.9471799462846912E-2</v>
      </c>
      <c r="X193" s="324">
        <v>1.9471799462846912E-2</v>
      </c>
      <c r="Y193" s="304">
        <v>3.8486935194792946E-2</v>
      </c>
      <c r="Z193" s="324">
        <v>3.1370564796660554E-2</v>
      </c>
      <c r="AA193" s="304">
        <v>2.8770255981508348E-2</v>
      </c>
      <c r="AB193" s="324">
        <v>2.453912230180413E-2</v>
      </c>
      <c r="AC193" s="305">
        <v>2.9594948736417832E-2</v>
      </c>
      <c r="AD193" s="324">
        <v>2.5848641856846117E-2</v>
      </c>
      <c r="AE193" s="304">
        <v>2.8270654675252638E-2</v>
      </c>
      <c r="AF193" s="324">
        <v>2.9589968788047732E-2</v>
      </c>
      <c r="AG193" s="304">
        <v>6.4490758946126617E-2</v>
      </c>
      <c r="AH193" s="472">
        <v>8.5857418111753375E-2</v>
      </c>
      <c r="AI193" s="350">
        <v>0.4</v>
      </c>
      <c r="AJ193" s="350">
        <v>0.4</v>
      </c>
    </row>
    <row r="194" spans="2:36" ht="13.5" thickBot="1" x14ac:dyDescent="0.25">
      <c r="B194" s="313">
        <v>60</v>
      </c>
      <c r="C194" s="321">
        <f t="shared" si="6"/>
        <v>61</v>
      </c>
      <c r="D194" s="316">
        <f t="shared" si="7"/>
        <v>59</v>
      </c>
      <c r="E194" s="1391">
        <v>5.4910157606598859E-3</v>
      </c>
      <c r="F194" s="1392">
        <v>3.1329143493771779E-3</v>
      </c>
      <c r="G194" s="310">
        <v>3.8136910015289571E-2</v>
      </c>
      <c r="H194" s="325">
        <v>3.8136910015289571E-2</v>
      </c>
      <c r="I194" s="310">
        <v>3.0303030303030304E-2</v>
      </c>
      <c r="J194" s="325">
        <v>3.0303030303030304E-2</v>
      </c>
      <c r="K194" s="310">
        <v>5.3037673185950554E-2</v>
      </c>
      <c r="L194" s="325">
        <v>3.8349368107002783E-2</v>
      </c>
      <c r="M194" s="310">
        <v>5.8773473056182357E-2</v>
      </c>
      <c r="N194" s="325">
        <v>4.1732546688230142E-2</v>
      </c>
      <c r="O194" s="311">
        <v>3.7601507158052452E-2</v>
      </c>
      <c r="P194" s="325">
        <v>2.7002321306713421E-2</v>
      </c>
      <c r="Q194" s="310">
        <v>2.7249741712297243E-2</v>
      </c>
      <c r="R194" s="325">
        <v>2.8736283057402556E-2</v>
      </c>
      <c r="S194" s="310">
        <v>0.11888111888111888</v>
      </c>
      <c r="T194" s="473">
        <v>0.11888111888111888</v>
      </c>
      <c r="U194" s="310">
        <v>2.0904895370155732E-2</v>
      </c>
      <c r="V194" s="325">
        <v>2.0904895370155732E-2</v>
      </c>
      <c r="W194" s="310">
        <v>1.782748311371941E-2</v>
      </c>
      <c r="X194" s="325">
        <v>1.782748311371941E-2</v>
      </c>
      <c r="Y194" s="310">
        <v>5.3037673185950554E-2</v>
      </c>
      <c r="Z194" s="325">
        <v>3.8349368107002783E-2</v>
      </c>
      <c r="AA194" s="310">
        <v>3.150601933563394E-2</v>
      </c>
      <c r="AB194" s="325">
        <v>2.2290221319475587E-2</v>
      </c>
      <c r="AC194" s="311">
        <v>3.7601507158052452E-2</v>
      </c>
      <c r="AD194" s="325">
        <v>2.7002321306713421E-2</v>
      </c>
      <c r="AE194" s="310">
        <v>2.7249741712297243E-2</v>
      </c>
      <c r="AF194" s="325">
        <v>2.8736283057402556E-2</v>
      </c>
      <c r="AG194" s="310">
        <v>6.8723155017571258E-2</v>
      </c>
      <c r="AH194" s="473">
        <v>0.11888111888111888</v>
      </c>
      <c r="AI194" s="351">
        <v>0.4</v>
      </c>
      <c r="AJ194" s="351">
        <v>0.4</v>
      </c>
    </row>
    <row r="195" spans="2:36" ht="13.5" thickTop="1" x14ac:dyDescent="0.2">
      <c r="B195" s="276">
        <v>61</v>
      </c>
      <c r="C195" s="320">
        <f t="shared" si="6"/>
        <v>62</v>
      </c>
      <c r="D195" s="315">
        <f t="shared" si="7"/>
        <v>60</v>
      </c>
      <c r="E195" s="1389">
        <v>6.0814923708937645E-3</v>
      </c>
      <c r="F195" s="1390">
        <v>3.4561518368499706E-3</v>
      </c>
      <c r="G195" s="304">
        <v>2.7610302464619964E-2</v>
      </c>
      <c r="H195" s="324">
        <v>2.7610302464619964E-2</v>
      </c>
      <c r="I195" s="304">
        <v>2.5219977692403025E-2</v>
      </c>
      <c r="J195" s="324">
        <v>2.5219977692403025E-2</v>
      </c>
      <c r="K195" s="304">
        <v>3.0586789110235366E-2</v>
      </c>
      <c r="L195" s="324">
        <v>2.3208628483963979E-2</v>
      </c>
      <c r="M195" s="304">
        <v>3.3409471600426371E-2</v>
      </c>
      <c r="N195" s="324">
        <v>2.6258185219831618E-2</v>
      </c>
      <c r="O195" s="305">
        <v>2.608975506269981E-2</v>
      </c>
      <c r="P195" s="324">
        <v>2.0928492504719894E-2</v>
      </c>
      <c r="Q195" s="304">
        <v>2.6315902566127397E-2</v>
      </c>
      <c r="R195" s="324">
        <v>2.7950869537860357E-2</v>
      </c>
      <c r="S195" s="304">
        <v>9.0849351076063747E-2</v>
      </c>
      <c r="T195" s="472">
        <v>9.0849351076063747E-2</v>
      </c>
      <c r="U195" s="304">
        <v>1.9171028554406569E-2</v>
      </c>
      <c r="V195" s="324">
        <v>1.9171028554406569E-2</v>
      </c>
      <c r="W195" s="304">
        <v>1.5305564666010714E-2</v>
      </c>
      <c r="X195" s="324">
        <v>1.5305564666010714E-2</v>
      </c>
      <c r="Y195" s="304">
        <v>3.0586789110235366E-2</v>
      </c>
      <c r="Z195" s="324">
        <v>2.3208628483963979E-2</v>
      </c>
      <c r="AA195" s="304">
        <v>2.4638624084184324E-2</v>
      </c>
      <c r="AB195" s="324">
        <v>2.1736066082151617E-2</v>
      </c>
      <c r="AC195" s="305">
        <v>2.608975506269981E-2</v>
      </c>
      <c r="AD195" s="324">
        <v>2.0928492504719894E-2</v>
      </c>
      <c r="AE195" s="304">
        <v>2.6315902566127397E-2</v>
      </c>
      <c r="AF195" s="324">
        <v>2.7950869537860357E-2</v>
      </c>
      <c r="AG195" s="304">
        <v>7.0088845014807499E-2</v>
      </c>
      <c r="AH195" s="472">
        <v>9.0849351076063747E-2</v>
      </c>
      <c r="AI195" s="350">
        <v>0</v>
      </c>
      <c r="AJ195" s="350">
        <v>0</v>
      </c>
    </row>
    <row r="196" spans="2:36" x14ac:dyDescent="0.2">
      <c r="B196" s="276">
        <v>62</v>
      </c>
      <c r="C196" s="320">
        <f t="shared" si="6"/>
        <v>63</v>
      </c>
      <c r="D196" s="315">
        <f t="shared" si="7"/>
        <v>61</v>
      </c>
      <c r="E196" s="1389">
        <v>6.7270682113794254E-3</v>
      </c>
      <c r="F196" s="1390">
        <v>3.8138352168969507E-3</v>
      </c>
      <c r="G196" s="304">
        <v>2.6974732529023448E-2</v>
      </c>
      <c r="H196" s="324">
        <v>2.6974732529023448E-2</v>
      </c>
      <c r="I196" s="304">
        <v>2.2345682801804843E-2</v>
      </c>
      <c r="J196" s="324">
        <v>2.2345682801804843E-2</v>
      </c>
      <c r="K196" s="304">
        <v>2.9510369561827537E-2</v>
      </c>
      <c r="L196" s="324">
        <v>2.4743283695199122E-2</v>
      </c>
      <c r="M196" s="304">
        <v>3.3004103041326512E-2</v>
      </c>
      <c r="N196" s="324">
        <v>2.9058956151422597E-2</v>
      </c>
      <c r="O196" s="305">
        <v>2.4770827088551432E-2</v>
      </c>
      <c r="P196" s="324">
        <v>2.09875386489272E-2</v>
      </c>
      <c r="Q196" s="304">
        <v>2.5469137236743017E-2</v>
      </c>
      <c r="R196" s="324">
        <v>2.7233728229420995E-2</v>
      </c>
      <c r="S196" s="304">
        <v>0.11275352354761087</v>
      </c>
      <c r="T196" s="472">
        <v>0.11275352354761087</v>
      </c>
      <c r="U196" s="304">
        <v>1.9152229052921198E-2</v>
      </c>
      <c r="V196" s="324">
        <v>1.9152229052921198E-2</v>
      </c>
      <c r="W196" s="304">
        <v>1.5079738183922178E-2</v>
      </c>
      <c r="X196" s="324">
        <v>1.5079738183922178E-2</v>
      </c>
      <c r="Y196" s="304">
        <v>2.9510369561827537E-2</v>
      </c>
      <c r="Z196" s="324">
        <v>2.4743283695199122E-2</v>
      </c>
      <c r="AA196" s="304">
        <v>2.3774009923594411E-2</v>
      </c>
      <c r="AB196" s="324">
        <v>1.9660356686347313E-2</v>
      </c>
      <c r="AC196" s="305">
        <v>2.4770827088551432E-2</v>
      </c>
      <c r="AD196" s="324">
        <v>2.09875386489272E-2</v>
      </c>
      <c r="AE196" s="304">
        <v>2.5469137236743017E-2</v>
      </c>
      <c r="AF196" s="324">
        <v>2.7233728229420995E-2</v>
      </c>
      <c r="AG196" s="304">
        <v>8.1324070290151207E-2</v>
      </c>
      <c r="AH196" s="472">
        <v>0.11275352354761087</v>
      </c>
      <c r="AI196" s="350">
        <v>0</v>
      </c>
      <c r="AJ196" s="350">
        <v>0</v>
      </c>
    </row>
    <row r="197" spans="2:36" x14ac:dyDescent="0.2">
      <c r="B197" s="276">
        <v>63</v>
      </c>
      <c r="C197" s="320">
        <f t="shared" si="6"/>
        <v>64</v>
      </c>
      <c r="D197" s="315">
        <f t="shared" si="7"/>
        <v>62</v>
      </c>
      <c r="E197" s="1389">
        <v>7.4311339449482433E-3</v>
      </c>
      <c r="F197" s="1390">
        <v>4.21032000169143E-3</v>
      </c>
      <c r="G197" s="304">
        <v>2.7313632801638059E-2</v>
      </c>
      <c r="H197" s="324">
        <v>2.7313632801638059E-2</v>
      </c>
      <c r="I197" s="304">
        <v>2.04180258547783E-2</v>
      </c>
      <c r="J197" s="324">
        <v>2.04180258547783E-2</v>
      </c>
      <c r="K197" s="304">
        <v>3.1980886914242605E-2</v>
      </c>
      <c r="L197" s="324">
        <v>2.4279088525912481E-2</v>
      </c>
      <c r="M197" s="304">
        <v>3.5642937458380188E-2</v>
      </c>
      <c r="N197" s="324">
        <v>2.7352708580466588E-2</v>
      </c>
      <c r="O197" s="305">
        <v>2.5955640270317104E-2</v>
      </c>
      <c r="P197" s="324">
        <v>2.043298430591322E-2</v>
      </c>
      <c r="Q197" s="304">
        <v>2.4709445724144158E-2</v>
      </c>
      <c r="R197" s="324">
        <v>2.6584859132084526E-2</v>
      </c>
      <c r="S197" s="304">
        <v>0.16021947873799725</v>
      </c>
      <c r="T197" s="472">
        <v>0.16021947873799725</v>
      </c>
      <c r="U197" s="304">
        <v>2.1732549087449184E-2</v>
      </c>
      <c r="V197" s="324">
        <v>2.1732549087449184E-2</v>
      </c>
      <c r="W197" s="304">
        <v>1.7276386563602038E-2</v>
      </c>
      <c r="X197" s="324">
        <v>1.7276386563602038E-2</v>
      </c>
      <c r="Y197" s="304">
        <v>3.1980886914242605E-2</v>
      </c>
      <c r="Z197" s="324">
        <v>2.4279088525912481E-2</v>
      </c>
      <c r="AA197" s="304">
        <v>2.2999019928128063E-2</v>
      </c>
      <c r="AB197" s="324">
        <v>2.1117523609653726E-2</v>
      </c>
      <c r="AC197" s="305">
        <v>2.5955640270317104E-2</v>
      </c>
      <c r="AD197" s="324">
        <v>2.043298430591322E-2</v>
      </c>
      <c r="AE197" s="304">
        <v>2.4709445724144158E-2</v>
      </c>
      <c r="AF197" s="324">
        <v>2.6584859132084526E-2</v>
      </c>
      <c r="AG197" s="304">
        <v>0.10686542095318077</v>
      </c>
      <c r="AH197" s="472">
        <v>0.16021947873799725</v>
      </c>
      <c r="AI197" s="350">
        <v>0</v>
      </c>
      <c r="AJ197" s="350">
        <v>0</v>
      </c>
    </row>
    <row r="198" spans="2:36" x14ac:dyDescent="0.2">
      <c r="B198" s="276">
        <v>64</v>
      </c>
      <c r="C198" s="320">
        <f t="shared" si="6"/>
        <v>65</v>
      </c>
      <c r="D198" s="315">
        <f t="shared" si="7"/>
        <v>63</v>
      </c>
      <c r="E198" s="1389">
        <v>8.197325024458281E-3</v>
      </c>
      <c r="F198" s="1390">
        <v>4.6505503927838452E-3</v>
      </c>
      <c r="G198" s="304">
        <v>2.870728684523358E-2</v>
      </c>
      <c r="H198" s="324">
        <v>2.870728684523358E-2</v>
      </c>
      <c r="I198" s="304">
        <v>2.2280977986393748E-2</v>
      </c>
      <c r="J198" s="324">
        <v>2.2280977986393748E-2</v>
      </c>
      <c r="K198" s="304">
        <v>2.653079547495062E-2</v>
      </c>
      <c r="L198" s="324">
        <v>2.5526811718348467E-2</v>
      </c>
      <c r="M198" s="304">
        <v>3.1450256783165931E-2</v>
      </c>
      <c r="N198" s="324">
        <v>3.1172696739939262E-2</v>
      </c>
      <c r="O198" s="305">
        <v>2.3706479024440532E-2</v>
      </c>
      <c r="P198" s="324">
        <v>2.2895534388916377E-2</v>
      </c>
      <c r="Q198" s="304">
        <v>2.4036828028330764E-2</v>
      </c>
      <c r="R198" s="324">
        <v>2.6004262245850979E-2</v>
      </c>
      <c r="S198" s="304">
        <v>0.4241479634247714</v>
      </c>
      <c r="T198" s="472">
        <v>0.4241479634247714</v>
      </c>
      <c r="U198" s="304">
        <v>2.3530949735276814E-2</v>
      </c>
      <c r="V198" s="324">
        <v>2.3530949735276814E-2</v>
      </c>
      <c r="W198" s="304">
        <v>1.757256687535572E-2</v>
      </c>
      <c r="X198" s="324">
        <v>1.757256687535572E-2</v>
      </c>
      <c r="Y198" s="304">
        <v>2.653079547495062E-2</v>
      </c>
      <c r="Z198" s="324">
        <v>2.5526811718348467E-2</v>
      </c>
      <c r="AA198" s="304">
        <v>2.2452139639639639E-2</v>
      </c>
      <c r="AB198" s="324">
        <v>2.3748849720393574E-2</v>
      </c>
      <c r="AC198" s="305">
        <v>2.3706479024440532E-2</v>
      </c>
      <c r="AD198" s="324">
        <v>2.2895534388916377E-2</v>
      </c>
      <c r="AE198" s="304">
        <v>2.4036828028330764E-2</v>
      </c>
      <c r="AF198" s="324">
        <v>2.6004262245850979E-2</v>
      </c>
      <c r="AG198" s="304">
        <v>0.18515144613983148</v>
      </c>
      <c r="AH198" s="472">
        <v>0.4241479634247714</v>
      </c>
      <c r="AI198" s="350">
        <v>0</v>
      </c>
      <c r="AJ198" s="350">
        <v>0</v>
      </c>
    </row>
    <row r="199" spans="2:36" ht="13.5" thickBot="1" x14ac:dyDescent="0.25">
      <c r="B199" s="313">
        <v>65</v>
      </c>
      <c r="C199" s="321">
        <f t="shared" ref="C199:C244" si="8">B199+1</f>
        <v>66</v>
      </c>
      <c r="D199" s="316">
        <f t="shared" ref="D199:D244" si="9">B199-1</f>
        <v>64</v>
      </c>
      <c r="E199" s="1391">
        <v>9.0311400876793742E-3</v>
      </c>
      <c r="F199" s="1392">
        <v>5.1401723076834448E-3</v>
      </c>
      <c r="G199" s="310">
        <v>3.8614323366583853E-2</v>
      </c>
      <c r="H199" s="325">
        <v>3.8614323366583853E-2</v>
      </c>
      <c r="I199" s="310">
        <v>2.9852050326188258E-2</v>
      </c>
      <c r="J199" s="325">
        <v>2.9852050326188258E-2</v>
      </c>
      <c r="K199" s="310">
        <v>3.9603960396039604E-2</v>
      </c>
      <c r="L199" s="325">
        <v>2.4972855591748101E-2</v>
      </c>
      <c r="M199" s="310">
        <v>4.7610150292527416E-2</v>
      </c>
      <c r="N199" s="325">
        <v>3.1192660550458717E-2</v>
      </c>
      <c r="O199" s="311">
        <v>3.2981525569682542E-2</v>
      </c>
      <c r="P199" s="325">
        <v>2.1176131459017755E-2</v>
      </c>
      <c r="Q199" s="310">
        <v>2.3451284149302892E-2</v>
      </c>
      <c r="R199" s="325">
        <v>2.5491937570720324E-2</v>
      </c>
      <c r="S199" s="310">
        <v>0.71188222923238698</v>
      </c>
      <c r="T199" s="473">
        <v>0.71188222923238698</v>
      </c>
      <c r="U199" s="310">
        <v>2.3316631504922643E-2</v>
      </c>
      <c r="V199" s="325">
        <v>2.3316631504922643E-2</v>
      </c>
      <c r="W199" s="310">
        <v>1.8211393613635558E-2</v>
      </c>
      <c r="X199" s="325">
        <v>1.8211393613635558E-2</v>
      </c>
      <c r="Y199" s="310">
        <v>3.9603960396039604E-2</v>
      </c>
      <c r="Z199" s="325">
        <v>2.4972855591748101E-2</v>
      </c>
      <c r="AA199" s="310">
        <v>3.0659845007900081E-2</v>
      </c>
      <c r="AB199" s="325">
        <v>2.1122212513771228E-2</v>
      </c>
      <c r="AC199" s="311">
        <v>3.2981525569682542E-2</v>
      </c>
      <c r="AD199" s="325">
        <v>2.1176131459017755E-2</v>
      </c>
      <c r="AE199" s="310">
        <v>2.3451284149302892E-2</v>
      </c>
      <c r="AF199" s="325">
        <v>2.5491937570720324E-2</v>
      </c>
      <c r="AG199" s="310">
        <v>0.9070007749935417</v>
      </c>
      <c r="AH199" s="473">
        <v>0.71188222923238698</v>
      </c>
      <c r="AI199" s="351">
        <v>0</v>
      </c>
      <c r="AJ199" s="351">
        <v>0</v>
      </c>
    </row>
    <row r="200" spans="2:36" ht="13.5" thickTop="1" x14ac:dyDescent="0.2">
      <c r="B200" s="276">
        <v>66</v>
      </c>
      <c r="C200" s="320">
        <f t="shared" si="8"/>
        <v>67</v>
      </c>
      <c r="D200" s="315">
        <f t="shared" si="9"/>
        <v>65</v>
      </c>
      <c r="E200" s="1389">
        <v>9.9407317995806321E-3</v>
      </c>
      <c r="F200" s="1390">
        <v>5.6857043497078891E-3</v>
      </c>
      <c r="G200" s="304">
        <v>2.5753046677397102E-2</v>
      </c>
      <c r="H200" s="324">
        <v>2.5753046677397102E-2</v>
      </c>
      <c r="I200" s="304">
        <v>2.0253610426206412E-2</v>
      </c>
      <c r="J200" s="324">
        <v>2.0253610426206412E-2</v>
      </c>
      <c r="K200" s="304">
        <v>2.0495734262204048E-2</v>
      </c>
      <c r="L200" s="324">
        <v>1.5944360333080998E-2</v>
      </c>
      <c r="M200" s="304">
        <v>2.6131078224101479E-2</v>
      </c>
      <c r="N200" s="324">
        <v>1.9686342664432168E-2</v>
      </c>
      <c r="O200" s="305">
        <v>2.122910634438617E-2</v>
      </c>
      <c r="P200" s="324">
        <v>1.49387454249695E-2</v>
      </c>
      <c r="Q200" s="304">
        <v>2.2952814087060486E-2</v>
      </c>
      <c r="R200" s="324">
        <v>2.5047885106692619E-2</v>
      </c>
      <c r="S200" s="304">
        <v>8.2024432809773118E-2</v>
      </c>
      <c r="T200" s="472">
        <v>8.2024432809773118E-2</v>
      </c>
      <c r="U200" s="304">
        <v>1.8475801801002528E-2</v>
      </c>
      <c r="V200" s="324">
        <v>1.8475801801002528E-2</v>
      </c>
      <c r="W200" s="304">
        <v>1.3760817137182579E-2</v>
      </c>
      <c r="X200" s="324">
        <v>1.3760817137182579E-2</v>
      </c>
      <c r="Y200" s="304">
        <v>2.0495734262204048E-2</v>
      </c>
      <c r="Z200" s="324">
        <v>1.5944360333080998E-2</v>
      </c>
      <c r="AA200" s="304">
        <v>2.2154841317970488E-2</v>
      </c>
      <c r="AB200" s="324">
        <v>1.5751538710722383E-2</v>
      </c>
      <c r="AC200" s="305">
        <v>2.122910634438617E-2</v>
      </c>
      <c r="AD200" s="324">
        <v>1.49387454249695E-2</v>
      </c>
      <c r="AE200" s="304">
        <v>2.2952814087060486E-2</v>
      </c>
      <c r="AF200" s="324">
        <v>2.5047885106692619E-2</v>
      </c>
      <c r="AG200" s="304">
        <v>0.37454545454545457</v>
      </c>
      <c r="AH200" s="472">
        <v>8.2024432809773118E-2</v>
      </c>
      <c r="AI200" s="350">
        <v>0</v>
      </c>
      <c r="AJ200" s="350">
        <v>0</v>
      </c>
    </row>
    <row r="201" spans="2:36" x14ac:dyDescent="0.2">
      <c r="B201" s="276">
        <v>67</v>
      </c>
      <c r="C201" s="320">
        <f t="shared" si="8"/>
        <v>68</v>
      </c>
      <c r="D201" s="315">
        <f t="shared" si="9"/>
        <v>66</v>
      </c>
      <c r="E201" s="1389">
        <v>1.0936267795768225E-2</v>
      </c>
      <c r="F201" s="1390">
        <v>6.294730960497436E-3</v>
      </c>
      <c r="G201" s="304">
        <v>2.3376985585882533E-2</v>
      </c>
      <c r="H201" s="324">
        <v>2.3376985585882533E-2</v>
      </c>
      <c r="I201" s="304">
        <v>1.760665011833978E-2</v>
      </c>
      <c r="J201" s="324">
        <v>1.760665011833978E-2</v>
      </c>
      <c r="K201" s="304">
        <v>1.8063274903805045E-2</v>
      </c>
      <c r="L201" s="324">
        <v>1.4862842892768079E-2</v>
      </c>
      <c r="M201" s="304">
        <v>2.2700060484119832E-2</v>
      </c>
      <c r="N201" s="324">
        <v>1.8819574847752336E-2</v>
      </c>
      <c r="O201" s="305">
        <v>1.7389726452042158E-2</v>
      </c>
      <c r="P201" s="324">
        <v>1.3529596191621824E-2</v>
      </c>
      <c r="Q201" s="304">
        <v>2.2541417841603545E-2</v>
      </c>
      <c r="R201" s="324">
        <v>2.4672104853767779E-2</v>
      </c>
      <c r="S201" s="304">
        <v>7.4712643678160925E-2</v>
      </c>
      <c r="T201" s="472">
        <v>7.4712643678160925E-2</v>
      </c>
      <c r="U201" s="304">
        <v>1.7358406587292756E-2</v>
      </c>
      <c r="V201" s="324">
        <v>1.7358406587292756E-2</v>
      </c>
      <c r="W201" s="304">
        <v>1.2549653742046613E-2</v>
      </c>
      <c r="X201" s="324">
        <v>1.2549653742046613E-2</v>
      </c>
      <c r="Y201" s="304">
        <v>1.8063274903805045E-2</v>
      </c>
      <c r="Z201" s="324">
        <v>1.4862842892768079E-2</v>
      </c>
      <c r="AA201" s="304">
        <v>1.7482214124587888E-2</v>
      </c>
      <c r="AB201" s="324">
        <v>1.3723459347488347E-2</v>
      </c>
      <c r="AC201" s="305">
        <v>1.7389726452042158E-2</v>
      </c>
      <c r="AD201" s="324">
        <v>1.3529596191621824E-2</v>
      </c>
      <c r="AE201" s="304">
        <v>2.2541417841603545E-2</v>
      </c>
      <c r="AF201" s="324">
        <v>2.4672104853767779E-2</v>
      </c>
      <c r="AG201" s="304">
        <v>0.17674418604651163</v>
      </c>
      <c r="AH201" s="472">
        <v>7.4712643678160925E-2</v>
      </c>
      <c r="AI201" s="350">
        <v>0</v>
      </c>
      <c r="AJ201" s="350">
        <v>0</v>
      </c>
    </row>
    <row r="202" spans="2:36" x14ac:dyDescent="0.2">
      <c r="B202" s="276">
        <v>68</v>
      </c>
      <c r="C202" s="320">
        <f t="shared" si="8"/>
        <v>69</v>
      </c>
      <c r="D202" s="315">
        <f t="shared" si="9"/>
        <v>67</v>
      </c>
      <c r="E202" s="1389">
        <v>1.2029970260250461E-2</v>
      </c>
      <c r="F202" s="1390">
        <v>6.9760888923022244E-3</v>
      </c>
      <c r="G202" s="304">
        <v>2.2559887389085792E-2</v>
      </c>
      <c r="H202" s="324">
        <v>2.2559887389085792E-2</v>
      </c>
      <c r="I202" s="304">
        <v>1.6368751598510898E-2</v>
      </c>
      <c r="J202" s="324">
        <v>1.6368751598510898E-2</v>
      </c>
      <c r="K202" s="304">
        <v>1.6444570456478593E-2</v>
      </c>
      <c r="L202" s="324">
        <v>1.3942965379353888E-2</v>
      </c>
      <c r="M202" s="304">
        <v>2.1038996969277784E-2</v>
      </c>
      <c r="N202" s="324">
        <v>1.7279046673286991E-2</v>
      </c>
      <c r="O202" s="305">
        <v>1.553385431608582E-2</v>
      </c>
      <c r="P202" s="324">
        <v>1.2906445174167794E-2</v>
      </c>
      <c r="Q202" s="304">
        <v>2.2217095412932125E-2</v>
      </c>
      <c r="R202" s="324">
        <v>2.4364596811945832E-2</v>
      </c>
      <c r="S202" s="304">
        <v>6.7717454757734968E-2</v>
      </c>
      <c r="T202" s="472">
        <v>6.7717454757734968E-2</v>
      </c>
      <c r="U202" s="304">
        <v>1.6915823110098097E-2</v>
      </c>
      <c r="V202" s="324">
        <v>1.6915823110098097E-2</v>
      </c>
      <c r="W202" s="304">
        <v>1.1080720948173084E-2</v>
      </c>
      <c r="X202" s="324">
        <v>1.1080720948173084E-2</v>
      </c>
      <c r="Y202" s="304">
        <v>1.6444570456478593E-2</v>
      </c>
      <c r="Z202" s="324">
        <v>1.3942965379353888E-2</v>
      </c>
      <c r="AA202" s="304">
        <v>1.4447932053175775E-2</v>
      </c>
      <c r="AB202" s="324">
        <v>1.4345104847183517E-2</v>
      </c>
      <c r="AC202" s="305">
        <v>1.553385431608582E-2</v>
      </c>
      <c r="AD202" s="324">
        <v>1.2906445174167794E-2</v>
      </c>
      <c r="AE202" s="304">
        <v>2.2217095412932125E-2</v>
      </c>
      <c r="AF202" s="324">
        <v>2.4364596811945832E-2</v>
      </c>
      <c r="AG202" s="304">
        <v>0.18556701030927836</v>
      </c>
      <c r="AH202" s="472">
        <v>6.7717454757734968E-2</v>
      </c>
      <c r="AI202" s="350">
        <v>0</v>
      </c>
      <c r="AJ202" s="350">
        <v>0</v>
      </c>
    </row>
    <row r="203" spans="2:36" x14ac:dyDescent="0.2">
      <c r="B203" s="276">
        <v>69</v>
      </c>
      <c r="C203" s="320">
        <f t="shared" si="8"/>
        <v>70</v>
      </c>
      <c r="D203" s="315">
        <f t="shared" si="9"/>
        <v>68</v>
      </c>
      <c r="E203" s="1389">
        <v>1.3236508663658261E-2</v>
      </c>
      <c r="F203" s="1390">
        <v>7.7400805040503638E-3</v>
      </c>
      <c r="G203" s="304">
        <v>2.0992628257100448E-2</v>
      </c>
      <c r="H203" s="324">
        <v>2.0992628257100448E-2</v>
      </c>
      <c r="I203" s="304">
        <v>1.8070598799034738E-2</v>
      </c>
      <c r="J203" s="324">
        <v>1.8070598799034738E-2</v>
      </c>
      <c r="K203" s="304">
        <v>1.4911129667183587E-2</v>
      </c>
      <c r="L203" s="324">
        <v>1.2224392966787609E-2</v>
      </c>
      <c r="M203" s="304">
        <v>1.7997119441222582E-2</v>
      </c>
      <c r="N203" s="324">
        <v>1.5931359679062392E-2</v>
      </c>
      <c r="O203" s="305">
        <v>1.4329129194150808E-2</v>
      </c>
      <c r="P203" s="324">
        <v>1.1974378138086337E-2</v>
      </c>
      <c r="Q203" s="304">
        <v>2.1979846801046199E-2</v>
      </c>
      <c r="R203" s="324">
        <v>2.4125360981226779E-2</v>
      </c>
      <c r="S203" s="304">
        <v>6.3095238095238093E-2</v>
      </c>
      <c r="T203" s="472">
        <v>6.3095238095238093E-2</v>
      </c>
      <c r="U203" s="304">
        <v>1.7863579023247433E-2</v>
      </c>
      <c r="V203" s="324">
        <v>1.7863579023247433E-2</v>
      </c>
      <c r="W203" s="304">
        <v>1.1433381264686283E-2</v>
      </c>
      <c r="X203" s="324">
        <v>1.1433381264686283E-2</v>
      </c>
      <c r="Y203" s="304">
        <v>1.4911129667183587E-2</v>
      </c>
      <c r="Z203" s="324">
        <v>1.2224392966787609E-2</v>
      </c>
      <c r="AA203" s="304">
        <v>1.323075415298672E-2</v>
      </c>
      <c r="AB203" s="324">
        <v>1.3253713952810952E-2</v>
      </c>
      <c r="AC203" s="305">
        <v>1.4329129194150808E-2</v>
      </c>
      <c r="AD203" s="324">
        <v>1.1974378138086337E-2</v>
      </c>
      <c r="AE203" s="304">
        <v>2.1979846801046199E-2</v>
      </c>
      <c r="AF203" s="324">
        <v>2.4125360981226779E-2</v>
      </c>
      <c r="AG203" s="304">
        <v>0.13725490196078433</v>
      </c>
      <c r="AH203" s="472">
        <v>6.3095238095238093E-2</v>
      </c>
      <c r="AI203" s="350">
        <v>0</v>
      </c>
      <c r="AJ203" s="350">
        <v>0</v>
      </c>
    </row>
    <row r="204" spans="2:36" ht="13.5" thickBot="1" x14ac:dyDescent="0.25">
      <c r="B204" s="313">
        <v>70</v>
      </c>
      <c r="C204" s="321">
        <f t="shared" si="8"/>
        <v>71</v>
      </c>
      <c r="D204" s="316">
        <f t="shared" si="9"/>
        <v>69</v>
      </c>
      <c r="E204" s="1391">
        <v>1.4573485372382402E-2</v>
      </c>
      <c r="F204" s="1392">
        <v>8.5987284146769039E-3</v>
      </c>
      <c r="G204" s="310">
        <v>2.9935807496989035E-2</v>
      </c>
      <c r="H204" s="325">
        <v>2.9935807496989035E-2</v>
      </c>
      <c r="I204" s="310">
        <v>1.9723538048145379E-2</v>
      </c>
      <c r="J204" s="325">
        <v>1.9723538048145379E-2</v>
      </c>
      <c r="K204" s="310">
        <v>1.8988148336944056E-2</v>
      </c>
      <c r="L204" s="325">
        <v>1.5349057721939077E-2</v>
      </c>
      <c r="M204" s="310">
        <v>2.1132757063604696E-2</v>
      </c>
      <c r="N204" s="325">
        <v>1.905072822435418E-2</v>
      </c>
      <c r="O204" s="311">
        <v>1.4928439361774978E-2</v>
      </c>
      <c r="P204" s="325">
        <v>1.3080518328381186E-2</v>
      </c>
      <c r="Q204" s="310">
        <v>2.1829672005945766E-2</v>
      </c>
      <c r="R204" s="325">
        <v>2.3954397361610619E-2</v>
      </c>
      <c r="S204" s="351">
        <v>0.96764529658478127</v>
      </c>
      <c r="T204" s="1259">
        <v>0.96764529658478127</v>
      </c>
      <c r="U204" s="310">
        <v>1.5245920346913158E-2</v>
      </c>
      <c r="V204" s="325">
        <v>1.5245920346913158E-2</v>
      </c>
      <c r="W204" s="310">
        <v>1.1902671956743091E-2</v>
      </c>
      <c r="X204" s="325">
        <v>1.1902671956743091E-2</v>
      </c>
      <c r="Y204" s="310">
        <v>1.8988148336944056E-2</v>
      </c>
      <c r="Z204" s="325">
        <v>1.5349057721939077E-2</v>
      </c>
      <c r="AA204" s="310">
        <v>1.1156292357418413E-2</v>
      </c>
      <c r="AB204" s="325">
        <v>1.1457637568720135E-2</v>
      </c>
      <c r="AC204" s="311">
        <v>1.4928439361774978E-2</v>
      </c>
      <c r="AD204" s="325">
        <v>1.3080518328381186E-2</v>
      </c>
      <c r="AE204" s="310">
        <v>2.1829672005945766E-2</v>
      </c>
      <c r="AF204" s="325">
        <v>2.3954397361610619E-2</v>
      </c>
      <c r="AG204" s="351">
        <v>0.16176470588235295</v>
      </c>
      <c r="AH204" s="1259">
        <v>0.96764529658478127</v>
      </c>
      <c r="AI204" s="351">
        <v>0</v>
      </c>
      <c r="AJ204" s="351">
        <v>0</v>
      </c>
    </row>
    <row r="205" spans="2:36" ht="13.5" thickTop="1" x14ac:dyDescent="0.2">
      <c r="B205" s="276">
        <v>71</v>
      </c>
      <c r="C205" s="320">
        <f t="shared" si="8"/>
        <v>72</v>
      </c>
      <c r="D205" s="315">
        <f t="shared" si="9"/>
        <v>70</v>
      </c>
      <c r="E205" s="1389">
        <v>1.6062043869134561E-2</v>
      </c>
      <c r="F205" s="1390">
        <v>9.5660816236498181E-3</v>
      </c>
      <c r="G205" s="304">
        <v>2.0223844037734428E-2</v>
      </c>
      <c r="H205" s="324">
        <v>2.0223844037734428E-2</v>
      </c>
      <c r="I205" s="304">
        <v>1.5631577470322455E-2</v>
      </c>
      <c r="J205" s="324">
        <v>1.5631577470322455E-2</v>
      </c>
      <c r="K205" s="304">
        <v>1.1606087983876572E-2</v>
      </c>
      <c r="L205" s="324">
        <v>1.1089494163424125E-2</v>
      </c>
      <c r="M205" s="304">
        <v>1.5038970549772454E-2</v>
      </c>
      <c r="N205" s="324">
        <v>1.3428580513190109E-2</v>
      </c>
      <c r="O205" s="305">
        <v>1.20950891311356E-2</v>
      </c>
      <c r="P205" s="324">
        <v>1.0555558308269869E-2</v>
      </c>
      <c r="Q205" s="304">
        <v>2.1766571027630827E-2</v>
      </c>
      <c r="R205" s="324">
        <v>2.3851705953097435E-2</v>
      </c>
      <c r="S205" s="350">
        <v>0.11764705882352941</v>
      </c>
      <c r="T205" s="1258">
        <v>0.11764705882352941</v>
      </c>
      <c r="U205" s="304">
        <v>1.5512491028223472E-2</v>
      </c>
      <c r="V205" s="324">
        <v>1.5512491028223472E-2</v>
      </c>
      <c r="W205" s="304">
        <v>1.0708080700634684E-2</v>
      </c>
      <c r="X205" s="324">
        <v>1.0708080700634684E-2</v>
      </c>
      <c r="Y205" s="304">
        <v>1.1606087983876572E-2</v>
      </c>
      <c r="Z205" s="324">
        <v>1.1089494163424125E-2</v>
      </c>
      <c r="AA205" s="304">
        <v>1.2531051614683963E-2</v>
      </c>
      <c r="AB205" s="324">
        <v>1.0311540149188241E-2</v>
      </c>
      <c r="AC205" s="305">
        <v>1.20950891311356E-2</v>
      </c>
      <c r="AD205" s="324">
        <v>1.0555558308269869E-2</v>
      </c>
      <c r="AE205" s="304">
        <v>2.1766571027630827E-2</v>
      </c>
      <c r="AF205" s="324">
        <v>2.3851705953097435E-2</v>
      </c>
      <c r="AG205" s="350">
        <v>9.0163934426229511E-2</v>
      </c>
      <c r="AH205" s="1258">
        <v>0.11764705882352941</v>
      </c>
      <c r="AI205" s="350">
        <v>0</v>
      </c>
      <c r="AJ205" s="350">
        <v>0</v>
      </c>
    </row>
    <row r="206" spans="2:36" x14ac:dyDescent="0.2">
      <c r="B206" s="276">
        <v>72</v>
      </c>
      <c r="C206" s="320">
        <f t="shared" si="8"/>
        <v>73</v>
      </c>
      <c r="D206" s="315">
        <f t="shared" si="9"/>
        <v>71</v>
      </c>
      <c r="E206" s="1389">
        <v>1.7727638980200352E-2</v>
      </c>
      <c r="F206" s="1390">
        <v>1.0658586213574493E-2</v>
      </c>
      <c r="G206" s="304">
        <v>1.9583391655108352E-2</v>
      </c>
      <c r="H206" s="324">
        <v>1.9583391655108352E-2</v>
      </c>
      <c r="I206" s="304">
        <v>1.5099150141643059E-2</v>
      </c>
      <c r="J206" s="324">
        <v>1.5099150141643059E-2</v>
      </c>
      <c r="K206" s="304">
        <v>1.1478525275560623E-2</v>
      </c>
      <c r="L206" s="324">
        <v>1.0595932299815104E-2</v>
      </c>
      <c r="M206" s="304">
        <v>1.4177593007142096E-2</v>
      </c>
      <c r="N206" s="324">
        <v>1.3482473852333792E-2</v>
      </c>
      <c r="O206" s="305">
        <v>1.1404843387352698E-2</v>
      </c>
      <c r="P206" s="324">
        <v>1.0118900007372604E-2</v>
      </c>
      <c r="Q206" s="304">
        <v>2.1790543866101381E-2</v>
      </c>
      <c r="R206" s="324">
        <v>2.3817286755687117E-2</v>
      </c>
      <c r="S206" s="350">
        <v>5.2631578947368418E-2</v>
      </c>
      <c r="T206" s="1258">
        <v>5.2631578947368418E-2</v>
      </c>
      <c r="U206" s="304">
        <v>1.6226603088748133E-2</v>
      </c>
      <c r="V206" s="324">
        <v>1.6226603088748133E-2</v>
      </c>
      <c r="W206" s="304">
        <v>1.0769397564236926E-2</v>
      </c>
      <c r="X206" s="324">
        <v>1.0769397564236926E-2</v>
      </c>
      <c r="Y206" s="304">
        <v>1.1478525275560623E-2</v>
      </c>
      <c r="Z206" s="324">
        <v>1.0595932299815104E-2</v>
      </c>
      <c r="AA206" s="304">
        <v>1.1126155295225761E-2</v>
      </c>
      <c r="AB206" s="324">
        <v>1.1261261261261261E-2</v>
      </c>
      <c r="AC206" s="305">
        <v>1.1404843387352698E-2</v>
      </c>
      <c r="AD206" s="324">
        <v>1.0118900007372604E-2</v>
      </c>
      <c r="AE206" s="304">
        <v>2.1790543866101381E-2</v>
      </c>
      <c r="AF206" s="324">
        <v>2.3817286755687117E-2</v>
      </c>
      <c r="AG206" s="350">
        <v>0.10169491525423729</v>
      </c>
      <c r="AH206" s="1258">
        <v>5.2631578947368418E-2</v>
      </c>
      <c r="AI206" s="350">
        <v>0</v>
      </c>
      <c r="AJ206" s="350">
        <v>0</v>
      </c>
    </row>
    <row r="207" spans="2:36" x14ac:dyDescent="0.2">
      <c r="B207" s="276">
        <v>73</v>
      </c>
      <c r="C207" s="320">
        <f t="shared" si="8"/>
        <v>74</v>
      </c>
      <c r="D207" s="315">
        <f t="shared" si="9"/>
        <v>72</v>
      </c>
      <c r="E207" s="1389">
        <v>1.9601021626179261E-2</v>
      </c>
      <c r="F207" s="1390">
        <v>1.189553778570996E-2</v>
      </c>
      <c r="G207" s="304">
        <v>1.9802238513918966E-2</v>
      </c>
      <c r="H207" s="324">
        <v>1.9802238513918966E-2</v>
      </c>
      <c r="I207" s="304">
        <v>1.4438111939207949E-2</v>
      </c>
      <c r="J207" s="324">
        <v>1.4438111939207949E-2</v>
      </c>
      <c r="K207" s="304">
        <v>1.2575962187711006E-2</v>
      </c>
      <c r="L207" s="324">
        <v>1.159488878371983E-2</v>
      </c>
      <c r="M207" s="304">
        <v>1.489493627282122E-2</v>
      </c>
      <c r="N207" s="324">
        <v>1.3194164496693287E-2</v>
      </c>
      <c r="O207" s="305">
        <v>1.1224783373950718E-2</v>
      </c>
      <c r="P207" s="324">
        <v>9.9904460131006474E-3</v>
      </c>
      <c r="Q207" s="304">
        <v>2.1901590521357345E-2</v>
      </c>
      <c r="R207" s="324">
        <v>2.3851139769379665E-2</v>
      </c>
      <c r="S207" s="350">
        <v>4.2105263157894736E-2</v>
      </c>
      <c r="T207" s="1258">
        <v>4.2105263157894736E-2</v>
      </c>
      <c r="U207" s="304">
        <v>1.4586269129026675E-2</v>
      </c>
      <c r="V207" s="324">
        <v>1.4586269129026675E-2</v>
      </c>
      <c r="W207" s="304">
        <v>9.4474019644597736E-3</v>
      </c>
      <c r="X207" s="324">
        <v>9.4474019644597736E-3</v>
      </c>
      <c r="Y207" s="304">
        <v>1.2575962187711006E-2</v>
      </c>
      <c r="Z207" s="324">
        <v>1.159488878371983E-2</v>
      </c>
      <c r="AA207" s="304">
        <v>1.0509654954099399E-2</v>
      </c>
      <c r="AB207" s="324">
        <v>1.0733016221490426E-2</v>
      </c>
      <c r="AC207" s="305">
        <v>1.1224783373950718E-2</v>
      </c>
      <c r="AD207" s="324">
        <v>9.9904460131006474E-3</v>
      </c>
      <c r="AE207" s="304">
        <v>2.1901590521357345E-2</v>
      </c>
      <c r="AF207" s="324">
        <v>2.3851139769379665E-2</v>
      </c>
      <c r="AG207" s="350">
        <v>9.3457943925233641E-2</v>
      </c>
      <c r="AH207" s="1258">
        <v>4.2105263157894736E-2</v>
      </c>
      <c r="AI207" s="350">
        <v>0</v>
      </c>
      <c r="AJ207" s="350">
        <v>0</v>
      </c>
    </row>
    <row r="208" spans="2:36" x14ac:dyDescent="0.2">
      <c r="B208" s="276">
        <v>74</v>
      </c>
      <c r="C208" s="320">
        <f t="shared" si="8"/>
        <v>75</v>
      </c>
      <c r="D208" s="315">
        <f t="shared" si="9"/>
        <v>73</v>
      </c>
      <c r="E208" s="1389">
        <v>2.171888612110584E-2</v>
      </c>
      <c r="F208" s="1390">
        <v>1.3299900756061349E-2</v>
      </c>
      <c r="G208" s="304">
        <v>1.8481901456761228E-2</v>
      </c>
      <c r="H208" s="324">
        <v>1.8481901456761228E-2</v>
      </c>
      <c r="I208" s="304">
        <v>1.3790622376783787E-2</v>
      </c>
      <c r="J208" s="324">
        <v>1.3790622376783787E-2</v>
      </c>
      <c r="K208" s="304">
        <v>9.3954636044414914E-3</v>
      </c>
      <c r="L208" s="324">
        <v>7.8310602727672679E-3</v>
      </c>
      <c r="M208" s="304">
        <v>1.3633838132007465E-2</v>
      </c>
      <c r="N208" s="324">
        <v>1.3333333333333334E-2</v>
      </c>
      <c r="O208" s="305">
        <v>1.0663402779000757E-2</v>
      </c>
      <c r="P208" s="324">
        <v>9.9489048259692025E-3</v>
      </c>
      <c r="Q208" s="304">
        <v>2.2099710993398886E-2</v>
      </c>
      <c r="R208" s="324">
        <v>2.3953264994175133E-2</v>
      </c>
      <c r="S208" s="350">
        <v>5.6250000000000001E-2</v>
      </c>
      <c r="T208" s="1258">
        <v>5.6250000000000001E-2</v>
      </c>
      <c r="U208" s="304">
        <v>1.4987746678705017E-2</v>
      </c>
      <c r="V208" s="324">
        <v>1.4987746678705017E-2</v>
      </c>
      <c r="W208" s="304">
        <v>8.3557846237944638E-3</v>
      </c>
      <c r="X208" s="324">
        <v>8.3557846237944638E-3</v>
      </c>
      <c r="Y208" s="304">
        <v>9.3954636044414914E-3</v>
      </c>
      <c r="Z208" s="324">
        <v>7.8310602727672679E-3</v>
      </c>
      <c r="AA208" s="304">
        <v>1.119327047011736E-2</v>
      </c>
      <c r="AB208" s="324">
        <v>1.189860320744956E-2</v>
      </c>
      <c r="AC208" s="305">
        <v>1.0663402779000757E-2</v>
      </c>
      <c r="AD208" s="324">
        <v>9.9489048259692025E-3</v>
      </c>
      <c r="AE208" s="304">
        <v>2.2099710993398886E-2</v>
      </c>
      <c r="AF208" s="324">
        <v>2.3953264994175133E-2</v>
      </c>
      <c r="AG208" s="350">
        <v>7.0707070707070704E-2</v>
      </c>
      <c r="AH208" s="1258">
        <v>5.6250000000000001E-2</v>
      </c>
      <c r="AI208" s="350">
        <v>0</v>
      </c>
      <c r="AJ208" s="350">
        <v>0</v>
      </c>
    </row>
    <row r="209" spans="2:36" ht="13.5" thickBot="1" x14ac:dyDescent="0.25">
      <c r="B209" s="313">
        <v>75</v>
      </c>
      <c r="C209" s="321">
        <f t="shared" si="8"/>
        <v>76</v>
      </c>
      <c r="D209" s="316">
        <f t="shared" si="9"/>
        <v>74</v>
      </c>
      <c r="E209" s="1391">
        <v>2.4122431410320982E-2</v>
      </c>
      <c r="F209" s="1392">
        <v>1.4900305860043168E-2</v>
      </c>
      <c r="G209" s="310">
        <v>2.035804484630304E-2</v>
      </c>
      <c r="H209" s="325">
        <v>2.035804484630304E-2</v>
      </c>
      <c r="I209" s="310">
        <v>1.3347537285374108E-2</v>
      </c>
      <c r="J209" s="325">
        <v>1.3347537285374108E-2</v>
      </c>
      <c r="K209" s="310">
        <v>1.3310433662516101E-2</v>
      </c>
      <c r="L209" s="325">
        <v>1.0739856801909307E-2</v>
      </c>
      <c r="M209" s="310">
        <v>1.3727387776371622E-2</v>
      </c>
      <c r="N209" s="325">
        <v>1.2526913290272069E-2</v>
      </c>
      <c r="O209" s="311">
        <v>1.0957289451788851E-2</v>
      </c>
      <c r="P209" s="325">
        <v>9.8195396965168498E-3</v>
      </c>
      <c r="Q209" s="310">
        <v>2.238490528222592E-2</v>
      </c>
      <c r="R209" s="325">
        <v>2.4123662430073523E-2</v>
      </c>
      <c r="S209" s="351">
        <v>6.2992125984251968E-2</v>
      </c>
      <c r="T209" s="1259">
        <v>6.2992125984251968E-2</v>
      </c>
      <c r="U209" s="310">
        <v>1.4843664887242619E-2</v>
      </c>
      <c r="V209" s="325">
        <v>1.4843664887242619E-2</v>
      </c>
      <c r="W209" s="310">
        <v>9.8264945316996963E-3</v>
      </c>
      <c r="X209" s="325">
        <v>9.8264945316996963E-3</v>
      </c>
      <c r="Y209" s="310">
        <v>1.3310433662516101E-2</v>
      </c>
      <c r="Z209" s="325">
        <v>1.0739856801909307E-2</v>
      </c>
      <c r="AA209" s="310">
        <v>1.0213014298220018E-2</v>
      </c>
      <c r="AB209" s="325">
        <v>1.1481608800275009E-2</v>
      </c>
      <c r="AC209" s="311">
        <v>1.0957289451788851E-2</v>
      </c>
      <c r="AD209" s="325">
        <v>9.8195396965168498E-3</v>
      </c>
      <c r="AE209" s="310">
        <v>2.238490528222592E-2</v>
      </c>
      <c r="AF209" s="325">
        <v>2.4123662430073523E-2</v>
      </c>
      <c r="AG209" s="351">
        <v>6.4220183486238536E-2</v>
      </c>
      <c r="AH209" s="1259">
        <v>6.2992125984251968E-2</v>
      </c>
      <c r="AI209" s="351">
        <v>0</v>
      </c>
      <c r="AJ209" s="351">
        <v>0</v>
      </c>
    </row>
    <row r="210" spans="2:36" ht="13.5" thickTop="1" x14ac:dyDescent="0.2">
      <c r="B210" s="276">
        <v>76</v>
      </c>
      <c r="C210" s="320">
        <f t="shared" si="8"/>
        <v>77</v>
      </c>
      <c r="D210" s="315">
        <f t="shared" si="9"/>
        <v>75</v>
      </c>
      <c r="E210" s="1389">
        <v>2.6857514732340552E-2</v>
      </c>
      <c r="F210" s="1390">
        <v>1.6732731167171538E-2</v>
      </c>
      <c r="G210" s="304">
        <v>1.8588665447897623E-2</v>
      </c>
      <c r="H210" s="324">
        <v>1.8588665447897623E-2</v>
      </c>
      <c r="I210" s="304">
        <v>1.3309994055089504E-2</v>
      </c>
      <c r="J210" s="324">
        <v>1.3309994055089504E-2</v>
      </c>
      <c r="K210" s="304">
        <v>7.4481074481074485E-3</v>
      </c>
      <c r="L210" s="324">
        <v>7.2521246458923513E-3</v>
      </c>
      <c r="M210" s="304">
        <v>1.2777646966486146E-2</v>
      </c>
      <c r="N210" s="324">
        <v>1.2413514828572446E-2</v>
      </c>
      <c r="O210" s="305">
        <v>1.0163321647142176E-2</v>
      </c>
      <c r="P210" s="324">
        <v>9.6116425600419175E-3</v>
      </c>
      <c r="Q210" s="304">
        <v>2.2757173387838447E-2</v>
      </c>
      <c r="R210" s="324">
        <v>2.4362332077074833E-2</v>
      </c>
      <c r="S210" s="350">
        <v>3.048780487804878E-2</v>
      </c>
      <c r="T210" s="1258">
        <v>3.048780487804878E-2</v>
      </c>
      <c r="U210" s="304">
        <v>1.5049780041676314E-2</v>
      </c>
      <c r="V210" s="324">
        <v>1.5049780041676314E-2</v>
      </c>
      <c r="W210" s="304">
        <v>8.7097338935574233E-3</v>
      </c>
      <c r="X210" s="324">
        <v>8.7097338935574233E-3</v>
      </c>
      <c r="Y210" s="304">
        <v>7.4481074481074485E-3</v>
      </c>
      <c r="Z210" s="324">
        <v>7.2521246458923513E-3</v>
      </c>
      <c r="AA210" s="304">
        <v>1.1061072924073635E-2</v>
      </c>
      <c r="AB210" s="324">
        <v>1.1971210340775558E-2</v>
      </c>
      <c r="AC210" s="305">
        <v>1.0163321647142176E-2</v>
      </c>
      <c r="AD210" s="324">
        <v>9.6116425600419175E-3</v>
      </c>
      <c r="AE210" s="304">
        <v>2.2757173387838447E-2</v>
      </c>
      <c r="AF210" s="324">
        <v>2.4362332077074833E-2</v>
      </c>
      <c r="AG210" s="350">
        <v>4.9586776859504134E-2</v>
      </c>
      <c r="AH210" s="1258">
        <v>3.048780487804878E-2</v>
      </c>
      <c r="AI210" s="350">
        <v>0</v>
      </c>
      <c r="AJ210" s="350">
        <v>0</v>
      </c>
    </row>
    <row r="211" spans="2:36" x14ac:dyDescent="0.2">
      <c r="B211" s="276">
        <v>77</v>
      </c>
      <c r="C211" s="320">
        <f t="shared" si="8"/>
        <v>78</v>
      </c>
      <c r="D211" s="315">
        <f t="shared" si="9"/>
        <v>76</v>
      </c>
      <c r="E211" s="1389">
        <v>2.9977500497538469E-2</v>
      </c>
      <c r="F211" s="1390">
        <v>1.8841439654385988E-2</v>
      </c>
      <c r="G211" s="304">
        <v>1.7651691813506711E-2</v>
      </c>
      <c r="H211" s="324">
        <v>1.7651691813506711E-2</v>
      </c>
      <c r="I211" s="304">
        <v>1.2961081724874767E-2</v>
      </c>
      <c r="J211" s="324">
        <v>1.2961081724874767E-2</v>
      </c>
      <c r="K211" s="304">
        <v>9.2918485147120942E-3</v>
      </c>
      <c r="L211" s="324">
        <v>6.9695405265875069E-3</v>
      </c>
      <c r="M211" s="304">
        <v>1.2863655200994613E-2</v>
      </c>
      <c r="N211" s="324">
        <v>1.2331302631740234E-2</v>
      </c>
      <c r="O211" s="305">
        <v>1.0437373165933992E-2</v>
      </c>
      <c r="P211" s="324">
        <v>9.6364268389991861E-3</v>
      </c>
      <c r="Q211" s="304">
        <v>2.3216515310236441E-2</v>
      </c>
      <c r="R211" s="324">
        <v>2.4669273935179009E-2</v>
      </c>
      <c r="S211" s="350">
        <v>4.0816326530612242E-2</v>
      </c>
      <c r="T211" s="1258">
        <v>4.0816326530612242E-2</v>
      </c>
      <c r="U211" s="304">
        <v>1.4514637904468414E-2</v>
      </c>
      <c r="V211" s="324">
        <v>1.4514637904468414E-2</v>
      </c>
      <c r="W211" s="304">
        <v>8.9189820219472329E-3</v>
      </c>
      <c r="X211" s="324">
        <v>8.9189820219472329E-3</v>
      </c>
      <c r="Y211" s="304">
        <v>9.2918485147120942E-3</v>
      </c>
      <c r="Z211" s="324">
        <v>6.9695405265875069E-3</v>
      </c>
      <c r="AA211" s="304">
        <v>8.8977194194885968E-3</v>
      </c>
      <c r="AB211" s="324">
        <v>9.9881093935790723E-3</v>
      </c>
      <c r="AC211" s="305">
        <v>1.0437373165933992E-2</v>
      </c>
      <c r="AD211" s="324">
        <v>9.6364268389991861E-3</v>
      </c>
      <c r="AE211" s="304">
        <v>2.3216515310236441E-2</v>
      </c>
      <c r="AF211" s="324">
        <v>2.4669273935179009E-2</v>
      </c>
      <c r="AG211" s="350">
        <v>4.0322580645161289E-2</v>
      </c>
      <c r="AH211" s="1258">
        <v>4.0816326530612242E-2</v>
      </c>
      <c r="AI211" s="350">
        <v>0</v>
      </c>
      <c r="AJ211" s="350">
        <v>0</v>
      </c>
    </row>
    <row r="212" spans="2:36" x14ac:dyDescent="0.2">
      <c r="B212" s="276">
        <v>78</v>
      </c>
      <c r="C212" s="320">
        <f t="shared" si="8"/>
        <v>79</v>
      </c>
      <c r="D212" s="315">
        <f t="shared" si="9"/>
        <v>77</v>
      </c>
      <c r="E212" s="1389">
        <v>3.3545221528031827E-2</v>
      </c>
      <c r="F212" s="1390">
        <v>2.1280807469722336E-2</v>
      </c>
      <c r="G212" s="304">
        <v>1.7333224729168362E-2</v>
      </c>
      <c r="H212" s="324">
        <v>1.7333224729168362E-2</v>
      </c>
      <c r="I212" s="304">
        <v>1.2030243212037692E-2</v>
      </c>
      <c r="J212" s="324">
        <v>1.2030243212037692E-2</v>
      </c>
      <c r="K212" s="304">
        <v>8.1619327456741754E-3</v>
      </c>
      <c r="L212" s="324">
        <v>7.3833431777909041E-3</v>
      </c>
      <c r="M212" s="304">
        <v>1.1270131514171179E-2</v>
      </c>
      <c r="N212" s="324">
        <v>1.1402091014697711E-2</v>
      </c>
      <c r="O212" s="305">
        <v>9.7485407618468009E-3</v>
      </c>
      <c r="P212" s="324">
        <v>9.7502449887726314E-3</v>
      </c>
      <c r="Q212" s="304">
        <v>2.3762931049419955E-2</v>
      </c>
      <c r="R212" s="324">
        <v>2.5044488004386106E-2</v>
      </c>
      <c r="S212" s="350">
        <v>3.8216560509554139E-2</v>
      </c>
      <c r="T212" s="1258">
        <v>3.8216560509554139E-2</v>
      </c>
      <c r="U212" s="304">
        <v>1.5049058605144524E-2</v>
      </c>
      <c r="V212" s="324">
        <v>1.5049058605144524E-2</v>
      </c>
      <c r="W212" s="304">
        <v>8.8680749302510967E-3</v>
      </c>
      <c r="X212" s="324">
        <v>8.8680749302510967E-3</v>
      </c>
      <c r="Y212" s="304">
        <v>8.1619327456741754E-3</v>
      </c>
      <c r="Z212" s="324">
        <v>7.3833431777909041E-3</v>
      </c>
      <c r="AA212" s="304">
        <v>1.0384215991692628E-2</v>
      </c>
      <c r="AB212" s="324">
        <v>1.2273075939657376E-2</v>
      </c>
      <c r="AC212" s="305">
        <v>9.7485407618468009E-3</v>
      </c>
      <c r="AD212" s="324">
        <v>9.7502449887726314E-3</v>
      </c>
      <c r="AE212" s="304">
        <v>2.3762931049419955E-2</v>
      </c>
      <c r="AF212" s="324">
        <v>2.5044488004386106E-2</v>
      </c>
      <c r="AG212" s="350">
        <v>0.1076923076923077</v>
      </c>
      <c r="AH212" s="1258">
        <v>3.8216560509554139E-2</v>
      </c>
      <c r="AI212" s="350">
        <v>0</v>
      </c>
      <c r="AJ212" s="350">
        <v>0</v>
      </c>
    </row>
    <row r="213" spans="2:36" x14ac:dyDescent="0.2">
      <c r="B213" s="276">
        <v>79</v>
      </c>
      <c r="C213" s="320">
        <f t="shared" si="8"/>
        <v>80</v>
      </c>
      <c r="D213" s="315">
        <f t="shared" si="9"/>
        <v>78</v>
      </c>
      <c r="E213" s="1389">
        <v>3.7634755373327132E-2</v>
      </c>
      <c r="F213" s="1390">
        <v>2.4117943895153655E-2</v>
      </c>
      <c r="G213" s="304">
        <v>1.7794642547735384E-2</v>
      </c>
      <c r="H213" s="324">
        <v>1.7794642547735384E-2</v>
      </c>
      <c r="I213" s="304">
        <v>1.304226808222991E-2</v>
      </c>
      <c r="J213" s="324">
        <v>1.304226808222991E-2</v>
      </c>
      <c r="K213" s="304">
        <v>7.948817371074059E-3</v>
      </c>
      <c r="L213" s="324">
        <v>7.9945568974315352E-3</v>
      </c>
      <c r="M213" s="304">
        <v>1.2741111069656383E-2</v>
      </c>
      <c r="N213" s="324">
        <v>1.2685238519139132E-2</v>
      </c>
      <c r="O213" s="305">
        <v>9.770617068222541E-3</v>
      </c>
      <c r="P213" s="324">
        <v>9.9337321437780405E-3</v>
      </c>
      <c r="Q213" s="304">
        <v>2.4396420605388935E-2</v>
      </c>
      <c r="R213" s="324">
        <v>2.5487974284696069E-2</v>
      </c>
      <c r="S213" s="350">
        <v>3.8306451612903226E-2</v>
      </c>
      <c r="T213" s="1258">
        <v>3.8306451612903226E-2</v>
      </c>
      <c r="U213" s="304">
        <v>1.4964472834278332E-2</v>
      </c>
      <c r="V213" s="324">
        <v>1.4964472834278332E-2</v>
      </c>
      <c r="W213" s="304">
        <v>8.7544980933455079E-3</v>
      </c>
      <c r="X213" s="324">
        <v>8.7544980933455079E-3</v>
      </c>
      <c r="Y213" s="304">
        <v>7.948817371074059E-3</v>
      </c>
      <c r="Z213" s="324">
        <v>7.9945568974315352E-3</v>
      </c>
      <c r="AA213" s="304">
        <v>8.8668934941746567E-3</v>
      </c>
      <c r="AB213" s="324">
        <v>1.1532125205930808E-2</v>
      </c>
      <c r="AC213" s="305">
        <v>9.770617068222541E-3</v>
      </c>
      <c r="AD213" s="324">
        <v>9.9337321437780405E-3</v>
      </c>
      <c r="AE213" s="304">
        <v>2.4396420605388935E-2</v>
      </c>
      <c r="AF213" s="324">
        <v>2.5487974284696069E-2</v>
      </c>
      <c r="AG213" s="350">
        <v>3.1007751937984496E-2</v>
      </c>
      <c r="AH213" s="1258">
        <v>3.8306451612903226E-2</v>
      </c>
      <c r="AI213" s="350">
        <v>0</v>
      </c>
      <c r="AJ213" s="350">
        <v>0</v>
      </c>
    </row>
    <row r="214" spans="2:36" ht="13.5" thickBot="1" x14ac:dyDescent="0.25">
      <c r="B214" s="313">
        <v>80</v>
      </c>
      <c r="C214" s="321">
        <f t="shared" si="8"/>
        <v>81</v>
      </c>
      <c r="D214" s="316">
        <f t="shared" si="9"/>
        <v>79</v>
      </c>
      <c r="E214" s="1391">
        <v>4.2333611965777965E-2</v>
      </c>
      <c r="F214" s="1392">
        <v>2.7436080445905987E-2</v>
      </c>
      <c r="G214" s="310">
        <v>1.8802975904060406E-2</v>
      </c>
      <c r="H214" s="325">
        <v>1.8802975904060406E-2</v>
      </c>
      <c r="I214" s="310">
        <v>1.4048805636707337E-2</v>
      </c>
      <c r="J214" s="325">
        <v>1.4048805636707337E-2</v>
      </c>
      <c r="K214" s="310">
        <v>1.0110294117647059E-2</v>
      </c>
      <c r="L214" s="325">
        <v>9.6342902084152575E-3</v>
      </c>
      <c r="M214" s="310">
        <v>1.2362939143981306E-2</v>
      </c>
      <c r="N214" s="325">
        <v>1.2815460092684451E-2</v>
      </c>
      <c r="O214" s="311">
        <v>9.9743452938150755E-3</v>
      </c>
      <c r="P214" s="325">
        <v>1.0374467146019443E-2</v>
      </c>
      <c r="Q214" s="310">
        <v>2.5116983978143326E-2</v>
      </c>
      <c r="R214" s="325">
        <v>2.5999732776108953E-2</v>
      </c>
      <c r="S214" s="351">
        <v>3.5433070866141732E-2</v>
      </c>
      <c r="T214" s="1259">
        <v>3.5433070866141732E-2</v>
      </c>
      <c r="U214" s="310">
        <v>1.434402332361516E-2</v>
      </c>
      <c r="V214" s="325">
        <v>1.434402332361516E-2</v>
      </c>
      <c r="W214" s="310">
        <v>8.0848321518542394E-3</v>
      </c>
      <c r="X214" s="325">
        <v>8.0848321518542394E-3</v>
      </c>
      <c r="Y214" s="310">
        <v>1.0110294117647059E-2</v>
      </c>
      <c r="Z214" s="325">
        <v>9.6342902084152575E-3</v>
      </c>
      <c r="AA214" s="310">
        <v>1.2505633168093735E-2</v>
      </c>
      <c r="AB214" s="325">
        <v>1.1618669314796425E-2</v>
      </c>
      <c r="AC214" s="311">
        <v>9.9743452938150755E-3</v>
      </c>
      <c r="AD214" s="325">
        <v>1.0374467146019443E-2</v>
      </c>
      <c r="AE214" s="310">
        <v>2.5116983978143326E-2</v>
      </c>
      <c r="AF214" s="325">
        <v>2.5999732776108953E-2</v>
      </c>
      <c r="AG214" s="351">
        <v>2.6845637583892617E-2</v>
      </c>
      <c r="AH214" s="1259">
        <v>3.5433070866141732E-2</v>
      </c>
      <c r="AI214" s="351">
        <v>0</v>
      </c>
      <c r="AJ214" s="351">
        <v>0</v>
      </c>
    </row>
    <row r="215" spans="2:36" ht="13.5" thickTop="1" x14ac:dyDescent="0.2">
      <c r="B215" s="276">
        <v>81</v>
      </c>
      <c r="C215" s="320">
        <f t="shared" si="8"/>
        <v>82</v>
      </c>
      <c r="D215" s="315">
        <f t="shared" si="9"/>
        <v>80</v>
      </c>
      <c r="E215" s="1389">
        <v>4.7745458440234048E-2</v>
      </c>
      <c r="F215" s="1390">
        <v>3.1338980699466543E-2</v>
      </c>
      <c r="G215" s="304">
        <v>1.8000674777224283E-2</v>
      </c>
      <c r="H215" s="324">
        <v>1.8000674777224283E-2</v>
      </c>
      <c r="I215" s="304">
        <v>1.34162759389072E-2</v>
      </c>
      <c r="J215" s="324">
        <v>1.34162759389072E-2</v>
      </c>
      <c r="K215" s="304">
        <v>1.0338083263481419E-2</v>
      </c>
      <c r="L215" s="324">
        <v>8.2739600091932888E-3</v>
      </c>
      <c r="M215" s="304">
        <v>1.2530575462386817E-2</v>
      </c>
      <c r="N215" s="324">
        <v>1.240758052179825E-2</v>
      </c>
      <c r="O215" s="305">
        <v>1.0001315962626661E-2</v>
      </c>
      <c r="P215" s="324">
        <v>1.0245427455573239E-2</v>
      </c>
      <c r="Q215" s="304">
        <v>2.5924621167683348E-2</v>
      </c>
      <c r="R215" s="324">
        <v>2.6579763478624813E-2</v>
      </c>
      <c r="S215" s="350">
        <v>3.2319391634980987E-2</v>
      </c>
      <c r="T215" s="1258">
        <v>3.2319391634980987E-2</v>
      </c>
      <c r="U215" s="304">
        <v>1.5029932492676092E-2</v>
      </c>
      <c r="V215" s="324">
        <v>1.5029932492676092E-2</v>
      </c>
      <c r="W215" s="304">
        <v>8.4215898940921269E-3</v>
      </c>
      <c r="X215" s="324">
        <v>8.4215898940921269E-3</v>
      </c>
      <c r="Y215" s="304">
        <v>1.0338083263481419E-2</v>
      </c>
      <c r="Z215" s="324">
        <v>8.2739600091932888E-3</v>
      </c>
      <c r="AA215" s="304">
        <v>9.7591888466413181E-3</v>
      </c>
      <c r="AB215" s="324">
        <v>1.1804384485666104E-2</v>
      </c>
      <c r="AC215" s="305">
        <v>1.0001315962626661E-2</v>
      </c>
      <c r="AD215" s="324">
        <v>1.0245427455573239E-2</v>
      </c>
      <c r="AE215" s="304">
        <v>2.5924621167683348E-2</v>
      </c>
      <c r="AF215" s="324">
        <v>2.6579763478624813E-2</v>
      </c>
      <c r="AG215" s="350">
        <v>3.1645569620253167E-2</v>
      </c>
      <c r="AH215" s="1258">
        <v>3.2319391634980987E-2</v>
      </c>
      <c r="AI215" s="350">
        <v>0</v>
      </c>
      <c r="AJ215" s="350">
        <v>0</v>
      </c>
    </row>
    <row r="216" spans="2:36" x14ac:dyDescent="0.2">
      <c r="B216" s="276">
        <v>82</v>
      </c>
      <c r="C216" s="320">
        <f t="shared" si="8"/>
        <v>83</v>
      </c>
      <c r="D216" s="315">
        <f t="shared" si="9"/>
        <v>81</v>
      </c>
      <c r="E216" s="1389">
        <v>5.399355550779969E-2</v>
      </c>
      <c r="F216" s="1390">
        <v>3.5956712881294581E-2</v>
      </c>
      <c r="G216" s="304">
        <v>1.8209955058085304E-2</v>
      </c>
      <c r="H216" s="324">
        <v>1.8209955058085304E-2</v>
      </c>
      <c r="I216" s="304">
        <v>1.2867370950783557E-2</v>
      </c>
      <c r="J216" s="324">
        <v>1.2867370950783557E-2</v>
      </c>
      <c r="K216" s="304">
        <v>6.0728744939271256E-3</v>
      </c>
      <c r="L216" s="324">
        <v>7.2444325194526427E-3</v>
      </c>
      <c r="M216" s="304">
        <v>1.2184689371344015E-2</v>
      </c>
      <c r="N216" s="324">
        <v>1.3353794395833027E-2</v>
      </c>
      <c r="O216" s="305">
        <v>1.0127152865165374E-2</v>
      </c>
      <c r="P216" s="324">
        <v>1.0807445404665285E-2</v>
      </c>
      <c r="Q216" s="304">
        <v>2.6819332174008781E-2</v>
      </c>
      <c r="R216" s="324">
        <v>2.7228066392243483E-2</v>
      </c>
      <c r="S216" s="350">
        <v>4.3121149897330596E-2</v>
      </c>
      <c r="T216" s="1258">
        <v>4.3121149897330596E-2</v>
      </c>
      <c r="U216" s="304">
        <v>1.5754560530679935E-2</v>
      </c>
      <c r="V216" s="324">
        <v>1.5754560530679935E-2</v>
      </c>
      <c r="W216" s="304">
        <v>7.7745383867832843E-3</v>
      </c>
      <c r="X216" s="324">
        <v>7.7745383867832843E-3</v>
      </c>
      <c r="Y216" s="304">
        <v>6.0728744939271256E-3</v>
      </c>
      <c r="Z216" s="324">
        <v>7.2444325194526427E-3</v>
      </c>
      <c r="AA216" s="304">
        <v>1.3141339298196561E-2</v>
      </c>
      <c r="AB216" s="324">
        <v>1.2304887774866127E-2</v>
      </c>
      <c r="AC216" s="305">
        <v>1.0127152865165374E-2</v>
      </c>
      <c r="AD216" s="324">
        <v>1.0807445404665285E-2</v>
      </c>
      <c r="AE216" s="304">
        <v>2.6819332174008781E-2</v>
      </c>
      <c r="AF216" s="324">
        <v>2.7228066392243483E-2</v>
      </c>
      <c r="AG216" s="350">
        <v>6.5476190476190479E-2</v>
      </c>
      <c r="AH216" s="1258">
        <v>4.3121149897330596E-2</v>
      </c>
      <c r="AI216" s="350">
        <v>0</v>
      </c>
      <c r="AJ216" s="350">
        <v>0</v>
      </c>
    </row>
    <row r="217" spans="2:36" x14ac:dyDescent="0.2">
      <c r="B217" s="276">
        <v>83</v>
      </c>
      <c r="C217" s="320">
        <f t="shared" si="8"/>
        <v>84</v>
      </c>
      <c r="D217" s="315">
        <f t="shared" si="9"/>
        <v>82</v>
      </c>
      <c r="E217" s="1389">
        <v>6.1225150231095184E-2</v>
      </c>
      <c r="F217" s="1390">
        <v>4.1453253220521957E-2</v>
      </c>
      <c r="G217" s="304">
        <v>1.7647325681622285E-2</v>
      </c>
      <c r="H217" s="324">
        <v>1.7647325681622285E-2</v>
      </c>
      <c r="I217" s="304">
        <v>1.1842804036112587E-2</v>
      </c>
      <c r="J217" s="324">
        <v>1.1842804036112587E-2</v>
      </c>
      <c r="K217" s="304">
        <v>3.5502958579881655E-3</v>
      </c>
      <c r="L217" s="324">
        <v>1.2602394454946439E-2</v>
      </c>
      <c r="M217" s="304">
        <v>1.2191749830321008E-2</v>
      </c>
      <c r="N217" s="324">
        <v>1.3382032472913662E-2</v>
      </c>
      <c r="O217" s="305">
        <v>9.9866735342931667E-3</v>
      </c>
      <c r="P217" s="324">
        <v>1.1080310779682193E-2</v>
      </c>
      <c r="Q217" s="304">
        <v>2.7801116997119679E-2</v>
      </c>
      <c r="R217" s="324">
        <v>2.7944641516965074E-2</v>
      </c>
      <c r="S217" s="350">
        <v>3.7220843672456573E-2</v>
      </c>
      <c r="T217" s="1258">
        <v>3.7220843672456573E-2</v>
      </c>
      <c r="U217" s="304">
        <v>1.6196343402225755E-2</v>
      </c>
      <c r="V217" s="324">
        <v>1.6196343402225755E-2</v>
      </c>
      <c r="W217" s="304">
        <v>8.276277180046648E-3</v>
      </c>
      <c r="X217" s="324">
        <v>8.276277180046648E-3</v>
      </c>
      <c r="Y217" s="304">
        <v>3.5502958579881655E-3</v>
      </c>
      <c r="Z217" s="324">
        <v>1.2602394454946439E-2</v>
      </c>
      <c r="AA217" s="304">
        <v>1.2908242612752722E-2</v>
      </c>
      <c r="AB217" s="324">
        <v>1.2426181102362205E-2</v>
      </c>
      <c r="AC217" s="305">
        <v>9.9866735342931667E-3</v>
      </c>
      <c r="AD217" s="324">
        <v>1.1080310779682193E-2</v>
      </c>
      <c r="AE217" s="304">
        <v>2.7801116997119679E-2</v>
      </c>
      <c r="AF217" s="324">
        <v>2.7944641516965074E-2</v>
      </c>
      <c r="AG217" s="350">
        <v>5.5900621118012424E-2</v>
      </c>
      <c r="AH217" s="1258">
        <v>3.7220843672456573E-2</v>
      </c>
      <c r="AI217" s="350">
        <v>0</v>
      </c>
      <c r="AJ217" s="350">
        <v>0</v>
      </c>
    </row>
    <row r="218" spans="2:36" x14ac:dyDescent="0.2">
      <c r="B218" s="276">
        <v>84</v>
      </c>
      <c r="C218" s="320">
        <f t="shared" si="8"/>
        <v>85</v>
      </c>
      <c r="D218" s="315">
        <f t="shared" si="9"/>
        <v>83</v>
      </c>
      <c r="E218" s="1389">
        <v>6.9610932157335367E-2</v>
      </c>
      <c r="F218" s="1390">
        <v>4.8027698778959682E-2</v>
      </c>
      <c r="G218" s="304">
        <v>1.8842001962708538E-2</v>
      </c>
      <c r="H218" s="324">
        <v>1.8842001962708538E-2</v>
      </c>
      <c r="I218" s="304">
        <v>1.2852880422308928E-2</v>
      </c>
      <c r="J218" s="324">
        <v>1.2852880422308928E-2</v>
      </c>
      <c r="K218" s="304">
        <v>7.730786721236926E-3</v>
      </c>
      <c r="L218" s="324">
        <v>7.8710644677661163E-3</v>
      </c>
      <c r="M218" s="304">
        <v>1.2958604457981448E-2</v>
      </c>
      <c r="N218" s="324">
        <v>1.4369619438410169E-2</v>
      </c>
      <c r="O218" s="305">
        <v>1.0666582547722479E-2</v>
      </c>
      <c r="P218" s="324">
        <v>1.2288938852885421E-2</v>
      </c>
      <c r="Q218" s="304">
        <v>2.886997563701621E-2</v>
      </c>
      <c r="R218" s="324">
        <v>2.8729488852789586E-2</v>
      </c>
      <c r="S218" s="350">
        <v>5.1051051051051052E-2</v>
      </c>
      <c r="T218" s="1258">
        <v>5.1051051051051052E-2</v>
      </c>
      <c r="U218" s="304">
        <v>1.6659454781479878E-2</v>
      </c>
      <c r="V218" s="324">
        <v>1.6659454781479878E-2</v>
      </c>
      <c r="W218" s="304">
        <v>7.4019847079876359E-3</v>
      </c>
      <c r="X218" s="324">
        <v>7.4019847079876359E-3</v>
      </c>
      <c r="Y218" s="304">
        <v>7.730786721236926E-3</v>
      </c>
      <c r="Z218" s="324">
        <v>7.8710644677661163E-3</v>
      </c>
      <c r="AA218" s="304">
        <v>1.2310939148786493E-2</v>
      </c>
      <c r="AB218" s="324">
        <v>1.6697588126159554E-2</v>
      </c>
      <c r="AC218" s="305">
        <v>1.0666582547722479E-2</v>
      </c>
      <c r="AD218" s="324">
        <v>1.2288938852885421E-2</v>
      </c>
      <c r="AE218" s="304">
        <v>2.886997563701621E-2</v>
      </c>
      <c r="AF218" s="324">
        <v>2.8729488852789586E-2</v>
      </c>
      <c r="AG218" s="350">
        <v>6.2857142857142861E-2</v>
      </c>
      <c r="AH218" s="1258">
        <v>5.1051051051051052E-2</v>
      </c>
      <c r="AI218" s="350">
        <v>0</v>
      </c>
      <c r="AJ218" s="350">
        <v>0</v>
      </c>
    </row>
    <row r="219" spans="2:36" ht="13.5" thickBot="1" x14ac:dyDescent="0.25">
      <c r="B219" s="313">
        <v>85</v>
      </c>
      <c r="C219" s="321">
        <f t="shared" si="8"/>
        <v>86</v>
      </c>
      <c r="D219" s="316">
        <f t="shared" si="9"/>
        <v>84</v>
      </c>
      <c r="E219" s="1391">
        <v>7.932005060715204E-2</v>
      </c>
      <c r="F219" s="1392">
        <v>5.5880396832074242E-2</v>
      </c>
      <c r="G219" s="310">
        <v>1.9813084112149534E-2</v>
      </c>
      <c r="H219" s="325">
        <v>1.9813084112149534E-2</v>
      </c>
      <c r="I219" s="310">
        <v>1.3236390753169276E-2</v>
      </c>
      <c r="J219" s="325">
        <v>1.3236390753169276E-2</v>
      </c>
      <c r="K219" s="310">
        <v>4.7568710359408035E-3</v>
      </c>
      <c r="L219" s="325">
        <v>8.250108554059922E-3</v>
      </c>
      <c r="M219" s="310">
        <v>1.2323618214307721E-2</v>
      </c>
      <c r="N219" s="325">
        <v>1.4479175538710502E-2</v>
      </c>
      <c r="O219" s="311">
        <v>9.826372359882745E-3</v>
      </c>
      <c r="P219" s="325">
        <v>1.2648575121524661E-2</v>
      </c>
      <c r="Q219" s="310">
        <v>3.0025908093698039E-2</v>
      </c>
      <c r="R219" s="325">
        <v>2.9582608399716964E-2</v>
      </c>
      <c r="S219" s="351">
        <v>3.3195020746887967E-2</v>
      </c>
      <c r="T219" s="1259">
        <v>3.3195020746887967E-2</v>
      </c>
      <c r="U219" s="310">
        <v>1.631116687578419E-2</v>
      </c>
      <c r="V219" s="325">
        <v>1.631116687578419E-2</v>
      </c>
      <c r="W219" s="310">
        <v>8.9357519435260477E-3</v>
      </c>
      <c r="X219" s="325">
        <v>8.9357519435260477E-3</v>
      </c>
      <c r="Y219" s="310">
        <v>4.7568710359408035E-3</v>
      </c>
      <c r="Z219" s="325">
        <v>8.250108554059922E-3</v>
      </c>
      <c r="AA219" s="310">
        <v>9.2425155716294952E-3</v>
      </c>
      <c r="AB219" s="325">
        <v>1.5195369030390739E-2</v>
      </c>
      <c r="AC219" s="311">
        <v>9.826372359882745E-3</v>
      </c>
      <c r="AD219" s="325">
        <v>1.2648575121524661E-2</v>
      </c>
      <c r="AE219" s="310">
        <v>3.0025908093698039E-2</v>
      </c>
      <c r="AF219" s="325">
        <v>2.9582608399716964E-2</v>
      </c>
      <c r="AG219" s="351">
        <v>2.9411764705882353E-2</v>
      </c>
      <c r="AH219" s="1259">
        <v>3.3195020746887967E-2</v>
      </c>
      <c r="AI219" s="351">
        <v>0</v>
      </c>
      <c r="AJ219" s="351">
        <v>0</v>
      </c>
    </row>
    <row r="220" spans="2:36" ht="13.5" thickTop="1" x14ac:dyDescent="0.2">
      <c r="B220" s="276">
        <v>86</v>
      </c>
      <c r="C220" s="320">
        <f t="shared" si="8"/>
        <v>87</v>
      </c>
      <c r="D220" s="315">
        <f t="shared" si="9"/>
        <v>85</v>
      </c>
      <c r="E220" s="1389">
        <v>9.0504622640578541E-2</v>
      </c>
      <c r="F220" s="1390">
        <v>6.5190425516601119E-2</v>
      </c>
      <c r="G220" s="304">
        <v>1.7857142857142856E-2</v>
      </c>
      <c r="H220" s="324">
        <v>1.7857142857142856E-2</v>
      </c>
      <c r="I220" s="304">
        <v>1.3623605120832478E-2</v>
      </c>
      <c r="J220" s="324">
        <v>1.3623605120832478E-2</v>
      </c>
      <c r="K220" s="304">
        <v>8.024691358024692E-3</v>
      </c>
      <c r="L220" s="324">
        <v>7.3818897637795275E-3</v>
      </c>
      <c r="M220" s="304">
        <v>1.2957237641991177E-2</v>
      </c>
      <c r="N220" s="324">
        <v>1.4554419284149014E-2</v>
      </c>
      <c r="O220" s="305">
        <v>1.1099255344974567E-2</v>
      </c>
      <c r="P220" s="324">
        <v>1.2814444680925409E-2</v>
      </c>
      <c r="Q220" s="304">
        <v>3.1268914367165557E-2</v>
      </c>
      <c r="R220" s="324">
        <v>3.0504000157747319E-2</v>
      </c>
      <c r="S220" s="350">
        <v>1.6759776536312849E-2</v>
      </c>
      <c r="T220" s="1258">
        <v>1.6759776536312849E-2</v>
      </c>
      <c r="U220" s="304">
        <v>1.8431346549095007E-2</v>
      </c>
      <c r="V220" s="324">
        <v>1.8431346549095007E-2</v>
      </c>
      <c r="W220" s="304">
        <v>9.2995647012267518E-3</v>
      </c>
      <c r="X220" s="324">
        <v>9.2995647012267518E-3</v>
      </c>
      <c r="Y220" s="304">
        <v>8.024691358024692E-3</v>
      </c>
      <c r="Z220" s="324">
        <v>7.3818897637795275E-3</v>
      </c>
      <c r="AA220" s="304">
        <v>1.0283363802559415E-2</v>
      </c>
      <c r="AB220" s="324">
        <v>1.5524967989756722E-2</v>
      </c>
      <c r="AC220" s="305">
        <v>1.1099255344974567E-2</v>
      </c>
      <c r="AD220" s="324">
        <v>1.2814444680925409E-2</v>
      </c>
      <c r="AE220" s="304">
        <v>3.1268914367165557E-2</v>
      </c>
      <c r="AF220" s="324">
        <v>3.0504000157747319E-2</v>
      </c>
      <c r="AG220" s="350">
        <v>0.04</v>
      </c>
      <c r="AH220" s="1258">
        <v>1.6759776536312849E-2</v>
      </c>
      <c r="AI220" s="350">
        <v>0</v>
      </c>
      <c r="AJ220" s="350">
        <v>0</v>
      </c>
    </row>
    <row r="221" spans="2:36" x14ac:dyDescent="0.2">
      <c r="B221" s="276">
        <v>87</v>
      </c>
      <c r="C221" s="320">
        <f t="shared" si="8"/>
        <v>88</v>
      </c>
      <c r="D221" s="315">
        <f t="shared" si="9"/>
        <v>86</v>
      </c>
      <c r="E221" s="1389">
        <v>0.10330612858639984</v>
      </c>
      <c r="F221" s="1390">
        <v>7.612333761416698E-2</v>
      </c>
      <c r="G221" s="304">
        <v>1.9736412866183859E-2</v>
      </c>
      <c r="H221" s="324">
        <v>1.9736412866183859E-2</v>
      </c>
      <c r="I221" s="304">
        <v>1.382663526551698E-2</v>
      </c>
      <c r="J221" s="324">
        <v>1.382663526551698E-2</v>
      </c>
      <c r="K221" s="304">
        <v>1.4641288433382138E-2</v>
      </c>
      <c r="L221" s="324">
        <v>1.2702078521939953E-2</v>
      </c>
      <c r="M221" s="304">
        <v>1.2089534373379085E-2</v>
      </c>
      <c r="N221" s="324">
        <v>1.541116267999524E-2</v>
      </c>
      <c r="O221" s="305">
        <v>1.0911000466780769E-2</v>
      </c>
      <c r="P221" s="324">
        <v>1.4078802522899257E-2</v>
      </c>
      <c r="Q221" s="304">
        <v>3.2598994457418429E-2</v>
      </c>
      <c r="R221" s="324">
        <v>3.1493664126880511E-2</v>
      </c>
      <c r="S221" s="350">
        <v>1.5151515151515152E-2</v>
      </c>
      <c r="T221" s="1258">
        <v>1.5151515151515152E-2</v>
      </c>
      <c r="U221" s="304">
        <v>2.0461897239148423E-2</v>
      </c>
      <c r="V221" s="324">
        <v>2.0461897239148423E-2</v>
      </c>
      <c r="W221" s="304">
        <v>1.0431694595494395E-2</v>
      </c>
      <c r="X221" s="324">
        <v>1.0431694595494395E-2</v>
      </c>
      <c r="Y221" s="304">
        <v>1.4641288433382138E-2</v>
      </c>
      <c r="Z221" s="324">
        <v>1.2702078521939953E-2</v>
      </c>
      <c r="AA221" s="304">
        <v>1.222428913101249E-2</v>
      </c>
      <c r="AB221" s="324">
        <v>1.5297047314123088E-2</v>
      </c>
      <c r="AC221" s="305">
        <v>1.0911000466780769E-2</v>
      </c>
      <c r="AD221" s="324">
        <v>1.4078802522899257E-2</v>
      </c>
      <c r="AE221" s="304">
        <v>3.2598994457418429E-2</v>
      </c>
      <c r="AF221" s="324">
        <v>3.1493664126880511E-2</v>
      </c>
      <c r="AG221" s="350">
        <v>4.6511627906976744E-2</v>
      </c>
      <c r="AH221" s="1258">
        <v>1.5151515151515152E-2</v>
      </c>
      <c r="AI221" s="350">
        <v>0</v>
      </c>
      <c r="AJ221" s="350">
        <v>0</v>
      </c>
    </row>
    <row r="222" spans="2:36" x14ac:dyDescent="0.2">
      <c r="B222" s="276">
        <v>88</v>
      </c>
      <c r="C222" s="320">
        <f t="shared" si="8"/>
        <v>89</v>
      </c>
      <c r="D222" s="315">
        <f t="shared" si="9"/>
        <v>87</v>
      </c>
      <c r="E222" s="1389">
        <v>0.1178489389481259</v>
      </c>
      <c r="F222" s="1390">
        <v>8.8820819008615937E-2</v>
      </c>
      <c r="G222" s="304">
        <v>1.9855595667870037E-2</v>
      </c>
      <c r="H222" s="324">
        <v>1.9855595667870037E-2</v>
      </c>
      <c r="I222" s="304">
        <v>1.4332686957254868E-2</v>
      </c>
      <c r="J222" s="324">
        <v>1.4332686957254868E-2</v>
      </c>
      <c r="K222" s="304">
        <v>8.9206066012488851E-3</v>
      </c>
      <c r="L222" s="324">
        <v>1.3486176668914362E-2</v>
      </c>
      <c r="M222" s="304">
        <v>1.3325285541833039E-2</v>
      </c>
      <c r="N222" s="324">
        <v>1.6479037694697187E-2</v>
      </c>
      <c r="O222" s="305">
        <v>1.1326983357814558E-2</v>
      </c>
      <c r="P222" s="324">
        <v>1.514435907183203E-2</v>
      </c>
      <c r="Q222" s="304">
        <v>3.4016148364456877E-2</v>
      </c>
      <c r="R222" s="324">
        <v>3.2551600307116652E-2</v>
      </c>
      <c r="S222" s="350">
        <v>2.7027027027027029E-2</v>
      </c>
      <c r="T222" s="1258">
        <v>2.7027027027027029E-2</v>
      </c>
      <c r="U222" s="304">
        <v>1.637497833997574E-2</v>
      </c>
      <c r="V222" s="324">
        <v>1.637497833997574E-2</v>
      </c>
      <c r="W222" s="304">
        <v>1.5529531568228106E-2</v>
      </c>
      <c r="X222" s="324">
        <v>1.5529531568228106E-2</v>
      </c>
      <c r="Y222" s="304">
        <v>8.9206066012488851E-3</v>
      </c>
      <c r="Z222" s="324">
        <v>1.3486176668914362E-2</v>
      </c>
      <c r="AA222" s="304">
        <v>9.2764378478664197E-3</v>
      </c>
      <c r="AB222" s="324">
        <v>1.4177316293929713E-2</v>
      </c>
      <c r="AC222" s="305">
        <v>1.1326983357814558E-2</v>
      </c>
      <c r="AD222" s="324">
        <v>1.514435907183203E-2</v>
      </c>
      <c r="AE222" s="304">
        <v>3.4016148364456877E-2</v>
      </c>
      <c r="AF222" s="324">
        <v>3.2551600307116652E-2</v>
      </c>
      <c r="AG222" s="350">
        <v>5.1612903225806452E-2</v>
      </c>
      <c r="AH222" s="1258">
        <v>2.7027027027027029E-2</v>
      </c>
      <c r="AI222" s="350">
        <v>0</v>
      </c>
      <c r="AJ222" s="350">
        <v>0</v>
      </c>
    </row>
    <row r="223" spans="2:36" x14ac:dyDescent="0.2">
      <c r="B223" s="276">
        <v>89</v>
      </c>
      <c r="C223" s="320">
        <f t="shared" si="8"/>
        <v>90</v>
      </c>
      <c r="D223" s="315">
        <f t="shared" si="9"/>
        <v>88</v>
      </c>
      <c r="E223" s="1389">
        <v>0.13422607104996548</v>
      </c>
      <c r="F223" s="1390">
        <v>0.10337808194579412</v>
      </c>
      <c r="G223" s="304">
        <v>2.0967468654693323E-2</v>
      </c>
      <c r="H223" s="324">
        <v>2.0967468654693323E-2</v>
      </c>
      <c r="I223" s="304">
        <v>1.5341835267043821E-2</v>
      </c>
      <c r="J223" s="324">
        <v>1.5341835267043821E-2</v>
      </c>
      <c r="K223" s="304">
        <v>1.092896174863388E-2</v>
      </c>
      <c r="L223" s="324">
        <v>1.1570247933884297E-2</v>
      </c>
      <c r="M223" s="304">
        <v>1.1088318456506071E-2</v>
      </c>
      <c r="N223" s="324">
        <v>1.8230908325282999E-2</v>
      </c>
      <c r="O223" s="305">
        <v>1.114123337146151E-2</v>
      </c>
      <c r="P223" s="324">
        <v>1.5913093018437952E-2</v>
      </c>
      <c r="Q223" s="304">
        <v>3.5520376088280736E-2</v>
      </c>
      <c r="R223" s="324">
        <v>3.367780869845563E-2</v>
      </c>
      <c r="S223" s="350">
        <v>4.4444444444444446E-2</v>
      </c>
      <c r="T223" s="1258">
        <v>4.4444444444444446E-2</v>
      </c>
      <c r="U223" s="304">
        <v>2.0723323702301486E-2</v>
      </c>
      <c r="V223" s="324">
        <v>2.0723323702301486E-2</v>
      </c>
      <c r="W223" s="304">
        <v>1.0744774801295261E-2</v>
      </c>
      <c r="X223" s="324">
        <v>1.0744774801295261E-2</v>
      </c>
      <c r="Y223" s="304">
        <v>1.092896174863388E-2</v>
      </c>
      <c r="Z223" s="324">
        <v>1.1570247933884297E-2</v>
      </c>
      <c r="AA223" s="304">
        <v>1.2199630314232901E-2</v>
      </c>
      <c r="AB223" s="324">
        <v>1.5702108568864961E-2</v>
      </c>
      <c r="AC223" s="305">
        <v>1.114123337146151E-2</v>
      </c>
      <c r="AD223" s="324">
        <v>1.5913093018437952E-2</v>
      </c>
      <c r="AE223" s="304">
        <v>3.5520376088280736E-2</v>
      </c>
      <c r="AF223" s="324">
        <v>3.367780869845563E-2</v>
      </c>
      <c r="AG223" s="350">
        <v>5.4421768707482991E-2</v>
      </c>
      <c r="AH223" s="1258">
        <v>4.4444444444444446E-2</v>
      </c>
      <c r="AI223" s="350">
        <v>0</v>
      </c>
      <c r="AJ223" s="350">
        <v>0</v>
      </c>
    </row>
    <row r="224" spans="2:36" ht="13.5" thickBot="1" x14ac:dyDescent="0.25">
      <c r="B224" s="313">
        <v>90</v>
      </c>
      <c r="C224" s="321">
        <f t="shared" si="8"/>
        <v>91</v>
      </c>
      <c r="D224" s="316">
        <f t="shared" si="9"/>
        <v>89</v>
      </c>
      <c r="E224" s="1391">
        <v>0.15248239378823042</v>
      </c>
      <c r="F224" s="1392">
        <v>0.11981569802890299</v>
      </c>
      <c r="G224" s="310">
        <v>2.2490835232339246E-2</v>
      </c>
      <c r="H224" s="325">
        <v>2.2490835232339246E-2</v>
      </c>
      <c r="I224" s="310">
        <v>1.4314471035562513E-2</v>
      </c>
      <c r="J224" s="325">
        <v>1.4314471035562513E-2</v>
      </c>
      <c r="K224" s="310">
        <v>5.4794520547945206E-3</v>
      </c>
      <c r="L224" s="325">
        <v>1.5212981744421906E-2</v>
      </c>
      <c r="M224" s="310">
        <v>1.4488846957342139E-2</v>
      </c>
      <c r="N224" s="325">
        <v>1.8444311819706141E-2</v>
      </c>
      <c r="O224" s="311">
        <v>1.2715147943202035E-2</v>
      </c>
      <c r="P224" s="325">
        <v>1.7020813117610948E-2</v>
      </c>
      <c r="Q224" s="310">
        <v>3.7111677628890061E-2</v>
      </c>
      <c r="R224" s="325">
        <v>3.4872289300897558E-2</v>
      </c>
      <c r="S224" s="351">
        <v>0.05</v>
      </c>
      <c r="T224" s="1259">
        <v>0.05</v>
      </c>
      <c r="U224" s="310">
        <v>2.1675108964542347E-2</v>
      </c>
      <c r="V224" s="325">
        <v>2.1675108964542347E-2</v>
      </c>
      <c r="W224" s="310">
        <v>1.1991657977059436E-2</v>
      </c>
      <c r="X224" s="325">
        <v>1.1991657977059436E-2</v>
      </c>
      <c r="Y224" s="310">
        <v>5.4794520547945206E-3</v>
      </c>
      <c r="Z224" s="325">
        <v>1.5212981744421906E-2</v>
      </c>
      <c r="AA224" s="310">
        <v>1.5894641235240689E-2</v>
      </c>
      <c r="AB224" s="325">
        <v>2.0655822359927703E-2</v>
      </c>
      <c r="AC224" s="311">
        <v>1.2715147943202035E-2</v>
      </c>
      <c r="AD224" s="325">
        <v>1.7020813117610948E-2</v>
      </c>
      <c r="AE224" s="310">
        <v>3.7111677628890061E-2</v>
      </c>
      <c r="AF224" s="325">
        <v>3.4872289300897558E-2</v>
      </c>
      <c r="AG224" s="351">
        <v>4.9586776859504134E-2</v>
      </c>
      <c r="AH224" s="1259">
        <v>0.05</v>
      </c>
      <c r="AI224" s="351">
        <v>0</v>
      </c>
      <c r="AJ224" s="351">
        <v>0</v>
      </c>
    </row>
    <row r="225" spans="2:36" ht="13.5" thickTop="1" x14ac:dyDescent="0.2">
      <c r="B225" s="276">
        <v>91</v>
      </c>
      <c r="C225" s="320">
        <f t="shared" si="8"/>
        <v>92</v>
      </c>
      <c r="D225" s="315">
        <f t="shared" si="9"/>
        <v>90</v>
      </c>
      <c r="E225" s="1389">
        <v>0.17259640433200651</v>
      </c>
      <c r="F225" s="1390">
        <v>0.13804701910674749</v>
      </c>
      <c r="G225" s="304">
        <v>2.3884874902967694E-2</v>
      </c>
      <c r="H225" s="324">
        <v>2.3884874902967694E-2</v>
      </c>
      <c r="I225" s="304">
        <v>1.6469650684021783E-2</v>
      </c>
      <c r="J225" s="324">
        <v>1.6469650684021783E-2</v>
      </c>
      <c r="K225" s="304">
        <v>1.0657193605683837E-2</v>
      </c>
      <c r="L225" s="324">
        <v>1.282051282051282E-2</v>
      </c>
      <c r="M225" s="304">
        <v>1.6472377090724785E-2</v>
      </c>
      <c r="N225" s="324">
        <v>1.7751479289940829E-2</v>
      </c>
      <c r="O225" s="305">
        <v>1.2513572204125949E-2</v>
      </c>
      <c r="P225" s="324">
        <v>1.7409272139926078E-2</v>
      </c>
      <c r="Q225" s="304">
        <v>3.8790052986285017E-2</v>
      </c>
      <c r="R225" s="324">
        <v>3.6135042114442434E-2</v>
      </c>
      <c r="S225" s="306">
        <v>0.05</v>
      </c>
      <c r="T225" s="471">
        <v>0.05</v>
      </c>
      <c r="U225" s="304">
        <v>2.5809211464423214E-2</v>
      </c>
      <c r="V225" s="324">
        <v>2.5809211464423214E-2</v>
      </c>
      <c r="W225" s="304">
        <v>1.2861058401855367E-2</v>
      </c>
      <c r="X225" s="324">
        <v>1.2861058401855367E-2</v>
      </c>
      <c r="Y225" s="304">
        <v>1.0657193605683837E-2</v>
      </c>
      <c r="Z225" s="324">
        <v>1.282051282051282E-2</v>
      </c>
      <c r="AA225" s="304">
        <v>1.072234762979684E-2</v>
      </c>
      <c r="AB225" s="324">
        <v>1.5496809480401094E-2</v>
      </c>
      <c r="AC225" s="305">
        <v>1.2513572204125949E-2</v>
      </c>
      <c r="AD225" s="324">
        <v>1.7409272139926078E-2</v>
      </c>
      <c r="AE225" s="304">
        <v>3.8790052986285017E-2</v>
      </c>
      <c r="AF225" s="324">
        <v>3.6135042114442434E-2</v>
      </c>
      <c r="AG225" s="350">
        <v>6.1855670103092786E-2</v>
      </c>
      <c r="AH225" s="1258">
        <v>0.05</v>
      </c>
      <c r="AI225" s="350">
        <v>0</v>
      </c>
      <c r="AJ225" s="350">
        <v>0</v>
      </c>
    </row>
    <row r="226" spans="2:36" x14ac:dyDescent="0.2">
      <c r="B226" s="276">
        <v>92</v>
      </c>
      <c r="C226" s="320">
        <f t="shared" si="8"/>
        <v>93</v>
      </c>
      <c r="D226" s="315">
        <f t="shared" si="9"/>
        <v>91</v>
      </c>
      <c r="E226" s="1389">
        <v>0.1944625605338956</v>
      </c>
      <c r="F226" s="1390">
        <v>0.15784377883360201</v>
      </c>
      <c r="G226" s="304">
        <v>2.2357873060233874E-2</v>
      </c>
      <c r="H226" s="324">
        <v>2.2357873060233874E-2</v>
      </c>
      <c r="I226" s="304">
        <v>1.5112122196945077E-2</v>
      </c>
      <c r="J226" s="324">
        <v>1.5112122196945077E-2</v>
      </c>
      <c r="K226" s="304">
        <v>2.0618556701030927E-2</v>
      </c>
      <c r="L226" s="324">
        <v>1.8998272884283247E-2</v>
      </c>
      <c r="M226" s="304">
        <v>1.3947453778786896E-2</v>
      </c>
      <c r="N226" s="324">
        <v>1.9661691542288556E-2</v>
      </c>
      <c r="O226" s="305">
        <v>1.4072604984047599E-2</v>
      </c>
      <c r="P226" s="324">
        <v>1.8030445535932003E-2</v>
      </c>
      <c r="Q226" s="304">
        <v>4.0555502160465329E-2</v>
      </c>
      <c r="R226" s="324">
        <v>3.7466067139090148E-2</v>
      </c>
      <c r="S226" s="306">
        <v>0.05</v>
      </c>
      <c r="T226" s="471">
        <v>0.05</v>
      </c>
      <c r="U226" s="304">
        <v>2.8882153681583169E-2</v>
      </c>
      <c r="V226" s="324">
        <v>2.8882153681583169E-2</v>
      </c>
      <c r="W226" s="304">
        <v>9.8456625864821717E-3</v>
      </c>
      <c r="X226" s="324">
        <v>9.8456625864821717E-3</v>
      </c>
      <c r="Y226" s="304">
        <v>2.0618556701030927E-2</v>
      </c>
      <c r="Z226" s="324">
        <v>1.8998272884283247E-2</v>
      </c>
      <c r="AA226" s="304">
        <v>1.5558698727015558E-2</v>
      </c>
      <c r="AB226" s="324">
        <v>1.8338727076591153E-2</v>
      </c>
      <c r="AC226" s="305">
        <v>1.4072604984047599E-2</v>
      </c>
      <c r="AD226" s="324">
        <v>1.8030445535932003E-2</v>
      </c>
      <c r="AE226" s="304">
        <v>4.0555502160465329E-2</v>
      </c>
      <c r="AF226" s="324">
        <v>3.7466067139090148E-2</v>
      </c>
      <c r="AG226" s="350">
        <v>3.5714285714285712E-2</v>
      </c>
      <c r="AH226" s="1258">
        <v>0.05</v>
      </c>
      <c r="AI226" s="350">
        <v>0</v>
      </c>
      <c r="AJ226" s="350">
        <v>0</v>
      </c>
    </row>
    <row r="227" spans="2:36" x14ac:dyDescent="0.2">
      <c r="B227" s="276">
        <v>93</v>
      </c>
      <c r="C227" s="320">
        <f t="shared" si="8"/>
        <v>94</v>
      </c>
      <c r="D227" s="315">
        <f t="shared" si="9"/>
        <v>92</v>
      </c>
      <c r="E227" s="1389">
        <v>0.21787704824270243</v>
      </c>
      <c r="F227" s="1390">
        <v>0.17880420098754543</v>
      </c>
      <c r="G227" s="304">
        <v>2.4213748956303925E-2</v>
      </c>
      <c r="H227" s="324">
        <v>2.4213748956303925E-2</v>
      </c>
      <c r="I227" s="304">
        <v>1.2512820512820513E-2</v>
      </c>
      <c r="J227" s="324">
        <v>1.2512820512820513E-2</v>
      </c>
      <c r="K227" s="304">
        <v>6.9444444444444441E-3</v>
      </c>
      <c r="L227" s="324">
        <v>2.0044543429844099E-2</v>
      </c>
      <c r="M227" s="304">
        <v>1.3329551900170164E-2</v>
      </c>
      <c r="N227" s="324">
        <v>2.0190662429723782E-2</v>
      </c>
      <c r="O227" s="305">
        <v>1.2906298908975435E-2</v>
      </c>
      <c r="P227" s="324">
        <v>1.9288330088594242E-2</v>
      </c>
      <c r="Q227" s="304">
        <v>4.2408025151431272E-2</v>
      </c>
      <c r="R227" s="324">
        <v>3.8865364374840755E-2</v>
      </c>
      <c r="S227" s="306">
        <v>0.05</v>
      </c>
      <c r="T227" s="471">
        <v>0.05</v>
      </c>
      <c r="U227" s="304">
        <v>2.573018080667594E-2</v>
      </c>
      <c r="V227" s="324">
        <v>2.573018080667594E-2</v>
      </c>
      <c r="W227" s="304">
        <v>1.9489247311827957E-2</v>
      </c>
      <c r="X227" s="324">
        <v>1.9489247311827957E-2</v>
      </c>
      <c r="Y227" s="304">
        <v>6.9444444444444441E-3</v>
      </c>
      <c r="Z227" s="324">
        <v>2.0044543429844099E-2</v>
      </c>
      <c r="AA227" s="304">
        <v>2.1596244131455399E-2</v>
      </c>
      <c r="AB227" s="324">
        <v>1.9750966079862601E-2</v>
      </c>
      <c r="AC227" s="305">
        <v>1.2906298908975435E-2</v>
      </c>
      <c r="AD227" s="324">
        <v>1.9288330088594242E-2</v>
      </c>
      <c r="AE227" s="304">
        <v>4.2408025151431272E-2</v>
      </c>
      <c r="AF227" s="324">
        <v>3.8865364374840755E-2</v>
      </c>
      <c r="AG227" s="350">
        <v>6.6666666666666666E-2</v>
      </c>
      <c r="AH227" s="1258">
        <v>0.05</v>
      </c>
      <c r="AI227" s="350">
        <v>0</v>
      </c>
      <c r="AJ227" s="350">
        <v>0</v>
      </c>
    </row>
    <row r="228" spans="2:36" x14ac:dyDescent="0.2">
      <c r="B228" s="276">
        <v>94</v>
      </c>
      <c r="C228" s="320">
        <f t="shared" si="8"/>
        <v>95</v>
      </c>
      <c r="D228" s="315">
        <f t="shared" si="9"/>
        <v>93</v>
      </c>
      <c r="E228" s="1389">
        <v>0.24255274245869093</v>
      </c>
      <c r="F228" s="1390">
        <v>0.2003930458955116</v>
      </c>
      <c r="G228" s="304">
        <v>2.742409402546523E-2</v>
      </c>
      <c r="H228" s="324">
        <v>2.742409402546523E-2</v>
      </c>
      <c r="I228" s="304">
        <v>1.6675489677077819E-2</v>
      </c>
      <c r="J228" s="324">
        <v>1.6675489677077819E-2</v>
      </c>
      <c r="K228" s="304">
        <v>1.7964975845410628E-2</v>
      </c>
      <c r="L228" s="324">
        <v>6.0790273556231003E-3</v>
      </c>
      <c r="M228" s="304">
        <v>1.4316115302766493E-2</v>
      </c>
      <c r="N228" s="324">
        <v>2.0972891754836288E-2</v>
      </c>
      <c r="O228" s="305">
        <v>1.1055712117927595E-2</v>
      </c>
      <c r="P228" s="324">
        <v>1.9729028284872212E-2</v>
      </c>
      <c r="Q228" s="304">
        <v>4.434762195918257E-2</v>
      </c>
      <c r="R228" s="324">
        <v>4.0332933821694256E-2</v>
      </c>
      <c r="S228" s="306">
        <v>0.05</v>
      </c>
      <c r="T228" s="471">
        <v>0.05</v>
      </c>
      <c r="U228" s="304">
        <v>2.1636876763875823E-2</v>
      </c>
      <c r="V228" s="324">
        <v>2.1636876763875823E-2</v>
      </c>
      <c r="W228" s="304">
        <v>1.5057573073516387E-2</v>
      </c>
      <c r="X228" s="324">
        <v>1.5057573073516387E-2</v>
      </c>
      <c r="Y228" s="304">
        <v>1.7964975845410628E-2</v>
      </c>
      <c r="Z228" s="324">
        <v>6.0790273556231003E-3</v>
      </c>
      <c r="AA228" s="304">
        <v>1.7264276228419653E-2</v>
      </c>
      <c r="AB228" s="324">
        <v>2.3902167871039465E-2</v>
      </c>
      <c r="AC228" s="305">
        <v>1.1055712117927595E-2</v>
      </c>
      <c r="AD228" s="324">
        <v>1.9729028284872212E-2</v>
      </c>
      <c r="AE228" s="304">
        <v>4.434762195918257E-2</v>
      </c>
      <c r="AF228" s="324">
        <v>4.0332933821694256E-2</v>
      </c>
      <c r="AG228" s="350">
        <v>6.7796610169491525E-2</v>
      </c>
      <c r="AH228" s="1258">
        <v>0.05</v>
      </c>
      <c r="AI228" s="350">
        <v>0</v>
      </c>
      <c r="AJ228" s="350">
        <v>0</v>
      </c>
    </row>
    <row r="229" spans="2:36" x14ac:dyDescent="0.2">
      <c r="B229" s="276">
        <v>95</v>
      </c>
      <c r="C229" s="320">
        <f t="shared" si="8"/>
        <v>96</v>
      </c>
      <c r="D229" s="315">
        <f t="shared" si="9"/>
        <v>94</v>
      </c>
      <c r="E229" s="1389">
        <v>0.26821635573673674</v>
      </c>
      <c r="F229" s="1390">
        <v>0.22223799578244219</v>
      </c>
      <c r="G229" s="304">
        <v>2.4450685610441104E-2</v>
      </c>
      <c r="H229" s="324">
        <v>2.4450685610441104E-2</v>
      </c>
      <c r="I229" s="304">
        <v>1.7185821697099892E-2</v>
      </c>
      <c r="J229" s="324">
        <v>1.7185821697099892E-2</v>
      </c>
      <c r="K229" s="304">
        <v>2.8985507246376812E-2</v>
      </c>
      <c r="L229" s="324">
        <v>8.6956521739130436E-3</v>
      </c>
      <c r="M229" s="304">
        <v>1.7482517482517484E-2</v>
      </c>
      <c r="N229" s="324">
        <v>2.0350761085373925E-2</v>
      </c>
      <c r="O229" s="305">
        <v>1.6284942959157014E-2</v>
      </c>
      <c r="P229" s="324">
        <v>2.1214539650293841E-2</v>
      </c>
      <c r="Q229" s="304">
        <v>4.6374292583719334E-2</v>
      </c>
      <c r="R229" s="324">
        <v>4.1868775479650761E-2</v>
      </c>
      <c r="S229" s="306">
        <v>0.05</v>
      </c>
      <c r="T229" s="471">
        <v>0.05</v>
      </c>
      <c r="U229" s="304">
        <v>3.286978508217446E-2</v>
      </c>
      <c r="V229" s="324">
        <v>3.286978508217446E-2</v>
      </c>
      <c r="W229" s="304">
        <v>1.9963702359346643E-2</v>
      </c>
      <c r="X229" s="324">
        <v>1.9963702359346643E-2</v>
      </c>
      <c r="Y229" s="304">
        <v>2.8985507246376812E-2</v>
      </c>
      <c r="Z229" s="324">
        <v>8.6956521739130436E-3</v>
      </c>
      <c r="AA229" s="304">
        <v>7.5329566854990581E-3</v>
      </c>
      <c r="AB229" s="324">
        <v>1.647940074906367E-2</v>
      </c>
      <c r="AC229" s="305">
        <v>1.6284942959157014E-2</v>
      </c>
      <c r="AD229" s="324">
        <v>2.1214539650293841E-2</v>
      </c>
      <c r="AE229" s="304">
        <v>4.6374292583719334E-2</v>
      </c>
      <c r="AF229" s="324">
        <v>4.1868775479650761E-2</v>
      </c>
      <c r="AG229" s="350">
        <v>0.05</v>
      </c>
      <c r="AH229" s="1258">
        <v>0.05</v>
      </c>
      <c r="AI229" s="350">
        <v>0</v>
      </c>
      <c r="AJ229" s="350">
        <v>0</v>
      </c>
    </row>
    <row r="230" spans="2:36" x14ac:dyDescent="0.2">
      <c r="B230" s="276">
        <v>96</v>
      </c>
      <c r="C230" s="320">
        <f t="shared" si="8"/>
        <v>97</v>
      </c>
      <c r="D230" s="315">
        <f t="shared" si="9"/>
        <v>95</v>
      </c>
      <c r="E230" s="1389">
        <v>0.29462428051244721</v>
      </c>
      <c r="F230" s="1390">
        <v>0.24427668468320579</v>
      </c>
      <c r="G230" s="304">
        <v>2.9560036663611365E-2</v>
      </c>
      <c r="H230" s="324">
        <v>2.9560036663611365E-2</v>
      </c>
      <c r="I230" s="304">
        <v>1.8527791687531298E-2</v>
      </c>
      <c r="J230" s="324">
        <v>1.8527791687531298E-2</v>
      </c>
      <c r="K230" s="304">
        <v>2.247191011235955E-2</v>
      </c>
      <c r="L230" s="324">
        <v>1.9607843137254902E-2</v>
      </c>
      <c r="M230" s="304">
        <v>2.0431765612952967E-2</v>
      </c>
      <c r="N230" s="324">
        <v>2.0242451967063129E-2</v>
      </c>
      <c r="O230" s="305">
        <v>1.6654049962149888E-2</v>
      </c>
      <c r="P230" s="324">
        <v>1.9882924893342594E-2</v>
      </c>
      <c r="Q230" s="304">
        <v>4.848803702504173E-2</v>
      </c>
      <c r="R230" s="324">
        <v>4.3472889348710103E-2</v>
      </c>
      <c r="S230" s="306">
        <v>0.05</v>
      </c>
      <c r="T230" s="471">
        <v>0.05</v>
      </c>
      <c r="U230" s="304">
        <v>3.4834834834834835E-2</v>
      </c>
      <c r="V230" s="324">
        <v>3.4834834834834835E-2</v>
      </c>
      <c r="W230" s="304">
        <v>1.5517241379310345E-2</v>
      </c>
      <c r="X230" s="324">
        <v>1.5517241379310345E-2</v>
      </c>
      <c r="Y230" s="304">
        <v>2.247191011235955E-2</v>
      </c>
      <c r="Z230" s="324">
        <v>1.9607843137254902E-2</v>
      </c>
      <c r="AA230" s="304">
        <v>1.3513513513513514E-2</v>
      </c>
      <c r="AB230" s="324">
        <v>2.1912350597609563E-2</v>
      </c>
      <c r="AC230" s="305">
        <v>1.6654049962149888E-2</v>
      </c>
      <c r="AD230" s="324">
        <v>1.9882924893342594E-2</v>
      </c>
      <c r="AE230" s="304">
        <v>4.848803702504173E-2</v>
      </c>
      <c r="AF230" s="324">
        <v>4.3472889348710103E-2</v>
      </c>
      <c r="AG230" s="350">
        <v>5.5555555555555552E-2</v>
      </c>
      <c r="AH230" s="1258">
        <v>0.05</v>
      </c>
      <c r="AI230" s="350">
        <v>0</v>
      </c>
      <c r="AJ230" s="350">
        <v>0</v>
      </c>
    </row>
    <row r="231" spans="2:36" x14ac:dyDescent="0.2">
      <c r="B231" s="276">
        <v>97</v>
      </c>
      <c r="C231" s="320">
        <f t="shared" si="8"/>
        <v>98</v>
      </c>
      <c r="D231" s="315">
        <f t="shared" si="9"/>
        <v>96</v>
      </c>
      <c r="E231" s="1389">
        <v>0.32147276113545009</v>
      </c>
      <c r="F231" s="1390">
        <v>0.26661663350063147</v>
      </c>
      <c r="G231" s="304">
        <v>2.4562584118438761E-2</v>
      </c>
      <c r="H231" s="324">
        <v>2.4562584118438761E-2</v>
      </c>
      <c r="I231" s="304">
        <v>1.3818181818181818E-2</v>
      </c>
      <c r="J231" s="324">
        <v>1.3818181818181818E-2</v>
      </c>
      <c r="K231" s="304">
        <v>1.9607843137254902E-2</v>
      </c>
      <c r="L231" s="324">
        <v>9.9009900990099011E-3</v>
      </c>
      <c r="M231" s="304">
        <v>1.5011547344110854E-2</v>
      </c>
      <c r="N231" s="324">
        <v>1.7126080574131463E-2</v>
      </c>
      <c r="O231" s="305">
        <v>1.5906078394243513E-2</v>
      </c>
      <c r="P231" s="324">
        <v>1.82409145675138E-2</v>
      </c>
      <c r="Q231" s="304">
        <v>5.0688855283149536E-2</v>
      </c>
      <c r="R231" s="324">
        <v>4.5145275428872284E-2</v>
      </c>
      <c r="S231" s="306">
        <v>0.05</v>
      </c>
      <c r="T231" s="471">
        <v>0.05</v>
      </c>
      <c r="U231" s="304">
        <v>2.8998242530755711E-2</v>
      </c>
      <c r="V231" s="324">
        <v>2.8998242530755711E-2</v>
      </c>
      <c r="W231" s="304">
        <v>1.7925736235595392E-2</v>
      </c>
      <c r="X231" s="324">
        <v>1.7925736235595392E-2</v>
      </c>
      <c r="Y231" s="304">
        <v>1.9607843137254902E-2</v>
      </c>
      <c r="Z231" s="324">
        <v>9.9009900990099011E-3</v>
      </c>
      <c r="AA231" s="304">
        <v>2.1097046413502109E-2</v>
      </c>
      <c r="AB231" s="324">
        <v>1.8518518518518517E-2</v>
      </c>
      <c r="AC231" s="305">
        <v>1.5906078394243513E-2</v>
      </c>
      <c r="AD231" s="324">
        <v>1.82409145675138E-2</v>
      </c>
      <c r="AE231" s="304">
        <v>5.0688855283149536E-2</v>
      </c>
      <c r="AF231" s="324">
        <v>4.5145275428872284E-2</v>
      </c>
      <c r="AG231" s="350">
        <v>5.5555555555555552E-2</v>
      </c>
      <c r="AH231" s="1258">
        <v>0.05</v>
      </c>
      <c r="AI231" s="350">
        <v>0</v>
      </c>
      <c r="AJ231" s="350">
        <v>0</v>
      </c>
    </row>
    <row r="232" spans="2:36" x14ac:dyDescent="0.2">
      <c r="B232" s="276">
        <v>98</v>
      </c>
      <c r="C232" s="320">
        <f t="shared" si="8"/>
        <v>99</v>
      </c>
      <c r="D232" s="315">
        <f t="shared" si="9"/>
        <v>97</v>
      </c>
      <c r="E232" s="1389">
        <v>0.34837796941429128</v>
      </c>
      <c r="F232" s="1390">
        <v>0.28949467918993665</v>
      </c>
      <c r="G232" s="304">
        <v>2.5940996948118005E-2</v>
      </c>
      <c r="H232" s="324">
        <v>2.5940996948118005E-2</v>
      </c>
      <c r="I232" s="304">
        <v>1.5317286652078774E-2</v>
      </c>
      <c r="J232" s="324">
        <v>1.5317286652078774E-2</v>
      </c>
      <c r="K232" s="304">
        <v>1.9607843137254902E-2</v>
      </c>
      <c r="L232" s="324">
        <v>8.8235294117647065E-2</v>
      </c>
      <c r="M232" s="304">
        <v>1.1019283746556474E-2</v>
      </c>
      <c r="N232" s="324">
        <v>1.8704699555763385E-2</v>
      </c>
      <c r="O232" s="305">
        <v>1.5126553841545605E-2</v>
      </c>
      <c r="P232" s="324">
        <v>1.8450635386119258E-2</v>
      </c>
      <c r="Q232" s="304">
        <v>5.2976747358042919E-2</v>
      </c>
      <c r="R232" s="324">
        <v>4.6885933720137413E-2</v>
      </c>
      <c r="S232" s="306">
        <v>0.05</v>
      </c>
      <c r="T232" s="471">
        <v>0.05</v>
      </c>
      <c r="U232" s="304">
        <v>3.4899328859060399E-2</v>
      </c>
      <c r="V232" s="324">
        <v>3.4899328859060399E-2</v>
      </c>
      <c r="W232" s="304">
        <v>5.7034220532319393E-3</v>
      </c>
      <c r="X232" s="324">
        <v>5.7034220532319393E-3</v>
      </c>
      <c r="Y232" s="304">
        <v>1.9607843137254902E-2</v>
      </c>
      <c r="Z232" s="324">
        <v>8.8235294117647065E-2</v>
      </c>
      <c r="AA232" s="304">
        <v>6.8493150684931503E-3</v>
      </c>
      <c r="AB232" s="324">
        <v>1.4799154334038054E-2</v>
      </c>
      <c r="AC232" s="305">
        <v>1.5126553841545605E-2</v>
      </c>
      <c r="AD232" s="324">
        <v>1.8450635386119258E-2</v>
      </c>
      <c r="AE232" s="304">
        <v>5.2976747358042919E-2</v>
      </c>
      <c r="AF232" s="324">
        <v>4.6885933720137413E-2</v>
      </c>
      <c r="AG232" s="350">
        <v>5.5555555555555552E-2</v>
      </c>
      <c r="AH232" s="1258">
        <v>0.05</v>
      </c>
      <c r="AI232" s="350">
        <v>0</v>
      </c>
      <c r="AJ232" s="350">
        <v>0</v>
      </c>
    </row>
    <row r="233" spans="2:36" x14ac:dyDescent="0.2">
      <c r="B233" s="276">
        <v>99</v>
      </c>
      <c r="C233" s="320">
        <f t="shared" si="8"/>
        <v>100</v>
      </c>
      <c r="D233" s="315">
        <f t="shared" si="9"/>
        <v>98</v>
      </c>
      <c r="E233" s="1389">
        <v>0.37492452744218052</v>
      </c>
      <c r="F233" s="1390">
        <v>0.31328850793573926</v>
      </c>
      <c r="G233" s="304">
        <v>2.8374233128834355E-2</v>
      </c>
      <c r="H233" s="324">
        <v>2.8374233128834355E-2</v>
      </c>
      <c r="I233" s="304">
        <v>1.1608623548922056E-2</v>
      </c>
      <c r="J233" s="324">
        <v>1.1608623548922056E-2</v>
      </c>
      <c r="K233" s="304">
        <v>1.9607843137254902E-2</v>
      </c>
      <c r="L233" s="324">
        <v>8.8235294117647065E-2</v>
      </c>
      <c r="M233" s="304">
        <v>1.5514809590973202E-2</v>
      </c>
      <c r="N233" s="324">
        <v>1.4442916093535076E-2</v>
      </c>
      <c r="O233" s="305">
        <v>1.1028530328458403E-2</v>
      </c>
      <c r="P233" s="324">
        <v>1.941629014531689E-2</v>
      </c>
      <c r="Q233" s="306">
        <v>1</v>
      </c>
      <c r="R233" s="323">
        <v>1</v>
      </c>
      <c r="S233" s="306">
        <v>0.05</v>
      </c>
      <c r="T233" s="471">
        <v>0.05</v>
      </c>
      <c r="U233" s="304">
        <v>2.2727272727272728E-2</v>
      </c>
      <c r="V233" s="324">
        <v>2.2727272727272728E-2</v>
      </c>
      <c r="W233" s="304">
        <v>1.4245014245014245E-2</v>
      </c>
      <c r="X233" s="324">
        <v>1.4245014245014245E-2</v>
      </c>
      <c r="Y233" s="304">
        <v>1.9607843137254902E-2</v>
      </c>
      <c r="Z233" s="324">
        <v>8.8235294117647065E-2</v>
      </c>
      <c r="AA233" s="304">
        <v>2.3809523809523808E-2</v>
      </c>
      <c r="AB233" s="324">
        <v>1.6447368421052631E-2</v>
      </c>
      <c r="AC233" s="305">
        <v>1.1028530328458403E-2</v>
      </c>
      <c r="AD233" s="324">
        <v>1.941629014531689E-2</v>
      </c>
      <c r="AE233" s="306">
        <v>1</v>
      </c>
      <c r="AF233" s="323">
        <v>1</v>
      </c>
      <c r="AG233" s="350">
        <v>5.5555555555555552E-2</v>
      </c>
      <c r="AH233" s="1258">
        <v>0.05</v>
      </c>
      <c r="AI233" s="350">
        <v>0</v>
      </c>
      <c r="AJ233" s="350">
        <v>0</v>
      </c>
    </row>
    <row r="234" spans="2:36" ht="13.5" thickBot="1" x14ac:dyDescent="0.25">
      <c r="B234" s="313">
        <v>100</v>
      </c>
      <c r="C234" s="321">
        <f t="shared" si="8"/>
        <v>101</v>
      </c>
      <c r="D234" s="316">
        <f t="shared" si="9"/>
        <v>99</v>
      </c>
      <c r="E234" s="1253">
        <v>1</v>
      </c>
      <c r="F234" s="1254">
        <v>1</v>
      </c>
      <c r="G234" s="352">
        <v>1</v>
      </c>
      <c r="H234" s="1255">
        <v>1</v>
      </c>
      <c r="I234" s="352">
        <v>1</v>
      </c>
      <c r="J234" s="1255">
        <v>1</v>
      </c>
      <c r="K234" s="352">
        <v>1</v>
      </c>
      <c r="L234" s="1255">
        <v>1</v>
      </c>
      <c r="M234" s="352">
        <v>1</v>
      </c>
      <c r="N234" s="1255">
        <v>1</v>
      </c>
      <c r="O234" s="1260">
        <v>1</v>
      </c>
      <c r="P234" s="1255">
        <v>1</v>
      </c>
      <c r="Q234" s="352">
        <v>1</v>
      </c>
      <c r="R234" s="1255">
        <v>1</v>
      </c>
      <c r="S234" s="352">
        <v>1</v>
      </c>
      <c r="T234" s="475">
        <v>1</v>
      </c>
      <c r="U234" s="352">
        <v>1</v>
      </c>
      <c r="V234" s="1255">
        <v>1</v>
      </c>
      <c r="W234" s="352">
        <v>1</v>
      </c>
      <c r="X234" s="1255">
        <v>1</v>
      </c>
      <c r="Y234" s="352">
        <v>1</v>
      </c>
      <c r="Z234" s="1255">
        <v>1</v>
      </c>
      <c r="AA234" s="352">
        <v>1</v>
      </c>
      <c r="AB234" s="1255">
        <v>1</v>
      </c>
      <c r="AC234" s="1260">
        <v>1</v>
      </c>
      <c r="AD234" s="1255">
        <v>1</v>
      </c>
      <c r="AE234" s="352">
        <v>1</v>
      </c>
      <c r="AF234" s="1255">
        <v>1</v>
      </c>
      <c r="AG234" s="352">
        <v>1</v>
      </c>
      <c r="AH234" s="475">
        <v>1</v>
      </c>
      <c r="AI234" s="351">
        <v>0</v>
      </c>
      <c r="AJ234" s="351">
        <v>0</v>
      </c>
    </row>
    <row r="235" spans="2:36" ht="13.5" thickTop="1" x14ac:dyDescent="0.2">
      <c r="B235" s="276">
        <v>101</v>
      </c>
      <c r="C235" s="320">
        <f t="shared" si="8"/>
        <v>102</v>
      </c>
      <c r="D235" s="318">
        <f t="shared" si="9"/>
        <v>100</v>
      </c>
      <c r="E235" s="301">
        <v>1</v>
      </c>
      <c r="F235" s="302">
        <v>1</v>
      </c>
      <c r="G235" s="306">
        <v>1</v>
      </c>
      <c r="H235" s="323">
        <v>1</v>
      </c>
      <c r="I235" s="306">
        <v>1</v>
      </c>
      <c r="J235" s="323">
        <v>1</v>
      </c>
      <c r="K235" s="306">
        <v>1</v>
      </c>
      <c r="L235" s="323">
        <v>1</v>
      </c>
      <c r="M235" s="306">
        <v>1</v>
      </c>
      <c r="N235" s="323">
        <v>1</v>
      </c>
      <c r="O235" s="307">
        <v>1</v>
      </c>
      <c r="P235" s="323">
        <v>1</v>
      </c>
      <c r="Q235" s="306">
        <v>1</v>
      </c>
      <c r="R235" s="323">
        <v>1</v>
      </c>
      <c r="S235" s="306">
        <v>1</v>
      </c>
      <c r="T235" s="471">
        <v>1</v>
      </c>
      <c r="U235" s="306">
        <v>1</v>
      </c>
      <c r="V235" s="323">
        <v>1</v>
      </c>
      <c r="W235" s="306">
        <v>1</v>
      </c>
      <c r="X235" s="323">
        <v>1</v>
      </c>
      <c r="Y235" s="306">
        <v>1</v>
      </c>
      <c r="Z235" s="323">
        <v>1</v>
      </c>
      <c r="AA235" s="306">
        <v>1</v>
      </c>
      <c r="AB235" s="323">
        <v>1</v>
      </c>
      <c r="AC235" s="307">
        <v>1</v>
      </c>
      <c r="AD235" s="323">
        <v>1</v>
      </c>
      <c r="AE235" s="306">
        <v>1</v>
      </c>
      <c r="AF235" s="323">
        <v>1</v>
      </c>
      <c r="AG235" s="306">
        <v>1</v>
      </c>
      <c r="AH235" s="471">
        <v>1</v>
      </c>
      <c r="AI235" s="306">
        <v>0</v>
      </c>
      <c r="AJ235" s="306">
        <v>0</v>
      </c>
    </row>
    <row r="236" spans="2:36" x14ac:dyDescent="0.2">
      <c r="B236" s="276">
        <v>102</v>
      </c>
      <c r="C236" s="320">
        <f t="shared" si="8"/>
        <v>103</v>
      </c>
      <c r="D236" s="318">
        <f t="shared" si="9"/>
        <v>101</v>
      </c>
      <c r="E236" s="301">
        <v>1</v>
      </c>
      <c r="F236" s="302">
        <v>1</v>
      </c>
      <c r="G236" s="306">
        <v>1</v>
      </c>
      <c r="H236" s="323">
        <v>1</v>
      </c>
      <c r="I236" s="306">
        <v>1</v>
      </c>
      <c r="J236" s="323">
        <v>1</v>
      </c>
      <c r="K236" s="306">
        <v>1</v>
      </c>
      <c r="L236" s="323">
        <v>1</v>
      </c>
      <c r="M236" s="306">
        <v>1</v>
      </c>
      <c r="N236" s="323">
        <v>1</v>
      </c>
      <c r="O236" s="307">
        <v>1</v>
      </c>
      <c r="P236" s="323">
        <v>1</v>
      </c>
      <c r="Q236" s="306">
        <v>1</v>
      </c>
      <c r="R236" s="323">
        <v>1</v>
      </c>
      <c r="S236" s="306">
        <v>1</v>
      </c>
      <c r="T236" s="471">
        <v>1</v>
      </c>
      <c r="U236" s="306">
        <v>1</v>
      </c>
      <c r="V236" s="323">
        <v>1</v>
      </c>
      <c r="W236" s="306">
        <v>1</v>
      </c>
      <c r="X236" s="323">
        <v>1</v>
      </c>
      <c r="Y236" s="306">
        <v>1</v>
      </c>
      <c r="Z236" s="323">
        <v>1</v>
      </c>
      <c r="AA236" s="306">
        <v>1</v>
      </c>
      <c r="AB236" s="323">
        <v>1</v>
      </c>
      <c r="AC236" s="307">
        <v>1</v>
      </c>
      <c r="AD236" s="323">
        <v>1</v>
      </c>
      <c r="AE236" s="306">
        <v>1</v>
      </c>
      <c r="AF236" s="323">
        <v>1</v>
      </c>
      <c r="AG236" s="306">
        <v>1</v>
      </c>
      <c r="AH236" s="471">
        <v>1</v>
      </c>
      <c r="AI236" s="306">
        <v>0</v>
      </c>
      <c r="AJ236" s="306">
        <v>0</v>
      </c>
    </row>
    <row r="237" spans="2:36" x14ac:dyDescent="0.2">
      <c r="B237" s="276">
        <v>103</v>
      </c>
      <c r="C237" s="320">
        <f t="shared" si="8"/>
        <v>104</v>
      </c>
      <c r="D237" s="318">
        <f t="shared" si="9"/>
        <v>102</v>
      </c>
      <c r="E237" s="301">
        <v>1</v>
      </c>
      <c r="F237" s="302">
        <v>1</v>
      </c>
      <c r="G237" s="306">
        <v>1</v>
      </c>
      <c r="H237" s="323">
        <v>1</v>
      </c>
      <c r="I237" s="306">
        <v>1</v>
      </c>
      <c r="J237" s="323">
        <v>1</v>
      </c>
      <c r="K237" s="306">
        <v>1</v>
      </c>
      <c r="L237" s="323">
        <v>1</v>
      </c>
      <c r="M237" s="306">
        <v>1</v>
      </c>
      <c r="N237" s="323">
        <v>1</v>
      </c>
      <c r="O237" s="307">
        <v>1</v>
      </c>
      <c r="P237" s="323">
        <v>1</v>
      </c>
      <c r="Q237" s="306">
        <v>1</v>
      </c>
      <c r="R237" s="323">
        <v>1</v>
      </c>
      <c r="S237" s="306">
        <v>1</v>
      </c>
      <c r="T237" s="471">
        <v>1</v>
      </c>
      <c r="U237" s="306">
        <v>1</v>
      </c>
      <c r="V237" s="323">
        <v>1</v>
      </c>
      <c r="W237" s="306">
        <v>1</v>
      </c>
      <c r="X237" s="323">
        <v>1</v>
      </c>
      <c r="Y237" s="306">
        <v>1</v>
      </c>
      <c r="Z237" s="323">
        <v>1</v>
      </c>
      <c r="AA237" s="306">
        <v>1</v>
      </c>
      <c r="AB237" s="323">
        <v>1</v>
      </c>
      <c r="AC237" s="307">
        <v>1</v>
      </c>
      <c r="AD237" s="323">
        <v>1</v>
      </c>
      <c r="AE237" s="306">
        <v>1</v>
      </c>
      <c r="AF237" s="323">
        <v>1</v>
      </c>
      <c r="AG237" s="306">
        <v>1</v>
      </c>
      <c r="AH237" s="471">
        <v>1</v>
      </c>
      <c r="AI237" s="306">
        <v>0</v>
      </c>
      <c r="AJ237" s="306">
        <v>0</v>
      </c>
    </row>
    <row r="238" spans="2:36" x14ac:dyDescent="0.2">
      <c r="B238" s="276">
        <v>104</v>
      </c>
      <c r="C238" s="320">
        <f t="shared" si="8"/>
        <v>105</v>
      </c>
      <c r="D238" s="318">
        <f t="shared" si="9"/>
        <v>103</v>
      </c>
      <c r="E238" s="301">
        <v>1</v>
      </c>
      <c r="F238" s="302">
        <v>1</v>
      </c>
      <c r="G238" s="306">
        <v>1</v>
      </c>
      <c r="H238" s="323">
        <v>1</v>
      </c>
      <c r="I238" s="306">
        <v>1</v>
      </c>
      <c r="J238" s="323">
        <v>1</v>
      </c>
      <c r="K238" s="306">
        <v>1</v>
      </c>
      <c r="L238" s="323">
        <v>1</v>
      </c>
      <c r="M238" s="306">
        <v>1</v>
      </c>
      <c r="N238" s="323">
        <v>1</v>
      </c>
      <c r="O238" s="307">
        <v>1</v>
      </c>
      <c r="P238" s="323">
        <v>1</v>
      </c>
      <c r="Q238" s="306">
        <v>1</v>
      </c>
      <c r="R238" s="323">
        <v>1</v>
      </c>
      <c r="S238" s="306">
        <v>1</v>
      </c>
      <c r="T238" s="471">
        <v>1</v>
      </c>
      <c r="U238" s="306">
        <v>1</v>
      </c>
      <c r="V238" s="323">
        <v>1</v>
      </c>
      <c r="W238" s="306">
        <v>1</v>
      </c>
      <c r="X238" s="323">
        <v>1</v>
      </c>
      <c r="Y238" s="306">
        <v>1</v>
      </c>
      <c r="Z238" s="323">
        <v>1</v>
      </c>
      <c r="AA238" s="306">
        <v>1</v>
      </c>
      <c r="AB238" s="323">
        <v>1</v>
      </c>
      <c r="AC238" s="307">
        <v>1</v>
      </c>
      <c r="AD238" s="323">
        <v>1</v>
      </c>
      <c r="AE238" s="306">
        <v>1</v>
      </c>
      <c r="AF238" s="323">
        <v>1</v>
      </c>
      <c r="AG238" s="306">
        <v>1</v>
      </c>
      <c r="AH238" s="471">
        <v>1</v>
      </c>
      <c r="AI238" s="306">
        <v>0</v>
      </c>
      <c r="AJ238" s="306">
        <v>0</v>
      </c>
    </row>
    <row r="239" spans="2:36" x14ac:dyDescent="0.2">
      <c r="B239" s="276">
        <v>105</v>
      </c>
      <c r="C239" s="320">
        <f t="shared" si="8"/>
        <v>106</v>
      </c>
      <c r="D239" s="318">
        <f t="shared" si="9"/>
        <v>104</v>
      </c>
      <c r="E239" s="301">
        <v>1</v>
      </c>
      <c r="F239" s="302">
        <v>1</v>
      </c>
      <c r="G239" s="306">
        <v>1</v>
      </c>
      <c r="H239" s="323">
        <v>1</v>
      </c>
      <c r="I239" s="306">
        <v>1</v>
      </c>
      <c r="J239" s="323">
        <v>1</v>
      </c>
      <c r="K239" s="306">
        <v>1</v>
      </c>
      <c r="L239" s="323">
        <v>1</v>
      </c>
      <c r="M239" s="306">
        <v>1</v>
      </c>
      <c r="N239" s="323">
        <v>1</v>
      </c>
      <c r="O239" s="307">
        <v>1</v>
      </c>
      <c r="P239" s="323">
        <v>1</v>
      </c>
      <c r="Q239" s="306">
        <v>1</v>
      </c>
      <c r="R239" s="323">
        <v>1</v>
      </c>
      <c r="S239" s="306">
        <v>1</v>
      </c>
      <c r="T239" s="471">
        <v>1</v>
      </c>
      <c r="U239" s="306">
        <v>1</v>
      </c>
      <c r="V239" s="323">
        <v>1</v>
      </c>
      <c r="W239" s="306">
        <v>1</v>
      </c>
      <c r="X239" s="323">
        <v>1</v>
      </c>
      <c r="Y239" s="306">
        <v>1</v>
      </c>
      <c r="Z239" s="323">
        <v>1</v>
      </c>
      <c r="AA239" s="306">
        <v>1</v>
      </c>
      <c r="AB239" s="323">
        <v>1</v>
      </c>
      <c r="AC239" s="307">
        <v>1</v>
      </c>
      <c r="AD239" s="323">
        <v>1</v>
      </c>
      <c r="AE239" s="306">
        <v>1</v>
      </c>
      <c r="AF239" s="323">
        <v>1</v>
      </c>
      <c r="AG239" s="306">
        <v>1</v>
      </c>
      <c r="AH239" s="471">
        <v>1</v>
      </c>
      <c r="AI239" s="306">
        <v>0</v>
      </c>
      <c r="AJ239" s="306">
        <v>0</v>
      </c>
    </row>
    <row r="240" spans="2:36" x14ac:dyDescent="0.2">
      <c r="B240" s="276">
        <v>106</v>
      </c>
      <c r="C240" s="320">
        <f t="shared" si="8"/>
        <v>107</v>
      </c>
      <c r="D240" s="318">
        <f t="shared" si="9"/>
        <v>105</v>
      </c>
      <c r="E240" s="301">
        <v>1</v>
      </c>
      <c r="F240" s="302">
        <v>1</v>
      </c>
      <c r="G240" s="306">
        <v>1</v>
      </c>
      <c r="H240" s="323">
        <v>1</v>
      </c>
      <c r="I240" s="306">
        <v>1</v>
      </c>
      <c r="J240" s="323">
        <v>1</v>
      </c>
      <c r="K240" s="306">
        <v>1</v>
      </c>
      <c r="L240" s="323">
        <v>1</v>
      </c>
      <c r="M240" s="306">
        <v>1</v>
      </c>
      <c r="N240" s="323">
        <v>1</v>
      </c>
      <c r="O240" s="307">
        <v>1</v>
      </c>
      <c r="P240" s="323">
        <v>1</v>
      </c>
      <c r="Q240" s="306">
        <v>1</v>
      </c>
      <c r="R240" s="323">
        <v>1</v>
      </c>
      <c r="S240" s="306">
        <v>1</v>
      </c>
      <c r="T240" s="471">
        <v>1</v>
      </c>
      <c r="U240" s="306">
        <v>1</v>
      </c>
      <c r="V240" s="323">
        <v>1</v>
      </c>
      <c r="W240" s="306">
        <v>1</v>
      </c>
      <c r="X240" s="323">
        <v>1</v>
      </c>
      <c r="Y240" s="306">
        <v>1</v>
      </c>
      <c r="Z240" s="323">
        <v>1</v>
      </c>
      <c r="AA240" s="306">
        <v>1</v>
      </c>
      <c r="AB240" s="323">
        <v>1</v>
      </c>
      <c r="AC240" s="307">
        <v>1</v>
      </c>
      <c r="AD240" s="323">
        <v>1</v>
      </c>
      <c r="AE240" s="306">
        <v>1</v>
      </c>
      <c r="AF240" s="323">
        <v>1</v>
      </c>
      <c r="AG240" s="306">
        <v>1</v>
      </c>
      <c r="AH240" s="471">
        <v>1</v>
      </c>
      <c r="AI240" s="306">
        <v>0</v>
      </c>
      <c r="AJ240" s="306">
        <v>0</v>
      </c>
    </row>
    <row r="241" spans="2:66" x14ac:dyDescent="0.2">
      <c r="B241" s="276">
        <v>107</v>
      </c>
      <c r="C241" s="320">
        <f t="shared" si="8"/>
        <v>108</v>
      </c>
      <c r="D241" s="318">
        <f t="shared" si="9"/>
        <v>106</v>
      </c>
      <c r="E241" s="301">
        <v>1</v>
      </c>
      <c r="F241" s="302">
        <v>1</v>
      </c>
      <c r="G241" s="306">
        <v>1</v>
      </c>
      <c r="H241" s="323">
        <v>1</v>
      </c>
      <c r="I241" s="306">
        <v>1</v>
      </c>
      <c r="J241" s="323">
        <v>1</v>
      </c>
      <c r="K241" s="306">
        <v>1</v>
      </c>
      <c r="L241" s="323">
        <v>1</v>
      </c>
      <c r="M241" s="306">
        <v>1</v>
      </c>
      <c r="N241" s="323">
        <v>1</v>
      </c>
      <c r="O241" s="307">
        <v>1</v>
      </c>
      <c r="P241" s="323">
        <v>1</v>
      </c>
      <c r="Q241" s="306">
        <v>1</v>
      </c>
      <c r="R241" s="323">
        <v>1</v>
      </c>
      <c r="S241" s="306">
        <v>1</v>
      </c>
      <c r="T241" s="471">
        <v>1</v>
      </c>
      <c r="U241" s="306">
        <v>1</v>
      </c>
      <c r="V241" s="323">
        <v>1</v>
      </c>
      <c r="W241" s="306">
        <v>1</v>
      </c>
      <c r="X241" s="323">
        <v>1</v>
      </c>
      <c r="Y241" s="306">
        <v>1</v>
      </c>
      <c r="Z241" s="323">
        <v>1</v>
      </c>
      <c r="AA241" s="306">
        <v>1</v>
      </c>
      <c r="AB241" s="323">
        <v>1</v>
      </c>
      <c r="AC241" s="307">
        <v>1</v>
      </c>
      <c r="AD241" s="323">
        <v>1</v>
      </c>
      <c r="AE241" s="306">
        <v>1</v>
      </c>
      <c r="AF241" s="323">
        <v>1</v>
      </c>
      <c r="AG241" s="306">
        <v>1</v>
      </c>
      <c r="AH241" s="471">
        <v>1</v>
      </c>
      <c r="AI241" s="306">
        <v>0</v>
      </c>
      <c r="AJ241" s="306">
        <v>0</v>
      </c>
    </row>
    <row r="242" spans="2:66" x14ac:dyDescent="0.2">
      <c r="B242" s="276">
        <v>108</v>
      </c>
      <c r="C242" s="320">
        <f t="shared" si="8"/>
        <v>109</v>
      </c>
      <c r="D242" s="318">
        <f t="shared" si="9"/>
        <v>107</v>
      </c>
      <c r="E242" s="301">
        <v>1</v>
      </c>
      <c r="F242" s="302">
        <v>1</v>
      </c>
      <c r="G242" s="306">
        <v>1</v>
      </c>
      <c r="H242" s="323">
        <v>1</v>
      </c>
      <c r="I242" s="306">
        <v>1</v>
      </c>
      <c r="J242" s="323">
        <v>1</v>
      </c>
      <c r="K242" s="306">
        <v>1</v>
      </c>
      <c r="L242" s="323">
        <v>1</v>
      </c>
      <c r="M242" s="306">
        <v>1</v>
      </c>
      <c r="N242" s="323">
        <v>1</v>
      </c>
      <c r="O242" s="307">
        <v>1</v>
      </c>
      <c r="P242" s="323">
        <v>1</v>
      </c>
      <c r="Q242" s="306">
        <v>1</v>
      </c>
      <c r="R242" s="323">
        <v>1</v>
      </c>
      <c r="S242" s="306">
        <v>1</v>
      </c>
      <c r="T242" s="471">
        <v>1</v>
      </c>
      <c r="U242" s="306">
        <v>1</v>
      </c>
      <c r="V242" s="323">
        <v>1</v>
      </c>
      <c r="W242" s="306">
        <v>1</v>
      </c>
      <c r="X242" s="323">
        <v>1</v>
      </c>
      <c r="Y242" s="306">
        <v>1</v>
      </c>
      <c r="Z242" s="323">
        <v>1</v>
      </c>
      <c r="AA242" s="306">
        <v>1</v>
      </c>
      <c r="AB242" s="323">
        <v>1</v>
      </c>
      <c r="AC242" s="307">
        <v>1</v>
      </c>
      <c r="AD242" s="323">
        <v>1</v>
      </c>
      <c r="AE242" s="306">
        <v>1</v>
      </c>
      <c r="AF242" s="323">
        <v>1</v>
      </c>
      <c r="AG242" s="306">
        <v>1</v>
      </c>
      <c r="AH242" s="471">
        <v>1</v>
      </c>
      <c r="AI242" s="306">
        <v>0</v>
      </c>
      <c r="AJ242" s="306">
        <v>0</v>
      </c>
    </row>
    <row r="243" spans="2:66" x14ac:dyDescent="0.2">
      <c r="B243" s="276">
        <v>109</v>
      </c>
      <c r="C243" s="320">
        <f t="shared" si="8"/>
        <v>110</v>
      </c>
      <c r="D243" s="318">
        <f t="shared" si="9"/>
        <v>108</v>
      </c>
      <c r="E243" s="301">
        <v>1</v>
      </c>
      <c r="F243" s="302">
        <v>1</v>
      </c>
      <c r="G243" s="306">
        <v>1</v>
      </c>
      <c r="H243" s="323">
        <v>1</v>
      </c>
      <c r="I243" s="306">
        <v>1</v>
      </c>
      <c r="J243" s="323">
        <v>1</v>
      </c>
      <c r="K243" s="306">
        <v>1</v>
      </c>
      <c r="L243" s="323">
        <v>1</v>
      </c>
      <c r="M243" s="306">
        <v>1</v>
      </c>
      <c r="N243" s="323">
        <v>1</v>
      </c>
      <c r="O243" s="307">
        <v>1</v>
      </c>
      <c r="P243" s="323">
        <v>1</v>
      </c>
      <c r="Q243" s="306">
        <v>1</v>
      </c>
      <c r="R243" s="323">
        <v>1</v>
      </c>
      <c r="S243" s="306">
        <v>1</v>
      </c>
      <c r="T243" s="471">
        <v>1</v>
      </c>
      <c r="U243" s="306">
        <v>1</v>
      </c>
      <c r="V243" s="323">
        <v>1</v>
      </c>
      <c r="W243" s="306">
        <v>1</v>
      </c>
      <c r="X243" s="323">
        <v>1</v>
      </c>
      <c r="Y243" s="306">
        <v>1</v>
      </c>
      <c r="Z243" s="323">
        <v>1</v>
      </c>
      <c r="AA243" s="306">
        <v>1</v>
      </c>
      <c r="AB243" s="323">
        <v>1</v>
      </c>
      <c r="AC243" s="307">
        <v>1</v>
      </c>
      <c r="AD243" s="323">
        <v>1</v>
      </c>
      <c r="AE243" s="306">
        <v>1</v>
      </c>
      <c r="AF243" s="323">
        <v>1</v>
      </c>
      <c r="AG243" s="306">
        <v>1</v>
      </c>
      <c r="AH243" s="471">
        <v>1</v>
      </c>
      <c r="AI243" s="306">
        <v>0</v>
      </c>
      <c r="AJ243" s="306">
        <v>0</v>
      </c>
    </row>
    <row r="244" spans="2:66" x14ac:dyDescent="0.2">
      <c r="B244" s="418">
        <v>110</v>
      </c>
      <c r="C244" s="419">
        <f t="shared" si="8"/>
        <v>111</v>
      </c>
      <c r="D244" s="486">
        <f t="shared" si="9"/>
        <v>109</v>
      </c>
      <c r="E244" s="487">
        <v>1</v>
      </c>
      <c r="F244" s="488">
        <v>1</v>
      </c>
      <c r="G244" s="489">
        <v>1</v>
      </c>
      <c r="H244" s="490">
        <v>1</v>
      </c>
      <c r="I244" s="489">
        <v>1</v>
      </c>
      <c r="J244" s="490">
        <v>1</v>
      </c>
      <c r="K244" s="489">
        <v>1</v>
      </c>
      <c r="L244" s="490">
        <v>1</v>
      </c>
      <c r="M244" s="489">
        <v>1</v>
      </c>
      <c r="N244" s="490">
        <v>1</v>
      </c>
      <c r="O244" s="491">
        <v>1</v>
      </c>
      <c r="P244" s="490">
        <v>1</v>
      </c>
      <c r="Q244" s="489">
        <v>1</v>
      </c>
      <c r="R244" s="490">
        <v>1</v>
      </c>
      <c r="S244" s="489">
        <v>1</v>
      </c>
      <c r="T244" s="492">
        <v>1</v>
      </c>
      <c r="U244" s="489">
        <v>1</v>
      </c>
      <c r="V244" s="490">
        <v>1</v>
      </c>
      <c r="W244" s="489">
        <v>1</v>
      </c>
      <c r="X244" s="490">
        <v>1</v>
      </c>
      <c r="Y244" s="489">
        <v>1</v>
      </c>
      <c r="Z244" s="490">
        <v>1</v>
      </c>
      <c r="AA244" s="489">
        <v>1</v>
      </c>
      <c r="AB244" s="490">
        <v>1</v>
      </c>
      <c r="AC244" s="491">
        <v>1</v>
      </c>
      <c r="AD244" s="490">
        <v>1</v>
      </c>
      <c r="AE244" s="489">
        <v>1</v>
      </c>
      <c r="AF244" s="490">
        <v>1</v>
      </c>
      <c r="AG244" s="489">
        <v>1</v>
      </c>
      <c r="AH244" s="492">
        <v>1</v>
      </c>
      <c r="AI244" s="489">
        <v>0</v>
      </c>
      <c r="AJ244" s="489">
        <v>0</v>
      </c>
    </row>
    <row r="248" spans="2:66" ht="15.75" x14ac:dyDescent="0.25">
      <c r="B248" s="222" t="str">
        <f>VLOOKUP("T.04.92",HE_label,2,FALSE)&amp;HE_CY-1</f>
        <v>Annahmen zukünftiger nicht-struktureller Teuerung per 31.12.2024</v>
      </c>
      <c r="C248" s="253"/>
      <c r="D248" s="248"/>
      <c r="E248" s="248"/>
      <c r="F248" s="249"/>
      <c r="G248" s="250"/>
      <c r="H248" s="248"/>
      <c r="I248" s="250"/>
      <c r="J248" s="261"/>
      <c r="K248" s="261"/>
      <c r="L248" s="261"/>
      <c r="M248" s="261"/>
      <c r="N248" s="261"/>
      <c r="O248" s="261"/>
      <c r="P248" s="48"/>
      <c r="U248" s="250"/>
      <c r="V248" s="248"/>
      <c r="W248" s="250"/>
      <c r="X248" s="261"/>
      <c r="Y248" s="261"/>
      <c r="Z248" s="261"/>
      <c r="AA248" s="261"/>
      <c r="AB248" s="261"/>
      <c r="AC248" s="261"/>
      <c r="AD248" s="48"/>
    </row>
    <row r="249" spans="2:66" ht="12.75" customHeight="1" x14ac:dyDescent="0.25">
      <c r="B249" s="222"/>
      <c r="D249" s="248"/>
      <c r="F249" s="249"/>
      <c r="G249" s="250"/>
      <c r="H249" s="248"/>
      <c r="I249" s="250"/>
      <c r="J249" s="261"/>
      <c r="K249" s="261"/>
      <c r="L249" s="261"/>
      <c r="M249" s="261"/>
      <c r="N249" s="261"/>
      <c r="O249" s="261"/>
      <c r="P249" s="48"/>
      <c r="U249" s="250"/>
      <c r="V249" s="248"/>
      <c r="W249" s="250"/>
      <c r="X249" s="261"/>
      <c r="Y249" s="261"/>
      <c r="Z249" s="261"/>
      <c r="AA249" s="261"/>
      <c r="AB249" s="261"/>
      <c r="AC249" s="261"/>
      <c r="AD249" s="48"/>
    </row>
    <row r="250" spans="2:66" s="68" customFormat="1" ht="20.100000000000001" customHeight="1" x14ac:dyDescent="0.2">
      <c r="B250" s="229" t="str">
        <f>VLOOKUP("T.04.93",HE_label,2,FALSE)</f>
        <v>Abweichung der vorgesehenen Quote für Jahr 1 (CY), verwendete Quoten für Jahr 2 und folgende</v>
      </c>
    </row>
    <row r="251" spans="2:66" ht="13.5" thickBot="1" x14ac:dyDescent="0.25">
      <c r="B251" s="476" t="str">
        <f>VLOOKUP("T.04.94",HE_label,2,FALSE)</f>
        <v>Behandlungsjahr</v>
      </c>
      <c r="C251" s="477">
        <v>1</v>
      </c>
      <c r="D251" s="477">
        <v>2</v>
      </c>
      <c r="E251" s="477">
        <v>3</v>
      </c>
      <c r="F251" s="477">
        <v>4</v>
      </c>
      <c r="G251" s="477">
        <v>5</v>
      </c>
      <c r="H251" s="477">
        <v>6</v>
      </c>
      <c r="I251" s="477">
        <v>7</v>
      </c>
      <c r="J251" s="477">
        <v>8</v>
      </c>
      <c r="K251" s="477">
        <v>9</v>
      </c>
      <c r="L251" s="477">
        <v>10</v>
      </c>
      <c r="M251" s="477">
        <v>11</v>
      </c>
      <c r="N251" s="477">
        <v>12</v>
      </c>
      <c r="O251" s="477">
        <v>13</v>
      </c>
      <c r="P251" s="477">
        <v>14</v>
      </c>
      <c r="Q251" s="477">
        <v>15</v>
      </c>
      <c r="R251" s="477">
        <v>16</v>
      </c>
      <c r="S251" s="477">
        <v>17</v>
      </c>
      <c r="T251" s="477">
        <v>18</v>
      </c>
      <c r="U251" s="477">
        <v>19</v>
      </c>
      <c r="V251" s="477">
        <v>20</v>
      </c>
      <c r="W251" s="477">
        <v>21</v>
      </c>
      <c r="X251" s="477">
        <v>22</v>
      </c>
      <c r="Y251" s="477">
        <v>23</v>
      </c>
      <c r="Z251" s="477">
        <v>24</v>
      </c>
      <c r="AA251" s="477">
        <v>25</v>
      </c>
      <c r="AB251" s="477">
        <v>26</v>
      </c>
      <c r="AC251" s="477">
        <v>27</v>
      </c>
      <c r="AD251" s="477">
        <v>28</v>
      </c>
      <c r="AE251" s="477">
        <v>29</v>
      </c>
      <c r="AF251" s="477">
        <v>30</v>
      </c>
      <c r="AG251" s="477">
        <v>31</v>
      </c>
      <c r="AH251" s="477">
        <v>32</v>
      </c>
      <c r="AI251" s="477">
        <v>33</v>
      </c>
      <c r="AJ251" s="477">
        <v>34</v>
      </c>
      <c r="AK251" s="477">
        <v>35</v>
      </c>
      <c r="AL251" s="477">
        <v>36</v>
      </c>
      <c r="AM251" s="477">
        <v>37</v>
      </c>
      <c r="AN251" s="477">
        <v>38</v>
      </c>
      <c r="AO251" s="477">
        <v>39</v>
      </c>
      <c r="AP251" s="477">
        <v>40</v>
      </c>
      <c r="AQ251" s="477">
        <v>41</v>
      </c>
      <c r="AR251" s="477">
        <v>42</v>
      </c>
      <c r="AS251" s="477">
        <v>43</v>
      </c>
      <c r="AT251" s="477">
        <v>44</v>
      </c>
      <c r="AU251" s="477">
        <v>45</v>
      </c>
      <c r="AV251" s="477">
        <v>46</v>
      </c>
      <c r="AW251" s="477">
        <v>47</v>
      </c>
      <c r="AX251" s="477">
        <v>48</v>
      </c>
      <c r="AY251" s="477">
        <v>49</v>
      </c>
      <c r="AZ251" s="477">
        <v>50</v>
      </c>
      <c r="BA251" s="477">
        <v>37</v>
      </c>
      <c r="BB251" s="477">
        <v>38</v>
      </c>
      <c r="BC251" s="477">
        <v>39</v>
      </c>
      <c r="BD251" s="477">
        <v>40</v>
      </c>
      <c r="BE251" s="477">
        <v>41</v>
      </c>
      <c r="BF251" s="477">
        <v>42</v>
      </c>
      <c r="BG251" s="477">
        <v>43</v>
      </c>
      <c r="BH251" s="477">
        <v>44</v>
      </c>
      <c r="BI251" s="477">
        <v>45</v>
      </c>
      <c r="BJ251" s="477">
        <v>46</v>
      </c>
      <c r="BK251" s="477">
        <v>47</v>
      </c>
      <c r="BL251" s="477">
        <v>48</v>
      </c>
      <c r="BM251" s="477">
        <v>49</v>
      </c>
      <c r="BN251" s="477">
        <v>50</v>
      </c>
    </row>
    <row r="252" spans="2:66" ht="13.5" thickTop="1" x14ac:dyDescent="0.2">
      <c r="B252" s="480" t="str">
        <f>"PG1p - "&amp;HE_Praemium_label</f>
        <v>PG1p - Prämien</v>
      </c>
      <c r="C252" s="478">
        <v>0</v>
      </c>
      <c r="D252" s="478">
        <v>0</v>
      </c>
      <c r="E252" s="478">
        <v>0</v>
      </c>
      <c r="F252" s="478">
        <v>0</v>
      </c>
      <c r="G252" s="478">
        <v>0</v>
      </c>
      <c r="H252" s="478">
        <v>0</v>
      </c>
      <c r="I252" s="478">
        <v>0</v>
      </c>
      <c r="J252" s="478">
        <v>0</v>
      </c>
      <c r="K252" s="478">
        <v>0</v>
      </c>
      <c r="L252" s="478">
        <v>0</v>
      </c>
      <c r="M252" s="478">
        <v>0</v>
      </c>
      <c r="N252" s="478">
        <v>0</v>
      </c>
      <c r="O252" s="478">
        <v>0</v>
      </c>
      <c r="P252" s="478">
        <v>0</v>
      </c>
      <c r="Q252" s="478">
        <v>0</v>
      </c>
      <c r="R252" s="478">
        <v>0</v>
      </c>
      <c r="S252" s="478">
        <v>0</v>
      </c>
      <c r="T252" s="478">
        <v>0</v>
      </c>
      <c r="U252" s="478">
        <v>0</v>
      </c>
      <c r="V252" s="478">
        <v>0</v>
      </c>
      <c r="W252" s="478">
        <v>0</v>
      </c>
      <c r="X252" s="478">
        <v>0</v>
      </c>
      <c r="Y252" s="478">
        <v>0</v>
      </c>
      <c r="Z252" s="478">
        <v>0</v>
      </c>
      <c r="AA252" s="478">
        <v>0</v>
      </c>
      <c r="AB252" s="478">
        <v>0</v>
      </c>
      <c r="AC252" s="478">
        <v>0</v>
      </c>
      <c r="AD252" s="478">
        <v>0</v>
      </c>
      <c r="AE252" s="478">
        <v>0</v>
      </c>
      <c r="AF252" s="478">
        <v>0</v>
      </c>
      <c r="AG252" s="478">
        <v>0</v>
      </c>
      <c r="AH252" s="478">
        <v>0</v>
      </c>
      <c r="AI252" s="478">
        <v>0</v>
      </c>
      <c r="AJ252" s="478">
        <v>0</v>
      </c>
      <c r="AK252" s="478">
        <v>0</v>
      </c>
      <c r="AL252" s="478">
        <v>0</v>
      </c>
      <c r="AM252" s="478">
        <v>0</v>
      </c>
      <c r="AN252" s="478">
        <v>0</v>
      </c>
      <c r="AO252" s="478">
        <v>0</v>
      </c>
      <c r="AP252" s="478">
        <v>0</v>
      </c>
      <c r="AQ252" s="478">
        <v>0</v>
      </c>
      <c r="AR252" s="478">
        <v>0</v>
      </c>
      <c r="AS252" s="478">
        <v>0</v>
      </c>
      <c r="AT252" s="478">
        <v>0</v>
      </c>
      <c r="AU252" s="478">
        <v>0</v>
      </c>
      <c r="AV252" s="478">
        <v>0</v>
      </c>
      <c r="AW252" s="478">
        <v>0</v>
      </c>
      <c r="AX252" s="478">
        <v>0</v>
      </c>
      <c r="AY252" s="478">
        <v>0</v>
      </c>
      <c r="AZ252" s="478">
        <v>0</v>
      </c>
      <c r="BA252" s="478">
        <v>0</v>
      </c>
      <c r="BB252" s="478">
        <v>0</v>
      </c>
      <c r="BC252" s="478">
        <v>0</v>
      </c>
      <c r="BD252" s="478">
        <v>0</v>
      </c>
      <c r="BE252" s="478">
        <v>0</v>
      </c>
      <c r="BF252" s="478">
        <v>0</v>
      </c>
      <c r="BG252" s="478">
        <v>0</v>
      </c>
      <c r="BH252" s="478">
        <v>0</v>
      </c>
      <c r="BI252" s="478">
        <v>0</v>
      </c>
      <c r="BJ252" s="478">
        <v>0</v>
      </c>
      <c r="BK252" s="478">
        <v>0</v>
      </c>
      <c r="BL252" s="478">
        <v>0</v>
      </c>
      <c r="BM252" s="478">
        <v>0</v>
      </c>
      <c r="BN252" s="478">
        <v>0</v>
      </c>
    </row>
    <row r="253" spans="2:66" x14ac:dyDescent="0.2">
      <c r="B253" s="256" t="str">
        <f>"PG1l - "&amp;HE_Leistungen_label</f>
        <v>PG1l - Leistungen</v>
      </c>
      <c r="C253" s="479">
        <v>0</v>
      </c>
      <c r="D253" s="479">
        <v>0</v>
      </c>
      <c r="E253" s="479">
        <v>0</v>
      </c>
      <c r="F253" s="479">
        <v>0</v>
      </c>
      <c r="G253" s="479">
        <v>0</v>
      </c>
      <c r="H253" s="479">
        <v>0</v>
      </c>
      <c r="I253" s="479">
        <v>0</v>
      </c>
      <c r="J253" s="479">
        <v>0</v>
      </c>
      <c r="K253" s="479">
        <v>0</v>
      </c>
      <c r="L253" s="479">
        <v>0</v>
      </c>
      <c r="M253" s="479">
        <v>0</v>
      </c>
      <c r="N253" s="479">
        <v>0</v>
      </c>
      <c r="O253" s="479">
        <v>0</v>
      </c>
      <c r="P253" s="479">
        <v>0</v>
      </c>
      <c r="Q253" s="479">
        <v>0</v>
      </c>
      <c r="R253" s="479">
        <v>0</v>
      </c>
      <c r="S253" s="479">
        <v>0</v>
      </c>
      <c r="T253" s="479">
        <v>0</v>
      </c>
      <c r="U253" s="479">
        <v>0</v>
      </c>
      <c r="V253" s="479">
        <v>0</v>
      </c>
      <c r="W253" s="479">
        <v>0</v>
      </c>
      <c r="X253" s="479">
        <v>0</v>
      </c>
      <c r="Y253" s="479">
        <v>0</v>
      </c>
      <c r="Z253" s="479">
        <v>0</v>
      </c>
      <c r="AA253" s="479">
        <v>0</v>
      </c>
      <c r="AB253" s="479">
        <v>0</v>
      </c>
      <c r="AC253" s="479">
        <v>0</v>
      </c>
      <c r="AD253" s="479">
        <v>0</v>
      </c>
      <c r="AE253" s="479">
        <v>0</v>
      </c>
      <c r="AF253" s="479">
        <v>0</v>
      </c>
      <c r="AG253" s="479">
        <v>0</v>
      </c>
      <c r="AH253" s="479">
        <v>0</v>
      </c>
      <c r="AI253" s="479">
        <v>0</v>
      </c>
      <c r="AJ253" s="479">
        <v>0</v>
      </c>
      <c r="AK253" s="479">
        <v>0</v>
      </c>
      <c r="AL253" s="479">
        <v>0</v>
      </c>
      <c r="AM253" s="479">
        <v>0</v>
      </c>
      <c r="AN253" s="479">
        <v>0</v>
      </c>
      <c r="AO253" s="479">
        <v>0</v>
      </c>
      <c r="AP253" s="479">
        <v>0</v>
      </c>
      <c r="AQ253" s="479">
        <v>0</v>
      </c>
      <c r="AR253" s="479">
        <v>0</v>
      </c>
      <c r="AS253" s="479">
        <v>0</v>
      </c>
      <c r="AT253" s="479">
        <v>0</v>
      </c>
      <c r="AU253" s="479">
        <v>0</v>
      </c>
      <c r="AV253" s="479">
        <v>0</v>
      </c>
      <c r="AW253" s="479">
        <v>0</v>
      </c>
      <c r="AX253" s="479">
        <v>0</v>
      </c>
      <c r="AY253" s="479">
        <v>0</v>
      </c>
      <c r="AZ253" s="479">
        <v>0</v>
      </c>
      <c r="BA253" s="479">
        <v>0</v>
      </c>
      <c r="BB253" s="479">
        <v>0</v>
      </c>
      <c r="BC253" s="479">
        <v>0</v>
      </c>
      <c r="BD253" s="479">
        <v>0</v>
      </c>
      <c r="BE253" s="479">
        <v>0</v>
      </c>
      <c r="BF253" s="479">
        <v>0</v>
      </c>
      <c r="BG253" s="479">
        <v>0</v>
      </c>
      <c r="BH253" s="479">
        <v>0</v>
      </c>
      <c r="BI253" s="479">
        <v>0</v>
      </c>
      <c r="BJ253" s="479">
        <v>0</v>
      </c>
      <c r="BK253" s="479">
        <v>0</v>
      </c>
      <c r="BL253" s="479">
        <v>0</v>
      </c>
      <c r="BM253" s="479">
        <v>0</v>
      </c>
      <c r="BN253" s="479">
        <v>0</v>
      </c>
    </row>
    <row r="254" spans="2:66" ht="13.5" thickBot="1" x14ac:dyDescent="0.25">
      <c r="B254" s="476" t="str">
        <f>"PG1k - "&amp;HE_Kosten_label</f>
        <v>PG1k - Kosten</v>
      </c>
      <c r="C254" s="481">
        <v>0</v>
      </c>
      <c r="D254" s="482">
        <v>0</v>
      </c>
      <c r="E254" s="482">
        <v>0</v>
      </c>
      <c r="F254" s="482">
        <v>0</v>
      </c>
      <c r="G254" s="482">
        <v>0</v>
      </c>
      <c r="H254" s="482">
        <v>0</v>
      </c>
      <c r="I254" s="482">
        <v>0</v>
      </c>
      <c r="J254" s="482">
        <v>0</v>
      </c>
      <c r="K254" s="482">
        <v>0</v>
      </c>
      <c r="L254" s="482">
        <v>0</v>
      </c>
      <c r="M254" s="482">
        <v>0</v>
      </c>
      <c r="N254" s="482">
        <v>0</v>
      </c>
      <c r="O254" s="482">
        <v>0</v>
      </c>
      <c r="P254" s="482">
        <v>0</v>
      </c>
      <c r="Q254" s="482">
        <v>0</v>
      </c>
      <c r="R254" s="482">
        <v>0</v>
      </c>
      <c r="S254" s="482">
        <v>0</v>
      </c>
      <c r="T254" s="482">
        <v>0</v>
      </c>
      <c r="U254" s="482">
        <v>0</v>
      </c>
      <c r="V254" s="482">
        <v>0</v>
      </c>
      <c r="W254" s="482">
        <v>0</v>
      </c>
      <c r="X254" s="482">
        <v>0</v>
      </c>
      <c r="Y254" s="482">
        <v>0</v>
      </c>
      <c r="Z254" s="482">
        <v>0</v>
      </c>
      <c r="AA254" s="482">
        <v>0</v>
      </c>
      <c r="AB254" s="482">
        <v>0</v>
      </c>
      <c r="AC254" s="482">
        <v>0</v>
      </c>
      <c r="AD254" s="482">
        <v>0</v>
      </c>
      <c r="AE254" s="482">
        <v>0</v>
      </c>
      <c r="AF254" s="482">
        <v>0</v>
      </c>
      <c r="AG254" s="482">
        <v>0</v>
      </c>
      <c r="AH254" s="482">
        <v>0</v>
      </c>
      <c r="AI254" s="482">
        <v>0</v>
      </c>
      <c r="AJ254" s="482">
        <v>0</v>
      </c>
      <c r="AK254" s="482">
        <v>0</v>
      </c>
      <c r="AL254" s="482">
        <v>0</v>
      </c>
      <c r="AM254" s="482">
        <v>0</v>
      </c>
      <c r="AN254" s="482">
        <v>0</v>
      </c>
      <c r="AO254" s="482">
        <v>0</v>
      </c>
      <c r="AP254" s="482">
        <v>0</v>
      </c>
      <c r="AQ254" s="482">
        <v>0</v>
      </c>
      <c r="AR254" s="482">
        <v>0</v>
      </c>
      <c r="AS254" s="482">
        <v>0</v>
      </c>
      <c r="AT254" s="482">
        <v>0</v>
      </c>
      <c r="AU254" s="482">
        <v>0</v>
      </c>
      <c r="AV254" s="482">
        <v>0</v>
      </c>
      <c r="AW254" s="482">
        <v>0</v>
      </c>
      <c r="AX254" s="482">
        <v>0</v>
      </c>
      <c r="AY254" s="482">
        <v>0</v>
      </c>
      <c r="AZ254" s="482">
        <v>0</v>
      </c>
      <c r="BA254" s="482">
        <v>0</v>
      </c>
      <c r="BB254" s="482">
        <v>0</v>
      </c>
      <c r="BC254" s="482">
        <v>0</v>
      </c>
      <c r="BD254" s="482">
        <v>0</v>
      </c>
      <c r="BE254" s="482">
        <v>0</v>
      </c>
      <c r="BF254" s="482">
        <v>0</v>
      </c>
      <c r="BG254" s="482">
        <v>0</v>
      </c>
      <c r="BH254" s="482">
        <v>0</v>
      </c>
      <c r="BI254" s="482">
        <v>0</v>
      </c>
      <c r="BJ254" s="482">
        <v>0</v>
      </c>
      <c r="BK254" s="482">
        <v>0</v>
      </c>
      <c r="BL254" s="482">
        <v>0</v>
      </c>
      <c r="BM254" s="482">
        <v>0</v>
      </c>
      <c r="BN254" s="482">
        <v>0</v>
      </c>
    </row>
    <row r="255" spans="2:66" ht="13.5" thickTop="1" x14ac:dyDescent="0.2">
      <c r="B255" s="480" t="str">
        <f>"PG2p - "&amp;HE_Praemium_label</f>
        <v>PG2p - Prämien</v>
      </c>
      <c r="C255" s="478">
        <v>0</v>
      </c>
      <c r="D255" s="478">
        <v>0</v>
      </c>
      <c r="E255" s="478">
        <v>0</v>
      </c>
      <c r="F255" s="478">
        <v>0</v>
      </c>
      <c r="G255" s="478">
        <v>0</v>
      </c>
      <c r="H255" s="478">
        <v>0</v>
      </c>
      <c r="I255" s="478">
        <v>0</v>
      </c>
      <c r="J255" s="478">
        <v>0</v>
      </c>
      <c r="K255" s="478">
        <v>0</v>
      </c>
      <c r="L255" s="478">
        <v>0</v>
      </c>
      <c r="M255" s="478">
        <v>0</v>
      </c>
      <c r="N255" s="478">
        <v>0</v>
      </c>
      <c r="O255" s="478">
        <v>0</v>
      </c>
      <c r="P255" s="478">
        <v>0</v>
      </c>
      <c r="Q255" s="478">
        <v>0</v>
      </c>
      <c r="R255" s="478">
        <v>0</v>
      </c>
      <c r="S255" s="478">
        <v>0</v>
      </c>
      <c r="T255" s="478">
        <v>0</v>
      </c>
      <c r="U255" s="478">
        <v>0</v>
      </c>
      <c r="V255" s="478">
        <v>0</v>
      </c>
      <c r="W255" s="478">
        <v>0</v>
      </c>
      <c r="X255" s="478">
        <v>0</v>
      </c>
      <c r="Y255" s="478">
        <v>0</v>
      </c>
      <c r="Z255" s="478">
        <v>0</v>
      </c>
      <c r="AA255" s="478">
        <v>0</v>
      </c>
      <c r="AB255" s="478">
        <v>0</v>
      </c>
      <c r="AC255" s="478">
        <v>0</v>
      </c>
      <c r="AD255" s="478">
        <v>0</v>
      </c>
      <c r="AE255" s="478">
        <v>0</v>
      </c>
      <c r="AF255" s="478">
        <v>0</v>
      </c>
      <c r="AG255" s="478">
        <v>0</v>
      </c>
      <c r="AH255" s="478">
        <v>0</v>
      </c>
      <c r="AI255" s="478">
        <v>0</v>
      </c>
      <c r="AJ255" s="478">
        <v>0</v>
      </c>
      <c r="AK255" s="478">
        <v>0</v>
      </c>
      <c r="AL255" s="478">
        <v>0</v>
      </c>
      <c r="AM255" s="478">
        <v>0</v>
      </c>
      <c r="AN255" s="478">
        <v>0</v>
      </c>
      <c r="AO255" s="478">
        <v>0</v>
      </c>
      <c r="AP255" s="478">
        <v>0</v>
      </c>
      <c r="AQ255" s="478">
        <v>0</v>
      </c>
      <c r="AR255" s="478">
        <v>0</v>
      </c>
      <c r="AS255" s="478">
        <v>0</v>
      </c>
      <c r="AT255" s="478">
        <v>0</v>
      </c>
      <c r="AU255" s="478">
        <v>0</v>
      </c>
      <c r="AV255" s="478">
        <v>0</v>
      </c>
      <c r="AW255" s="478">
        <v>0</v>
      </c>
      <c r="AX255" s="478">
        <v>0</v>
      </c>
      <c r="AY255" s="478">
        <v>0</v>
      </c>
      <c r="AZ255" s="478">
        <v>0</v>
      </c>
      <c r="BA255" s="478">
        <v>0</v>
      </c>
      <c r="BB255" s="478">
        <v>0</v>
      </c>
      <c r="BC255" s="478">
        <v>0</v>
      </c>
      <c r="BD255" s="478">
        <v>0</v>
      </c>
      <c r="BE255" s="478">
        <v>0</v>
      </c>
      <c r="BF255" s="478">
        <v>0</v>
      </c>
      <c r="BG255" s="478">
        <v>0</v>
      </c>
      <c r="BH255" s="478">
        <v>0</v>
      </c>
      <c r="BI255" s="478">
        <v>0</v>
      </c>
      <c r="BJ255" s="478">
        <v>0</v>
      </c>
      <c r="BK255" s="478">
        <v>0</v>
      </c>
      <c r="BL255" s="478">
        <v>0</v>
      </c>
      <c r="BM255" s="478">
        <v>0</v>
      </c>
      <c r="BN255" s="478">
        <v>0</v>
      </c>
    </row>
    <row r="256" spans="2:66" x14ac:dyDescent="0.2">
      <c r="B256" s="256" t="str">
        <f>"PG2l - "&amp;HE_Leistungen_label</f>
        <v>PG2l - Leistungen</v>
      </c>
      <c r="C256" s="479">
        <v>0</v>
      </c>
      <c r="D256" s="479">
        <v>0</v>
      </c>
      <c r="E256" s="479">
        <v>0</v>
      </c>
      <c r="F256" s="479">
        <v>0</v>
      </c>
      <c r="G256" s="479">
        <v>0</v>
      </c>
      <c r="H256" s="479">
        <v>0</v>
      </c>
      <c r="I256" s="479">
        <v>0</v>
      </c>
      <c r="J256" s="479">
        <v>0</v>
      </c>
      <c r="K256" s="479">
        <v>0</v>
      </c>
      <c r="L256" s="479">
        <v>0</v>
      </c>
      <c r="M256" s="479">
        <v>0</v>
      </c>
      <c r="N256" s="479">
        <v>0</v>
      </c>
      <c r="O256" s="479">
        <v>0</v>
      </c>
      <c r="P256" s="479">
        <v>0</v>
      </c>
      <c r="Q256" s="479">
        <v>0</v>
      </c>
      <c r="R256" s="479">
        <v>0</v>
      </c>
      <c r="S256" s="479">
        <v>0</v>
      </c>
      <c r="T256" s="479">
        <v>0</v>
      </c>
      <c r="U256" s="479">
        <v>0</v>
      </c>
      <c r="V256" s="479">
        <v>0</v>
      </c>
      <c r="W256" s="479">
        <v>0</v>
      </c>
      <c r="X256" s="479">
        <v>0</v>
      </c>
      <c r="Y256" s="479">
        <v>0</v>
      </c>
      <c r="Z256" s="479">
        <v>0</v>
      </c>
      <c r="AA256" s="479">
        <v>0</v>
      </c>
      <c r="AB256" s="479">
        <v>0</v>
      </c>
      <c r="AC256" s="479">
        <v>0</v>
      </c>
      <c r="AD256" s="479">
        <v>0</v>
      </c>
      <c r="AE256" s="479">
        <v>0</v>
      </c>
      <c r="AF256" s="479">
        <v>0</v>
      </c>
      <c r="AG256" s="479">
        <v>0</v>
      </c>
      <c r="AH256" s="479">
        <v>0</v>
      </c>
      <c r="AI256" s="479">
        <v>0</v>
      </c>
      <c r="AJ256" s="479">
        <v>0</v>
      </c>
      <c r="AK256" s="479">
        <v>0</v>
      </c>
      <c r="AL256" s="479">
        <v>0</v>
      </c>
      <c r="AM256" s="479">
        <v>0</v>
      </c>
      <c r="AN256" s="479">
        <v>0</v>
      </c>
      <c r="AO256" s="479">
        <v>0</v>
      </c>
      <c r="AP256" s="479">
        <v>0</v>
      </c>
      <c r="AQ256" s="479">
        <v>0</v>
      </c>
      <c r="AR256" s="479">
        <v>0</v>
      </c>
      <c r="AS256" s="479">
        <v>0</v>
      </c>
      <c r="AT256" s="479">
        <v>0</v>
      </c>
      <c r="AU256" s="479">
        <v>0</v>
      </c>
      <c r="AV256" s="479">
        <v>0</v>
      </c>
      <c r="AW256" s="479">
        <v>0</v>
      </c>
      <c r="AX256" s="479">
        <v>0</v>
      </c>
      <c r="AY256" s="479">
        <v>0</v>
      </c>
      <c r="AZ256" s="479">
        <v>0</v>
      </c>
      <c r="BA256" s="479">
        <v>0</v>
      </c>
      <c r="BB256" s="479">
        <v>0</v>
      </c>
      <c r="BC256" s="479">
        <v>0</v>
      </c>
      <c r="BD256" s="479">
        <v>0</v>
      </c>
      <c r="BE256" s="479">
        <v>0</v>
      </c>
      <c r="BF256" s="479">
        <v>0</v>
      </c>
      <c r="BG256" s="479">
        <v>0</v>
      </c>
      <c r="BH256" s="479">
        <v>0</v>
      </c>
      <c r="BI256" s="479">
        <v>0</v>
      </c>
      <c r="BJ256" s="479">
        <v>0</v>
      </c>
      <c r="BK256" s="479">
        <v>0</v>
      </c>
      <c r="BL256" s="479">
        <v>0</v>
      </c>
      <c r="BM256" s="479">
        <v>0</v>
      </c>
      <c r="BN256" s="479">
        <v>0</v>
      </c>
    </row>
    <row r="257" spans="2:66" ht="13.5" thickBot="1" x14ac:dyDescent="0.25">
      <c r="B257" s="476" t="str">
        <f>"PG2k - "&amp;HE_Kosten_label</f>
        <v>PG2k - Kosten</v>
      </c>
      <c r="C257" s="481">
        <v>0</v>
      </c>
      <c r="D257" s="482">
        <v>0</v>
      </c>
      <c r="E257" s="482">
        <v>0</v>
      </c>
      <c r="F257" s="482">
        <v>0</v>
      </c>
      <c r="G257" s="482">
        <v>0</v>
      </c>
      <c r="H257" s="482">
        <v>0</v>
      </c>
      <c r="I257" s="482">
        <v>0</v>
      </c>
      <c r="J257" s="482">
        <v>0</v>
      </c>
      <c r="K257" s="482">
        <v>0</v>
      </c>
      <c r="L257" s="482">
        <v>0</v>
      </c>
      <c r="M257" s="482">
        <v>0</v>
      </c>
      <c r="N257" s="482">
        <v>0</v>
      </c>
      <c r="O257" s="482">
        <v>0</v>
      </c>
      <c r="P257" s="482">
        <v>0</v>
      </c>
      <c r="Q257" s="482">
        <v>0</v>
      </c>
      <c r="R257" s="482">
        <v>0</v>
      </c>
      <c r="S257" s="482">
        <v>0</v>
      </c>
      <c r="T257" s="482">
        <v>0</v>
      </c>
      <c r="U257" s="482">
        <v>0</v>
      </c>
      <c r="V257" s="482">
        <v>0</v>
      </c>
      <c r="W257" s="482">
        <v>0</v>
      </c>
      <c r="X257" s="482">
        <v>0</v>
      </c>
      <c r="Y257" s="482">
        <v>0</v>
      </c>
      <c r="Z257" s="482">
        <v>0</v>
      </c>
      <c r="AA257" s="482">
        <v>0</v>
      </c>
      <c r="AB257" s="482">
        <v>0</v>
      </c>
      <c r="AC257" s="482">
        <v>0</v>
      </c>
      <c r="AD257" s="482">
        <v>0</v>
      </c>
      <c r="AE257" s="482">
        <v>0</v>
      </c>
      <c r="AF257" s="482">
        <v>0</v>
      </c>
      <c r="AG257" s="482">
        <v>0</v>
      </c>
      <c r="AH257" s="482">
        <v>0</v>
      </c>
      <c r="AI257" s="482">
        <v>0</v>
      </c>
      <c r="AJ257" s="482">
        <v>0</v>
      </c>
      <c r="AK257" s="482">
        <v>0</v>
      </c>
      <c r="AL257" s="482">
        <v>0</v>
      </c>
      <c r="AM257" s="482">
        <v>0</v>
      </c>
      <c r="AN257" s="482">
        <v>0</v>
      </c>
      <c r="AO257" s="482">
        <v>0</v>
      </c>
      <c r="AP257" s="482">
        <v>0</v>
      </c>
      <c r="AQ257" s="482">
        <v>0</v>
      </c>
      <c r="AR257" s="482">
        <v>0</v>
      </c>
      <c r="AS257" s="482">
        <v>0</v>
      </c>
      <c r="AT257" s="482">
        <v>0</v>
      </c>
      <c r="AU257" s="482">
        <v>0</v>
      </c>
      <c r="AV257" s="482">
        <v>0</v>
      </c>
      <c r="AW257" s="482">
        <v>0</v>
      </c>
      <c r="AX257" s="482">
        <v>0</v>
      </c>
      <c r="AY257" s="482">
        <v>0</v>
      </c>
      <c r="AZ257" s="482">
        <v>0</v>
      </c>
      <c r="BA257" s="482">
        <v>0</v>
      </c>
      <c r="BB257" s="482">
        <v>0</v>
      </c>
      <c r="BC257" s="482">
        <v>0</v>
      </c>
      <c r="BD257" s="482">
        <v>0</v>
      </c>
      <c r="BE257" s="482">
        <v>0</v>
      </c>
      <c r="BF257" s="482">
        <v>0</v>
      </c>
      <c r="BG257" s="482">
        <v>0</v>
      </c>
      <c r="BH257" s="482">
        <v>0</v>
      </c>
      <c r="BI257" s="482">
        <v>0</v>
      </c>
      <c r="BJ257" s="482">
        <v>0</v>
      </c>
      <c r="BK257" s="482">
        <v>0</v>
      </c>
      <c r="BL257" s="482">
        <v>0</v>
      </c>
      <c r="BM257" s="482">
        <v>0</v>
      </c>
      <c r="BN257" s="482">
        <v>0</v>
      </c>
    </row>
    <row r="258" spans="2:66" ht="13.5" thickTop="1" x14ac:dyDescent="0.2">
      <c r="B258" s="480" t="str">
        <f>"PG3p - "&amp;HE_Praemium_label</f>
        <v>PG3p - Prämien</v>
      </c>
      <c r="C258" s="478">
        <v>0</v>
      </c>
      <c r="D258" s="478">
        <v>0</v>
      </c>
      <c r="E258" s="478">
        <v>0</v>
      </c>
      <c r="F258" s="478">
        <v>0</v>
      </c>
      <c r="G258" s="478">
        <v>0</v>
      </c>
      <c r="H258" s="478">
        <v>0</v>
      </c>
      <c r="I258" s="478">
        <v>0</v>
      </c>
      <c r="J258" s="478">
        <v>0</v>
      </c>
      <c r="K258" s="478">
        <v>0</v>
      </c>
      <c r="L258" s="478">
        <v>0</v>
      </c>
      <c r="M258" s="478">
        <v>0</v>
      </c>
      <c r="N258" s="478">
        <v>0</v>
      </c>
      <c r="O258" s="478">
        <v>0</v>
      </c>
      <c r="P258" s="478">
        <v>0</v>
      </c>
      <c r="Q258" s="478">
        <v>0</v>
      </c>
      <c r="R258" s="478">
        <v>0</v>
      </c>
      <c r="S258" s="478">
        <v>0</v>
      </c>
      <c r="T258" s="478">
        <v>0</v>
      </c>
      <c r="U258" s="478">
        <v>0</v>
      </c>
      <c r="V258" s="478">
        <v>0</v>
      </c>
      <c r="W258" s="478">
        <v>0</v>
      </c>
      <c r="X258" s="478">
        <v>0</v>
      </c>
      <c r="Y258" s="478">
        <v>0</v>
      </c>
      <c r="Z258" s="478">
        <v>0</v>
      </c>
      <c r="AA258" s="478">
        <v>0</v>
      </c>
      <c r="AB258" s="478">
        <v>0</v>
      </c>
      <c r="AC258" s="478">
        <v>0</v>
      </c>
      <c r="AD258" s="478">
        <v>0</v>
      </c>
      <c r="AE258" s="478">
        <v>0</v>
      </c>
      <c r="AF258" s="478">
        <v>0</v>
      </c>
      <c r="AG258" s="478">
        <v>0</v>
      </c>
      <c r="AH258" s="478">
        <v>0</v>
      </c>
      <c r="AI258" s="478">
        <v>0</v>
      </c>
      <c r="AJ258" s="478">
        <v>0</v>
      </c>
      <c r="AK258" s="478">
        <v>0</v>
      </c>
      <c r="AL258" s="478">
        <v>0</v>
      </c>
      <c r="AM258" s="478">
        <v>0</v>
      </c>
      <c r="AN258" s="478">
        <v>0</v>
      </c>
      <c r="AO258" s="478">
        <v>0</v>
      </c>
      <c r="AP258" s="478">
        <v>0</v>
      </c>
      <c r="AQ258" s="478">
        <v>0</v>
      </c>
      <c r="AR258" s="478">
        <v>0</v>
      </c>
      <c r="AS258" s="478">
        <v>0</v>
      </c>
      <c r="AT258" s="478">
        <v>0</v>
      </c>
      <c r="AU258" s="478">
        <v>0</v>
      </c>
      <c r="AV258" s="478">
        <v>0</v>
      </c>
      <c r="AW258" s="478">
        <v>0</v>
      </c>
      <c r="AX258" s="478">
        <v>0</v>
      </c>
      <c r="AY258" s="478">
        <v>0</v>
      </c>
      <c r="AZ258" s="478">
        <v>0</v>
      </c>
      <c r="BA258" s="478">
        <v>0</v>
      </c>
      <c r="BB258" s="478">
        <v>0</v>
      </c>
      <c r="BC258" s="478">
        <v>0</v>
      </c>
      <c r="BD258" s="478">
        <v>0</v>
      </c>
      <c r="BE258" s="478">
        <v>0</v>
      </c>
      <c r="BF258" s="478">
        <v>0</v>
      </c>
      <c r="BG258" s="478">
        <v>0</v>
      </c>
      <c r="BH258" s="478">
        <v>0</v>
      </c>
      <c r="BI258" s="478">
        <v>0</v>
      </c>
      <c r="BJ258" s="478">
        <v>0</v>
      </c>
      <c r="BK258" s="478">
        <v>0</v>
      </c>
      <c r="BL258" s="478">
        <v>0</v>
      </c>
      <c r="BM258" s="478">
        <v>0</v>
      </c>
      <c r="BN258" s="478">
        <v>0</v>
      </c>
    </row>
    <row r="259" spans="2:66" x14ac:dyDescent="0.2">
      <c r="B259" s="256" t="str">
        <f>"PG3l - "&amp;HE_Leistungen_label</f>
        <v>PG3l - Leistungen</v>
      </c>
      <c r="C259" s="479">
        <v>0</v>
      </c>
      <c r="D259" s="479">
        <v>0</v>
      </c>
      <c r="E259" s="479">
        <v>0</v>
      </c>
      <c r="F259" s="479">
        <v>0</v>
      </c>
      <c r="G259" s="479">
        <v>0</v>
      </c>
      <c r="H259" s="479">
        <v>0</v>
      </c>
      <c r="I259" s="479">
        <v>0</v>
      </c>
      <c r="J259" s="479">
        <v>0</v>
      </c>
      <c r="K259" s="479">
        <v>0</v>
      </c>
      <c r="L259" s="479">
        <v>0</v>
      </c>
      <c r="M259" s="479">
        <v>0</v>
      </c>
      <c r="N259" s="479">
        <v>0</v>
      </c>
      <c r="O259" s="479">
        <v>0</v>
      </c>
      <c r="P259" s="479">
        <v>0</v>
      </c>
      <c r="Q259" s="479">
        <v>0</v>
      </c>
      <c r="R259" s="479">
        <v>0</v>
      </c>
      <c r="S259" s="479">
        <v>0</v>
      </c>
      <c r="T259" s="479">
        <v>0</v>
      </c>
      <c r="U259" s="479">
        <v>0</v>
      </c>
      <c r="V259" s="479">
        <v>0</v>
      </c>
      <c r="W259" s="479">
        <v>0</v>
      </c>
      <c r="X259" s="479">
        <v>0</v>
      </c>
      <c r="Y259" s="479">
        <v>0</v>
      </c>
      <c r="Z259" s="479">
        <v>0</v>
      </c>
      <c r="AA259" s="479">
        <v>0</v>
      </c>
      <c r="AB259" s="479">
        <v>0</v>
      </c>
      <c r="AC259" s="479">
        <v>0</v>
      </c>
      <c r="AD259" s="479">
        <v>0</v>
      </c>
      <c r="AE259" s="479">
        <v>0</v>
      </c>
      <c r="AF259" s="479">
        <v>0</v>
      </c>
      <c r="AG259" s="479">
        <v>0</v>
      </c>
      <c r="AH259" s="479">
        <v>0</v>
      </c>
      <c r="AI259" s="479">
        <v>0</v>
      </c>
      <c r="AJ259" s="479">
        <v>0</v>
      </c>
      <c r="AK259" s="479">
        <v>0</v>
      </c>
      <c r="AL259" s="479">
        <v>0</v>
      </c>
      <c r="AM259" s="479">
        <v>0</v>
      </c>
      <c r="AN259" s="479">
        <v>0</v>
      </c>
      <c r="AO259" s="479">
        <v>0</v>
      </c>
      <c r="AP259" s="479">
        <v>0</v>
      </c>
      <c r="AQ259" s="479">
        <v>0</v>
      </c>
      <c r="AR259" s="479">
        <v>0</v>
      </c>
      <c r="AS259" s="479">
        <v>0</v>
      </c>
      <c r="AT259" s="479">
        <v>0</v>
      </c>
      <c r="AU259" s="479">
        <v>0</v>
      </c>
      <c r="AV259" s="479">
        <v>0</v>
      </c>
      <c r="AW259" s="479">
        <v>0</v>
      </c>
      <c r="AX259" s="479">
        <v>0</v>
      </c>
      <c r="AY259" s="479">
        <v>0</v>
      </c>
      <c r="AZ259" s="479">
        <v>0</v>
      </c>
      <c r="BA259" s="479">
        <v>0</v>
      </c>
      <c r="BB259" s="479">
        <v>0</v>
      </c>
      <c r="BC259" s="479">
        <v>0</v>
      </c>
      <c r="BD259" s="479">
        <v>0</v>
      </c>
      <c r="BE259" s="479">
        <v>0</v>
      </c>
      <c r="BF259" s="479">
        <v>0</v>
      </c>
      <c r="BG259" s="479">
        <v>0</v>
      </c>
      <c r="BH259" s="479">
        <v>0</v>
      </c>
      <c r="BI259" s="479">
        <v>0</v>
      </c>
      <c r="BJ259" s="479">
        <v>0</v>
      </c>
      <c r="BK259" s="479">
        <v>0</v>
      </c>
      <c r="BL259" s="479">
        <v>0</v>
      </c>
      <c r="BM259" s="479">
        <v>0</v>
      </c>
      <c r="BN259" s="479">
        <v>0</v>
      </c>
    </row>
    <row r="260" spans="2:66" ht="13.5" thickBot="1" x14ac:dyDescent="0.25">
      <c r="B260" s="476" t="str">
        <f>"PG3k - "&amp;HE_Kosten_label</f>
        <v>PG3k - Kosten</v>
      </c>
      <c r="C260" s="481">
        <v>0</v>
      </c>
      <c r="D260" s="482">
        <v>0</v>
      </c>
      <c r="E260" s="482">
        <v>0</v>
      </c>
      <c r="F260" s="482">
        <v>0</v>
      </c>
      <c r="G260" s="482">
        <v>0</v>
      </c>
      <c r="H260" s="482">
        <v>0</v>
      </c>
      <c r="I260" s="482">
        <v>0</v>
      </c>
      <c r="J260" s="482">
        <v>0</v>
      </c>
      <c r="K260" s="482">
        <v>0</v>
      </c>
      <c r="L260" s="482">
        <v>0</v>
      </c>
      <c r="M260" s="482">
        <v>0</v>
      </c>
      <c r="N260" s="482">
        <v>0</v>
      </c>
      <c r="O260" s="482">
        <v>0</v>
      </c>
      <c r="P260" s="482">
        <v>0</v>
      </c>
      <c r="Q260" s="482">
        <v>0</v>
      </c>
      <c r="R260" s="482">
        <v>0</v>
      </c>
      <c r="S260" s="482">
        <v>0</v>
      </c>
      <c r="T260" s="482">
        <v>0</v>
      </c>
      <c r="U260" s="482">
        <v>0</v>
      </c>
      <c r="V260" s="482">
        <v>0</v>
      </c>
      <c r="W260" s="482">
        <v>0</v>
      </c>
      <c r="X260" s="482">
        <v>0</v>
      </c>
      <c r="Y260" s="482">
        <v>0</v>
      </c>
      <c r="Z260" s="482">
        <v>0</v>
      </c>
      <c r="AA260" s="482">
        <v>0</v>
      </c>
      <c r="AB260" s="482">
        <v>0</v>
      </c>
      <c r="AC260" s="482">
        <v>0</v>
      </c>
      <c r="AD260" s="482">
        <v>0</v>
      </c>
      <c r="AE260" s="482">
        <v>0</v>
      </c>
      <c r="AF260" s="482">
        <v>0</v>
      </c>
      <c r="AG260" s="482">
        <v>0</v>
      </c>
      <c r="AH260" s="482">
        <v>0</v>
      </c>
      <c r="AI260" s="482">
        <v>0</v>
      </c>
      <c r="AJ260" s="482">
        <v>0</v>
      </c>
      <c r="AK260" s="482">
        <v>0</v>
      </c>
      <c r="AL260" s="482">
        <v>0</v>
      </c>
      <c r="AM260" s="482">
        <v>0</v>
      </c>
      <c r="AN260" s="482">
        <v>0</v>
      </c>
      <c r="AO260" s="482">
        <v>0</v>
      </c>
      <c r="AP260" s="482">
        <v>0</v>
      </c>
      <c r="AQ260" s="482">
        <v>0</v>
      </c>
      <c r="AR260" s="482">
        <v>0</v>
      </c>
      <c r="AS260" s="482">
        <v>0</v>
      </c>
      <c r="AT260" s="482">
        <v>0</v>
      </c>
      <c r="AU260" s="482">
        <v>0</v>
      </c>
      <c r="AV260" s="482">
        <v>0</v>
      </c>
      <c r="AW260" s="482">
        <v>0</v>
      </c>
      <c r="AX260" s="482">
        <v>0</v>
      </c>
      <c r="AY260" s="482">
        <v>0</v>
      </c>
      <c r="AZ260" s="482">
        <v>0</v>
      </c>
      <c r="BA260" s="482">
        <v>0</v>
      </c>
      <c r="BB260" s="482">
        <v>0</v>
      </c>
      <c r="BC260" s="482">
        <v>0</v>
      </c>
      <c r="BD260" s="482">
        <v>0</v>
      </c>
      <c r="BE260" s="482">
        <v>0</v>
      </c>
      <c r="BF260" s="482">
        <v>0</v>
      </c>
      <c r="BG260" s="482">
        <v>0</v>
      </c>
      <c r="BH260" s="482">
        <v>0</v>
      </c>
      <c r="BI260" s="482">
        <v>0</v>
      </c>
      <c r="BJ260" s="482">
        <v>0</v>
      </c>
      <c r="BK260" s="482">
        <v>0</v>
      </c>
      <c r="BL260" s="482">
        <v>0</v>
      </c>
      <c r="BM260" s="482">
        <v>0</v>
      </c>
      <c r="BN260" s="482">
        <v>0</v>
      </c>
    </row>
    <row r="261" spans="2:66" ht="13.5" thickTop="1" x14ac:dyDescent="0.2">
      <c r="B261" s="480" t="str">
        <f>"PG4p - "&amp;HE_Praemium_label</f>
        <v>PG4p - Prämien</v>
      </c>
      <c r="C261" s="478">
        <v>0</v>
      </c>
      <c r="D261" s="478">
        <v>0</v>
      </c>
      <c r="E261" s="478">
        <v>0</v>
      </c>
      <c r="F261" s="478">
        <v>0</v>
      </c>
      <c r="G261" s="478">
        <v>0</v>
      </c>
      <c r="H261" s="478">
        <v>0</v>
      </c>
      <c r="I261" s="478">
        <v>0</v>
      </c>
      <c r="J261" s="478">
        <v>0</v>
      </c>
      <c r="K261" s="478">
        <v>0</v>
      </c>
      <c r="L261" s="478">
        <v>0</v>
      </c>
      <c r="M261" s="478">
        <v>0</v>
      </c>
      <c r="N261" s="478">
        <v>0</v>
      </c>
      <c r="O261" s="478">
        <v>0</v>
      </c>
      <c r="P261" s="478">
        <v>0</v>
      </c>
      <c r="Q261" s="478">
        <v>0</v>
      </c>
      <c r="R261" s="478">
        <v>0</v>
      </c>
      <c r="S261" s="478">
        <v>0</v>
      </c>
      <c r="T261" s="478">
        <v>0</v>
      </c>
      <c r="U261" s="478">
        <v>0</v>
      </c>
      <c r="V261" s="478">
        <v>0</v>
      </c>
      <c r="W261" s="478">
        <v>0</v>
      </c>
      <c r="X261" s="478">
        <v>0</v>
      </c>
      <c r="Y261" s="478">
        <v>0</v>
      </c>
      <c r="Z261" s="478">
        <v>0</v>
      </c>
      <c r="AA261" s="478">
        <v>0</v>
      </c>
      <c r="AB261" s="478">
        <v>0</v>
      </c>
      <c r="AC261" s="478">
        <v>0</v>
      </c>
      <c r="AD261" s="478">
        <v>0</v>
      </c>
      <c r="AE261" s="478">
        <v>0</v>
      </c>
      <c r="AF261" s="478">
        <v>0</v>
      </c>
      <c r="AG261" s="478">
        <v>0</v>
      </c>
      <c r="AH261" s="478">
        <v>0</v>
      </c>
      <c r="AI261" s="478">
        <v>0</v>
      </c>
      <c r="AJ261" s="478">
        <v>0</v>
      </c>
      <c r="AK261" s="478">
        <v>0</v>
      </c>
      <c r="AL261" s="478">
        <v>0</v>
      </c>
      <c r="AM261" s="478">
        <v>0</v>
      </c>
      <c r="AN261" s="478">
        <v>0</v>
      </c>
      <c r="AO261" s="478">
        <v>0</v>
      </c>
      <c r="AP261" s="478">
        <v>0</v>
      </c>
      <c r="AQ261" s="478">
        <v>0</v>
      </c>
      <c r="AR261" s="478">
        <v>0</v>
      </c>
      <c r="AS261" s="478">
        <v>0</v>
      </c>
      <c r="AT261" s="478">
        <v>0</v>
      </c>
      <c r="AU261" s="478">
        <v>0</v>
      </c>
      <c r="AV261" s="478">
        <v>0</v>
      </c>
      <c r="AW261" s="478">
        <v>0</v>
      </c>
      <c r="AX261" s="478">
        <v>0</v>
      </c>
      <c r="AY261" s="478">
        <v>0</v>
      </c>
      <c r="AZ261" s="478">
        <v>0</v>
      </c>
      <c r="BA261" s="478">
        <v>0</v>
      </c>
      <c r="BB261" s="478">
        <v>0</v>
      </c>
      <c r="BC261" s="478">
        <v>0</v>
      </c>
      <c r="BD261" s="478">
        <v>0</v>
      </c>
      <c r="BE261" s="478">
        <v>0</v>
      </c>
      <c r="BF261" s="478">
        <v>0</v>
      </c>
      <c r="BG261" s="478">
        <v>0</v>
      </c>
      <c r="BH261" s="478">
        <v>0</v>
      </c>
      <c r="BI261" s="478">
        <v>0</v>
      </c>
      <c r="BJ261" s="478">
        <v>0</v>
      </c>
      <c r="BK261" s="478">
        <v>0</v>
      </c>
      <c r="BL261" s="478">
        <v>0</v>
      </c>
      <c r="BM261" s="478">
        <v>0</v>
      </c>
      <c r="BN261" s="478">
        <v>0</v>
      </c>
    </row>
    <row r="262" spans="2:66" x14ac:dyDescent="0.2">
      <c r="B262" s="256" t="str">
        <f>"PG4l - "&amp;HE_Leistungen_label</f>
        <v>PG4l - Leistungen</v>
      </c>
      <c r="C262" s="479">
        <v>0</v>
      </c>
      <c r="D262" s="479">
        <v>0</v>
      </c>
      <c r="E262" s="479">
        <v>0</v>
      </c>
      <c r="F262" s="479">
        <v>0</v>
      </c>
      <c r="G262" s="479">
        <v>0</v>
      </c>
      <c r="H262" s="479">
        <v>0</v>
      </c>
      <c r="I262" s="479">
        <v>0</v>
      </c>
      <c r="J262" s="479">
        <v>0</v>
      </c>
      <c r="K262" s="479">
        <v>0</v>
      </c>
      <c r="L262" s="479">
        <v>0</v>
      </c>
      <c r="M262" s="479">
        <v>0</v>
      </c>
      <c r="N262" s="479">
        <v>0</v>
      </c>
      <c r="O262" s="479">
        <v>0</v>
      </c>
      <c r="P262" s="479">
        <v>0</v>
      </c>
      <c r="Q262" s="479">
        <v>0</v>
      </c>
      <c r="R262" s="479">
        <v>0</v>
      </c>
      <c r="S262" s="479">
        <v>0</v>
      </c>
      <c r="T262" s="479">
        <v>0</v>
      </c>
      <c r="U262" s="479">
        <v>0</v>
      </c>
      <c r="V262" s="479">
        <v>0</v>
      </c>
      <c r="W262" s="479">
        <v>0</v>
      </c>
      <c r="X262" s="479">
        <v>0</v>
      </c>
      <c r="Y262" s="479">
        <v>0</v>
      </c>
      <c r="Z262" s="479">
        <v>0</v>
      </c>
      <c r="AA262" s="479">
        <v>0</v>
      </c>
      <c r="AB262" s="479">
        <v>0</v>
      </c>
      <c r="AC262" s="479">
        <v>0</v>
      </c>
      <c r="AD262" s="479">
        <v>0</v>
      </c>
      <c r="AE262" s="479">
        <v>0</v>
      </c>
      <c r="AF262" s="479">
        <v>0</v>
      </c>
      <c r="AG262" s="479">
        <v>0</v>
      </c>
      <c r="AH262" s="479">
        <v>0</v>
      </c>
      <c r="AI262" s="479">
        <v>0</v>
      </c>
      <c r="AJ262" s="479">
        <v>0</v>
      </c>
      <c r="AK262" s="479">
        <v>0</v>
      </c>
      <c r="AL262" s="479">
        <v>0</v>
      </c>
      <c r="AM262" s="479">
        <v>0</v>
      </c>
      <c r="AN262" s="479">
        <v>0</v>
      </c>
      <c r="AO262" s="479">
        <v>0</v>
      </c>
      <c r="AP262" s="479">
        <v>0</v>
      </c>
      <c r="AQ262" s="479">
        <v>0</v>
      </c>
      <c r="AR262" s="479">
        <v>0</v>
      </c>
      <c r="AS262" s="479">
        <v>0</v>
      </c>
      <c r="AT262" s="479">
        <v>0</v>
      </c>
      <c r="AU262" s="479">
        <v>0</v>
      </c>
      <c r="AV262" s="479">
        <v>0</v>
      </c>
      <c r="AW262" s="479">
        <v>0</v>
      </c>
      <c r="AX262" s="479">
        <v>0</v>
      </c>
      <c r="AY262" s="479">
        <v>0</v>
      </c>
      <c r="AZ262" s="479">
        <v>0</v>
      </c>
      <c r="BA262" s="479">
        <v>0</v>
      </c>
      <c r="BB262" s="479">
        <v>0</v>
      </c>
      <c r="BC262" s="479">
        <v>0</v>
      </c>
      <c r="BD262" s="479">
        <v>0</v>
      </c>
      <c r="BE262" s="479">
        <v>0</v>
      </c>
      <c r="BF262" s="479">
        <v>0</v>
      </c>
      <c r="BG262" s="479">
        <v>0</v>
      </c>
      <c r="BH262" s="479">
        <v>0</v>
      </c>
      <c r="BI262" s="479">
        <v>0</v>
      </c>
      <c r="BJ262" s="479">
        <v>0</v>
      </c>
      <c r="BK262" s="479">
        <v>0</v>
      </c>
      <c r="BL262" s="479">
        <v>0</v>
      </c>
      <c r="BM262" s="479">
        <v>0</v>
      </c>
      <c r="BN262" s="479">
        <v>0</v>
      </c>
    </row>
    <row r="263" spans="2:66" ht="13.5" thickBot="1" x14ac:dyDescent="0.25">
      <c r="B263" s="476" t="str">
        <f>"PG4k - "&amp;HE_Kosten_label</f>
        <v>PG4k - Kosten</v>
      </c>
      <c r="C263" s="481">
        <v>0</v>
      </c>
      <c r="D263" s="482">
        <v>0</v>
      </c>
      <c r="E263" s="482">
        <v>0</v>
      </c>
      <c r="F263" s="482">
        <v>0</v>
      </c>
      <c r="G263" s="482">
        <v>0</v>
      </c>
      <c r="H263" s="482">
        <v>0</v>
      </c>
      <c r="I263" s="482">
        <v>0</v>
      </c>
      <c r="J263" s="482">
        <v>0</v>
      </c>
      <c r="K263" s="482">
        <v>0</v>
      </c>
      <c r="L263" s="482">
        <v>0</v>
      </c>
      <c r="M263" s="482">
        <v>0</v>
      </c>
      <c r="N263" s="482">
        <v>0</v>
      </c>
      <c r="O263" s="482">
        <v>0</v>
      </c>
      <c r="P263" s="482">
        <v>0</v>
      </c>
      <c r="Q263" s="482">
        <v>0</v>
      </c>
      <c r="R263" s="482">
        <v>0</v>
      </c>
      <c r="S263" s="482">
        <v>0</v>
      </c>
      <c r="T263" s="482">
        <v>0</v>
      </c>
      <c r="U263" s="482">
        <v>0</v>
      </c>
      <c r="V263" s="482">
        <v>0</v>
      </c>
      <c r="W263" s="482">
        <v>0</v>
      </c>
      <c r="X263" s="482">
        <v>0</v>
      </c>
      <c r="Y263" s="482">
        <v>0</v>
      </c>
      <c r="Z263" s="482">
        <v>0</v>
      </c>
      <c r="AA263" s="482">
        <v>0</v>
      </c>
      <c r="AB263" s="482">
        <v>0</v>
      </c>
      <c r="AC263" s="482">
        <v>0</v>
      </c>
      <c r="AD263" s="482">
        <v>0</v>
      </c>
      <c r="AE263" s="482">
        <v>0</v>
      </c>
      <c r="AF263" s="482">
        <v>0</v>
      </c>
      <c r="AG263" s="482">
        <v>0</v>
      </c>
      <c r="AH263" s="482">
        <v>0</v>
      </c>
      <c r="AI263" s="482">
        <v>0</v>
      </c>
      <c r="AJ263" s="482">
        <v>0</v>
      </c>
      <c r="AK263" s="482">
        <v>0</v>
      </c>
      <c r="AL263" s="482">
        <v>0</v>
      </c>
      <c r="AM263" s="482">
        <v>0</v>
      </c>
      <c r="AN263" s="482">
        <v>0</v>
      </c>
      <c r="AO263" s="482">
        <v>0</v>
      </c>
      <c r="AP263" s="482">
        <v>0</v>
      </c>
      <c r="AQ263" s="482">
        <v>0</v>
      </c>
      <c r="AR263" s="482">
        <v>0</v>
      </c>
      <c r="AS263" s="482">
        <v>0</v>
      </c>
      <c r="AT263" s="482">
        <v>0</v>
      </c>
      <c r="AU263" s="482">
        <v>0</v>
      </c>
      <c r="AV263" s="482">
        <v>0</v>
      </c>
      <c r="AW263" s="482">
        <v>0</v>
      </c>
      <c r="AX263" s="482">
        <v>0</v>
      </c>
      <c r="AY263" s="482">
        <v>0</v>
      </c>
      <c r="AZ263" s="482">
        <v>0</v>
      </c>
      <c r="BA263" s="482">
        <v>0</v>
      </c>
      <c r="BB263" s="482">
        <v>0</v>
      </c>
      <c r="BC263" s="482">
        <v>0</v>
      </c>
      <c r="BD263" s="482">
        <v>0</v>
      </c>
      <c r="BE263" s="482">
        <v>0</v>
      </c>
      <c r="BF263" s="482">
        <v>0</v>
      </c>
      <c r="BG263" s="482">
        <v>0</v>
      </c>
      <c r="BH263" s="482">
        <v>0</v>
      </c>
      <c r="BI263" s="482">
        <v>0</v>
      </c>
      <c r="BJ263" s="482">
        <v>0</v>
      </c>
      <c r="BK263" s="482">
        <v>0</v>
      </c>
      <c r="BL263" s="482">
        <v>0</v>
      </c>
      <c r="BM263" s="482">
        <v>0</v>
      </c>
      <c r="BN263" s="482">
        <v>0</v>
      </c>
    </row>
    <row r="264" spans="2:66" ht="13.5" thickTop="1" x14ac:dyDescent="0.2">
      <c r="B264" s="480" t="str">
        <f>"PG5p - "&amp;HE_Praemium_label</f>
        <v>PG5p - Prämien</v>
      </c>
      <c r="C264" s="478">
        <v>0</v>
      </c>
      <c r="D264" s="478">
        <v>0</v>
      </c>
      <c r="E264" s="478">
        <v>0</v>
      </c>
      <c r="F264" s="478">
        <v>0</v>
      </c>
      <c r="G264" s="478">
        <v>0</v>
      </c>
      <c r="H264" s="478">
        <v>0</v>
      </c>
      <c r="I264" s="478">
        <v>0</v>
      </c>
      <c r="J264" s="478">
        <v>0</v>
      </c>
      <c r="K264" s="478">
        <v>0</v>
      </c>
      <c r="L264" s="478">
        <v>0</v>
      </c>
      <c r="M264" s="478">
        <v>0</v>
      </c>
      <c r="N264" s="478">
        <v>0</v>
      </c>
      <c r="O264" s="478">
        <v>0</v>
      </c>
      <c r="P264" s="478">
        <v>0</v>
      </c>
      <c r="Q264" s="478">
        <v>0</v>
      </c>
      <c r="R264" s="478">
        <v>0</v>
      </c>
      <c r="S264" s="478">
        <v>0</v>
      </c>
      <c r="T264" s="478">
        <v>0</v>
      </c>
      <c r="U264" s="478">
        <v>0</v>
      </c>
      <c r="V264" s="478">
        <v>0</v>
      </c>
      <c r="W264" s="478">
        <v>0</v>
      </c>
      <c r="X264" s="478">
        <v>0</v>
      </c>
      <c r="Y264" s="478">
        <v>0</v>
      </c>
      <c r="Z264" s="478">
        <v>0</v>
      </c>
      <c r="AA264" s="478">
        <v>0</v>
      </c>
      <c r="AB264" s="478">
        <v>0</v>
      </c>
      <c r="AC264" s="478">
        <v>0</v>
      </c>
      <c r="AD264" s="478">
        <v>0</v>
      </c>
      <c r="AE264" s="478">
        <v>0</v>
      </c>
      <c r="AF264" s="478">
        <v>0</v>
      </c>
      <c r="AG264" s="478">
        <v>0</v>
      </c>
      <c r="AH264" s="478">
        <v>0</v>
      </c>
      <c r="AI264" s="478">
        <v>0</v>
      </c>
      <c r="AJ264" s="478">
        <v>0</v>
      </c>
      <c r="AK264" s="478">
        <v>0</v>
      </c>
      <c r="AL264" s="478">
        <v>0</v>
      </c>
      <c r="AM264" s="478">
        <v>0</v>
      </c>
      <c r="AN264" s="478">
        <v>0</v>
      </c>
      <c r="AO264" s="478">
        <v>0</v>
      </c>
      <c r="AP264" s="478">
        <v>0</v>
      </c>
      <c r="AQ264" s="478">
        <v>0</v>
      </c>
      <c r="AR264" s="478">
        <v>0</v>
      </c>
      <c r="AS264" s="478">
        <v>0</v>
      </c>
      <c r="AT264" s="478">
        <v>0</v>
      </c>
      <c r="AU264" s="478">
        <v>0</v>
      </c>
      <c r="AV264" s="478">
        <v>0</v>
      </c>
      <c r="AW264" s="478">
        <v>0</v>
      </c>
      <c r="AX264" s="478">
        <v>0</v>
      </c>
      <c r="AY264" s="478">
        <v>0</v>
      </c>
      <c r="AZ264" s="478">
        <v>0</v>
      </c>
      <c r="BA264" s="478">
        <v>0</v>
      </c>
      <c r="BB264" s="478">
        <v>0</v>
      </c>
      <c r="BC264" s="478">
        <v>0</v>
      </c>
      <c r="BD264" s="478">
        <v>0</v>
      </c>
      <c r="BE264" s="478">
        <v>0</v>
      </c>
      <c r="BF264" s="478">
        <v>0</v>
      </c>
      <c r="BG264" s="478">
        <v>0</v>
      </c>
      <c r="BH264" s="478">
        <v>0</v>
      </c>
      <c r="BI264" s="478">
        <v>0</v>
      </c>
      <c r="BJ264" s="478">
        <v>0</v>
      </c>
      <c r="BK264" s="478">
        <v>0</v>
      </c>
      <c r="BL264" s="478">
        <v>0</v>
      </c>
      <c r="BM264" s="478">
        <v>0</v>
      </c>
      <c r="BN264" s="478">
        <v>0</v>
      </c>
    </row>
    <row r="265" spans="2:66" x14ac:dyDescent="0.2">
      <c r="B265" s="256" t="str">
        <f>"PG5l - "&amp;HE_Leistungen_label</f>
        <v>PG5l - Leistungen</v>
      </c>
      <c r="C265" s="479">
        <v>0</v>
      </c>
      <c r="D265" s="479">
        <v>0</v>
      </c>
      <c r="E265" s="479">
        <v>0</v>
      </c>
      <c r="F265" s="479">
        <v>0</v>
      </c>
      <c r="G265" s="479">
        <v>0</v>
      </c>
      <c r="H265" s="479">
        <v>0</v>
      </c>
      <c r="I265" s="479">
        <v>0</v>
      </c>
      <c r="J265" s="479">
        <v>0</v>
      </c>
      <c r="K265" s="479">
        <v>0</v>
      </c>
      <c r="L265" s="479">
        <v>0</v>
      </c>
      <c r="M265" s="479">
        <v>0</v>
      </c>
      <c r="N265" s="479">
        <v>0</v>
      </c>
      <c r="O265" s="479">
        <v>0</v>
      </c>
      <c r="P265" s="479">
        <v>0</v>
      </c>
      <c r="Q265" s="479">
        <v>0</v>
      </c>
      <c r="R265" s="479">
        <v>0</v>
      </c>
      <c r="S265" s="479">
        <v>0</v>
      </c>
      <c r="T265" s="479">
        <v>0</v>
      </c>
      <c r="U265" s="479">
        <v>0</v>
      </c>
      <c r="V265" s="479">
        <v>0</v>
      </c>
      <c r="W265" s="479">
        <v>0</v>
      </c>
      <c r="X265" s="479">
        <v>0</v>
      </c>
      <c r="Y265" s="479">
        <v>0</v>
      </c>
      <c r="Z265" s="479">
        <v>0</v>
      </c>
      <c r="AA265" s="479">
        <v>0</v>
      </c>
      <c r="AB265" s="479">
        <v>0</v>
      </c>
      <c r="AC265" s="479">
        <v>0</v>
      </c>
      <c r="AD265" s="479">
        <v>0</v>
      </c>
      <c r="AE265" s="479">
        <v>0</v>
      </c>
      <c r="AF265" s="479">
        <v>0</v>
      </c>
      <c r="AG265" s="479">
        <v>0</v>
      </c>
      <c r="AH265" s="479">
        <v>0</v>
      </c>
      <c r="AI265" s="479">
        <v>0</v>
      </c>
      <c r="AJ265" s="479">
        <v>0</v>
      </c>
      <c r="AK265" s="479">
        <v>0</v>
      </c>
      <c r="AL265" s="479">
        <v>0</v>
      </c>
      <c r="AM265" s="479">
        <v>0</v>
      </c>
      <c r="AN265" s="479">
        <v>0</v>
      </c>
      <c r="AO265" s="479">
        <v>0</v>
      </c>
      <c r="AP265" s="479">
        <v>0</v>
      </c>
      <c r="AQ265" s="479">
        <v>0</v>
      </c>
      <c r="AR265" s="479">
        <v>0</v>
      </c>
      <c r="AS265" s="479">
        <v>0</v>
      </c>
      <c r="AT265" s="479">
        <v>0</v>
      </c>
      <c r="AU265" s="479">
        <v>0</v>
      </c>
      <c r="AV265" s="479">
        <v>0</v>
      </c>
      <c r="AW265" s="479">
        <v>0</v>
      </c>
      <c r="AX265" s="479">
        <v>0</v>
      </c>
      <c r="AY265" s="479">
        <v>0</v>
      </c>
      <c r="AZ265" s="479">
        <v>0</v>
      </c>
      <c r="BA265" s="479">
        <v>0</v>
      </c>
      <c r="BB265" s="479">
        <v>0</v>
      </c>
      <c r="BC265" s="479">
        <v>0</v>
      </c>
      <c r="BD265" s="479">
        <v>0</v>
      </c>
      <c r="BE265" s="479">
        <v>0</v>
      </c>
      <c r="BF265" s="479">
        <v>0</v>
      </c>
      <c r="BG265" s="479">
        <v>0</v>
      </c>
      <c r="BH265" s="479">
        <v>0</v>
      </c>
      <c r="BI265" s="479">
        <v>0</v>
      </c>
      <c r="BJ265" s="479">
        <v>0</v>
      </c>
      <c r="BK265" s="479">
        <v>0</v>
      </c>
      <c r="BL265" s="479">
        <v>0</v>
      </c>
      <c r="BM265" s="479">
        <v>0</v>
      </c>
      <c r="BN265" s="479">
        <v>0</v>
      </c>
    </row>
    <row r="266" spans="2:66" x14ac:dyDescent="0.2">
      <c r="B266" s="483" t="str">
        <f>"PG5k - "&amp;HE_Kosten_label</f>
        <v>PG5k - Kosten</v>
      </c>
      <c r="C266" s="484">
        <v>0</v>
      </c>
      <c r="D266" s="485">
        <v>0</v>
      </c>
      <c r="E266" s="485">
        <v>0</v>
      </c>
      <c r="F266" s="485">
        <v>0</v>
      </c>
      <c r="G266" s="485">
        <v>0</v>
      </c>
      <c r="H266" s="485">
        <v>0</v>
      </c>
      <c r="I266" s="485">
        <v>0</v>
      </c>
      <c r="J266" s="485">
        <v>0</v>
      </c>
      <c r="K266" s="485">
        <v>0</v>
      </c>
      <c r="L266" s="485">
        <v>0</v>
      </c>
      <c r="M266" s="485">
        <v>0</v>
      </c>
      <c r="N266" s="485">
        <v>0</v>
      </c>
      <c r="O266" s="485">
        <v>0</v>
      </c>
      <c r="P266" s="485">
        <v>0</v>
      </c>
      <c r="Q266" s="485">
        <v>0</v>
      </c>
      <c r="R266" s="485">
        <v>0</v>
      </c>
      <c r="S266" s="485">
        <v>0</v>
      </c>
      <c r="T266" s="485">
        <v>0</v>
      </c>
      <c r="U266" s="485">
        <v>0</v>
      </c>
      <c r="V266" s="485">
        <v>0</v>
      </c>
      <c r="W266" s="485">
        <v>0</v>
      </c>
      <c r="X266" s="485">
        <v>0</v>
      </c>
      <c r="Y266" s="485">
        <v>0</v>
      </c>
      <c r="Z266" s="485">
        <v>0</v>
      </c>
      <c r="AA266" s="485">
        <v>0</v>
      </c>
      <c r="AB266" s="485">
        <v>0</v>
      </c>
      <c r="AC266" s="485">
        <v>0</v>
      </c>
      <c r="AD266" s="485">
        <v>0</v>
      </c>
      <c r="AE266" s="485">
        <v>0</v>
      </c>
      <c r="AF266" s="485">
        <v>0</v>
      </c>
      <c r="AG266" s="485">
        <v>0</v>
      </c>
      <c r="AH266" s="485">
        <v>0</v>
      </c>
      <c r="AI266" s="485">
        <v>0</v>
      </c>
      <c r="AJ266" s="485">
        <v>0</v>
      </c>
      <c r="AK266" s="485">
        <v>0</v>
      </c>
      <c r="AL266" s="485">
        <v>0</v>
      </c>
      <c r="AM266" s="485">
        <v>0</v>
      </c>
      <c r="AN266" s="485">
        <v>0</v>
      </c>
      <c r="AO266" s="485">
        <v>0</v>
      </c>
      <c r="AP266" s="485">
        <v>0</v>
      </c>
      <c r="AQ266" s="485">
        <v>0</v>
      </c>
      <c r="AR266" s="485">
        <v>0</v>
      </c>
      <c r="AS266" s="485">
        <v>0</v>
      </c>
      <c r="AT266" s="485">
        <v>0</v>
      </c>
      <c r="AU266" s="485">
        <v>0</v>
      </c>
      <c r="AV266" s="485">
        <v>0</v>
      </c>
      <c r="AW266" s="485">
        <v>0</v>
      </c>
      <c r="AX266" s="485">
        <v>0</v>
      </c>
      <c r="AY266" s="485">
        <v>0</v>
      </c>
      <c r="AZ266" s="485">
        <v>0</v>
      </c>
      <c r="BA266" s="485">
        <v>0</v>
      </c>
      <c r="BB266" s="485">
        <v>0</v>
      </c>
      <c r="BC266" s="485">
        <v>0</v>
      </c>
      <c r="BD266" s="485">
        <v>0</v>
      </c>
      <c r="BE266" s="485">
        <v>0</v>
      </c>
      <c r="BF266" s="485">
        <v>0</v>
      </c>
      <c r="BG266" s="485">
        <v>0</v>
      </c>
      <c r="BH266" s="485">
        <v>0</v>
      </c>
      <c r="BI266" s="485">
        <v>0</v>
      </c>
      <c r="BJ266" s="485">
        <v>0</v>
      </c>
      <c r="BK266" s="485">
        <v>0</v>
      </c>
      <c r="BL266" s="485">
        <v>0</v>
      </c>
      <c r="BM266" s="485">
        <v>0</v>
      </c>
      <c r="BN266" s="485">
        <v>0</v>
      </c>
    </row>
  </sheetData>
  <mergeCells count="18">
    <mergeCell ref="AI132:AJ132"/>
    <mergeCell ref="AG132:AH132"/>
    <mergeCell ref="E132:F132"/>
    <mergeCell ref="U132:V132"/>
    <mergeCell ref="W132:X132"/>
    <mergeCell ref="AC132:AD132"/>
    <mergeCell ref="AE132:AF132"/>
    <mergeCell ref="AA132:AB132"/>
    <mergeCell ref="Y132:Z132"/>
    <mergeCell ref="G132:H132"/>
    <mergeCell ref="I132:J132"/>
    <mergeCell ref="K132:L132"/>
    <mergeCell ref="M132:N132"/>
    <mergeCell ref="O132:P132"/>
    <mergeCell ref="G81:I81"/>
    <mergeCell ref="Q132:R132"/>
    <mergeCell ref="S132:T132"/>
    <mergeCell ref="D81:F81"/>
  </mergeCells>
  <conditionalFormatting sqref="C14:AZ14">
    <cfRule type="expression" dxfId="647" priority="1">
      <formula>IF(#REF!="Ground-up loss",TRUE,FALSE)</formula>
    </cfRule>
  </conditionalFormatting>
  <hyperlinks>
    <hyperlink ref="F56" r:id="rId1" xr:uid="{6F4C0A73-DEF6-434A-B03A-071C8574DAAC}"/>
    <hyperlink ref="C19" r:id="rId2" xr:uid="{28A4F145-B2F0-4651-8BDC-992C031E2AC1}"/>
    <hyperlink ref="C20" r:id="rId3" xr:uid="{58AFEC8A-AAC4-49A8-A06C-D280C4E08936}"/>
  </hyperlinks>
  <pageMargins left="0.7" right="0.7" top="0.75" bottom="0.75" header="0.3" footer="0.3"/>
  <pageSetup paperSize="9" orientation="portrait" verticalDpi="0" r:id="rId4"/>
  <ignoredErrors>
    <ignoredError sqref="F133 H133 AB133 Z133 X133 V133 T133 R133 P133 N133 L133 J133 B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C97C9-194A-4A4E-A0F5-7ECB05ECA15D}">
  <sheetPr codeName="Sheet4">
    <tabColor rgb="FFA2D3EE"/>
  </sheetPr>
  <dimension ref="A1:M5"/>
  <sheetViews>
    <sheetView showGridLines="0" zoomScale="90" zoomScaleNormal="90" workbookViewId="0"/>
  </sheetViews>
  <sheetFormatPr defaultColWidth="8.85546875" defaultRowHeight="12.75" x14ac:dyDescent="0.2"/>
  <cols>
    <col min="1" max="1" width="6.42578125" customWidth="1"/>
    <col min="2" max="2" width="18.42578125" customWidth="1"/>
    <col min="3" max="3" width="4.5703125" customWidth="1"/>
    <col min="4" max="4" width="73.85546875" style="225" customWidth="1"/>
    <col min="5" max="5" width="20.140625" style="49" customWidth="1"/>
    <col min="6" max="6" width="120.42578125" style="225" customWidth="1"/>
  </cols>
  <sheetData>
    <row r="1" spans="1:13" s="1122" customFormat="1" ht="20.100000000000001" customHeight="1" x14ac:dyDescent="0.25">
      <c r="A1" s="1119">
        <v>5</v>
      </c>
      <c r="B1" s="184" t="str">
        <f>VLOOKUP("T.05.01",HE_label,2,FALSE)</f>
        <v>Kranken VVG: Berechnungsdokumentation</v>
      </c>
      <c r="C1" s="184"/>
      <c r="D1" s="1120"/>
      <c r="E1" s="1121"/>
      <c r="F1" s="1120"/>
    </row>
    <row r="2" spans="1:13" s="1123" customFormat="1" x14ac:dyDescent="0.2">
      <c r="B2" s="857" t="str" cm="1">
        <f t="array" ref="B2">HE_company_name&amp;" - SST "&amp;HE_CY&amp;HE_suffix</f>
        <v xml:space="preserve"> - SST 2025</v>
      </c>
      <c r="C2" s="857"/>
      <c r="D2" s="1124"/>
      <c r="E2" s="1125"/>
      <c r="F2" s="1124"/>
      <c r="G2" s="1126"/>
      <c r="H2" s="1126"/>
      <c r="I2" s="1126"/>
      <c r="J2" s="1126"/>
      <c r="K2" s="1126"/>
      <c r="L2" s="1126"/>
      <c r="M2" s="1126"/>
    </row>
    <row r="3" spans="1:13" s="230" customFormat="1" x14ac:dyDescent="0.2">
      <c r="B3" s="263"/>
      <c r="C3" s="263"/>
      <c r="D3" s="264"/>
      <c r="E3" s="265"/>
      <c r="F3" s="264"/>
      <c r="G3" s="266"/>
      <c r="H3" s="266"/>
      <c r="I3" s="266"/>
      <c r="J3" s="266"/>
      <c r="K3" s="266"/>
      <c r="L3" s="266"/>
      <c r="M3" s="266"/>
    </row>
    <row r="4" spans="1:13" s="230" customFormat="1" x14ac:dyDescent="0.2">
      <c r="B4" s="690" t="str">
        <f>VLOOKUP("T.05.02",HE_label,2,FALSE)</f>
        <v>Fakultativ für den SST 2025</v>
      </c>
      <c r="D4" s="264"/>
      <c r="E4" s="265"/>
      <c r="F4" s="264"/>
      <c r="G4" s="266"/>
      <c r="H4" s="266"/>
      <c r="I4" s="266"/>
      <c r="J4" s="266"/>
      <c r="K4" s="266"/>
      <c r="L4" s="266"/>
      <c r="M4" s="266"/>
    </row>
    <row r="5" spans="1:13" x14ac:dyDescent="0.2">
      <c r="B5" s="1194" t="str">
        <f>VLOOKUP("T.05.03",HE_label,2,FALSE)</f>
        <v xml:space="preserve"> </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5F0C-06F2-4700-81CA-474F140B74D8}">
  <sheetPr codeName="Sheet5">
    <tabColor rgb="FFA2D3EE"/>
  </sheetPr>
  <dimension ref="A1:S132"/>
  <sheetViews>
    <sheetView showGridLines="0" zoomScale="90" zoomScaleNormal="90" workbookViewId="0"/>
  </sheetViews>
  <sheetFormatPr defaultColWidth="8.7109375" defaultRowHeight="12.75" x14ac:dyDescent="0.2"/>
  <cols>
    <col min="1" max="1" width="6" customWidth="1"/>
    <col min="2" max="2" width="7.28515625" customWidth="1"/>
    <col min="3" max="3" width="50.42578125" customWidth="1"/>
    <col min="4" max="4" width="32.7109375" customWidth="1"/>
    <col min="5" max="5" width="24.28515625" customWidth="1"/>
    <col min="6" max="6" width="20.5703125" customWidth="1"/>
    <col min="7" max="7" width="6.85546875" style="49" customWidth="1"/>
    <col min="8" max="8" width="6.28515625" style="49" customWidth="1"/>
    <col min="9" max="9" width="6.42578125" style="49" customWidth="1"/>
    <col min="10" max="10" width="7.140625" style="49" customWidth="1"/>
    <col min="11" max="11" width="12.140625" style="360" customWidth="1"/>
    <col min="12" max="12" width="11.140625" style="360" customWidth="1"/>
    <col min="13" max="13" width="15.7109375" customWidth="1"/>
    <col min="14" max="14" width="17.28515625" customWidth="1"/>
    <col min="15" max="15" width="18" customWidth="1"/>
    <col min="16" max="16" width="15.7109375" customWidth="1"/>
    <col min="17" max="17" width="16.42578125" customWidth="1"/>
    <col min="18" max="19" width="19.85546875" customWidth="1"/>
  </cols>
  <sheetData>
    <row r="1" spans="1:19" ht="20.25" x14ac:dyDescent="0.2">
      <c r="A1" s="53">
        <v>6</v>
      </c>
      <c r="B1" s="54" t="str">
        <f>VLOOKUP("T.06.01",HE_label,2,FALSE)</f>
        <v>Kranken VVG: Massgebliche Vertragsgruppen für die Cashflows</v>
      </c>
      <c r="C1" s="54"/>
    </row>
    <row r="2" spans="1:19" x14ac:dyDescent="0.2">
      <c r="B2" s="228" t="str" cm="1">
        <f t="array" ref="B2">HE_company_name&amp;" - SST "&amp;HE_CY&amp;HE_suffix</f>
        <v xml:space="preserve"> - SST 2025</v>
      </c>
      <c r="C2" s="228"/>
    </row>
    <row r="3" spans="1:19" ht="12" customHeight="1" x14ac:dyDescent="0.2"/>
    <row r="4" spans="1:19" ht="15.75" x14ac:dyDescent="0.25">
      <c r="B4" s="269" t="str">
        <f>VLOOKUP("T.06.02",HE_label,2,FALSE)</f>
        <v>Massgebliche Vertragsgruppen für die Cashflows der Langzeitverpflichtungen (LZV)</v>
      </c>
      <c r="C4" s="269"/>
      <c r="F4" s="230"/>
    </row>
    <row r="5" spans="1:19" ht="15.75" x14ac:dyDescent="0.25">
      <c r="C5" s="226"/>
    </row>
    <row r="6" spans="1:19" x14ac:dyDescent="0.2">
      <c r="B6" s="274" t="str">
        <f>VLOOKUP("T.06.03",HE_label,2,FALSE)</f>
        <v>Vertragsgruppe (CG)</v>
      </c>
      <c r="C6" s="274"/>
      <c r="D6" s="274"/>
      <c r="E6" s="274"/>
      <c r="F6" s="274"/>
      <c r="G6" s="361"/>
      <c r="H6" s="361"/>
      <c r="I6" s="361"/>
      <c r="J6" s="858"/>
      <c r="K6" s="1311" t="str">
        <f>VLOOKUP("T.06.03b",HE_label,2,FALSE)</f>
        <v>Tabellenblätter HE_CGx vor HE_LZV_CF ausfüllen</v>
      </c>
      <c r="L6" s="1312" t="str">
        <f>VLOOKUP("T.06.03",HE_label,2,FALSE)</f>
        <v>Vertragsgruppe (CG)</v>
      </c>
      <c r="M6" s="274" t="str">
        <f>VLOOKUP("T.06.14",HE_label,2,FALSE)</f>
        <v xml:space="preserve">Merkmale der CG für die Berechnung </v>
      </c>
      <c r="N6" s="274"/>
      <c r="O6" s="274"/>
      <c r="P6" s="274"/>
      <c r="Q6" s="496"/>
      <c r="R6" s="274" t="str">
        <f>VLOOKUP("T.06.20",HE_label,2,FALSE)</f>
        <v xml:space="preserve">Prämienvolumen </v>
      </c>
      <c r="S6" s="274"/>
    </row>
    <row r="7" spans="1:19" ht="13.5" thickBot="1" x14ac:dyDescent="0.25">
      <c r="B7" s="624" t="str">
        <f>VLOOKUP("T.06.03a",HE_label,2,FALSE)</f>
        <v>einschliesslich Vertragsgruppen, deren Berechnung nicht durch das LZV-Tool durchgeführt wird</v>
      </c>
      <c r="C7" s="275"/>
      <c r="D7" s="275"/>
      <c r="E7" s="275"/>
      <c r="F7" s="275"/>
      <c r="G7" s="362"/>
      <c r="H7" s="362"/>
      <c r="I7" s="362"/>
      <c r="J7" s="859"/>
      <c r="K7" s="1313" t="str">
        <f>VLOOKUP("T.06.03",HE_label,2,FALSE)</f>
        <v>Vertragsgruppe (CG)</v>
      </c>
      <c r="L7" s="1314" t="str">
        <f>VLOOKUP("T.06.03",HE_label,2,FALSE)</f>
        <v>Vertragsgruppe (CG)</v>
      </c>
      <c r="M7" s="624" t="str">
        <f>VLOOKUP("T.06.14a",HE_label,2,FALSE)</f>
        <v>falls nötig vorausgefüllte Werte manuell überschreiben</v>
      </c>
      <c r="N7" s="275"/>
      <c r="O7" s="275"/>
      <c r="P7" s="275"/>
      <c r="Q7" s="497"/>
      <c r="R7" s="275"/>
      <c r="S7" s="275"/>
    </row>
    <row r="8" spans="1:19" ht="75.75" customHeight="1" thickTop="1" x14ac:dyDescent="0.2">
      <c r="B8" s="448" t="str">
        <f>VLOOKUP("T.06.04",HE_label,2,FALSE)</f>
        <v>Identifikator der CG</v>
      </c>
      <c r="C8" s="449" t="str">
        <f>VLOOKUP("T.06.05",HE_label,2,FALSE)</f>
        <v>Produktegruppe (PG)</v>
      </c>
      <c r="D8" s="451" t="str">
        <f>VLOOKUP("T.06.06",HE_label,2,FALSE)</f>
        <v>Produkteuntergruppe (SPG) und Art der Tarifierung (TT)</v>
      </c>
      <c r="E8" s="451" t="str">
        <f>VLOOKUP("T.06.07",HE_label,2,FALSE)</f>
        <v>Zusätzliche Spezifikation der CG</v>
      </c>
      <c r="F8" s="451" t="str">
        <f>VLOOKUP("T.06.08",HE_label,2,FALSE)</f>
        <v>Bezeichnung der CG</v>
      </c>
      <c r="G8" s="580" t="str">
        <f>VLOOKUP("T.06.09",HE_label,2,FALSE)</f>
        <v>Nr. der PG</v>
      </c>
      <c r="H8" s="580" t="str">
        <f>VLOOKUP("T.06.10",HE_label,2,FALSE)</f>
        <v>Nr. der SPG</v>
      </c>
      <c r="I8" s="580" t="str">
        <f>VLOOKUP("T.06.11",HE_label,2,FALSE)</f>
        <v>Nr. der TT</v>
      </c>
      <c r="J8" s="580" t="str">
        <f>VLOOKUP("T.06.12",HE_label,2,FALSE)</f>
        <v>zusätzl. Nr.</v>
      </c>
      <c r="K8" s="1309" t="str">
        <f>VLOOKUP("T.06.13",HE_label,2,FALSE)</f>
        <v>Entsprechendes Tabellenblatt für die Daten nach Alter und Geschlecht</v>
      </c>
      <c r="L8" s="1310" t="str">
        <f>VLOOKUP("T.06.04",HE_label,2,FALSE)</f>
        <v>Identifikator der CG</v>
      </c>
      <c r="M8" s="452" t="str">
        <f>VLOOKUP("T.06.15",HE_label,2,FALSE)</f>
        <v xml:space="preserve">Berechnung durch LZV-Tool </v>
      </c>
      <c r="N8" s="451" t="str">
        <f>VLOOKUP("T.06.16",HE_label,2,FALSE)</f>
        <v xml:space="preserve">Schwelle Prämie pro Eintrittsalter </v>
      </c>
      <c r="O8" s="450" t="str">
        <f>VLOOKUP("T.06.17",HE_label,2,FALSE)</f>
        <v>Schwelle invariante Leistungen pro Alter</v>
      </c>
      <c r="P8" s="451" t="str">
        <f>VLOOKUP("T.06.18",HE_label,2,FALSE)</f>
        <v>Schwelle invariante Kosten pro Alter</v>
      </c>
      <c r="Q8" s="498" t="str">
        <f>VLOOKUP("T.06.19",HE_label,2,FALSE)</f>
        <v>Gruppe für Prämien-Cap (PC-G)</v>
      </c>
      <c r="R8" s="449" t="str">
        <f>VLOOKUP("T.06.21aa",HE_label,2,FALSE)&amp;HE_CY&amp;VLOOKUP("T.06.21ab",HE_label,2,FALSE)&amp;HE_CY&amp;VLOOKUP("T.00.02",HE_label,2,FALSE)</f>
        <v>Total jährliche Prämien für 2025 aller Verträge per 01.01.2025, in CHF</v>
      </c>
      <c r="S8" s="451" t="str">
        <f>VLOOKUP("T.06.22",HE_label,2,FALSE)&amp;HE_CY-1&amp;VLOOKUP("T.00.02",HE_label,2,FALSE)</f>
        <v>Davon bereits erhaltene Prämien per 31.12.2024, in CHF</v>
      </c>
    </row>
    <row r="9" spans="1:19" s="443" customFormat="1" ht="95.25" customHeight="1" x14ac:dyDescent="0.2">
      <c r="B9" s="508"/>
      <c r="C9" s="509" t="str">
        <f>VLOOKUP("T.06.05a",HE_label,2,FALSE)</f>
        <v>Gemäss den 5 Standardproduktegruppen</v>
      </c>
      <c r="D9" s="509" t="str">
        <f>VLOOKUP("T.06.06a",HE_label,2,FALSE)</f>
        <v>Gegebenenfalls Standardprodukteuntergruppe und Art der Tarifierung</v>
      </c>
      <c r="E9" s="509" t="str">
        <f>VLOOKUP("T.06.07a",HE_label,2,FALSE)</f>
        <v>Auszufüllen, wenn die vorangehenden Spezifikationen nicht ausreichen. Bitte keine Sonderzeichen oder Punkte verwenden</v>
      </c>
      <c r="F9" s="509"/>
      <c r="G9" s="510"/>
      <c r="H9" s="510"/>
      <c r="I9" s="510"/>
      <c r="J9" s="510"/>
      <c r="K9" s="511" t="str">
        <f>VLOOKUP("T.06.13a",HE_label,2,FALSE)</f>
        <v>Bezeichnung des Tabs</v>
      </c>
      <c r="L9" s="512" t="str">
        <f>VLOOKUP("T.06.13b",HE_label,2,FALSE)</f>
        <v>Bezeichnung in Zelle A1 des Tabellenblatts</v>
      </c>
      <c r="M9" s="509" t="str">
        <f>VLOOKUP("T.06.15a",HE_label,2,FALSE)</f>
        <v>Standardmässig «ja»; «nein» bedeutet, dass das LZV-Tool die CG ignoriert</v>
      </c>
      <c r="N9" s="509" t="str">
        <f>VLOOKUP("T.06.16a",HE_label,2,FALSE)</f>
        <v>Altersklassen-Schwelle, ab der die Prämie pro Eintrittsalter angenommen wird: standardmässig 110, d. h. Prämie nach Effektivalter</v>
      </c>
      <c r="O9" s="509" t="str">
        <f>VLOOKUP("T.06.17a",HE_label,2,FALSE)</f>
        <v>Altersklassen-Schwelle, ab der angenommen wird, dass die erwarteten Leistungen pro Alter konstant bleiben; standardmässig 110</v>
      </c>
      <c r="P9" s="509" t="str">
        <f>VLOOKUP("T.06.18a",HE_label,2,FALSE)</f>
        <v>Altersklassen-Schwelle, ab der angenommen wird, dass die erwarteten Kosten pro Alter konstant bleiben; standardmässig 110</v>
      </c>
      <c r="Q9" s="508" t="str">
        <f>VLOOKUP("T.06.19a",HE_label,2,FALSE)</f>
        <v>Entspricht standardmässig Nummer der Produktegruppe.</v>
      </c>
      <c r="R9" s="527">
        <f>SUM(R10:R24)</f>
        <v>0</v>
      </c>
      <c r="S9" s="527">
        <f>SUM(S10:S24)</f>
        <v>0</v>
      </c>
    </row>
    <row r="10" spans="1:19" ht="16.5" customHeight="1" x14ac:dyDescent="0.2">
      <c r="A10" s="273">
        <v>1</v>
      </c>
      <c r="B10" s="505" t="str">
        <f>IF(F10="","","CG"&amp;$A10)</f>
        <v/>
      </c>
      <c r="C10" s="270"/>
      <c r="D10" s="270"/>
      <c r="E10" s="270"/>
      <c r="F10" s="634" t="str">
        <f>IF(OR(C10="",D10=""),"","CG "&amp;MID(C10,3,1)&amp;LEFT(D10,4)&amp;IF(E10="","","."&amp;E10))</f>
        <v/>
      </c>
      <c r="G10" s="635" t="str">
        <f>IF(C10="","",MID(C10,3,1))</f>
        <v/>
      </c>
      <c r="H10" s="635" t="str">
        <f>IF(D10="","",MID(D10,2,1))</f>
        <v/>
      </c>
      <c r="I10" s="635" t="str">
        <f>IF(D10="","",MID(D10,4,1))</f>
        <v/>
      </c>
      <c r="J10" s="636" t="str">
        <f>IF(B10="","",IF(E10="",0,A10))</f>
        <v/>
      </c>
      <c r="K10" s="453" t="str">
        <f>"HE_CG"&amp;$A10</f>
        <v>HE_CG1</v>
      </c>
      <c r="L10" s="447" t="str">
        <f t="shared" ref="L10:L24" si="0">HE_CGSheetsNr&amp;"."&amp;$A10</f>
        <v>15.1</v>
      </c>
      <c r="M10" s="1133" t="s">
        <v>83</v>
      </c>
      <c r="N10" s="507">
        <v>110</v>
      </c>
      <c r="O10" s="506">
        <v>110</v>
      </c>
      <c r="P10" s="507">
        <v>110</v>
      </c>
      <c r="Q10" s="517" t="str">
        <f>IF(B10="","",G10)</f>
        <v/>
      </c>
      <c r="R10" s="337"/>
      <c r="S10" s="337"/>
    </row>
    <row r="11" spans="1:19" x14ac:dyDescent="0.2">
      <c r="A11" s="273">
        <v>2</v>
      </c>
      <c r="B11" s="445" t="str">
        <f>IF(F11="","","CG"&amp;$A11)</f>
        <v/>
      </c>
      <c r="C11" s="270"/>
      <c r="D11" s="270"/>
      <c r="E11" s="271"/>
      <c r="F11" s="637" t="str">
        <f t="shared" ref="F11:F24" si="1">IF(OR(C11="",D11=""),"","CG "&amp;MID(C11,3,1)&amp;LEFT(D11,4)&amp;IF(E11="","","."&amp;E11))</f>
        <v/>
      </c>
      <c r="G11" s="638" t="str">
        <f t="shared" ref="G11:G24" si="2">IF(C11="","",MID(C11,3,1))</f>
        <v/>
      </c>
      <c r="H11" s="638" t="str">
        <f t="shared" ref="H11:H24" si="3">IF(D11="","",MID(D11,2,1))</f>
        <v/>
      </c>
      <c r="I11" s="638" t="str">
        <f t="shared" ref="I11:I24" si="4">IF(D11="","",MID(D11,4,1))</f>
        <v/>
      </c>
      <c r="J11" s="639" t="str">
        <f t="shared" ref="J11:J24" si="5">IF(B11="","",IF(E11="",0,A11))</f>
        <v/>
      </c>
      <c r="K11" s="453" t="str">
        <f t="shared" ref="K11:K24" si="6">"HE_CG"&amp;$A11</f>
        <v>HE_CG2</v>
      </c>
      <c r="L11" s="447" t="str">
        <f t="shared" si="0"/>
        <v>15.2</v>
      </c>
      <c r="M11" s="1134" t="s">
        <v>83</v>
      </c>
      <c r="N11" s="454">
        <v>110</v>
      </c>
      <c r="O11" s="456">
        <v>110</v>
      </c>
      <c r="P11" s="454">
        <v>110</v>
      </c>
      <c r="Q11" s="518" t="str">
        <f t="shared" ref="Q11:Q24" si="7">IF(B11="","",G11)</f>
        <v/>
      </c>
      <c r="R11" s="493"/>
      <c r="S11" s="493"/>
    </row>
    <row r="12" spans="1:19" x14ac:dyDescent="0.2">
      <c r="A12" s="273">
        <v>3</v>
      </c>
      <c r="B12" s="445" t="str">
        <f t="shared" ref="B12:B24" si="8">IF(F12="","","CG"&amp;$A12)</f>
        <v/>
      </c>
      <c r="C12" s="270"/>
      <c r="D12" s="270"/>
      <c r="E12" s="271"/>
      <c r="F12" s="637" t="str">
        <f t="shared" si="1"/>
        <v/>
      </c>
      <c r="G12" s="638" t="str">
        <f t="shared" si="2"/>
        <v/>
      </c>
      <c r="H12" s="638" t="str">
        <f t="shared" si="3"/>
        <v/>
      </c>
      <c r="I12" s="638" t="str">
        <f t="shared" si="4"/>
        <v/>
      </c>
      <c r="J12" s="639" t="str">
        <f t="shared" si="5"/>
        <v/>
      </c>
      <c r="K12" s="453" t="str">
        <f t="shared" si="6"/>
        <v>HE_CG3</v>
      </c>
      <c r="L12" s="447" t="str">
        <f t="shared" si="0"/>
        <v>15.3</v>
      </c>
      <c r="M12" s="1134" t="s">
        <v>83</v>
      </c>
      <c r="N12" s="454">
        <v>110</v>
      </c>
      <c r="O12" s="456">
        <v>110</v>
      </c>
      <c r="P12" s="454">
        <v>110</v>
      </c>
      <c r="Q12" s="518" t="str">
        <f t="shared" si="7"/>
        <v/>
      </c>
      <c r="R12" s="493"/>
      <c r="S12" s="493"/>
    </row>
    <row r="13" spans="1:19" x14ac:dyDescent="0.2">
      <c r="A13" s="273">
        <v>4</v>
      </c>
      <c r="B13" s="445" t="str">
        <f t="shared" si="8"/>
        <v/>
      </c>
      <c r="C13" s="270"/>
      <c r="D13" s="270"/>
      <c r="E13" s="271"/>
      <c r="F13" s="637" t="str">
        <f t="shared" si="1"/>
        <v/>
      </c>
      <c r="G13" s="638" t="str">
        <f t="shared" si="2"/>
        <v/>
      </c>
      <c r="H13" s="638" t="str">
        <f t="shared" si="3"/>
        <v/>
      </c>
      <c r="I13" s="638" t="str">
        <f t="shared" si="4"/>
        <v/>
      </c>
      <c r="J13" s="639" t="str">
        <f t="shared" si="5"/>
        <v/>
      </c>
      <c r="K13" s="453" t="str">
        <f t="shared" si="6"/>
        <v>HE_CG4</v>
      </c>
      <c r="L13" s="447" t="str">
        <f t="shared" si="0"/>
        <v>15.4</v>
      </c>
      <c r="M13" s="1134" t="s">
        <v>83</v>
      </c>
      <c r="N13" s="454">
        <v>110</v>
      </c>
      <c r="O13" s="456">
        <v>110</v>
      </c>
      <c r="P13" s="454">
        <v>110</v>
      </c>
      <c r="Q13" s="518" t="str">
        <f t="shared" si="7"/>
        <v/>
      </c>
      <c r="R13" s="493"/>
      <c r="S13" s="493"/>
    </row>
    <row r="14" spans="1:19" x14ac:dyDescent="0.2">
      <c r="A14" s="273">
        <v>5</v>
      </c>
      <c r="B14" s="445" t="str">
        <f t="shared" si="8"/>
        <v/>
      </c>
      <c r="C14" s="270"/>
      <c r="D14" s="270"/>
      <c r="E14" s="271"/>
      <c r="F14" s="637" t="str">
        <f t="shared" si="1"/>
        <v/>
      </c>
      <c r="G14" s="638" t="str">
        <f t="shared" si="2"/>
        <v/>
      </c>
      <c r="H14" s="638" t="str">
        <f t="shared" si="3"/>
        <v/>
      </c>
      <c r="I14" s="638" t="str">
        <f t="shared" si="4"/>
        <v/>
      </c>
      <c r="J14" s="639" t="str">
        <f t="shared" si="5"/>
        <v/>
      </c>
      <c r="K14" s="453" t="str">
        <f t="shared" si="6"/>
        <v>HE_CG5</v>
      </c>
      <c r="L14" s="447" t="str">
        <f t="shared" si="0"/>
        <v>15.5</v>
      </c>
      <c r="M14" s="1134" t="s">
        <v>83</v>
      </c>
      <c r="N14" s="454">
        <v>110</v>
      </c>
      <c r="O14" s="456">
        <v>110</v>
      </c>
      <c r="P14" s="454">
        <v>110</v>
      </c>
      <c r="Q14" s="518" t="str">
        <f t="shared" si="7"/>
        <v/>
      </c>
      <c r="R14" s="493"/>
      <c r="S14" s="493"/>
    </row>
    <row r="15" spans="1:19" x14ac:dyDescent="0.2">
      <c r="A15" s="273">
        <v>6</v>
      </c>
      <c r="B15" s="445" t="str">
        <f t="shared" si="8"/>
        <v/>
      </c>
      <c r="C15" s="270"/>
      <c r="D15" s="270"/>
      <c r="E15" s="271"/>
      <c r="F15" s="637" t="str">
        <f t="shared" si="1"/>
        <v/>
      </c>
      <c r="G15" s="638" t="str">
        <f t="shared" si="2"/>
        <v/>
      </c>
      <c r="H15" s="638" t="str">
        <f t="shared" si="3"/>
        <v/>
      </c>
      <c r="I15" s="638" t="str">
        <f t="shared" si="4"/>
        <v/>
      </c>
      <c r="J15" s="639" t="str">
        <f t="shared" si="5"/>
        <v/>
      </c>
      <c r="K15" s="453" t="str">
        <f t="shared" si="6"/>
        <v>HE_CG6</v>
      </c>
      <c r="L15" s="447" t="str">
        <f t="shared" si="0"/>
        <v>15.6</v>
      </c>
      <c r="M15" s="1134" t="s">
        <v>83</v>
      </c>
      <c r="N15" s="1246">
        <v>110</v>
      </c>
      <c r="O15" s="456">
        <v>110</v>
      </c>
      <c r="P15" s="454">
        <v>110</v>
      </c>
      <c r="Q15" s="518" t="str">
        <f t="shared" si="7"/>
        <v/>
      </c>
      <c r="R15" s="493"/>
      <c r="S15" s="493"/>
    </row>
    <row r="16" spans="1:19" x14ac:dyDescent="0.2">
      <c r="A16" s="273">
        <v>7</v>
      </c>
      <c r="B16" s="445" t="str">
        <f t="shared" si="8"/>
        <v/>
      </c>
      <c r="C16" s="270"/>
      <c r="D16" s="270"/>
      <c r="E16" s="271"/>
      <c r="F16" s="637" t="str">
        <f t="shared" si="1"/>
        <v/>
      </c>
      <c r="G16" s="638" t="str">
        <f t="shared" si="2"/>
        <v/>
      </c>
      <c r="H16" s="638" t="str">
        <f t="shared" si="3"/>
        <v/>
      </c>
      <c r="I16" s="638" t="str">
        <f t="shared" si="4"/>
        <v/>
      </c>
      <c r="J16" s="639" t="str">
        <f t="shared" si="5"/>
        <v/>
      </c>
      <c r="K16" s="453" t="str">
        <f t="shared" si="6"/>
        <v>HE_CG7</v>
      </c>
      <c r="L16" s="447" t="str">
        <f t="shared" si="0"/>
        <v>15.7</v>
      </c>
      <c r="M16" s="1134" t="s">
        <v>83</v>
      </c>
      <c r="N16" s="1246">
        <v>110</v>
      </c>
      <c r="O16" s="456">
        <v>110</v>
      </c>
      <c r="P16" s="454">
        <v>110</v>
      </c>
      <c r="Q16" s="518" t="str">
        <f t="shared" si="7"/>
        <v/>
      </c>
      <c r="R16" s="493"/>
      <c r="S16" s="493"/>
    </row>
    <row r="17" spans="1:19" x14ac:dyDescent="0.2">
      <c r="A17" s="273">
        <v>8</v>
      </c>
      <c r="B17" s="445" t="str">
        <f t="shared" si="8"/>
        <v/>
      </c>
      <c r="C17" s="270"/>
      <c r="D17" s="270"/>
      <c r="E17" s="271"/>
      <c r="F17" s="637" t="str">
        <f t="shared" si="1"/>
        <v/>
      </c>
      <c r="G17" s="638" t="str">
        <f t="shared" si="2"/>
        <v/>
      </c>
      <c r="H17" s="638" t="str">
        <f t="shared" si="3"/>
        <v/>
      </c>
      <c r="I17" s="638" t="str">
        <f t="shared" si="4"/>
        <v/>
      </c>
      <c r="J17" s="639" t="str">
        <f t="shared" si="5"/>
        <v/>
      </c>
      <c r="K17" s="453" t="str">
        <f t="shared" si="6"/>
        <v>HE_CG8</v>
      </c>
      <c r="L17" s="447" t="str">
        <f t="shared" si="0"/>
        <v>15.8</v>
      </c>
      <c r="M17" s="1134" t="s">
        <v>83</v>
      </c>
      <c r="N17" s="1246">
        <v>110</v>
      </c>
      <c r="O17" s="456">
        <v>110</v>
      </c>
      <c r="P17" s="454">
        <v>110</v>
      </c>
      <c r="Q17" s="518" t="str">
        <f t="shared" si="7"/>
        <v/>
      </c>
      <c r="R17" s="493"/>
      <c r="S17" s="493"/>
    </row>
    <row r="18" spans="1:19" x14ac:dyDescent="0.2">
      <c r="A18" s="273">
        <v>9</v>
      </c>
      <c r="B18" s="445" t="str">
        <f t="shared" si="8"/>
        <v/>
      </c>
      <c r="C18" s="270"/>
      <c r="D18" s="270"/>
      <c r="E18" s="272"/>
      <c r="F18" s="637" t="str">
        <f t="shared" si="1"/>
        <v/>
      </c>
      <c r="G18" s="638" t="str">
        <f t="shared" si="2"/>
        <v/>
      </c>
      <c r="H18" s="638" t="str">
        <f t="shared" si="3"/>
        <v/>
      </c>
      <c r="I18" s="638" t="str">
        <f t="shared" si="4"/>
        <v/>
      </c>
      <c r="J18" s="639" t="str">
        <f t="shared" si="5"/>
        <v/>
      </c>
      <c r="K18" s="453" t="str">
        <f t="shared" si="6"/>
        <v>HE_CG9</v>
      </c>
      <c r="L18" s="447" t="str">
        <f t="shared" si="0"/>
        <v>15.9</v>
      </c>
      <c r="M18" s="1134" t="s">
        <v>83</v>
      </c>
      <c r="N18" s="1246">
        <v>110</v>
      </c>
      <c r="O18" s="456">
        <v>110</v>
      </c>
      <c r="P18" s="454">
        <v>110</v>
      </c>
      <c r="Q18" s="518" t="str">
        <f t="shared" si="7"/>
        <v/>
      </c>
      <c r="R18" s="494"/>
      <c r="S18" s="494"/>
    </row>
    <row r="19" spans="1:19" x14ac:dyDescent="0.2">
      <c r="A19" s="273">
        <v>10</v>
      </c>
      <c r="B19" s="445" t="str">
        <f t="shared" si="8"/>
        <v/>
      </c>
      <c r="C19" s="270"/>
      <c r="D19" s="270"/>
      <c r="E19" s="271"/>
      <c r="F19" s="637" t="str">
        <f t="shared" si="1"/>
        <v/>
      </c>
      <c r="G19" s="638" t="str">
        <f t="shared" si="2"/>
        <v/>
      </c>
      <c r="H19" s="638" t="str">
        <f t="shared" si="3"/>
        <v/>
      </c>
      <c r="I19" s="638" t="str">
        <f t="shared" si="4"/>
        <v/>
      </c>
      <c r="J19" s="639" t="str">
        <f t="shared" si="5"/>
        <v/>
      </c>
      <c r="K19" s="453" t="str">
        <f t="shared" si="6"/>
        <v>HE_CG10</v>
      </c>
      <c r="L19" s="447" t="str">
        <f t="shared" si="0"/>
        <v>15.10</v>
      </c>
      <c r="M19" s="1134" t="s">
        <v>83</v>
      </c>
      <c r="N19" s="1246">
        <v>110</v>
      </c>
      <c r="O19" s="456">
        <v>110</v>
      </c>
      <c r="P19" s="454">
        <v>110</v>
      </c>
      <c r="Q19" s="518" t="str">
        <f t="shared" si="7"/>
        <v/>
      </c>
      <c r="R19" s="493"/>
      <c r="S19" s="493"/>
    </row>
    <row r="20" spans="1:19" x14ac:dyDescent="0.2">
      <c r="A20" s="273">
        <v>11</v>
      </c>
      <c r="B20" s="445" t="str">
        <f t="shared" si="8"/>
        <v/>
      </c>
      <c r="C20" s="270"/>
      <c r="D20" s="270"/>
      <c r="E20" s="271"/>
      <c r="F20" s="637" t="str">
        <f t="shared" si="1"/>
        <v/>
      </c>
      <c r="G20" s="638" t="str">
        <f t="shared" si="2"/>
        <v/>
      </c>
      <c r="H20" s="638" t="str">
        <f t="shared" si="3"/>
        <v/>
      </c>
      <c r="I20" s="638" t="str">
        <f t="shared" si="4"/>
        <v/>
      </c>
      <c r="J20" s="639" t="str">
        <f t="shared" si="5"/>
        <v/>
      </c>
      <c r="K20" s="453" t="str">
        <f t="shared" si="6"/>
        <v>HE_CG11</v>
      </c>
      <c r="L20" s="447" t="str">
        <f t="shared" si="0"/>
        <v>15.11</v>
      </c>
      <c r="M20" s="1134" t="s">
        <v>83</v>
      </c>
      <c r="N20" s="1246">
        <v>110</v>
      </c>
      <c r="O20" s="456">
        <v>110</v>
      </c>
      <c r="P20" s="454">
        <v>110</v>
      </c>
      <c r="Q20" s="518" t="str">
        <f t="shared" si="7"/>
        <v/>
      </c>
      <c r="R20" s="493"/>
      <c r="S20" s="493"/>
    </row>
    <row r="21" spans="1:19" x14ac:dyDescent="0.2">
      <c r="A21" s="273">
        <v>12</v>
      </c>
      <c r="B21" s="445" t="str">
        <f t="shared" si="8"/>
        <v/>
      </c>
      <c r="C21" s="270"/>
      <c r="D21" s="270"/>
      <c r="E21" s="271"/>
      <c r="F21" s="637" t="str">
        <f t="shared" si="1"/>
        <v/>
      </c>
      <c r="G21" s="638" t="str">
        <f t="shared" si="2"/>
        <v/>
      </c>
      <c r="H21" s="638" t="str">
        <f t="shared" si="3"/>
        <v/>
      </c>
      <c r="I21" s="638" t="str">
        <f t="shared" si="4"/>
        <v/>
      </c>
      <c r="J21" s="639" t="str">
        <f t="shared" si="5"/>
        <v/>
      </c>
      <c r="K21" s="453" t="str">
        <f t="shared" si="6"/>
        <v>HE_CG12</v>
      </c>
      <c r="L21" s="447" t="str">
        <f t="shared" si="0"/>
        <v>15.12</v>
      </c>
      <c r="M21" s="1134" t="s">
        <v>83</v>
      </c>
      <c r="N21" s="1246">
        <v>110</v>
      </c>
      <c r="O21" s="456">
        <v>110</v>
      </c>
      <c r="P21" s="454">
        <v>110</v>
      </c>
      <c r="Q21" s="518" t="str">
        <f t="shared" si="7"/>
        <v/>
      </c>
      <c r="R21" s="493"/>
      <c r="S21" s="493"/>
    </row>
    <row r="22" spans="1:19" x14ac:dyDescent="0.2">
      <c r="A22" s="273">
        <v>13</v>
      </c>
      <c r="B22" s="445" t="str">
        <f t="shared" si="8"/>
        <v/>
      </c>
      <c r="C22" s="270"/>
      <c r="D22" s="270"/>
      <c r="E22" s="271"/>
      <c r="F22" s="637" t="str">
        <f t="shared" si="1"/>
        <v/>
      </c>
      <c r="G22" s="638" t="str">
        <f t="shared" si="2"/>
        <v/>
      </c>
      <c r="H22" s="638" t="str">
        <f t="shared" si="3"/>
        <v/>
      </c>
      <c r="I22" s="638" t="str">
        <f t="shared" si="4"/>
        <v/>
      </c>
      <c r="J22" s="639" t="str">
        <f t="shared" si="5"/>
        <v/>
      </c>
      <c r="K22" s="453" t="str">
        <f t="shared" si="6"/>
        <v>HE_CG13</v>
      </c>
      <c r="L22" s="447" t="str">
        <f t="shared" si="0"/>
        <v>15.13</v>
      </c>
      <c r="M22" s="1134" t="s">
        <v>83</v>
      </c>
      <c r="N22" s="454">
        <v>110</v>
      </c>
      <c r="O22" s="456">
        <v>110</v>
      </c>
      <c r="P22" s="454">
        <v>110</v>
      </c>
      <c r="Q22" s="518" t="str">
        <f t="shared" si="7"/>
        <v/>
      </c>
      <c r="R22" s="493"/>
      <c r="S22" s="493"/>
    </row>
    <row r="23" spans="1:19" x14ac:dyDescent="0.2">
      <c r="A23" s="273">
        <v>14</v>
      </c>
      <c r="B23" s="445" t="str">
        <f t="shared" si="8"/>
        <v/>
      </c>
      <c r="C23" s="270"/>
      <c r="D23" s="270"/>
      <c r="E23" s="271"/>
      <c r="F23" s="637" t="str">
        <f t="shared" si="1"/>
        <v/>
      </c>
      <c r="G23" s="638" t="str">
        <f t="shared" si="2"/>
        <v/>
      </c>
      <c r="H23" s="638" t="str">
        <f t="shared" si="3"/>
        <v/>
      </c>
      <c r="I23" s="638" t="str">
        <f t="shared" si="4"/>
        <v/>
      </c>
      <c r="J23" s="639" t="str">
        <f t="shared" si="5"/>
        <v/>
      </c>
      <c r="K23" s="453" t="str">
        <f t="shared" si="6"/>
        <v>HE_CG14</v>
      </c>
      <c r="L23" s="447" t="str">
        <f t="shared" si="0"/>
        <v>15.14</v>
      </c>
      <c r="M23" s="1134" t="s">
        <v>83</v>
      </c>
      <c r="N23" s="454">
        <v>110</v>
      </c>
      <c r="O23" s="456">
        <v>110</v>
      </c>
      <c r="P23" s="454">
        <v>110</v>
      </c>
      <c r="Q23" s="518" t="str">
        <f t="shared" si="7"/>
        <v/>
      </c>
      <c r="R23" s="493"/>
      <c r="S23" s="493"/>
    </row>
    <row r="24" spans="1:19" x14ac:dyDescent="0.2">
      <c r="A24" s="273">
        <v>15</v>
      </c>
      <c r="B24" s="457" t="str">
        <f t="shared" si="8"/>
        <v/>
      </c>
      <c r="C24" s="581"/>
      <c r="D24" s="458"/>
      <c r="E24" s="458"/>
      <c r="F24" s="640" t="str">
        <f t="shared" si="1"/>
        <v/>
      </c>
      <c r="G24" s="641" t="str">
        <f t="shared" si="2"/>
        <v/>
      </c>
      <c r="H24" s="641" t="str">
        <f t="shared" si="3"/>
        <v/>
      </c>
      <c r="I24" s="641" t="str">
        <f t="shared" si="4"/>
        <v/>
      </c>
      <c r="J24" s="642" t="str">
        <f t="shared" si="5"/>
        <v/>
      </c>
      <c r="K24" s="459" t="str">
        <f t="shared" si="6"/>
        <v>HE_CG15</v>
      </c>
      <c r="L24" s="460" t="str">
        <f t="shared" si="0"/>
        <v>15.15</v>
      </c>
      <c r="M24" s="462" t="s">
        <v>83</v>
      </c>
      <c r="N24" s="462">
        <v>110</v>
      </c>
      <c r="O24" s="461">
        <v>110</v>
      </c>
      <c r="P24" s="462">
        <v>110</v>
      </c>
      <c r="Q24" s="519" t="str">
        <f t="shared" si="7"/>
        <v/>
      </c>
      <c r="R24" s="495"/>
      <c r="S24" s="495"/>
    </row>
    <row r="26" spans="1:19" ht="14.25" customHeight="1" x14ac:dyDescent="0.2"/>
    <row r="27" spans="1:19" ht="15.75" x14ac:dyDescent="0.25">
      <c r="B27" s="269"/>
      <c r="C27" s="269" t="str">
        <f>VLOOKUP("T.06.23",HE_label,2,FALSE)</f>
        <v xml:space="preserve">Angabe der Produkte der CG </v>
      </c>
      <c r="M27" s="269" t="str">
        <f>VLOOKUP("T.06.31",HE_label,2,FALSE)</f>
        <v>Parameter für Prämien-Cap</v>
      </c>
    </row>
    <row r="28" spans="1:19" ht="15.75" x14ac:dyDescent="0.25">
      <c r="C28" s="226"/>
    </row>
    <row r="29" spans="1:19" x14ac:dyDescent="0.2">
      <c r="B29" s="465"/>
      <c r="C29" s="274" t="str">
        <f>VLOOKUP("T.06.24",HE_label,2,FALSE)</f>
        <v>Massgebende Produkte für die Ermittlung der LZV</v>
      </c>
      <c r="D29" s="274"/>
      <c r="E29" s="274"/>
      <c r="F29" s="274"/>
      <c r="M29" s="274" t="str">
        <f>VLOOKUP("T.06.32",HE_label,2,FALSE)</f>
        <v>Prämien-Cap-Gruppe («Premium Cap», PC-G)</v>
      </c>
      <c r="N29" s="274"/>
      <c r="O29" s="274"/>
      <c r="P29" s="274"/>
    </row>
    <row r="30" spans="1:19" ht="13.5" thickBot="1" x14ac:dyDescent="0.25">
      <c r="B30" s="466"/>
      <c r="C30" s="275"/>
      <c r="D30" s="275"/>
      <c r="E30" s="275"/>
      <c r="F30" s="275"/>
      <c r="M30" s="624" t="str">
        <f>VLOOKUP("T.06.33",HE_label,2,FALSE)</f>
        <v>falls nötig vorausgefüllte Werte manuell überschreiben</v>
      </c>
      <c r="N30" s="275"/>
      <c r="O30" s="275"/>
      <c r="P30" s="275"/>
    </row>
    <row r="31" spans="1:19" ht="39" thickTop="1" x14ac:dyDescent="0.2">
      <c r="B31" s="467"/>
      <c r="C31" s="449" t="str">
        <f>VLOOKUP("T.06.25",HE_label,2,FALSE)</f>
        <v>Name des Produkts</v>
      </c>
      <c r="D31" s="451" t="str">
        <f>VLOOKUP("T.06.26",HE_label,2,FALSE)</f>
        <v>Zusätzliche Benennung</v>
      </c>
      <c r="E31" s="498" t="str">
        <f>VLOOKUP("T.06.27",HE_label,2,FALSE)</f>
        <v>Identifikator der CG</v>
      </c>
      <c r="F31" s="469" t="str">
        <f>VLOOKUP("T.06.28",HE_label,2,FALSE)</f>
        <v>Bezeichnung der CG</v>
      </c>
      <c r="M31" s="448" t="str">
        <f>VLOOKUP("T.06.34",HE_label,2,FALSE)</f>
        <v>PC-G</v>
      </c>
      <c r="N31" s="449" t="str">
        <f>VLOOKUP("T.06.35",HE_label,2,FALSE)</f>
        <v>Minimaler Schaden-Kosten-Satz</v>
      </c>
      <c r="O31" s="449" t="str">
        <f>VLOOKUP("T.06.36",HE_label,2,FALSE)</f>
        <v>Jahr, ab dem dieser Satz angewendet wird</v>
      </c>
      <c r="P31" s="449" t="str">
        <f>VLOOKUP("T.06.37",HE_label,2,FALSE)</f>
        <v>Satz pro Jahr</v>
      </c>
    </row>
    <row r="32" spans="1:19" ht="57.75" customHeight="1" x14ac:dyDescent="0.2">
      <c r="B32" s="468"/>
      <c r="C32" s="463" t="str">
        <f>VLOOKUP("T.06.25a",HE_label,2,FALSE)</f>
        <v>Bezeichnung entspricht jener der FINMA für die Genehmigung der Prämien in der EHP. Derselbe Produktname kann auf mehreren Zeilen aufgeführt werden, wenn mehrere CG vom selben Produkt betroffen sind</v>
      </c>
      <c r="D32" s="628" t="str">
        <f>VLOOKUP("T.06.26a",HE_label,2,FALSE)</f>
        <v>Zu verwenden wenn Name des Produkts mehrmals erscheint, ansonsten optional (z. B. «Halbprivat»)</v>
      </c>
      <c r="E32" s="629"/>
      <c r="F32" s="470"/>
      <c r="M32" s="463" t="str">
        <f>VLOOKUP("T.06.34a",HE_label,2,FALSE)</f>
        <v>Nur die in der oben stehenden Tabelle definierten PC-G werden verwendet</v>
      </c>
      <c r="N32" s="463" t="str">
        <f>VLOOKUP("T.06.35a",HE_label,2,FALSE)</f>
        <v>Standardmässig 90%</v>
      </c>
      <c r="O32" s="463" t="str">
        <f>VLOOKUP("T.06.36a",HE_label,2,FALSE)</f>
        <v>Standardmässig 6; 110 falls kein Cap</v>
      </c>
      <c r="P32" s="463" t="str">
        <f>VLOOKUP("T.06.37a",HE_label,2,FALSE)</f>
        <v xml:space="preserve">Standardmässig «ja»; «nein» für Satz für zusammengezogene Jahre </v>
      </c>
    </row>
    <row r="33" spans="1:16" x14ac:dyDescent="0.2">
      <c r="A33" s="230"/>
      <c r="B33" s="273">
        <v>1</v>
      </c>
      <c r="C33" s="271"/>
      <c r="D33" s="630"/>
      <c r="E33" s="631"/>
      <c r="F33" s="625" t="str" cm="1">
        <f t="array" ref="F33">IF(E33="","",INDEX(HE_CG,1*MID(E33,3,2),6))</f>
        <v/>
      </c>
      <c r="M33" s="444">
        <v>1</v>
      </c>
      <c r="N33" s="464">
        <v>0.9</v>
      </c>
      <c r="O33" s="455">
        <v>6</v>
      </c>
      <c r="P33" s="446" t="str">
        <f t="shared" ref="P33:P47" si="9">IF(HE_language="FR","oui","ja")</f>
        <v>ja</v>
      </c>
    </row>
    <row r="34" spans="1:16" x14ac:dyDescent="0.2">
      <c r="A34" s="230"/>
      <c r="B34" s="273">
        <f>B33+1</f>
        <v>2</v>
      </c>
      <c r="C34" s="271"/>
      <c r="D34" s="630"/>
      <c r="E34" s="631"/>
      <c r="F34" s="626" t="str" cm="1">
        <f t="array" ref="F34">IF(E34="","",INDEX(HE_CG,1*MID(E34,3,2),6))</f>
        <v/>
      </c>
      <c r="M34" s="445">
        <v>2</v>
      </c>
      <c r="N34" s="464">
        <v>0.9</v>
      </c>
      <c r="O34" s="455">
        <v>6</v>
      </c>
      <c r="P34" s="446" t="str">
        <f t="shared" si="9"/>
        <v>ja</v>
      </c>
    </row>
    <row r="35" spans="1:16" x14ac:dyDescent="0.2">
      <c r="A35" s="230"/>
      <c r="B35" s="273">
        <f t="shared" ref="B35:B57" si="10">B34+1</f>
        <v>3</v>
      </c>
      <c r="C35" s="271"/>
      <c r="D35" s="630"/>
      <c r="E35" s="631"/>
      <c r="F35" s="626" t="str" cm="1">
        <f t="array" ref="F35">IF(E35="","",INDEX(HE_CG,1*MID(E35,3,2),6))</f>
        <v/>
      </c>
      <c r="M35" s="445">
        <v>3</v>
      </c>
      <c r="N35" s="464">
        <v>0.9</v>
      </c>
      <c r="O35" s="455">
        <v>6</v>
      </c>
      <c r="P35" s="446" t="str">
        <f t="shared" si="9"/>
        <v>ja</v>
      </c>
    </row>
    <row r="36" spans="1:16" x14ac:dyDescent="0.2">
      <c r="A36" s="230"/>
      <c r="B36" s="273">
        <f t="shared" si="10"/>
        <v>4</v>
      </c>
      <c r="C36" s="271"/>
      <c r="D36" s="630"/>
      <c r="E36" s="631"/>
      <c r="F36" s="626" t="str" cm="1">
        <f t="array" ref="F36">IF(E36="","",INDEX(HE_CG,1*MID(E36,3,2),6))</f>
        <v/>
      </c>
      <c r="M36" s="445">
        <v>4</v>
      </c>
      <c r="N36" s="464">
        <v>0.9</v>
      </c>
      <c r="O36" s="455">
        <v>6</v>
      </c>
      <c r="P36" s="446" t="str">
        <f t="shared" si="9"/>
        <v>ja</v>
      </c>
    </row>
    <row r="37" spans="1:16" ht="15" customHeight="1" x14ac:dyDescent="0.2">
      <c r="A37" s="230"/>
      <c r="B37" s="273">
        <f t="shared" si="10"/>
        <v>5</v>
      </c>
      <c r="C37" s="271"/>
      <c r="D37" s="630"/>
      <c r="E37" s="631"/>
      <c r="F37" s="626" t="str" cm="1">
        <f t="array" ref="F37">IF(E37="","",INDEX(HE_CG,1*MID(E37,3,2),6))</f>
        <v/>
      </c>
      <c r="M37" s="445">
        <v>5</v>
      </c>
      <c r="N37" s="464">
        <v>0.9</v>
      </c>
      <c r="O37" s="455">
        <v>6</v>
      </c>
      <c r="P37" s="446" t="str">
        <f t="shared" si="9"/>
        <v>ja</v>
      </c>
    </row>
    <row r="38" spans="1:16" x14ac:dyDescent="0.2">
      <c r="A38" s="230"/>
      <c r="B38" s="273">
        <f t="shared" si="10"/>
        <v>6</v>
      </c>
      <c r="C38" s="271"/>
      <c r="D38" s="630"/>
      <c r="E38" s="631"/>
      <c r="F38" s="626" t="str" cm="1">
        <f t="array" ref="F38">IF(E38="","",INDEX(HE_CG,1*MID(E38,3,2),6))</f>
        <v/>
      </c>
      <c r="M38" s="520">
        <v>6</v>
      </c>
      <c r="N38" s="521">
        <v>0.9</v>
      </c>
      <c r="O38" s="522">
        <v>6</v>
      </c>
      <c r="P38" s="523" t="str">
        <f t="shared" si="9"/>
        <v>ja</v>
      </c>
    </row>
    <row r="39" spans="1:16" x14ac:dyDescent="0.2">
      <c r="A39" s="230"/>
      <c r="B39" s="273">
        <f t="shared" si="10"/>
        <v>7</v>
      </c>
      <c r="C39" s="271"/>
      <c r="D39" s="630"/>
      <c r="E39" s="631"/>
      <c r="F39" s="626" t="str" cm="1">
        <f t="array" ref="F39">IF(E39="","",INDEX(HE_CG,1*MID(E39,3,2),6))</f>
        <v/>
      </c>
      <c r="M39" s="520">
        <v>7</v>
      </c>
      <c r="N39" s="521">
        <v>0.9</v>
      </c>
      <c r="O39" s="522">
        <v>6</v>
      </c>
      <c r="P39" s="523" t="str">
        <f t="shared" si="9"/>
        <v>ja</v>
      </c>
    </row>
    <row r="40" spans="1:16" x14ac:dyDescent="0.2">
      <c r="A40" s="230"/>
      <c r="B40" s="273">
        <f t="shared" si="10"/>
        <v>8</v>
      </c>
      <c r="C40" s="271"/>
      <c r="D40" s="630"/>
      <c r="E40" s="631"/>
      <c r="F40" s="626" t="str" cm="1">
        <f t="array" ref="F40">IF(E40="","",INDEX(HE_CG,1*MID(E40,3,2),6))</f>
        <v/>
      </c>
      <c r="M40" s="520">
        <v>8</v>
      </c>
      <c r="N40" s="521">
        <v>0.9</v>
      </c>
      <c r="O40" s="522">
        <v>6</v>
      </c>
      <c r="P40" s="523" t="str">
        <f t="shared" si="9"/>
        <v>ja</v>
      </c>
    </row>
    <row r="41" spans="1:16" x14ac:dyDescent="0.2">
      <c r="A41" s="230"/>
      <c r="B41" s="273">
        <f t="shared" si="10"/>
        <v>9</v>
      </c>
      <c r="C41" s="272"/>
      <c r="D41" s="632"/>
      <c r="E41" s="631"/>
      <c r="F41" s="626" t="str" cm="1">
        <f t="array" ref="F41">IF(E41="","",INDEX(HE_CG,1*MID(E41,3,2),6))</f>
        <v/>
      </c>
      <c r="M41" s="520">
        <v>9</v>
      </c>
      <c r="N41" s="521">
        <v>0.9</v>
      </c>
      <c r="O41" s="522">
        <v>6</v>
      </c>
      <c r="P41" s="523" t="str">
        <f t="shared" si="9"/>
        <v>ja</v>
      </c>
    </row>
    <row r="42" spans="1:16" x14ac:dyDescent="0.2">
      <c r="A42" s="230"/>
      <c r="B42" s="273">
        <f t="shared" si="10"/>
        <v>10</v>
      </c>
      <c r="C42" s="271"/>
      <c r="D42" s="630"/>
      <c r="E42" s="631"/>
      <c r="F42" s="626" t="str" cm="1">
        <f t="array" ref="F42">IF(E42="","",INDEX(HE_CG,1*MID(E42,3,2),6))</f>
        <v/>
      </c>
      <c r="M42" s="520">
        <v>10</v>
      </c>
      <c r="N42" s="521">
        <v>0.9</v>
      </c>
      <c r="O42" s="522">
        <v>6</v>
      </c>
      <c r="P42" s="523" t="str">
        <f t="shared" si="9"/>
        <v>ja</v>
      </c>
    </row>
    <row r="43" spans="1:16" x14ac:dyDescent="0.2">
      <c r="A43" s="230"/>
      <c r="B43" s="273">
        <f t="shared" si="10"/>
        <v>11</v>
      </c>
      <c r="C43" s="271"/>
      <c r="D43" s="630"/>
      <c r="E43" s="631"/>
      <c r="F43" s="626" t="str" cm="1">
        <f t="array" ref="F43">IF(E43="","",INDEX(HE_CG,1*MID(E43,3,2),6))</f>
        <v/>
      </c>
      <c r="M43" s="520">
        <v>11</v>
      </c>
      <c r="N43" s="521">
        <v>0.9</v>
      </c>
      <c r="O43" s="522">
        <v>6</v>
      </c>
      <c r="P43" s="523" t="str">
        <f t="shared" si="9"/>
        <v>ja</v>
      </c>
    </row>
    <row r="44" spans="1:16" x14ac:dyDescent="0.2">
      <c r="A44" s="230"/>
      <c r="B44" s="273">
        <f t="shared" si="10"/>
        <v>12</v>
      </c>
      <c r="C44" s="271"/>
      <c r="D44" s="630"/>
      <c r="E44" s="631"/>
      <c r="F44" s="626" t="str" cm="1">
        <f t="array" ref="F44">IF(E44="","",INDEX(HE_CG,1*MID(E44,3,2),6))</f>
        <v/>
      </c>
      <c r="M44" s="520">
        <v>12</v>
      </c>
      <c r="N44" s="521">
        <v>0.9</v>
      </c>
      <c r="O44" s="522">
        <v>6</v>
      </c>
      <c r="P44" s="523" t="str">
        <f t="shared" si="9"/>
        <v>ja</v>
      </c>
    </row>
    <row r="45" spans="1:16" x14ac:dyDescent="0.2">
      <c r="A45" s="230"/>
      <c r="B45" s="273">
        <f t="shared" si="10"/>
        <v>13</v>
      </c>
      <c r="C45" s="271"/>
      <c r="D45" s="630"/>
      <c r="E45" s="631"/>
      <c r="F45" s="626" t="str" cm="1">
        <f t="array" ref="F45">IF(E45="","",INDEX(HE_CG,1*MID(E45,3,2),6))</f>
        <v/>
      </c>
      <c r="M45" s="520">
        <v>13</v>
      </c>
      <c r="N45" s="521">
        <v>0.9</v>
      </c>
      <c r="O45" s="522">
        <v>6</v>
      </c>
      <c r="P45" s="523" t="str">
        <f t="shared" si="9"/>
        <v>ja</v>
      </c>
    </row>
    <row r="46" spans="1:16" x14ac:dyDescent="0.2">
      <c r="A46" s="230"/>
      <c r="B46" s="273">
        <f t="shared" si="10"/>
        <v>14</v>
      </c>
      <c r="C46" s="271"/>
      <c r="D46" s="630"/>
      <c r="E46" s="631"/>
      <c r="F46" s="626" t="str" cm="1">
        <f t="array" ref="F46">IF(E46="","",INDEX(HE_CG,1*MID(E46,3,2),6))</f>
        <v/>
      </c>
      <c r="M46" s="520">
        <v>14</v>
      </c>
      <c r="N46" s="521">
        <v>0.9</v>
      </c>
      <c r="O46" s="522">
        <v>6</v>
      </c>
      <c r="P46" s="523" t="str">
        <f t="shared" si="9"/>
        <v>ja</v>
      </c>
    </row>
    <row r="47" spans="1:16" x14ac:dyDescent="0.2">
      <c r="A47" s="230"/>
      <c r="B47" s="273">
        <f t="shared" si="10"/>
        <v>15</v>
      </c>
      <c r="C47" s="271"/>
      <c r="D47" s="630"/>
      <c r="E47" s="631"/>
      <c r="F47" s="626" t="str" cm="1">
        <f t="array" ref="F47">IF(E47="","",INDEX(HE_CG,1*MID(E47,3,2),6))</f>
        <v/>
      </c>
      <c r="M47" s="524">
        <v>15</v>
      </c>
      <c r="N47" s="489">
        <v>0.9</v>
      </c>
      <c r="O47" s="525">
        <v>6</v>
      </c>
      <c r="P47" s="526" t="str">
        <f t="shared" si="9"/>
        <v>ja</v>
      </c>
    </row>
    <row r="48" spans="1:16" x14ac:dyDescent="0.2">
      <c r="A48" s="230"/>
      <c r="B48" s="273">
        <f t="shared" si="10"/>
        <v>16</v>
      </c>
      <c r="C48" s="271"/>
      <c r="D48" s="630"/>
      <c r="E48" s="631"/>
      <c r="F48" s="626" t="str" cm="1">
        <f t="array" ref="F48">IF(E48="","",INDEX(HE_CG,1*MID(E48,3,2),6))</f>
        <v/>
      </c>
    </row>
    <row r="49" spans="1:6" x14ac:dyDescent="0.2">
      <c r="A49" s="230"/>
      <c r="B49" s="273">
        <f t="shared" si="10"/>
        <v>17</v>
      </c>
      <c r="C49" s="270"/>
      <c r="D49" s="633"/>
      <c r="E49" s="631"/>
      <c r="F49" s="626" t="str" cm="1">
        <f t="array" ref="F49">IF(E49="","",INDEX(HE_CG,1*MID(E49,3,2),6))</f>
        <v/>
      </c>
    </row>
    <row r="50" spans="1:6" x14ac:dyDescent="0.2">
      <c r="A50" s="230"/>
      <c r="B50" s="273">
        <f t="shared" si="10"/>
        <v>18</v>
      </c>
      <c r="C50" s="271"/>
      <c r="D50" s="630"/>
      <c r="E50" s="631"/>
      <c r="F50" s="626" t="str" cm="1">
        <f t="array" ref="F50">IF(E50="","",INDEX(HE_CG,1*MID(E50,3,2),6))</f>
        <v/>
      </c>
    </row>
    <row r="51" spans="1:6" x14ac:dyDescent="0.2">
      <c r="A51" s="230"/>
      <c r="B51" s="273">
        <f t="shared" si="10"/>
        <v>19</v>
      </c>
      <c r="C51" s="271"/>
      <c r="D51" s="630"/>
      <c r="E51" s="631"/>
      <c r="F51" s="626" t="str" cm="1">
        <f t="array" ref="F51">IF(E51="","",INDEX(HE_CG,1*MID(E51,3,2),6))</f>
        <v/>
      </c>
    </row>
    <row r="52" spans="1:6" x14ac:dyDescent="0.2">
      <c r="A52" s="230"/>
      <c r="B52" s="273">
        <f t="shared" si="10"/>
        <v>20</v>
      </c>
      <c r="C52" s="271"/>
      <c r="D52" s="630"/>
      <c r="E52" s="631"/>
      <c r="F52" s="626" t="str" cm="1">
        <f t="array" ref="F52">IF(E52="","",INDEX(HE_CG,1*MID(E52,3,2),6))</f>
        <v/>
      </c>
    </row>
    <row r="53" spans="1:6" x14ac:dyDescent="0.2">
      <c r="A53" s="230"/>
      <c r="B53" s="273">
        <f t="shared" si="10"/>
        <v>21</v>
      </c>
      <c r="C53" s="271"/>
      <c r="D53" s="630"/>
      <c r="E53" s="631"/>
      <c r="F53" s="626" t="str" cm="1">
        <f t="array" ref="F53">IF(E53="","",INDEX(HE_CG,1*MID(E53,3,2),6))</f>
        <v/>
      </c>
    </row>
    <row r="54" spans="1:6" x14ac:dyDescent="0.2">
      <c r="A54" s="230"/>
      <c r="B54" s="273">
        <f t="shared" si="10"/>
        <v>22</v>
      </c>
      <c r="C54" s="271"/>
      <c r="D54" s="630"/>
      <c r="E54" s="631"/>
      <c r="F54" s="626" t="str" cm="1">
        <f t="array" ref="F54">IF(E54="","",INDEX(HE_CG,1*MID(E54,3,2),6))</f>
        <v/>
      </c>
    </row>
    <row r="55" spans="1:6" x14ac:dyDescent="0.2">
      <c r="A55" s="230"/>
      <c r="B55" s="273">
        <f t="shared" si="10"/>
        <v>23</v>
      </c>
      <c r="C55" s="271"/>
      <c r="D55" s="630"/>
      <c r="E55" s="631"/>
      <c r="F55" s="626" t="str" cm="1">
        <f t="array" ref="F55">IF(E55="","",INDEX(HE_CG,1*MID(E55,3,2),6))</f>
        <v/>
      </c>
    </row>
    <row r="56" spans="1:6" x14ac:dyDescent="0.2">
      <c r="A56" s="230"/>
      <c r="B56" s="273">
        <f t="shared" si="10"/>
        <v>24</v>
      </c>
      <c r="C56" s="271"/>
      <c r="D56" s="630"/>
      <c r="E56" s="631"/>
      <c r="F56" s="626" t="str" cm="1">
        <f t="array" ref="F56">IF(E56="","",INDEX(HE_CG,1*MID(E56,3,2),6))</f>
        <v/>
      </c>
    </row>
    <row r="57" spans="1:6" x14ac:dyDescent="0.2">
      <c r="A57" s="230"/>
      <c r="B57" s="273">
        <f t="shared" si="10"/>
        <v>25</v>
      </c>
      <c r="C57" s="271"/>
      <c r="D57" s="630"/>
      <c r="E57" s="631"/>
      <c r="F57" s="626" t="str" cm="1">
        <f t="array" ref="F57">IF(E57="","",INDEX(HE_CG,1*MID(E57,3,2),6))</f>
        <v/>
      </c>
    </row>
    <row r="58" spans="1:6" x14ac:dyDescent="0.2">
      <c r="B58" s="273">
        <f>B57+1</f>
        <v>26</v>
      </c>
      <c r="C58" s="271"/>
      <c r="D58" s="630"/>
      <c r="E58" s="631"/>
      <c r="F58" s="627" t="str" cm="1">
        <f t="array" ref="F58">IF(E58="","",INDEX(HE_CG,1*MID(E58,3,2),6))</f>
        <v/>
      </c>
    </row>
    <row r="59" spans="1:6" x14ac:dyDescent="0.2">
      <c r="B59" s="273">
        <f>B58+1</f>
        <v>27</v>
      </c>
      <c r="C59" s="271"/>
      <c r="D59" s="630"/>
      <c r="E59" s="631"/>
      <c r="F59" s="626" t="str" cm="1">
        <f t="array" ref="F59">IF(E59="","",INDEX(HE_CG,1*MID(E59,3,2),6))</f>
        <v/>
      </c>
    </row>
    <row r="60" spans="1:6" x14ac:dyDescent="0.2">
      <c r="B60" s="273">
        <f t="shared" ref="B60:B82" si="11">B59+1</f>
        <v>28</v>
      </c>
      <c r="C60" s="271"/>
      <c r="D60" s="630"/>
      <c r="E60" s="631"/>
      <c r="F60" s="626" t="str" cm="1">
        <f t="array" ref="F60">IF(E60="","",INDEX(HE_CG,1*MID(E60,3,2),6))</f>
        <v/>
      </c>
    </row>
    <row r="61" spans="1:6" x14ac:dyDescent="0.2">
      <c r="B61" s="273">
        <f t="shared" si="11"/>
        <v>29</v>
      </c>
      <c r="C61" s="271"/>
      <c r="D61" s="630"/>
      <c r="E61" s="631"/>
      <c r="F61" s="626" t="str" cm="1">
        <f t="array" ref="F61">IF(E61="","",INDEX(HE_CG,1*MID(E61,3,2),6))</f>
        <v/>
      </c>
    </row>
    <row r="62" spans="1:6" x14ac:dyDescent="0.2">
      <c r="B62" s="273">
        <f t="shared" si="11"/>
        <v>30</v>
      </c>
      <c r="C62" s="271"/>
      <c r="D62" s="630"/>
      <c r="E62" s="631"/>
      <c r="F62" s="626" t="str" cm="1">
        <f t="array" ref="F62">IF(E62="","",INDEX(HE_CG,1*MID(E62,3,2),6))</f>
        <v/>
      </c>
    </row>
    <row r="63" spans="1:6" x14ac:dyDescent="0.2">
      <c r="B63" s="273">
        <f t="shared" si="11"/>
        <v>31</v>
      </c>
      <c r="C63" s="271"/>
      <c r="D63" s="630"/>
      <c r="E63" s="631"/>
      <c r="F63" s="626" t="str" cm="1">
        <f t="array" ref="F63">IF(E63="","",INDEX(HE_CG,1*MID(E63,3,2),6))</f>
        <v/>
      </c>
    </row>
    <row r="64" spans="1:6" x14ac:dyDescent="0.2">
      <c r="B64" s="273">
        <f t="shared" si="11"/>
        <v>32</v>
      </c>
      <c r="C64" s="271"/>
      <c r="D64" s="630"/>
      <c r="E64" s="631"/>
      <c r="F64" s="626" t="str" cm="1">
        <f t="array" ref="F64">IF(E64="","",INDEX(HE_CG,1*MID(E64,3,2),6))</f>
        <v/>
      </c>
    </row>
    <row r="65" spans="2:6" x14ac:dyDescent="0.2">
      <c r="B65" s="273">
        <f t="shared" si="11"/>
        <v>33</v>
      </c>
      <c r="C65" s="271"/>
      <c r="D65" s="630"/>
      <c r="E65" s="631"/>
      <c r="F65" s="626" t="str" cm="1">
        <f t="array" ref="F65">IF(E65="","",INDEX(HE_CG,1*MID(E65,3,2),6))</f>
        <v/>
      </c>
    </row>
    <row r="66" spans="2:6" x14ac:dyDescent="0.2">
      <c r="B66" s="273">
        <f t="shared" si="11"/>
        <v>34</v>
      </c>
      <c r="C66" s="272"/>
      <c r="D66" s="632"/>
      <c r="E66" s="631"/>
      <c r="F66" s="626" t="str" cm="1">
        <f t="array" ref="F66">IF(E66="","",INDEX(HE_CG,1*MID(E66,3,2),6))</f>
        <v/>
      </c>
    </row>
    <row r="67" spans="2:6" x14ac:dyDescent="0.2">
      <c r="B67" s="273">
        <f t="shared" si="11"/>
        <v>35</v>
      </c>
      <c r="C67" s="271"/>
      <c r="D67" s="630"/>
      <c r="E67" s="631"/>
      <c r="F67" s="626" t="str" cm="1">
        <f t="array" ref="F67">IF(E67="","",INDEX(HE_CG,1*MID(E67,3,2),6))</f>
        <v/>
      </c>
    </row>
    <row r="68" spans="2:6" x14ac:dyDescent="0.2">
      <c r="B68" s="273">
        <f t="shared" si="11"/>
        <v>36</v>
      </c>
      <c r="C68" s="271"/>
      <c r="D68" s="630"/>
      <c r="E68" s="631"/>
      <c r="F68" s="626" t="str" cm="1">
        <f t="array" ref="F68">IF(E68="","",INDEX(HE_CG,1*MID(E68,3,2),6))</f>
        <v/>
      </c>
    </row>
    <row r="69" spans="2:6" x14ac:dyDescent="0.2">
      <c r="B69" s="273">
        <f t="shared" si="11"/>
        <v>37</v>
      </c>
      <c r="C69" s="271"/>
      <c r="D69" s="630"/>
      <c r="E69" s="631"/>
      <c r="F69" s="626" t="str" cm="1">
        <f t="array" ref="F69">IF(E69="","",INDEX(HE_CG,1*MID(E69,3,2),6))</f>
        <v/>
      </c>
    </row>
    <row r="70" spans="2:6" x14ac:dyDescent="0.2">
      <c r="B70" s="273">
        <f t="shared" si="11"/>
        <v>38</v>
      </c>
      <c r="C70" s="271"/>
      <c r="D70" s="630"/>
      <c r="E70" s="631"/>
      <c r="F70" s="626" t="str" cm="1">
        <f t="array" ref="F70">IF(E70="","",INDEX(HE_CG,1*MID(E70,3,2),6))</f>
        <v/>
      </c>
    </row>
    <row r="71" spans="2:6" x14ac:dyDescent="0.2">
      <c r="B71" s="273">
        <f t="shared" si="11"/>
        <v>39</v>
      </c>
      <c r="C71" s="271"/>
      <c r="D71" s="630"/>
      <c r="E71" s="631"/>
      <c r="F71" s="626" t="str" cm="1">
        <f t="array" ref="F71">IF(E71="","",INDEX(HE_CG,1*MID(E71,3,2),6))</f>
        <v/>
      </c>
    </row>
    <row r="72" spans="2:6" x14ac:dyDescent="0.2">
      <c r="B72" s="273">
        <f t="shared" si="11"/>
        <v>40</v>
      </c>
      <c r="C72" s="271"/>
      <c r="D72" s="630"/>
      <c r="E72" s="631"/>
      <c r="F72" s="626" t="str" cm="1">
        <f t="array" ref="F72">IF(E72="","",INDEX(HE_CG,1*MID(E72,3,2),6))</f>
        <v/>
      </c>
    </row>
    <row r="73" spans="2:6" x14ac:dyDescent="0.2">
      <c r="B73" s="273">
        <f t="shared" si="11"/>
        <v>41</v>
      </c>
      <c r="C73" s="271"/>
      <c r="D73" s="630"/>
      <c r="E73" s="631"/>
      <c r="F73" s="626" t="str" cm="1">
        <f t="array" ref="F73">IF(E73="","",INDEX(HE_CG,1*MID(E73,3,2),6))</f>
        <v/>
      </c>
    </row>
    <row r="74" spans="2:6" x14ac:dyDescent="0.2">
      <c r="B74" s="273">
        <f t="shared" si="11"/>
        <v>42</v>
      </c>
      <c r="C74" s="270"/>
      <c r="D74" s="633"/>
      <c r="E74" s="631"/>
      <c r="F74" s="626" t="str" cm="1">
        <f t="array" ref="F74">IF(E74="","",INDEX(HE_CG,1*MID(E74,3,2),6))</f>
        <v/>
      </c>
    </row>
    <row r="75" spans="2:6" x14ac:dyDescent="0.2">
      <c r="B75" s="273">
        <f t="shared" si="11"/>
        <v>43</v>
      </c>
      <c r="C75" s="271"/>
      <c r="D75" s="630"/>
      <c r="E75" s="631"/>
      <c r="F75" s="626" t="str" cm="1">
        <f t="array" ref="F75">IF(E75="","",INDEX(HE_CG,1*MID(E75,3,2),6))</f>
        <v/>
      </c>
    </row>
    <row r="76" spans="2:6" x14ac:dyDescent="0.2">
      <c r="B76" s="273">
        <f t="shared" si="11"/>
        <v>44</v>
      </c>
      <c r="C76" s="271"/>
      <c r="D76" s="630"/>
      <c r="E76" s="631"/>
      <c r="F76" s="626" t="str" cm="1">
        <f t="array" ref="F76">IF(E76="","",INDEX(HE_CG,1*MID(E76,3,2),6))</f>
        <v/>
      </c>
    </row>
    <row r="77" spans="2:6" x14ac:dyDescent="0.2">
      <c r="B77" s="273">
        <f t="shared" si="11"/>
        <v>45</v>
      </c>
      <c r="C77" s="271"/>
      <c r="D77" s="630"/>
      <c r="E77" s="631"/>
      <c r="F77" s="626" t="str" cm="1">
        <f t="array" ref="F77">IF(E77="","",INDEX(HE_CG,1*MID(E77,3,2),6))</f>
        <v/>
      </c>
    </row>
    <row r="78" spans="2:6" x14ac:dyDescent="0.2">
      <c r="B78" s="273">
        <f t="shared" si="11"/>
        <v>46</v>
      </c>
      <c r="C78" s="271"/>
      <c r="D78" s="630"/>
      <c r="E78" s="631"/>
      <c r="F78" s="626" t="str" cm="1">
        <f t="array" ref="F78">IF(E78="","",INDEX(HE_CG,1*MID(E78,3,2),6))</f>
        <v/>
      </c>
    </row>
    <row r="79" spans="2:6" x14ac:dyDescent="0.2">
      <c r="B79" s="273">
        <f t="shared" si="11"/>
        <v>47</v>
      </c>
      <c r="C79" s="271"/>
      <c r="D79" s="630"/>
      <c r="E79" s="631"/>
      <c r="F79" s="626" t="str" cm="1">
        <f t="array" ref="F79">IF(E79="","",INDEX(HE_CG,1*MID(E79,3,2),6))</f>
        <v/>
      </c>
    </row>
    <row r="80" spans="2:6" x14ac:dyDescent="0.2">
      <c r="B80" s="273">
        <f t="shared" si="11"/>
        <v>48</v>
      </c>
      <c r="C80" s="271"/>
      <c r="D80" s="630"/>
      <c r="E80" s="631"/>
      <c r="F80" s="626" t="str" cm="1">
        <f t="array" ref="F80">IF(E80="","",INDEX(HE_CG,1*MID(E80,3,2),6))</f>
        <v/>
      </c>
    </row>
    <row r="81" spans="2:6" x14ac:dyDescent="0.2">
      <c r="B81" s="273">
        <f t="shared" si="11"/>
        <v>49</v>
      </c>
      <c r="C81" s="271"/>
      <c r="D81" s="630"/>
      <c r="E81" s="631"/>
      <c r="F81" s="626" t="str" cm="1">
        <f t="array" ref="F81">IF(E81="","",INDEX(HE_CG,1*MID(E81,3,2),6))</f>
        <v/>
      </c>
    </row>
    <row r="82" spans="2:6" x14ac:dyDescent="0.2">
      <c r="B82" s="273">
        <f t="shared" si="11"/>
        <v>50</v>
      </c>
      <c r="C82" s="271"/>
      <c r="D82" s="630"/>
      <c r="E82" s="631"/>
      <c r="F82" s="626" t="str" cm="1">
        <f t="array" ref="F82">IF(E82="","",INDEX(HE_CG,1*MID(E82,3,2),6))</f>
        <v/>
      </c>
    </row>
    <row r="83" spans="2:6" x14ac:dyDescent="0.2">
      <c r="B83" s="273">
        <f t="shared" ref="B83:B132" si="12">B82+1</f>
        <v>51</v>
      </c>
      <c r="C83" s="271"/>
      <c r="D83" s="630"/>
      <c r="E83" s="631"/>
      <c r="F83" s="625" t="str" cm="1">
        <f t="array" ref="F83">IF(E83="","",INDEX(HE_CG,1*MID(E83,3,2),6))</f>
        <v/>
      </c>
    </row>
    <row r="84" spans="2:6" x14ac:dyDescent="0.2">
      <c r="B84" s="273">
        <f t="shared" si="12"/>
        <v>52</v>
      </c>
      <c r="C84" s="271"/>
      <c r="D84" s="630"/>
      <c r="E84" s="631"/>
      <c r="F84" s="626" t="str" cm="1">
        <f t="array" ref="F84">IF(E84="","",INDEX(HE_CG,1*MID(E84,3,2),6))</f>
        <v/>
      </c>
    </row>
    <row r="85" spans="2:6" x14ac:dyDescent="0.2">
      <c r="B85" s="273">
        <f t="shared" si="12"/>
        <v>53</v>
      </c>
      <c r="C85" s="271"/>
      <c r="D85" s="630"/>
      <c r="E85" s="631"/>
      <c r="F85" s="626" t="str" cm="1">
        <f t="array" ref="F85">IF(E85="","",INDEX(HE_CG,1*MID(E85,3,2),6))</f>
        <v/>
      </c>
    </row>
    <row r="86" spans="2:6" x14ac:dyDescent="0.2">
      <c r="B86" s="273">
        <f t="shared" si="12"/>
        <v>54</v>
      </c>
      <c r="C86" s="271"/>
      <c r="D86" s="630"/>
      <c r="E86" s="631"/>
      <c r="F86" s="626" t="str" cm="1">
        <f t="array" ref="F86">IF(E86="","",INDEX(HE_CG,1*MID(E86,3,2),6))</f>
        <v/>
      </c>
    </row>
    <row r="87" spans="2:6" x14ac:dyDescent="0.2">
      <c r="B87" s="273">
        <f t="shared" si="12"/>
        <v>55</v>
      </c>
      <c r="C87" s="271"/>
      <c r="D87" s="630"/>
      <c r="E87" s="631"/>
      <c r="F87" s="626" t="str" cm="1">
        <f t="array" ref="F87">IF(E87="","",INDEX(HE_CG,1*MID(E87,3,2),6))</f>
        <v/>
      </c>
    </row>
    <row r="88" spans="2:6" x14ac:dyDescent="0.2">
      <c r="B88" s="273">
        <f t="shared" si="12"/>
        <v>56</v>
      </c>
      <c r="C88" s="271"/>
      <c r="D88" s="630"/>
      <c r="E88" s="631"/>
      <c r="F88" s="626" t="str" cm="1">
        <f t="array" ref="F88">IF(E88="","",INDEX(HE_CG,1*MID(E88,3,2),6))</f>
        <v/>
      </c>
    </row>
    <row r="89" spans="2:6" x14ac:dyDescent="0.2">
      <c r="B89" s="273">
        <f t="shared" si="12"/>
        <v>57</v>
      </c>
      <c r="C89" s="271"/>
      <c r="D89" s="630"/>
      <c r="E89" s="631"/>
      <c r="F89" s="626" t="str" cm="1">
        <f t="array" ref="F89">IF(E89="","",INDEX(HE_CG,1*MID(E89,3,2),6))</f>
        <v/>
      </c>
    </row>
    <row r="90" spans="2:6" x14ac:dyDescent="0.2">
      <c r="B90" s="273">
        <f t="shared" si="12"/>
        <v>58</v>
      </c>
      <c r="C90" s="271"/>
      <c r="D90" s="630"/>
      <c r="E90" s="631"/>
      <c r="F90" s="626" t="str" cm="1">
        <f t="array" ref="F90">IF(E90="","",INDEX(HE_CG,1*MID(E90,3,2),6))</f>
        <v/>
      </c>
    </row>
    <row r="91" spans="2:6" x14ac:dyDescent="0.2">
      <c r="B91" s="273">
        <f t="shared" si="12"/>
        <v>59</v>
      </c>
      <c r="C91" s="271"/>
      <c r="D91" s="630"/>
      <c r="E91" s="631"/>
      <c r="F91" s="626" t="str" cm="1">
        <f t="array" ref="F91">IF(E91="","",INDEX(HE_CG,1*MID(E91,3,2),6))</f>
        <v/>
      </c>
    </row>
    <row r="92" spans="2:6" x14ac:dyDescent="0.2">
      <c r="B92" s="273">
        <f t="shared" si="12"/>
        <v>60</v>
      </c>
      <c r="C92" s="271"/>
      <c r="D92" s="630"/>
      <c r="E92" s="631"/>
      <c r="F92" s="626" t="str" cm="1">
        <f t="array" ref="F92">IF(E92="","",INDEX(HE_CG,1*MID(E92,3,2),6))</f>
        <v/>
      </c>
    </row>
    <row r="93" spans="2:6" x14ac:dyDescent="0.2">
      <c r="B93" s="273">
        <f t="shared" si="12"/>
        <v>61</v>
      </c>
      <c r="C93" s="271"/>
      <c r="D93" s="630"/>
      <c r="E93" s="631"/>
      <c r="F93" s="626" t="str" cm="1">
        <f t="array" ref="F93">IF(E93="","",INDEX(HE_CG,1*MID(E93,3,2),6))</f>
        <v/>
      </c>
    </row>
    <row r="94" spans="2:6" x14ac:dyDescent="0.2">
      <c r="B94" s="273">
        <f t="shared" si="12"/>
        <v>62</v>
      </c>
      <c r="C94" s="271"/>
      <c r="D94" s="630"/>
      <c r="E94" s="631"/>
      <c r="F94" s="626" t="str" cm="1">
        <f t="array" ref="F94">IF(E94="","",INDEX(HE_CG,1*MID(E94,3,2),6))</f>
        <v/>
      </c>
    </row>
    <row r="95" spans="2:6" x14ac:dyDescent="0.2">
      <c r="B95" s="273">
        <f t="shared" si="12"/>
        <v>63</v>
      </c>
      <c r="C95" s="271"/>
      <c r="D95" s="630"/>
      <c r="E95" s="631"/>
      <c r="F95" s="626" t="str" cm="1">
        <f t="array" ref="F95">IF(E95="","",INDEX(HE_CG,1*MID(E95,3,2),6))</f>
        <v/>
      </c>
    </row>
    <row r="96" spans="2:6" x14ac:dyDescent="0.2">
      <c r="B96" s="273">
        <f t="shared" si="12"/>
        <v>64</v>
      </c>
      <c r="C96" s="271"/>
      <c r="D96" s="630"/>
      <c r="E96" s="631"/>
      <c r="F96" s="626" t="str" cm="1">
        <f t="array" ref="F96">IF(E96="","",INDEX(HE_CG,1*MID(E96,3,2),6))</f>
        <v/>
      </c>
    </row>
    <row r="97" spans="2:6" x14ac:dyDescent="0.2">
      <c r="B97" s="273">
        <f t="shared" si="12"/>
        <v>65</v>
      </c>
      <c r="C97" s="271"/>
      <c r="D97" s="630"/>
      <c r="E97" s="631"/>
      <c r="F97" s="626" t="str" cm="1">
        <f t="array" ref="F97">IF(E97="","",INDEX(HE_CG,1*MID(E97,3,2),6))</f>
        <v/>
      </c>
    </row>
    <row r="98" spans="2:6" x14ac:dyDescent="0.2">
      <c r="B98" s="273">
        <f t="shared" si="12"/>
        <v>66</v>
      </c>
      <c r="C98" s="271"/>
      <c r="D98" s="630"/>
      <c r="E98" s="631"/>
      <c r="F98" s="626" t="str" cm="1">
        <f t="array" ref="F98">IF(E98="","",INDEX(HE_CG,1*MID(E98,3,2),6))</f>
        <v/>
      </c>
    </row>
    <row r="99" spans="2:6" x14ac:dyDescent="0.2">
      <c r="B99" s="273">
        <f t="shared" si="12"/>
        <v>67</v>
      </c>
      <c r="C99" s="271"/>
      <c r="D99" s="630"/>
      <c r="E99" s="631"/>
      <c r="F99" s="626" t="str" cm="1">
        <f t="array" ref="F99">IF(E99="","",INDEX(HE_CG,1*MID(E99,3,2),6))</f>
        <v/>
      </c>
    </row>
    <row r="100" spans="2:6" x14ac:dyDescent="0.2">
      <c r="B100" s="273">
        <f t="shared" si="12"/>
        <v>68</v>
      </c>
      <c r="C100" s="271"/>
      <c r="D100" s="630"/>
      <c r="E100" s="631"/>
      <c r="F100" s="626" t="str" cm="1">
        <f t="array" ref="F100">IF(E100="","",INDEX(HE_CG,1*MID(E100,3,2),6))</f>
        <v/>
      </c>
    </row>
    <row r="101" spans="2:6" x14ac:dyDescent="0.2">
      <c r="B101" s="273">
        <f t="shared" si="12"/>
        <v>69</v>
      </c>
      <c r="C101" s="271"/>
      <c r="D101" s="630"/>
      <c r="E101" s="631"/>
      <c r="F101" s="626" t="str" cm="1">
        <f t="array" ref="F101">IF(E101="","",INDEX(HE_CG,1*MID(E101,3,2),6))</f>
        <v/>
      </c>
    </row>
    <row r="102" spans="2:6" x14ac:dyDescent="0.2">
      <c r="B102" s="273">
        <f t="shared" si="12"/>
        <v>70</v>
      </c>
      <c r="C102" s="271"/>
      <c r="D102" s="630"/>
      <c r="E102" s="631"/>
      <c r="F102" s="626" t="str" cm="1">
        <f t="array" ref="F102">IF(E102="","",INDEX(HE_CG,1*MID(E102,3,2),6))</f>
        <v/>
      </c>
    </row>
    <row r="103" spans="2:6" x14ac:dyDescent="0.2">
      <c r="B103" s="273">
        <f t="shared" si="12"/>
        <v>71</v>
      </c>
      <c r="C103" s="271"/>
      <c r="D103" s="630"/>
      <c r="E103" s="631"/>
      <c r="F103" s="626" t="str" cm="1">
        <f t="array" ref="F103">IF(E103="","",INDEX(HE_CG,1*MID(E103,3,2),6))</f>
        <v/>
      </c>
    </row>
    <row r="104" spans="2:6" x14ac:dyDescent="0.2">
      <c r="B104" s="273">
        <f t="shared" si="12"/>
        <v>72</v>
      </c>
      <c r="C104" s="271"/>
      <c r="D104" s="630"/>
      <c r="E104" s="631"/>
      <c r="F104" s="626" t="str" cm="1">
        <f t="array" ref="F104">IF(E104="","",INDEX(HE_CG,1*MID(E104,3,2),6))</f>
        <v/>
      </c>
    </row>
    <row r="105" spans="2:6" x14ac:dyDescent="0.2">
      <c r="B105" s="273">
        <f t="shared" si="12"/>
        <v>73</v>
      </c>
      <c r="C105" s="271"/>
      <c r="D105" s="630"/>
      <c r="E105" s="631"/>
      <c r="F105" s="626" t="str" cm="1">
        <f t="array" ref="F105">IF(E105="","",INDEX(HE_CG,1*MID(E105,3,2),6))</f>
        <v/>
      </c>
    </row>
    <row r="106" spans="2:6" x14ac:dyDescent="0.2">
      <c r="B106" s="273">
        <f t="shared" si="12"/>
        <v>74</v>
      </c>
      <c r="C106" s="271"/>
      <c r="D106" s="630"/>
      <c r="E106" s="631"/>
      <c r="F106" s="626" t="str" cm="1">
        <f t="array" ref="F106">IF(E106="","",INDEX(HE_CG,1*MID(E106,3,2),6))</f>
        <v/>
      </c>
    </row>
    <row r="107" spans="2:6" x14ac:dyDescent="0.2">
      <c r="B107" s="273">
        <f t="shared" si="12"/>
        <v>75</v>
      </c>
      <c r="C107" s="271"/>
      <c r="D107" s="630"/>
      <c r="E107" s="631"/>
      <c r="F107" s="626" t="str" cm="1">
        <f t="array" ref="F107">IF(E107="","",INDEX(HE_CG,1*MID(E107,3,2),6))</f>
        <v/>
      </c>
    </row>
    <row r="108" spans="2:6" x14ac:dyDescent="0.2">
      <c r="B108" s="273">
        <f t="shared" si="12"/>
        <v>76</v>
      </c>
      <c r="C108" s="271"/>
      <c r="D108" s="630"/>
      <c r="E108" s="631"/>
      <c r="F108" s="625" t="str" cm="1">
        <f t="array" ref="F108">IF(E108="","",INDEX(HE_CG,1*MID(E108,3,2),6))</f>
        <v/>
      </c>
    </row>
    <row r="109" spans="2:6" x14ac:dyDescent="0.2">
      <c r="B109" s="273">
        <f t="shared" si="12"/>
        <v>77</v>
      </c>
      <c r="C109" s="271"/>
      <c r="D109" s="630"/>
      <c r="E109" s="631"/>
      <c r="F109" s="626" t="str" cm="1">
        <f t="array" ref="F109">IF(E109="","",INDEX(HE_CG,1*MID(E109,3,2),6))</f>
        <v/>
      </c>
    </row>
    <row r="110" spans="2:6" x14ac:dyDescent="0.2">
      <c r="B110" s="273">
        <f t="shared" si="12"/>
        <v>78</v>
      </c>
      <c r="C110" s="271"/>
      <c r="D110" s="630"/>
      <c r="E110" s="631"/>
      <c r="F110" s="626" t="str" cm="1">
        <f t="array" ref="F110">IF(E110="","",INDEX(HE_CG,1*MID(E110,3,2),6))</f>
        <v/>
      </c>
    </row>
    <row r="111" spans="2:6" x14ac:dyDescent="0.2">
      <c r="B111" s="273">
        <f t="shared" si="12"/>
        <v>79</v>
      </c>
      <c r="C111" s="271"/>
      <c r="D111" s="630"/>
      <c r="E111" s="631"/>
      <c r="F111" s="626" t="str" cm="1">
        <f t="array" ref="F111">IF(E111="","",INDEX(HE_CG,1*MID(E111,3,2),6))</f>
        <v/>
      </c>
    </row>
    <row r="112" spans="2:6" x14ac:dyDescent="0.2">
      <c r="B112" s="273">
        <f t="shared" si="12"/>
        <v>80</v>
      </c>
      <c r="C112" s="271"/>
      <c r="D112" s="630"/>
      <c r="E112" s="631"/>
      <c r="F112" s="626" t="str" cm="1">
        <f t="array" ref="F112">IF(E112="","",INDEX(HE_CG,1*MID(E112,3,2),6))</f>
        <v/>
      </c>
    </row>
    <row r="113" spans="2:6" x14ac:dyDescent="0.2">
      <c r="B113" s="273">
        <f t="shared" si="12"/>
        <v>81</v>
      </c>
      <c r="C113" s="271"/>
      <c r="D113" s="630"/>
      <c r="E113" s="631"/>
      <c r="F113" s="626" t="str" cm="1">
        <f t="array" ref="F113">IF(E113="","",INDEX(HE_CG,1*MID(E113,3,2),6))</f>
        <v/>
      </c>
    </row>
    <row r="114" spans="2:6" x14ac:dyDescent="0.2">
      <c r="B114" s="273">
        <f t="shared" si="12"/>
        <v>82</v>
      </c>
      <c r="C114" s="271"/>
      <c r="D114" s="630"/>
      <c r="E114" s="631"/>
      <c r="F114" s="626" t="str" cm="1">
        <f t="array" ref="F114">IF(E114="","",INDEX(HE_CG,1*MID(E114,3,2),6))</f>
        <v/>
      </c>
    </row>
    <row r="115" spans="2:6" x14ac:dyDescent="0.2">
      <c r="B115" s="273">
        <f t="shared" si="12"/>
        <v>83</v>
      </c>
      <c r="C115" s="271"/>
      <c r="D115" s="630"/>
      <c r="E115" s="631"/>
      <c r="F115" s="626" t="str" cm="1">
        <f t="array" ref="F115">IF(E115="","",INDEX(HE_CG,1*MID(E115,3,2),6))</f>
        <v/>
      </c>
    </row>
    <row r="116" spans="2:6" x14ac:dyDescent="0.2">
      <c r="B116" s="273">
        <f t="shared" si="12"/>
        <v>84</v>
      </c>
      <c r="C116" s="271"/>
      <c r="D116" s="630"/>
      <c r="E116" s="631"/>
      <c r="F116" s="626" t="str" cm="1">
        <f t="array" ref="F116">IF(E116="","",INDEX(HE_CG,1*MID(E116,3,2),6))</f>
        <v/>
      </c>
    </row>
    <row r="117" spans="2:6" x14ac:dyDescent="0.2">
      <c r="B117" s="273">
        <f t="shared" si="12"/>
        <v>85</v>
      </c>
      <c r="C117" s="271"/>
      <c r="D117" s="630"/>
      <c r="E117" s="631"/>
      <c r="F117" s="626" t="str" cm="1">
        <f t="array" ref="F117">IF(E117="","",INDEX(HE_CG,1*MID(E117,3,2),6))</f>
        <v/>
      </c>
    </row>
    <row r="118" spans="2:6" x14ac:dyDescent="0.2">
      <c r="B118" s="273">
        <f t="shared" si="12"/>
        <v>86</v>
      </c>
      <c r="C118" s="271"/>
      <c r="D118" s="630"/>
      <c r="E118" s="631"/>
      <c r="F118" s="626" t="str" cm="1">
        <f t="array" ref="F118">IF(E118="","",INDEX(HE_CG,1*MID(E118,3,2),6))</f>
        <v/>
      </c>
    </row>
    <row r="119" spans="2:6" x14ac:dyDescent="0.2">
      <c r="B119" s="273">
        <f t="shared" si="12"/>
        <v>87</v>
      </c>
      <c r="C119" s="271"/>
      <c r="D119" s="630"/>
      <c r="E119" s="631"/>
      <c r="F119" s="626" t="str" cm="1">
        <f t="array" ref="F119">IF(E119="","",INDEX(HE_CG,1*MID(E119,3,2),6))</f>
        <v/>
      </c>
    </row>
    <row r="120" spans="2:6" x14ac:dyDescent="0.2">
      <c r="B120" s="273">
        <f t="shared" si="12"/>
        <v>88</v>
      </c>
      <c r="C120" s="271"/>
      <c r="D120" s="630"/>
      <c r="E120" s="631"/>
      <c r="F120" s="626" t="str" cm="1">
        <f t="array" ref="F120">IF(E120="","",INDEX(HE_CG,1*MID(E120,3,2),6))</f>
        <v/>
      </c>
    </row>
    <row r="121" spans="2:6" x14ac:dyDescent="0.2">
      <c r="B121" s="273">
        <f t="shared" si="12"/>
        <v>89</v>
      </c>
      <c r="C121" s="271"/>
      <c r="D121" s="630"/>
      <c r="E121" s="631"/>
      <c r="F121" s="626" t="str" cm="1">
        <f t="array" ref="F121">IF(E121="","",INDEX(HE_CG,1*MID(E121,3,2),6))</f>
        <v/>
      </c>
    </row>
    <row r="122" spans="2:6" x14ac:dyDescent="0.2">
      <c r="B122" s="273">
        <f t="shared" si="12"/>
        <v>90</v>
      </c>
      <c r="C122" s="271"/>
      <c r="D122" s="630"/>
      <c r="E122" s="631"/>
      <c r="F122" s="626" t="str" cm="1">
        <f t="array" ref="F122">IF(E122="","",INDEX(HE_CG,1*MID(E122,3,2),6))</f>
        <v/>
      </c>
    </row>
    <row r="123" spans="2:6" x14ac:dyDescent="0.2">
      <c r="B123" s="273">
        <f t="shared" si="12"/>
        <v>91</v>
      </c>
      <c r="C123" s="271"/>
      <c r="D123" s="630"/>
      <c r="E123" s="631"/>
      <c r="F123" s="626" t="str" cm="1">
        <f t="array" ref="F123">IF(E123="","",INDEX(HE_CG,1*MID(E123,3,2),6))</f>
        <v/>
      </c>
    </row>
    <row r="124" spans="2:6" x14ac:dyDescent="0.2">
      <c r="B124" s="273">
        <f t="shared" si="12"/>
        <v>92</v>
      </c>
      <c r="C124" s="271"/>
      <c r="D124" s="630"/>
      <c r="E124" s="631"/>
      <c r="F124" s="626" t="str" cm="1">
        <f t="array" ref="F124">IF(E124="","",INDEX(HE_CG,1*MID(E124,3,2),6))</f>
        <v/>
      </c>
    </row>
    <row r="125" spans="2:6" x14ac:dyDescent="0.2">
      <c r="B125" s="273">
        <f t="shared" si="12"/>
        <v>93</v>
      </c>
      <c r="C125" s="271"/>
      <c r="D125" s="630"/>
      <c r="E125" s="631"/>
      <c r="F125" s="626" t="str" cm="1">
        <f t="array" ref="F125">IF(E125="","",INDEX(HE_CG,1*MID(E125,3,2),6))</f>
        <v/>
      </c>
    </row>
    <row r="126" spans="2:6" x14ac:dyDescent="0.2">
      <c r="B126" s="273">
        <f t="shared" si="12"/>
        <v>94</v>
      </c>
      <c r="C126" s="271"/>
      <c r="D126" s="630"/>
      <c r="E126" s="631"/>
      <c r="F126" s="626" t="str" cm="1">
        <f t="array" ref="F126">IF(E126="","",INDEX(HE_CG,1*MID(E126,3,2),6))</f>
        <v/>
      </c>
    </row>
    <row r="127" spans="2:6" x14ac:dyDescent="0.2">
      <c r="B127" s="273">
        <f t="shared" si="12"/>
        <v>95</v>
      </c>
      <c r="C127" s="271"/>
      <c r="D127" s="630"/>
      <c r="E127" s="631"/>
      <c r="F127" s="626" t="str" cm="1">
        <f t="array" ref="F127">IF(E127="","",INDEX(HE_CG,1*MID(E127,3,2),6))</f>
        <v/>
      </c>
    </row>
    <row r="128" spans="2:6" x14ac:dyDescent="0.2">
      <c r="B128" s="273">
        <f t="shared" si="12"/>
        <v>96</v>
      </c>
      <c r="C128" s="271"/>
      <c r="D128" s="630"/>
      <c r="E128" s="631"/>
      <c r="F128" s="626" t="str" cm="1">
        <f t="array" ref="F128">IF(E128="","",INDEX(HE_CG,1*MID(E128,3,2),6))</f>
        <v/>
      </c>
    </row>
    <row r="129" spans="2:6" x14ac:dyDescent="0.2">
      <c r="B129" s="273">
        <f t="shared" si="12"/>
        <v>97</v>
      </c>
      <c r="C129" s="271"/>
      <c r="D129" s="630"/>
      <c r="E129" s="631"/>
      <c r="F129" s="626" t="str" cm="1">
        <f t="array" ref="F129">IF(E129="","",INDEX(HE_CG,1*MID(E129,3,2),6))</f>
        <v/>
      </c>
    </row>
    <row r="130" spans="2:6" x14ac:dyDescent="0.2">
      <c r="B130" s="273">
        <f t="shared" si="12"/>
        <v>98</v>
      </c>
      <c r="C130" s="271"/>
      <c r="D130" s="630"/>
      <c r="E130" s="631"/>
      <c r="F130" s="626" t="str" cm="1">
        <f t="array" ref="F130">IF(E130="","",INDEX(HE_CG,1*MID(E130,3,2),6))</f>
        <v/>
      </c>
    </row>
    <row r="131" spans="2:6" x14ac:dyDescent="0.2">
      <c r="B131" s="273">
        <f t="shared" si="12"/>
        <v>99</v>
      </c>
      <c r="C131" s="271"/>
      <c r="D131" s="630"/>
      <c r="E131" s="631"/>
      <c r="F131" s="626" t="str" cm="1">
        <f t="array" ref="F131">IF(E131="","",INDEX(HE_CG,1*MID(E131,3,2),6))</f>
        <v/>
      </c>
    </row>
    <row r="132" spans="2:6" x14ac:dyDescent="0.2">
      <c r="B132" s="273">
        <f t="shared" si="12"/>
        <v>100</v>
      </c>
      <c r="C132" s="271"/>
      <c r="D132" s="630"/>
      <c r="E132" s="631"/>
      <c r="F132" s="626" t="str" cm="1">
        <f t="array" ref="F132">IF(E132="","",INDEX(HE_CG,1*MID(E132,3,2),6))</f>
        <v/>
      </c>
    </row>
  </sheetData>
  <mergeCells count="2">
    <mergeCell ref="K8:L8"/>
    <mergeCell ref="K6:L7"/>
  </mergeCells>
  <conditionalFormatting sqref="B10:B24">
    <cfRule type="expression" dxfId="646" priority="16">
      <formula>IF(#REF!="Ground-up loss",TRUE,FALSE)</formula>
    </cfRule>
  </conditionalFormatting>
  <conditionalFormatting sqref="M33:M47">
    <cfRule type="expression" dxfId="645" priority="2">
      <formula>IF(#REF!="Ground-up loss",TRUE,FALSE)</formula>
    </cfRule>
  </conditionalFormatting>
  <dataValidations count="6">
    <dataValidation type="list" allowBlank="1" showInputMessage="1" showErrorMessage="1" sqref="C10:C24" xr:uid="{AD153246-AB7A-4CFE-A412-BF4AF6D290EA}">
      <formula1>HE_PGlist</formula1>
    </dataValidation>
    <dataValidation type="list" allowBlank="1" showInputMessage="1" showErrorMessage="1" sqref="N10:P24 O33:O47" xr:uid="{66A8D041-FC78-4C8F-96C9-D8A4A1EC5CED}">
      <formula1>HE_age</formula1>
    </dataValidation>
    <dataValidation type="list" allowBlank="1" showInputMessage="1" showErrorMessage="1" sqref="P33:P47 M10:M24" xr:uid="{1BD50968-E96F-4083-9053-D21BC0518054}">
      <formula1>HE_yn</formula1>
    </dataValidation>
    <dataValidation type="list" allowBlank="1" showInputMessage="1" showErrorMessage="1" sqref="Q10:Q24" xr:uid="{4BDA516C-E9B0-4802-8D60-89F3D313CC74}">
      <formula1>HE_1ToMaxEntryCG_</formula1>
    </dataValidation>
    <dataValidation type="list" allowBlank="1" showInputMessage="1" showErrorMessage="1" sqref="D10:D24" xr:uid="{7B9A3647-95DE-4232-AD2A-3733F2C3207B}">
      <formula1>HE_SPGTTlist</formula1>
    </dataValidation>
    <dataValidation type="list" allowBlank="1" showInputMessage="1" showErrorMessage="1" sqref="E33:E132" xr:uid="{45897C5C-AA87-465A-A4E4-008B368F01BC}">
      <formula1>$B$10:$B$24</formula1>
    </dataValidation>
  </dataValidations>
  <pageMargins left="0.7" right="0.7" top="0.75" bottom="0.75" header="0.3" footer="0.3"/>
  <pageSetup paperSize="9" orientation="portrait" verticalDpi="0" r:id="rId1"/>
  <ignoredErrors>
    <ignoredError sqref="C9:L9 M9:S9 C32:D32 M32:P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5CD-DA21-4FDB-9CE0-E0970A02785E}">
  <sheetPr codeName="Tabelle30">
    <tabColor rgb="FFA2D3EE"/>
    <pageSetUpPr autoPageBreaks="0" fitToPage="1"/>
  </sheetPr>
  <dimension ref="A1:DT84"/>
  <sheetViews>
    <sheetView showGridLines="0" zoomScale="90" zoomScaleNormal="90" workbookViewId="0"/>
  </sheetViews>
  <sheetFormatPr defaultColWidth="5.7109375" defaultRowHeight="12.75" x14ac:dyDescent="0.2"/>
  <cols>
    <col min="1" max="1" width="5.7109375" style="17" customWidth="1"/>
    <col min="2" max="2" width="67.7109375" style="17" customWidth="1"/>
    <col min="3" max="3" width="42.85546875" style="17" customWidth="1"/>
    <col min="4" max="6" width="19" style="17" customWidth="1"/>
    <col min="7" max="9" width="5.7109375" style="17"/>
    <col min="10" max="10" width="5.7109375" style="17" customWidth="1"/>
    <col min="11" max="16384" width="5.7109375" style="17"/>
  </cols>
  <sheetData>
    <row r="1" spans="1:124" s="370" customFormat="1" ht="19.5" customHeight="1" x14ac:dyDescent="0.2">
      <c r="A1" s="53">
        <v>7</v>
      </c>
      <c r="B1" s="365" t="str">
        <f>VLOOKUP("T.07.01",HE_label,2,FALSE)</f>
        <v>Kranken VVG: Verwaltungskosten-Sätze</v>
      </c>
      <c r="C1" s="365"/>
      <c r="D1" s="366"/>
      <c r="E1" s="366"/>
      <c r="F1" s="366"/>
      <c r="G1" s="367"/>
      <c r="H1" s="367"/>
      <c r="I1" s="367"/>
      <c r="J1" s="367"/>
      <c r="K1" s="368"/>
      <c r="L1" s="369"/>
      <c r="M1" s="367"/>
      <c r="N1" s="368"/>
      <c r="O1" s="367"/>
      <c r="P1" s="367"/>
      <c r="Q1" s="367"/>
      <c r="R1" s="367"/>
      <c r="S1" s="368"/>
      <c r="T1" s="369"/>
      <c r="U1" s="367"/>
      <c r="V1" s="368"/>
      <c r="W1" s="367"/>
      <c r="X1" s="367"/>
      <c r="Y1" s="367"/>
      <c r="Z1" s="367"/>
      <c r="AA1" s="368"/>
      <c r="AB1" s="369"/>
      <c r="AC1" s="367"/>
      <c r="AD1" s="368"/>
      <c r="AE1" s="367"/>
      <c r="AF1" s="367"/>
      <c r="AG1" s="367"/>
      <c r="AH1" s="367"/>
      <c r="AI1" s="368"/>
      <c r="AJ1" s="369"/>
      <c r="AK1" s="367"/>
      <c r="AL1" s="368"/>
      <c r="AM1" s="367"/>
      <c r="AN1" s="367"/>
      <c r="AO1" s="367"/>
      <c r="AP1" s="367"/>
      <c r="AQ1" s="368"/>
      <c r="AR1" s="369"/>
      <c r="AS1" s="367"/>
      <c r="AT1" s="368"/>
      <c r="AU1" s="367"/>
      <c r="AV1" s="367"/>
      <c r="AW1" s="367"/>
      <c r="AX1" s="367"/>
      <c r="AY1" s="368"/>
      <c r="AZ1" s="369"/>
      <c r="BA1" s="367"/>
      <c r="BB1" s="368"/>
      <c r="BC1" s="367"/>
      <c r="BD1" s="367"/>
      <c r="BE1" s="367"/>
      <c r="BF1" s="367"/>
      <c r="BG1" s="368"/>
      <c r="BH1" s="369"/>
      <c r="BI1" s="367"/>
      <c r="BJ1" s="368"/>
      <c r="BK1" s="367"/>
      <c r="BL1" s="367"/>
      <c r="BM1" s="367"/>
      <c r="BN1" s="367"/>
      <c r="BO1" s="368"/>
      <c r="BP1" s="369"/>
      <c r="BQ1" s="367"/>
      <c r="BR1" s="368"/>
      <c r="BS1" s="367"/>
      <c r="BT1" s="367"/>
      <c r="BU1" s="367"/>
      <c r="BV1" s="367"/>
      <c r="BW1" s="368"/>
      <c r="BX1" s="369"/>
      <c r="BY1" s="367"/>
      <c r="BZ1" s="368"/>
      <c r="CA1" s="367"/>
      <c r="CB1" s="367"/>
      <c r="CC1" s="367"/>
      <c r="CD1" s="367"/>
      <c r="CE1" s="368"/>
      <c r="CF1" s="369"/>
      <c r="CG1" s="367"/>
      <c r="CH1" s="368"/>
      <c r="CI1" s="367"/>
      <c r="CJ1" s="367"/>
      <c r="CK1" s="367"/>
      <c r="CL1" s="367"/>
      <c r="CM1" s="368"/>
      <c r="CN1" s="369"/>
      <c r="CO1" s="367"/>
      <c r="CP1" s="368"/>
      <c r="CQ1" s="367"/>
      <c r="CR1" s="367"/>
      <c r="CS1" s="367"/>
      <c r="CT1" s="367"/>
      <c r="CU1" s="368"/>
      <c r="CV1" s="369"/>
      <c r="CW1" s="367"/>
      <c r="CX1" s="368"/>
      <c r="CY1" s="367"/>
      <c r="CZ1" s="367"/>
      <c r="DA1" s="367"/>
      <c r="DB1" s="367"/>
      <c r="DC1" s="368"/>
      <c r="DD1" s="369"/>
      <c r="DE1" s="367"/>
      <c r="DF1" s="368"/>
      <c r="DG1" s="367"/>
      <c r="DH1" s="367"/>
      <c r="DI1" s="367"/>
      <c r="DJ1" s="367"/>
      <c r="DK1" s="368"/>
      <c r="DL1" s="369"/>
      <c r="DM1" s="367"/>
      <c r="DN1" s="368"/>
      <c r="DO1" s="367"/>
      <c r="DP1" s="367"/>
      <c r="DQ1" s="367"/>
      <c r="DR1" s="367"/>
      <c r="DS1" s="368"/>
      <c r="DT1" s="369"/>
    </row>
    <row r="2" spans="1:124" s="370" customFormat="1" ht="14.25" customHeight="1" x14ac:dyDescent="0.2">
      <c r="A2" s="364"/>
      <c r="B2" s="228" t="str" cm="1">
        <f t="array" ref="B2">HE_company_name&amp;" - SST "&amp;HE_CY&amp;HE_suffix</f>
        <v xml:space="preserve"> - SST 2025</v>
      </c>
      <c r="C2" s="228"/>
      <c r="D2" s="366"/>
      <c r="E2" s="366"/>
      <c r="F2" s="366"/>
      <c r="G2" s="367"/>
      <c r="H2" s="367"/>
      <c r="I2" s="367"/>
      <c r="J2" s="367"/>
      <c r="K2" s="368"/>
      <c r="L2" s="369"/>
      <c r="M2" s="367"/>
      <c r="N2" s="368"/>
      <c r="O2" s="367"/>
      <c r="P2" s="367"/>
      <c r="Q2" s="367"/>
      <c r="R2" s="367"/>
      <c r="S2" s="368"/>
      <c r="T2" s="369"/>
      <c r="U2" s="367"/>
      <c r="V2" s="368"/>
      <c r="W2" s="367"/>
      <c r="X2" s="367"/>
      <c r="Y2" s="367"/>
      <c r="Z2" s="367"/>
      <c r="AA2" s="368"/>
      <c r="AB2" s="369"/>
      <c r="AC2" s="367"/>
      <c r="AD2" s="368"/>
      <c r="AE2" s="367"/>
      <c r="AF2" s="367"/>
      <c r="AG2" s="367"/>
      <c r="AH2" s="367"/>
      <c r="AI2" s="368"/>
      <c r="AJ2" s="369"/>
      <c r="AK2" s="367"/>
      <c r="AL2" s="368"/>
      <c r="AM2" s="367"/>
      <c r="AN2" s="367"/>
      <c r="AO2" s="367"/>
      <c r="AP2" s="367"/>
      <c r="AQ2" s="368"/>
      <c r="AR2" s="369"/>
      <c r="AS2" s="367"/>
      <c r="AT2" s="368"/>
      <c r="AU2" s="367"/>
      <c r="AV2" s="367"/>
      <c r="AW2" s="367"/>
      <c r="AX2" s="367"/>
      <c r="AY2" s="368"/>
      <c r="AZ2" s="369"/>
      <c r="BA2" s="367"/>
      <c r="BB2" s="368"/>
      <c r="BC2" s="367"/>
      <c r="BD2" s="367"/>
      <c r="BE2" s="367"/>
      <c r="BF2" s="367"/>
      <c r="BG2" s="368"/>
      <c r="BH2" s="369"/>
      <c r="BI2" s="367"/>
      <c r="BJ2" s="368"/>
      <c r="BK2" s="367"/>
      <c r="BL2" s="367"/>
      <c r="BM2" s="367"/>
      <c r="BN2" s="367"/>
      <c r="BO2" s="368"/>
      <c r="BP2" s="369"/>
      <c r="BQ2" s="367"/>
      <c r="BR2" s="368"/>
      <c r="BS2" s="367"/>
      <c r="BT2" s="367"/>
      <c r="BU2" s="367"/>
      <c r="BV2" s="367"/>
      <c r="BW2" s="368"/>
      <c r="BX2" s="369"/>
      <c r="BY2" s="367"/>
      <c r="BZ2" s="368"/>
      <c r="CA2" s="367"/>
      <c r="CB2" s="367"/>
      <c r="CC2" s="367"/>
      <c r="CD2" s="367"/>
      <c r="CE2" s="368"/>
      <c r="CF2" s="369"/>
      <c r="CG2" s="367"/>
      <c r="CH2" s="368"/>
      <c r="CI2" s="367"/>
      <c r="CJ2" s="367"/>
      <c r="CK2" s="367"/>
      <c r="CL2" s="367"/>
      <c r="CM2" s="368"/>
      <c r="CN2" s="369"/>
      <c r="CO2" s="367"/>
      <c r="CP2" s="368"/>
      <c r="CQ2" s="367"/>
      <c r="CR2" s="367"/>
      <c r="CS2" s="367"/>
      <c r="CT2" s="367"/>
      <c r="CU2" s="368"/>
      <c r="CV2" s="369"/>
      <c r="CW2" s="367"/>
      <c r="CX2" s="368"/>
      <c r="CY2" s="367"/>
      <c r="CZ2" s="367"/>
      <c r="DA2" s="367"/>
      <c r="DB2" s="367"/>
      <c r="DC2" s="368"/>
      <c r="DD2" s="369"/>
      <c r="DE2" s="367"/>
      <c r="DF2" s="368"/>
      <c r="DG2" s="367"/>
      <c r="DH2" s="367"/>
      <c r="DI2" s="367"/>
      <c r="DJ2" s="367"/>
      <c r="DK2" s="368"/>
      <c r="DL2" s="369"/>
      <c r="DM2" s="367"/>
      <c r="DN2" s="368"/>
      <c r="DO2" s="367"/>
      <c r="DP2" s="367"/>
      <c r="DQ2" s="367"/>
      <c r="DR2" s="367"/>
      <c r="DS2" s="368"/>
      <c r="DT2" s="369"/>
    </row>
    <row r="3" spans="1:124" s="370" customFormat="1" ht="14.25" customHeight="1" x14ac:dyDescent="0.2">
      <c r="A3" s="364"/>
      <c r="B3" s="228"/>
      <c r="C3" s="228"/>
      <c r="D3" s="366"/>
      <c r="E3" s="366"/>
      <c r="F3" s="366"/>
      <c r="G3" s="367"/>
      <c r="H3" s="367"/>
      <c r="I3" s="367"/>
      <c r="J3" s="367"/>
      <c r="K3" s="368"/>
      <c r="L3" s="369"/>
      <c r="M3" s="367"/>
      <c r="N3" s="368"/>
      <c r="O3" s="367"/>
      <c r="P3" s="367"/>
      <c r="Q3" s="367"/>
      <c r="R3" s="367"/>
      <c r="S3" s="368"/>
      <c r="T3" s="369"/>
      <c r="U3" s="367"/>
      <c r="V3" s="368"/>
      <c r="W3" s="367"/>
      <c r="X3" s="367"/>
      <c r="Y3" s="367"/>
      <c r="Z3" s="367"/>
      <c r="AA3" s="368"/>
      <c r="AB3" s="369"/>
      <c r="AC3" s="367"/>
      <c r="AD3" s="368"/>
      <c r="AE3" s="367"/>
      <c r="AF3" s="367"/>
      <c r="AG3" s="367"/>
      <c r="AH3" s="367"/>
      <c r="AI3" s="368"/>
      <c r="AJ3" s="369"/>
      <c r="AK3" s="367"/>
      <c r="AL3" s="368"/>
      <c r="AM3" s="367"/>
      <c r="AN3" s="367"/>
      <c r="AO3" s="367"/>
      <c r="AP3" s="367"/>
      <c r="AQ3" s="368"/>
      <c r="AR3" s="369"/>
      <c r="AS3" s="367"/>
      <c r="AT3" s="368"/>
      <c r="AU3" s="367"/>
      <c r="AV3" s="367"/>
      <c r="AW3" s="367"/>
      <c r="AX3" s="367"/>
      <c r="AY3" s="368"/>
      <c r="AZ3" s="369"/>
      <c r="BA3" s="367"/>
      <c r="BB3" s="368"/>
      <c r="BC3" s="367"/>
      <c r="BD3" s="367"/>
      <c r="BE3" s="367"/>
      <c r="BF3" s="367"/>
      <c r="BG3" s="368"/>
      <c r="BH3" s="369"/>
      <c r="BI3" s="367"/>
      <c r="BJ3" s="368"/>
      <c r="BK3" s="367"/>
      <c r="BL3" s="367"/>
      <c r="BM3" s="367"/>
      <c r="BN3" s="367"/>
      <c r="BO3" s="368"/>
      <c r="BP3" s="369"/>
      <c r="BQ3" s="367"/>
      <c r="BR3" s="368"/>
      <c r="BS3" s="367"/>
      <c r="BT3" s="367"/>
      <c r="BU3" s="367"/>
      <c r="BV3" s="367"/>
      <c r="BW3" s="368"/>
      <c r="BX3" s="369"/>
      <c r="BY3" s="367"/>
      <c r="BZ3" s="368"/>
      <c r="CA3" s="367"/>
      <c r="CB3" s="367"/>
      <c r="CC3" s="367"/>
      <c r="CD3" s="367"/>
      <c r="CE3" s="368"/>
      <c r="CF3" s="369"/>
      <c r="CG3" s="367"/>
      <c r="CH3" s="368"/>
      <c r="CI3" s="367"/>
      <c r="CJ3" s="367"/>
      <c r="CK3" s="367"/>
      <c r="CL3" s="367"/>
      <c r="CM3" s="368"/>
      <c r="CN3" s="369"/>
      <c r="CO3" s="367"/>
      <c r="CP3" s="368"/>
      <c r="CQ3" s="367"/>
      <c r="CR3" s="367"/>
      <c r="CS3" s="367"/>
      <c r="CT3" s="367"/>
      <c r="CU3" s="368"/>
      <c r="CV3" s="369"/>
      <c r="CW3" s="367"/>
      <c r="CX3" s="368"/>
      <c r="CY3" s="367"/>
      <c r="CZ3" s="367"/>
      <c r="DA3" s="367"/>
      <c r="DB3" s="367"/>
      <c r="DC3" s="368"/>
      <c r="DD3" s="369"/>
      <c r="DE3" s="367"/>
      <c r="DF3" s="368"/>
      <c r="DG3" s="367"/>
      <c r="DH3" s="367"/>
      <c r="DI3" s="367"/>
      <c r="DJ3" s="367"/>
      <c r="DK3" s="368"/>
      <c r="DL3" s="369"/>
      <c r="DM3" s="367"/>
      <c r="DN3" s="368"/>
      <c r="DO3" s="367"/>
      <c r="DP3" s="367"/>
      <c r="DQ3" s="367"/>
      <c r="DR3" s="367"/>
      <c r="DS3" s="368"/>
      <c r="DT3" s="369"/>
    </row>
    <row r="4" spans="1:124" ht="15.75" customHeight="1" x14ac:dyDescent="0.2">
      <c r="B4" s="623" t="str">
        <f>Intro_SM_Health!C50</f>
        <v>Positives Vorzeichen für ausgehenden Cashflow</v>
      </c>
      <c r="C4" s="582"/>
    </row>
    <row r="5" spans="1:124" ht="13.5" customHeight="1" x14ac:dyDescent="0.2"/>
    <row r="6" spans="1:124" ht="15" customHeight="1" x14ac:dyDescent="0.2">
      <c r="B6" s="229" t="str">
        <f>VLOOKUP("T.07.02",HE_label,2,FALSE)</f>
        <v>Schritt 1: Verwaltungsaufwendungen – auf die fünf Produktegruppen (PG) abgegrenzt</v>
      </c>
      <c r="C6" s="229"/>
    </row>
    <row r="7" spans="1:124" ht="15.75" customHeight="1" x14ac:dyDescent="0.2">
      <c r="B7" s="583"/>
      <c r="C7" s="371"/>
      <c r="D7" s="372">
        <f>HE_VKPY3</f>
        <v>2022</v>
      </c>
      <c r="E7" s="372">
        <f>HE_VKPY2</f>
        <v>2023</v>
      </c>
      <c r="F7" s="373">
        <f>HE_VKPY1</f>
        <v>2024</v>
      </c>
    </row>
    <row r="8" spans="1:124" x14ac:dyDescent="0.2">
      <c r="B8" s="593" t="str">
        <f>VLOOKUP("T.07.03",HE_label,2,FALSE)</f>
        <v>315200100 Verwaltungsaufwendungen</v>
      </c>
      <c r="C8" s="595" t="str">
        <f>VLOOKUP("T.00.02a",HE_label,2,FALSE)</f>
        <v>in CHF</v>
      </c>
      <c r="D8" s="585"/>
      <c r="E8" s="585"/>
      <c r="F8" s="586"/>
    </row>
    <row r="9" spans="1:124" x14ac:dyDescent="0.2">
      <c r="B9" s="593" t="str">
        <f>VLOOKUP("T.07.04",HE_label,2,FALSE)</f>
        <v>Verwaltungsaufwendungen, die nicht PG1 bis PG5 zuzuordnen sind</v>
      </c>
      <c r="C9" s="595" t="str">
        <f>$C$8</f>
        <v>in CHF</v>
      </c>
      <c r="D9" s="585"/>
      <c r="E9" s="585"/>
      <c r="F9" s="586"/>
    </row>
    <row r="10" spans="1:124" ht="25.5" x14ac:dyDescent="0.2">
      <c r="B10" s="599" t="str">
        <f>VLOOKUP("T.07.05",HE_label,2,FALSE)</f>
        <v>Bereinigte Verwaltungsaufwendungen der PG1 bis PG5, vermindert um 5%</v>
      </c>
      <c r="C10" s="619" t="str">
        <f>$C$8</f>
        <v>in CHF</v>
      </c>
      <c r="D10" s="587">
        <f>0.95*MAX((D8-D9),0)</f>
        <v>0</v>
      </c>
      <c r="E10" s="587">
        <f t="shared" ref="E10" si="0">0.95*MAX((E8-E9),0)</f>
        <v>0</v>
      </c>
      <c r="F10" s="588">
        <f>0.95*MAX((F8-F9),0)</f>
        <v>0</v>
      </c>
    </row>
    <row r="12" spans="1:124" x14ac:dyDescent="0.2">
      <c r="B12" s="229" t="str">
        <f>VLOOKUP("T.07.06",HE_label,2,FALSE)</f>
        <v>Schritt 2: Informationen zum Risikobestand – auf die fünf Produktegruppen abgegrenzt und gegliedert</v>
      </c>
    </row>
    <row r="13" spans="1:124" x14ac:dyDescent="0.2">
      <c r="B13" s="583"/>
      <c r="C13" s="371"/>
      <c r="D13" s="372">
        <f>HE_VKPY3</f>
        <v>2022</v>
      </c>
      <c r="E13" s="372">
        <f>HE_VKPY2</f>
        <v>2023</v>
      </c>
      <c r="F13" s="373">
        <f>HE_VKPY1</f>
        <v>2024</v>
      </c>
    </row>
    <row r="14" spans="1:124" x14ac:dyDescent="0.2">
      <c r="B14" s="597" t="str">
        <f>HE_PGTot_label</f>
        <v>Total fünf Produktegruppen</v>
      </c>
      <c r="C14" s="598" t="str">
        <f>VLOOKUP("T.07.07",HE_label,2,FALSE)</f>
        <v>Risikobestand</v>
      </c>
      <c r="D14" s="589">
        <f>SUM(D15:D19)</f>
        <v>0</v>
      </c>
      <c r="E14" s="589">
        <f>SUM(E15:E19)</f>
        <v>0</v>
      </c>
      <c r="F14" s="589">
        <f>SUM(F15:F19)</f>
        <v>0</v>
      </c>
    </row>
    <row r="15" spans="1:124" x14ac:dyDescent="0.2">
      <c r="B15" s="594" t="str">
        <f>HE_PG1_label</f>
        <v>PG1 - Stationäre Produkte Halbprivat, Privat und Flex</v>
      </c>
      <c r="C15" s="596" t="str">
        <f>$C$14</f>
        <v>Risikobestand</v>
      </c>
      <c r="D15" s="590"/>
      <c r="E15" s="590"/>
      <c r="F15" s="590"/>
    </row>
    <row r="16" spans="1:124" x14ac:dyDescent="0.2">
      <c r="B16" s="594" t="str">
        <f>HE_PG2_label</f>
        <v>PG2 - Übrige stationäre Produkte</v>
      </c>
      <c r="C16" s="596" t="str">
        <f t="shared" ref="C16:C19" si="1">$C$14</f>
        <v>Risikobestand</v>
      </c>
      <c r="D16" s="590"/>
      <c r="E16" s="590"/>
      <c r="F16" s="590"/>
    </row>
    <row r="17" spans="2:6" x14ac:dyDescent="0.2">
      <c r="B17" s="594" t="str">
        <f>HE_PG3_label</f>
        <v>PG3 - Ambulante Produkte</v>
      </c>
      <c r="C17" s="596" t="str">
        <f t="shared" si="1"/>
        <v>Risikobestand</v>
      </c>
      <c r="D17" s="590"/>
      <c r="E17" s="590"/>
      <c r="F17" s="590"/>
    </row>
    <row r="18" spans="2:6" x14ac:dyDescent="0.2">
      <c r="B18" s="594" t="str">
        <f>HE_PG4_label</f>
        <v>PG4 - Langzeitpflege</v>
      </c>
      <c r="C18" s="596" t="str">
        <f t="shared" si="1"/>
        <v>Risikobestand</v>
      </c>
      <c r="D18" s="590"/>
      <c r="E18" s="590"/>
      <c r="F18" s="590"/>
    </row>
    <row r="19" spans="2:6" x14ac:dyDescent="0.2">
      <c r="B19" s="600" t="str">
        <f>HE_PG5_label</f>
        <v>PG5 - Einzeltaggeldversicherung</v>
      </c>
      <c r="C19" s="601" t="str">
        <f t="shared" si="1"/>
        <v>Risikobestand</v>
      </c>
      <c r="D19" s="604"/>
      <c r="E19" s="604"/>
      <c r="F19" s="604"/>
    </row>
    <row r="20" spans="2:6" x14ac:dyDescent="0.2">
      <c r="B20" s="602" t="str">
        <f>HE_PG1_label</f>
        <v>PG1 - Stationäre Produkte Halbprivat, Privat und Flex</v>
      </c>
      <c r="C20" s="603" t="str">
        <f>VLOOKUP("T.07.08",HE_label,2,FALSE)</f>
        <v>Anteil am Total</v>
      </c>
      <c r="D20" s="591">
        <f t="shared" ref="D20:F24" si="2">IFERROR(D15/D$14,0)</f>
        <v>0</v>
      </c>
      <c r="E20" s="591">
        <f t="shared" si="2"/>
        <v>0</v>
      </c>
      <c r="F20" s="591">
        <f t="shared" si="2"/>
        <v>0</v>
      </c>
    </row>
    <row r="21" spans="2:6" x14ac:dyDescent="0.2">
      <c r="B21" s="594" t="str">
        <f>HE_PG2_label</f>
        <v>PG2 - Übrige stationäre Produkte</v>
      </c>
      <c r="C21" s="596" t="str">
        <f>$C$20</f>
        <v>Anteil am Total</v>
      </c>
      <c r="D21" s="592">
        <f t="shared" si="2"/>
        <v>0</v>
      </c>
      <c r="E21" s="592">
        <f t="shared" si="2"/>
        <v>0</v>
      </c>
      <c r="F21" s="592">
        <f t="shared" si="2"/>
        <v>0</v>
      </c>
    </row>
    <row r="22" spans="2:6" x14ac:dyDescent="0.2">
      <c r="B22" s="594" t="str">
        <f>HE_PG3_label</f>
        <v>PG3 - Ambulante Produkte</v>
      </c>
      <c r="C22" s="596" t="str">
        <f t="shared" ref="C22:C24" si="3">$C$20</f>
        <v>Anteil am Total</v>
      </c>
      <c r="D22" s="592">
        <f t="shared" si="2"/>
        <v>0</v>
      </c>
      <c r="E22" s="592">
        <f t="shared" si="2"/>
        <v>0</v>
      </c>
      <c r="F22" s="592">
        <f t="shared" si="2"/>
        <v>0</v>
      </c>
    </row>
    <row r="23" spans="2:6" x14ac:dyDescent="0.2">
      <c r="B23" s="594" t="str">
        <f>HE_PG4_label</f>
        <v>PG4 - Langzeitpflege</v>
      </c>
      <c r="C23" s="596" t="str">
        <f t="shared" si="3"/>
        <v>Anteil am Total</v>
      </c>
      <c r="D23" s="592">
        <f t="shared" si="2"/>
        <v>0</v>
      </c>
      <c r="E23" s="592">
        <f t="shared" si="2"/>
        <v>0</v>
      </c>
      <c r="F23" s="592">
        <f t="shared" si="2"/>
        <v>0</v>
      </c>
    </row>
    <row r="24" spans="2:6" x14ac:dyDescent="0.2">
      <c r="B24" s="605" t="str">
        <f>HE_PG5_label</f>
        <v>PG5 - Einzeltaggeldversicherung</v>
      </c>
      <c r="C24" s="606" t="str">
        <f t="shared" si="3"/>
        <v>Anteil am Total</v>
      </c>
      <c r="D24" s="1135">
        <f t="shared" si="2"/>
        <v>0</v>
      </c>
      <c r="E24" s="1135">
        <f t="shared" si="2"/>
        <v>0</v>
      </c>
      <c r="F24" s="1135">
        <f t="shared" si="2"/>
        <v>0</v>
      </c>
    </row>
    <row r="25" spans="2:6" s="23" customFormat="1" x14ac:dyDescent="0.2">
      <c r="B25" s="607"/>
      <c r="C25" s="608"/>
      <c r="D25" s="609"/>
      <c r="E25" s="609"/>
      <c r="F25" s="609"/>
    </row>
    <row r="26" spans="2:6" ht="15.75" customHeight="1" x14ac:dyDescent="0.2">
      <c r="B26" s="229" t="str">
        <f>VLOOKUP("T.07.09",HE_label,2,FALSE)</f>
        <v>Schritt 3: Informationen zu den Leistungsdaten – auf die fünf Produktegruppen abgegrenzt und gegliedert</v>
      </c>
    </row>
    <row r="27" spans="2:6" x14ac:dyDescent="0.2">
      <c r="B27" s="583"/>
      <c r="C27" s="371"/>
      <c r="D27" s="372">
        <f>HE_VKPY3</f>
        <v>2022</v>
      </c>
      <c r="E27" s="372">
        <f>HE_VKPY2</f>
        <v>2023</v>
      </c>
      <c r="F27" s="373">
        <f>HE_VKPY1</f>
        <v>2024</v>
      </c>
    </row>
    <row r="28" spans="2:6" x14ac:dyDescent="0.2">
      <c r="B28" s="597" t="str">
        <f>HE_PGTot_label</f>
        <v>Total fünf Produktegruppen</v>
      </c>
      <c r="C28" s="598" t="str">
        <f>VLOOKUP("T.07.10",HE_label,2,FALSE)&amp;VLOOKUP("T.00.02",HE_label,2,FALSE)</f>
        <v>Leistungen, in CHF</v>
      </c>
      <c r="D28" s="589">
        <f>SUM(D29:D33)</f>
        <v>0</v>
      </c>
      <c r="E28" s="589">
        <f>SUM(E29:E33)</f>
        <v>0</v>
      </c>
      <c r="F28" s="589">
        <f>SUM(F29:F33)</f>
        <v>0</v>
      </c>
    </row>
    <row r="29" spans="2:6" x14ac:dyDescent="0.2">
      <c r="B29" s="594" t="str">
        <f>HE_PG1_label</f>
        <v>PG1 - Stationäre Produkte Halbprivat, Privat und Flex</v>
      </c>
      <c r="C29" s="596" t="str">
        <f>$C$28</f>
        <v>Leistungen, in CHF</v>
      </c>
      <c r="D29" s="590"/>
      <c r="E29" s="590"/>
      <c r="F29" s="590"/>
    </row>
    <row r="30" spans="2:6" x14ac:dyDescent="0.2">
      <c r="B30" s="594" t="str">
        <f>HE_PG2_label</f>
        <v>PG2 - Übrige stationäre Produkte</v>
      </c>
      <c r="C30" s="596" t="str">
        <f t="shared" ref="C30:C33" si="4">$C$28</f>
        <v>Leistungen, in CHF</v>
      </c>
      <c r="D30" s="590"/>
      <c r="E30" s="590"/>
      <c r="F30" s="590"/>
    </row>
    <row r="31" spans="2:6" x14ac:dyDescent="0.2">
      <c r="B31" s="594" t="str">
        <f>HE_PG3_label</f>
        <v>PG3 - Ambulante Produkte</v>
      </c>
      <c r="C31" s="596" t="str">
        <f t="shared" si="4"/>
        <v>Leistungen, in CHF</v>
      </c>
      <c r="D31" s="590"/>
      <c r="E31" s="590"/>
      <c r="F31" s="590"/>
    </row>
    <row r="32" spans="2:6" x14ac:dyDescent="0.2">
      <c r="B32" s="594" t="str">
        <f>HE_PG4_label</f>
        <v>PG4 - Langzeitpflege</v>
      </c>
      <c r="C32" s="596" t="str">
        <f t="shared" si="4"/>
        <v>Leistungen, in CHF</v>
      </c>
      <c r="D32" s="590"/>
      <c r="E32" s="590"/>
      <c r="F32" s="590"/>
    </row>
    <row r="33" spans="2:6" x14ac:dyDescent="0.2">
      <c r="B33" s="600" t="str">
        <f>HE_PG5_label</f>
        <v>PG5 - Einzeltaggeldversicherung</v>
      </c>
      <c r="C33" s="601" t="str">
        <f t="shared" si="4"/>
        <v>Leistungen, in CHF</v>
      </c>
      <c r="D33" s="604"/>
      <c r="E33" s="604"/>
      <c r="F33" s="604"/>
    </row>
    <row r="34" spans="2:6" x14ac:dyDescent="0.2">
      <c r="B34" s="602" t="str">
        <f>HE_PG1_label</f>
        <v>PG1 - Stationäre Produkte Halbprivat, Privat und Flex</v>
      </c>
      <c r="C34" s="603" t="str">
        <f>C20</f>
        <v>Anteil am Total</v>
      </c>
      <c r="D34" s="591">
        <f t="shared" ref="D34:F38" si="5">IFERROR(D29/D$28,0)</f>
        <v>0</v>
      </c>
      <c r="E34" s="591">
        <f t="shared" si="5"/>
        <v>0</v>
      </c>
      <c r="F34" s="591">
        <f t="shared" si="5"/>
        <v>0</v>
      </c>
    </row>
    <row r="35" spans="2:6" x14ac:dyDescent="0.2">
      <c r="B35" s="594" t="str">
        <f>HE_PG2_label</f>
        <v>PG2 - Übrige stationäre Produkte</v>
      </c>
      <c r="C35" s="596" t="str">
        <f>$C$34</f>
        <v>Anteil am Total</v>
      </c>
      <c r="D35" s="592">
        <f t="shared" si="5"/>
        <v>0</v>
      </c>
      <c r="E35" s="592">
        <f t="shared" si="5"/>
        <v>0</v>
      </c>
      <c r="F35" s="592">
        <f t="shared" si="5"/>
        <v>0</v>
      </c>
    </row>
    <row r="36" spans="2:6" x14ac:dyDescent="0.2">
      <c r="B36" s="594" t="str">
        <f>HE_PG3_label</f>
        <v>PG3 - Ambulante Produkte</v>
      </c>
      <c r="C36" s="596" t="str">
        <f t="shared" ref="C36:C38" si="6">$C$34</f>
        <v>Anteil am Total</v>
      </c>
      <c r="D36" s="592">
        <f t="shared" si="5"/>
        <v>0</v>
      </c>
      <c r="E36" s="592">
        <f t="shared" si="5"/>
        <v>0</v>
      </c>
      <c r="F36" s="592">
        <f t="shared" si="5"/>
        <v>0</v>
      </c>
    </row>
    <row r="37" spans="2:6" x14ac:dyDescent="0.2">
      <c r="B37" s="594" t="str">
        <f>HE_PG4_label</f>
        <v>PG4 - Langzeitpflege</v>
      </c>
      <c r="C37" s="596" t="str">
        <f t="shared" si="6"/>
        <v>Anteil am Total</v>
      </c>
      <c r="D37" s="592">
        <f t="shared" si="5"/>
        <v>0</v>
      </c>
      <c r="E37" s="592">
        <f t="shared" si="5"/>
        <v>0</v>
      </c>
      <c r="F37" s="592">
        <f t="shared" si="5"/>
        <v>0</v>
      </c>
    </row>
    <row r="38" spans="2:6" x14ac:dyDescent="0.2">
      <c r="B38" s="605" t="str">
        <f>HE_PG5_label</f>
        <v>PG5 - Einzeltaggeldversicherung</v>
      </c>
      <c r="C38" s="606" t="str">
        <f t="shared" si="6"/>
        <v>Anteil am Total</v>
      </c>
      <c r="D38" s="1135">
        <f t="shared" si="5"/>
        <v>0</v>
      </c>
      <c r="E38" s="1135">
        <f t="shared" si="5"/>
        <v>0</v>
      </c>
      <c r="F38" s="1135">
        <f t="shared" si="5"/>
        <v>0</v>
      </c>
    </row>
    <row r="40" spans="2:6" x14ac:dyDescent="0.2">
      <c r="B40" s="229" t="str">
        <f>VLOOKUP("T.07.11",HE_label,2,FALSE)</f>
        <v>Schritt 4: Herunterbrechen der bereinigten Verwaltungsaufwendungen auf die fünf Produktegruppen</v>
      </c>
    </row>
    <row r="41" spans="2:6" x14ac:dyDescent="0.2">
      <c r="B41" s="229"/>
    </row>
    <row r="42" spans="2:6" x14ac:dyDescent="0.2">
      <c r="B42" s="583" t="str">
        <f>VLOOKUP("T.07.12",HE_label,2,FALSE)</f>
        <v>Aufteilung gemäss Risikobestand</v>
      </c>
      <c r="C42" s="374"/>
      <c r="D42" s="372">
        <f>HE_VKPY3</f>
        <v>2022</v>
      </c>
      <c r="E42" s="372">
        <f>HE_VKPY2</f>
        <v>2023</v>
      </c>
      <c r="F42" s="373">
        <f>HE_VKPY1</f>
        <v>2024</v>
      </c>
    </row>
    <row r="43" spans="2:6" x14ac:dyDescent="0.2">
      <c r="B43" s="594" t="str">
        <f>HE_PG1_label</f>
        <v>PG1 - Stationäre Produkte Halbprivat, Privat und Flex</v>
      </c>
      <c r="C43" s="584" t="str">
        <f>VLOOKUP("T.07.13",HE_label,2,FALSE)&amp;VLOOKUP("T.00.02",HE_label,2,FALSE)</f>
        <v>Bereinigte Verwaltungsaufwendungen, in CHF</v>
      </c>
      <c r="D43" s="611">
        <f t="shared" ref="D43:F47" si="7">D$10*D20</f>
        <v>0</v>
      </c>
      <c r="E43" s="611">
        <f t="shared" si="7"/>
        <v>0</v>
      </c>
      <c r="F43" s="612">
        <f t="shared" si="7"/>
        <v>0</v>
      </c>
    </row>
    <row r="44" spans="2:6" x14ac:dyDescent="0.2">
      <c r="B44" s="594" t="str">
        <f>HE_PG2_label</f>
        <v>PG2 - Übrige stationäre Produkte</v>
      </c>
      <c r="C44" s="584" t="str">
        <f>$C$43</f>
        <v>Bereinigte Verwaltungsaufwendungen, in CHF</v>
      </c>
      <c r="D44" s="613">
        <f t="shared" si="7"/>
        <v>0</v>
      </c>
      <c r="E44" s="613">
        <f t="shared" si="7"/>
        <v>0</v>
      </c>
      <c r="F44" s="614">
        <f t="shared" si="7"/>
        <v>0</v>
      </c>
    </row>
    <row r="45" spans="2:6" x14ac:dyDescent="0.2">
      <c r="B45" s="594" t="str">
        <f>HE_PG3_label</f>
        <v>PG3 - Ambulante Produkte</v>
      </c>
      <c r="C45" s="584" t="str">
        <f t="shared" ref="C45:C47" si="8">$C$43</f>
        <v>Bereinigte Verwaltungsaufwendungen, in CHF</v>
      </c>
      <c r="D45" s="613">
        <f t="shared" si="7"/>
        <v>0</v>
      </c>
      <c r="E45" s="613">
        <f t="shared" si="7"/>
        <v>0</v>
      </c>
      <c r="F45" s="614">
        <f t="shared" si="7"/>
        <v>0</v>
      </c>
    </row>
    <row r="46" spans="2:6" x14ac:dyDescent="0.2">
      <c r="B46" s="594" t="str">
        <f>HE_PG4_label</f>
        <v>PG4 - Langzeitpflege</v>
      </c>
      <c r="C46" s="584" t="str">
        <f t="shared" si="8"/>
        <v>Bereinigte Verwaltungsaufwendungen, in CHF</v>
      </c>
      <c r="D46" s="613">
        <f t="shared" si="7"/>
        <v>0</v>
      </c>
      <c r="E46" s="613">
        <f t="shared" si="7"/>
        <v>0</v>
      </c>
      <c r="F46" s="614">
        <f t="shared" si="7"/>
        <v>0</v>
      </c>
    </row>
    <row r="47" spans="2:6" x14ac:dyDescent="0.2">
      <c r="B47" s="600" t="str">
        <f>HE_PG5_label</f>
        <v>PG5 - Einzeltaggeldversicherung</v>
      </c>
      <c r="C47" s="610" t="str">
        <f t="shared" si="8"/>
        <v>Bereinigte Verwaltungsaufwendungen, in CHF</v>
      </c>
      <c r="D47" s="615">
        <f t="shared" si="7"/>
        <v>0</v>
      </c>
      <c r="E47" s="615">
        <f t="shared" si="7"/>
        <v>0</v>
      </c>
      <c r="F47" s="616">
        <f t="shared" si="7"/>
        <v>0</v>
      </c>
    </row>
    <row r="48" spans="2:6" x14ac:dyDescent="0.2">
      <c r="D48" s="40"/>
      <c r="E48" s="40"/>
      <c r="F48" s="40"/>
    </row>
    <row r="49" spans="2:6" x14ac:dyDescent="0.2">
      <c r="B49" s="583" t="str">
        <f>VLOOKUP("T.07.14",HE_label,2,FALSE)</f>
        <v>Aufteilung gemäss Leistungen</v>
      </c>
      <c r="C49" s="374"/>
      <c r="D49" s="372">
        <f>HE_VKPY3</f>
        <v>2022</v>
      </c>
      <c r="E49" s="372">
        <f>HE_VKPY2</f>
        <v>2023</v>
      </c>
      <c r="F49" s="373">
        <f>HE_VKPY1</f>
        <v>2024</v>
      </c>
    </row>
    <row r="50" spans="2:6" x14ac:dyDescent="0.2">
      <c r="B50" s="594" t="str">
        <f>HE_PG1_label</f>
        <v>PG1 - Stationäre Produkte Halbprivat, Privat und Flex</v>
      </c>
      <c r="C50" s="584" t="str">
        <f t="shared" ref="C50:C54" si="9">$C$43</f>
        <v>Bereinigte Verwaltungsaufwendungen, in CHF</v>
      </c>
      <c r="D50" s="611">
        <f t="shared" ref="D50:F54" si="10">D$10*D34</f>
        <v>0</v>
      </c>
      <c r="E50" s="611">
        <f t="shared" si="10"/>
        <v>0</v>
      </c>
      <c r="F50" s="612">
        <f t="shared" si="10"/>
        <v>0</v>
      </c>
    </row>
    <row r="51" spans="2:6" x14ac:dyDescent="0.2">
      <c r="B51" s="594" t="str">
        <f>HE_PG2_label</f>
        <v>PG2 - Übrige stationäre Produkte</v>
      </c>
      <c r="C51" s="584" t="str">
        <f t="shared" si="9"/>
        <v>Bereinigte Verwaltungsaufwendungen, in CHF</v>
      </c>
      <c r="D51" s="613">
        <f t="shared" si="10"/>
        <v>0</v>
      </c>
      <c r="E51" s="613">
        <f t="shared" si="10"/>
        <v>0</v>
      </c>
      <c r="F51" s="614">
        <f t="shared" si="10"/>
        <v>0</v>
      </c>
    </row>
    <row r="52" spans="2:6" x14ac:dyDescent="0.2">
      <c r="B52" s="594" t="str">
        <f>HE_PG3_label</f>
        <v>PG3 - Ambulante Produkte</v>
      </c>
      <c r="C52" s="584" t="str">
        <f t="shared" si="9"/>
        <v>Bereinigte Verwaltungsaufwendungen, in CHF</v>
      </c>
      <c r="D52" s="613">
        <f t="shared" si="10"/>
        <v>0</v>
      </c>
      <c r="E52" s="613">
        <f t="shared" si="10"/>
        <v>0</v>
      </c>
      <c r="F52" s="614">
        <f t="shared" si="10"/>
        <v>0</v>
      </c>
    </row>
    <row r="53" spans="2:6" x14ac:dyDescent="0.2">
      <c r="B53" s="594" t="str">
        <f>HE_PG4_label</f>
        <v>PG4 - Langzeitpflege</v>
      </c>
      <c r="C53" s="584" t="str">
        <f t="shared" si="9"/>
        <v>Bereinigte Verwaltungsaufwendungen, in CHF</v>
      </c>
      <c r="D53" s="613">
        <f t="shared" si="10"/>
        <v>0</v>
      </c>
      <c r="E53" s="613">
        <f t="shared" si="10"/>
        <v>0</v>
      </c>
      <c r="F53" s="614">
        <f t="shared" si="10"/>
        <v>0</v>
      </c>
    </row>
    <row r="54" spans="2:6" x14ac:dyDescent="0.2">
      <c r="B54" s="600" t="str">
        <f>HE_PG5_label</f>
        <v>PG5 - Einzeltaggeldversicherung</v>
      </c>
      <c r="C54" s="610" t="str">
        <f t="shared" si="9"/>
        <v>Bereinigte Verwaltungsaufwendungen, in CHF</v>
      </c>
      <c r="D54" s="615">
        <f t="shared" si="10"/>
        <v>0</v>
      </c>
      <c r="E54" s="615">
        <f t="shared" si="10"/>
        <v>0</v>
      </c>
      <c r="F54" s="616">
        <f t="shared" si="10"/>
        <v>0</v>
      </c>
    </row>
    <row r="55" spans="2:6" ht="15" customHeight="1" x14ac:dyDescent="0.2">
      <c r="D55" s="40"/>
      <c r="E55" s="40"/>
      <c r="F55" s="40"/>
    </row>
    <row r="56" spans="2:6" ht="12" customHeight="1" x14ac:dyDescent="0.2">
      <c r="B56" s="583" t="str">
        <f>VLOOKUP("T.07.15",HE_label,2,FALSE)</f>
        <v>Best-Estimate pro Produktegruppe</v>
      </c>
      <c r="C56" s="374"/>
      <c r="D56" s="372">
        <f>HE_VKPY3</f>
        <v>2022</v>
      </c>
      <c r="E56" s="372">
        <f>HE_VKPY2</f>
        <v>2023</v>
      </c>
      <c r="F56" s="373">
        <f>HE_VKPY1</f>
        <v>2024</v>
      </c>
    </row>
    <row r="57" spans="2:6" x14ac:dyDescent="0.2">
      <c r="B57" s="594" t="str">
        <f>HE_PG1_label</f>
        <v>PG1 - Stationäre Produkte Halbprivat, Privat und Flex</v>
      </c>
      <c r="C57" s="584" t="str">
        <f t="shared" ref="C57:C61" si="11">$C$43</f>
        <v>Bereinigte Verwaltungsaufwendungen, in CHF</v>
      </c>
      <c r="D57" s="611">
        <f>AVERAGE(D43,D50)</f>
        <v>0</v>
      </c>
      <c r="E57" s="611">
        <f t="shared" ref="E57:F57" si="12">AVERAGE(E43,E50)</f>
        <v>0</v>
      </c>
      <c r="F57" s="612">
        <f t="shared" si="12"/>
        <v>0</v>
      </c>
    </row>
    <row r="58" spans="2:6" x14ac:dyDescent="0.2">
      <c r="B58" s="594" t="str">
        <f>HE_PG2_label</f>
        <v>PG2 - Übrige stationäre Produkte</v>
      </c>
      <c r="C58" s="584" t="str">
        <f t="shared" si="11"/>
        <v>Bereinigte Verwaltungsaufwendungen, in CHF</v>
      </c>
      <c r="D58" s="613">
        <f t="shared" ref="D58:F61" si="13">AVERAGE(D44,D51)</f>
        <v>0</v>
      </c>
      <c r="E58" s="613">
        <f t="shared" si="13"/>
        <v>0</v>
      </c>
      <c r="F58" s="614">
        <f t="shared" si="13"/>
        <v>0</v>
      </c>
    </row>
    <row r="59" spans="2:6" x14ac:dyDescent="0.2">
      <c r="B59" s="594" t="str">
        <f>HE_PG3_label</f>
        <v>PG3 - Ambulante Produkte</v>
      </c>
      <c r="C59" s="584" t="str">
        <f t="shared" si="11"/>
        <v>Bereinigte Verwaltungsaufwendungen, in CHF</v>
      </c>
      <c r="D59" s="613">
        <f t="shared" si="13"/>
        <v>0</v>
      </c>
      <c r="E59" s="613">
        <f t="shared" si="13"/>
        <v>0</v>
      </c>
      <c r="F59" s="614">
        <f t="shared" si="13"/>
        <v>0</v>
      </c>
    </row>
    <row r="60" spans="2:6" x14ac:dyDescent="0.2">
      <c r="B60" s="594" t="str">
        <f>HE_PG4_label</f>
        <v>PG4 - Langzeitpflege</v>
      </c>
      <c r="C60" s="584" t="str">
        <f t="shared" si="11"/>
        <v>Bereinigte Verwaltungsaufwendungen, in CHF</v>
      </c>
      <c r="D60" s="613">
        <f t="shared" si="13"/>
        <v>0</v>
      </c>
      <c r="E60" s="613">
        <f t="shared" si="13"/>
        <v>0</v>
      </c>
      <c r="F60" s="614">
        <f t="shared" si="13"/>
        <v>0</v>
      </c>
    </row>
    <row r="61" spans="2:6" x14ac:dyDescent="0.2">
      <c r="B61" s="600" t="str">
        <f>HE_PG5_label</f>
        <v>PG5 - Einzeltaggeldversicherung</v>
      </c>
      <c r="C61" s="610" t="str">
        <f t="shared" si="11"/>
        <v>Bereinigte Verwaltungsaufwendungen, in CHF</v>
      </c>
      <c r="D61" s="615">
        <f t="shared" si="13"/>
        <v>0</v>
      </c>
      <c r="E61" s="615">
        <f t="shared" si="13"/>
        <v>0</v>
      </c>
      <c r="F61" s="616">
        <f t="shared" si="13"/>
        <v>0</v>
      </c>
    </row>
    <row r="62" spans="2:6" ht="11.25" customHeight="1" x14ac:dyDescent="0.2"/>
    <row r="63" spans="2:6" ht="15.75" customHeight="1" x14ac:dyDescent="0.2">
      <c r="B63" s="229" t="str">
        <f>VLOOKUP("T.07.16",HE_label,2,FALSE)</f>
        <v>Schritt 5: Kostensatz pro Produktegruppe</v>
      </c>
    </row>
    <row r="64" spans="2:6" ht="13.5" customHeight="1" x14ac:dyDescent="0.2">
      <c r="B64" s="229"/>
    </row>
    <row r="65" spans="1:6" ht="16.5" customHeight="1" x14ac:dyDescent="0.2">
      <c r="B65" s="583" t="str">
        <f>VLOOKUP("T.07.17",HE_label,2,FALSE)</f>
        <v>Prämien pro Produktegruppe</v>
      </c>
      <c r="C65" s="371"/>
      <c r="D65" s="372">
        <f>HE_VKPY3</f>
        <v>2022</v>
      </c>
      <c r="E65" s="372">
        <f>HE_VKPY2</f>
        <v>2023</v>
      </c>
      <c r="F65" s="373">
        <f>HE_VKPY1</f>
        <v>2024</v>
      </c>
    </row>
    <row r="66" spans="1:6" x14ac:dyDescent="0.2">
      <c r="B66" s="594" t="str">
        <f>HE_PG1_label</f>
        <v>PG1 - Stationäre Produkte Halbprivat, Privat und Flex</v>
      </c>
      <c r="C66" s="596" t="str">
        <f>VLOOKUP("T.07.18",HE_label,2,FALSE)&amp;VLOOKUP("T.00.02",HE_label,2,FALSE)</f>
        <v>Prämienvolumen, in CHF</v>
      </c>
      <c r="D66" s="590"/>
      <c r="E66" s="590"/>
      <c r="F66" s="590"/>
    </row>
    <row r="67" spans="1:6" x14ac:dyDescent="0.2">
      <c r="B67" s="594" t="str">
        <f>HE_PG2_label</f>
        <v>PG2 - Übrige stationäre Produkte</v>
      </c>
      <c r="C67" s="596" t="str">
        <f>$C$66</f>
        <v>Prämienvolumen, in CHF</v>
      </c>
      <c r="D67" s="590"/>
      <c r="E67" s="590"/>
      <c r="F67" s="590"/>
    </row>
    <row r="68" spans="1:6" x14ac:dyDescent="0.2">
      <c r="B68" s="594" t="str">
        <f>HE_PG3_label</f>
        <v>PG3 - Ambulante Produkte</v>
      </c>
      <c r="C68" s="596" t="str">
        <f t="shared" ref="C68:C70" si="14">$C$66</f>
        <v>Prämienvolumen, in CHF</v>
      </c>
      <c r="D68" s="590"/>
      <c r="E68" s="590"/>
      <c r="F68" s="590"/>
    </row>
    <row r="69" spans="1:6" x14ac:dyDescent="0.2">
      <c r="B69" s="594" t="str">
        <f>HE_PG4_label</f>
        <v>PG4 - Langzeitpflege</v>
      </c>
      <c r="C69" s="596" t="str">
        <f t="shared" si="14"/>
        <v>Prämienvolumen, in CHF</v>
      </c>
      <c r="D69" s="590"/>
      <c r="E69" s="590"/>
      <c r="F69" s="590"/>
    </row>
    <row r="70" spans="1:6" x14ac:dyDescent="0.2">
      <c r="B70" s="600" t="str">
        <f>HE_PG5_label</f>
        <v>PG5 - Einzeltaggeldversicherung</v>
      </c>
      <c r="C70" s="601" t="str">
        <f t="shared" si="14"/>
        <v>Prämienvolumen, in CHF</v>
      </c>
      <c r="D70" s="604"/>
      <c r="E70" s="604"/>
      <c r="F70" s="604"/>
    </row>
    <row r="72" spans="1:6" x14ac:dyDescent="0.2">
      <c r="B72" s="583" t="str">
        <f>VLOOKUP("T.07.19",HE_label,2,FALSE)</f>
        <v xml:space="preserve">Kostensatz pro Produktegruppe pro Jahr </v>
      </c>
      <c r="C72" s="371"/>
      <c r="D72" s="372">
        <f>HE_VKPY3</f>
        <v>2022</v>
      </c>
      <c r="E72" s="372">
        <f>HE_VKPY2</f>
        <v>2023</v>
      </c>
      <c r="F72" s="373">
        <f>HE_VKPY1</f>
        <v>2024</v>
      </c>
    </row>
    <row r="73" spans="1:6" x14ac:dyDescent="0.2">
      <c r="B73" s="594" t="str">
        <f>HE_PG1_label</f>
        <v>PG1 - Stationäre Produkte Halbprivat, Privat und Flex</v>
      </c>
      <c r="C73" s="596"/>
      <c r="D73" s="617">
        <f t="shared" ref="D73:F77" si="15">IF(D66&lt;&gt;0, D57/D66, 0)</f>
        <v>0</v>
      </c>
      <c r="E73" s="617">
        <f t="shared" si="15"/>
        <v>0</v>
      </c>
      <c r="F73" s="617">
        <f t="shared" si="15"/>
        <v>0</v>
      </c>
    </row>
    <row r="74" spans="1:6" x14ac:dyDescent="0.2">
      <c r="B74" s="594" t="str">
        <f>HE_PG2_label</f>
        <v>PG2 - Übrige stationäre Produkte</v>
      </c>
      <c r="C74" s="596"/>
      <c r="D74" s="375">
        <f t="shared" si="15"/>
        <v>0</v>
      </c>
      <c r="E74" s="375">
        <f t="shared" si="15"/>
        <v>0</v>
      </c>
      <c r="F74" s="375">
        <f t="shared" si="15"/>
        <v>0</v>
      </c>
    </row>
    <row r="75" spans="1:6" x14ac:dyDescent="0.2">
      <c r="B75" s="594" t="str">
        <f>HE_PG3_label</f>
        <v>PG3 - Ambulante Produkte</v>
      </c>
      <c r="C75" s="596"/>
      <c r="D75" s="375">
        <f t="shared" si="15"/>
        <v>0</v>
      </c>
      <c r="E75" s="375">
        <f t="shared" si="15"/>
        <v>0</v>
      </c>
      <c r="F75" s="375">
        <f t="shared" si="15"/>
        <v>0</v>
      </c>
    </row>
    <row r="76" spans="1:6" x14ac:dyDescent="0.2">
      <c r="B76" s="594" t="str">
        <f>HE_PG4_label</f>
        <v>PG4 - Langzeitpflege</v>
      </c>
      <c r="C76" s="596"/>
      <c r="D76" s="375">
        <f t="shared" si="15"/>
        <v>0</v>
      </c>
      <c r="E76" s="375">
        <f t="shared" si="15"/>
        <v>0</v>
      </c>
      <c r="F76" s="375">
        <f t="shared" si="15"/>
        <v>0</v>
      </c>
    </row>
    <row r="77" spans="1:6" x14ac:dyDescent="0.2">
      <c r="B77" s="600" t="str">
        <f>HE_PG5_label</f>
        <v>PG5 - Einzeltaggeldversicherung</v>
      </c>
      <c r="C77" s="601"/>
      <c r="D77" s="376">
        <f t="shared" si="15"/>
        <v>0</v>
      </c>
      <c r="E77" s="376">
        <f t="shared" si="15"/>
        <v>0</v>
      </c>
      <c r="F77" s="376">
        <f t="shared" si="15"/>
        <v>0</v>
      </c>
    </row>
    <row r="79" spans="1:6" ht="15" customHeight="1" x14ac:dyDescent="0.2">
      <c r="B79" s="1315" t="str">
        <f>VLOOKUP("T.07.20",HE_label,2,FALSE)</f>
        <v>Kostensatz pro Produktegruppe für die Ermittlung der LZV</v>
      </c>
      <c r="C79" s="1316" t="str">
        <f>VLOOKUP("T.07.15",HE_label,2,FALSE)</f>
        <v>Best-Estimate pro Produktegruppe</v>
      </c>
      <c r="D79" s="372"/>
    </row>
    <row r="80" spans="1:6" x14ac:dyDescent="0.2">
      <c r="A80" s="379">
        <v>1</v>
      </c>
      <c r="B80" s="594" t="str">
        <f>HE_PG1_label</f>
        <v>PG1 - Stationäre Produkte Halbprivat, Privat und Flex</v>
      </c>
      <c r="C80" s="596"/>
      <c r="D80" s="618">
        <f>IFERROR(AVERAGE(D73:F73),0)</f>
        <v>0</v>
      </c>
    </row>
    <row r="81" spans="1:4" x14ac:dyDescent="0.2">
      <c r="A81" s="379">
        <v>2</v>
      </c>
      <c r="B81" s="594" t="str">
        <f>HE_PG2_label</f>
        <v>PG2 - Übrige stationäre Produkte</v>
      </c>
      <c r="C81" s="596"/>
      <c r="D81" s="377">
        <f>IFERROR(AVERAGE(D74:F74),0)</f>
        <v>0</v>
      </c>
    </row>
    <row r="82" spans="1:4" x14ac:dyDescent="0.2">
      <c r="A82" s="379">
        <v>3</v>
      </c>
      <c r="B82" s="594" t="str">
        <f>HE_PG3_label</f>
        <v>PG3 - Ambulante Produkte</v>
      </c>
      <c r="C82" s="596"/>
      <c r="D82" s="377">
        <f>IFERROR(AVERAGE(D75:F75),0)</f>
        <v>0</v>
      </c>
    </row>
    <row r="83" spans="1:4" x14ac:dyDescent="0.2">
      <c r="A83" s="379">
        <v>4</v>
      </c>
      <c r="B83" s="594" t="str">
        <f>HE_PG4_label</f>
        <v>PG4 - Langzeitpflege</v>
      </c>
      <c r="C83" s="596"/>
      <c r="D83" s="377">
        <f>IFERROR(AVERAGE(D76:F76),0)</f>
        <v>0</v>
      </c>
    </row>
    <row r="84" spans="1:4" x14ac:dyDescent="0.2">
      <c r="A84" s="379">
        <v>5</v>
      </c>
      <c r="B84" s="600" t="str">
        <f>HE_PG5_label</f>
        <v>PG5 - Einzeltaggeldversicherung</v>
      </c>
      <c r="C84" s="601"/>
      <c r="D84" s="378">
        <f>IFERROR(AVERAGE(D77:F77),0)</f>
        <v>0</v>
      </c>
    </row>
  </sheetData>
  <sheetProtection formatCells="0" formatColumns="0" formatRows="0" insertColumns="0" insertRows="0"/>
  <mergeCells count="1">
    <mergeCell ref="B79:C79"/>
  </mergeCells>
  <pageMargins left="0.47244094488188981" right="0.47244094488188981" top="0.59055118110236227" bottom="0.59055118110236227" header="0.35433070866141736" footer="0.35433070866141736"/>
  <pageSetup paperSize="9" fitToWidth="2" orientation="landscape" r:id="rId1"/>
  <headerFooter alignWithMargins="0"/>
  <ignoredErrors>
    <ignoredError sqref="B14:B24 B28 B43:B47 B50:B54 B57:B61 C43:C47 C50:C54 C57:C61 B34 B29 B30:B33 C14:C24 C28:C33 B36:B38 B35 C34:C38 C66:C70 C8:C10 B8:B10 B66:B70 B80:B8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A2D3EE"/>
    <pageSetUpPr fitToPage="1"/>
  </sheetPr>
  <dimension ref="A1:CZ161"/>
  <sheetViews>
    <sheetView showGridLines="0" zoomScale="90" zoomScaleNormal="90" workbookViewId="0"/>
  </sheetViews>
  <sheetFormatPr defaultColWidth="8.85546875" defaultRowHeight="12.75" customHeight="1" x14ac:dyDescent="0.2"/>
  <cols>
    <col min="1" max="1" width="6.5703125" style="17" customWidth="1"/>
    <col min="2" max="2" width="77.5703125" style="23" customWidth="1"/>
    <col min="3" max="3" width="36.7109375" style="23" customWidth="1"/>
    <col min="4" max="4" width="49.140625" style="23" customWidth="1"/>
    <col min="5" max="5" width="15.7109375" style="24" customWidth="1"/>
    <col min="6" max="6" width="15.7109375" style="25" customWidth="1"/>
    <col min="7" max="8" width="15.7109375" style="24" customWidth="1"/>
    <col min="9" max="9" width="15.7109375" style="23" customWidth="1"/>
    <col min="10" max="10" width="15.7109375" style="17" customWidth="1"/>
    <col min="11" max="54" width="15.7109375" style="26" customWidth="1"/>
    <col min="55" max="16384" width="8.85546875" style="26"/>
  </cols>
  <sheetData>
    <row r="1" spans="1:104" s="14" customFormat="1" ht="19.5" customHeight="1" x14ac:dyDescent="0.2">
      <c r="A1" s="566">
        <v>8.1</v>
      </c>
      <c r="B1" s="184" t="s">
        <v>249</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row>
    <row r="2" spans="1:104" s="18" customFormat="1" ht="14.25" customHeight="1" x14ac:dyDescent="0.2">
      <c r="A2" s="15"/>
      <c r="B2" s="857" t="str" cm="1">
        <f t="array" ref="B2">HE_company_name&amp;" - SST "&amp;HE_CY&amp;HE_suffix</f>
        <v xml:space="preserve"> - SST 2025</v>
      </c>
      <c r="C2" s="854"/>
      <c r="D2" s="854"/>
      <c r="E2" s="854"/>
      <c r="F2" s="855"/>
      <c r="G2" s="856"/>
      <c r="H2" s="856"/>
      <c r="K2" s="19"/>
      <c r="L2" s="19"/>
      <c r="M2" s="19"/>
      <c r="N2" s="19"/>
      <c r="O2" s="19"/>
      <c r="P2" s="19"/>
      <c r="Q2" s="19"/>
      <c r="R2" s="19"/>
      <c r="S2" s="19"/>
    </row>
    <row r="3" spans="1:104" s="572" customFormat="1" ht="14.25" customHeight="1" x14ac:dyDescent="0.2">
      <c r="A3" s="567"/>
      <c r="B3" s="568"/>
      <c r="C3" s="569"/>
      <c r="D3" s="569"/>
      <c r="E3" s="569"/>
      <c r="F3" s="570"/>
      <c r="G3" s="571"/>
      <c r="H3" s="571"/>
      <c r="K3" s="573"/>
      <c r="L3" s="573"/>
      <c r="M3" s="573"/>
      <c r="N3" s="573"/>
      <c r="O3" s="573"/>
      <c r="P3" s="573"/>
      <c r="Q3" s="573"/>
      <c r="R3" s="573"/>
      <c r="S3" s="573"/>
    </row>
    <row r="4" spans="1:104" s="18" customFormat="1" ht="20.100000000000001" customHeight="1" x14ac:dyDescent="0.2">
      <c r="A4" s="15"/>
      <c r="B4" s="159" t="s">
        <v>20</v>
      </c>
      <c r="C4" s="160">
        <v>0.9</v>
      </c>
      <c r="D4" s="6"/>
      <c r="E4" s="6"/>
      <c r="F4" s="17"/>
      <c r="K4" s="19"/>
      <c r="L4" s="19"/>
      <c r="M4" s="19"/>
      <c r="N4" s="19"/>
      <c r="O4" s="19"/>
      <c r="P4" s="19"/>
      <c r="Q4" s="19"/>
      <c r="R4" s="19"/>
      <c r="S4" s="19"/>
    </row>
    <row r="5" spans="1:104" s="18" customFormat="1" ht="20.100000000000001" customHeight="1" x14ac:dyDescent="0.2">
      <c r="A5" s="15"/>
      <c r="B5" s="161" t="s">
        <v>21</v>
      </c>
      <c r="C5" s="162">
        <v>5</v>
      </c>
      <c r="D5" s="6"/>
      <c r="E5" s="6"/>
      <c r="F5" s="17"/>
      <c r="K5" s="19"/>
      <c r="L5" s="19"/>
      <c r="M5" s="19"/>
      <c r="N5" s="19"/>
      <c r="O5" s="19"/>
      <c r="P5" s="19"/>
      <c r="Q5" s="19"/>
      <c r="R5" s="19"/>
      <c r="S5" s="19"/>
    </row>
    <row r="6" spans="1:104" s="18" customFormat="1" ht="14.25" customHeight="1" x14ac:dyDescent="0.2">
      <c r="A6" s="15"/>
      <c r="B6" s="16"/>
      <c r="C6" s="6"/>
      <c r="D6" s="6"/>
      <c r="E6" s="6"/>
      <c r="F6" s="17"/>
      <c r="K6" s="19"/>
      <c r="L6" s="19"/>
      <c r="M6" s="19"/>
      <c r="N6" s="19"/>
      <c r="O6" s="19"/>
      <c r="P6" s="19"/>
      <c r="Q6" s="19"/>
      <c r="R6" s="19"/>
      <c r="S6" s="19"/>
    </row>
    <row r="7" spans="1:104" s="18" customFormat="1" ht="14.25" customHeight="1" x14ac:dyDescent="0.25">
      <c r="A7" s="15"/>
      <c r="B7" s="853" t="s">
        <v>1553</v>
      </c>
      <c r="C7" s="854"/>
      <c r="D7" s="854"/>
      <c r="E7" s="854"/>
      <c r="F7" s="855"/>
      <c r="G7" s="856"/>
      <c r="H7" s="856"/>
      <c r="K7" s="19"/>
      <c r="L7" s="19"/>
      <c r="M7" s="19"/>
      <c r="N7" s="19"/>
      <c r="O7" s="19"/>
      <c r="P7" s="19"/>
      <c r="Q7" s="19"/>
      <c r="R7" s="19"/>
      <c r="S7" s="19"/>
    </row>
    <row r="8" spans="1:104" s="18" customFormat="1" ht="14.25" customHeight="1" x14ac:dyDescent="0.2">
      <c r="A8" s="15"/>
      <c r="B8" s="17"/>
      <c r="C8" s="17"/>
      <c r="D8" s="17"/>
      <c r="E8" s="17"/>
      <c r="F8" s="17"/>
      <c r="J8" s="20"/>
      <c r="K8" s="19"/>
      <c r="L8" s="19"/>
      <c r="M8" s="19"/>
      <c r="N8" s="19"/>
      <c r="O8" s="19"/>
      <c r="P8" s="19"/>
      <c r="Q8" s="19"/>
      <c r="R8" s="19"/>
      <c r="S8" s="19"/>
    </row>
    <row r="9" spans="1:104" s="21" customFormat="1" ht="20.100000000000001" customHeight="1" x14ac:dyDescent="0.2">
      <c r="B9" s="1317" t="s">
        <v>0</v>
      </c>
      <c r="C9" s="1319" t="s">
        <v>1</v>
      </c>
      <c r="D9" s="84" t="s">
        <v>32</v>
      </c>
      <c r="E9" s="145" t="s">
        <v>2</v>
      </c>
      <c r="F9" s="108"/>
      <c r="G9" s="108"/>
      <c r="H9" s="108"/>
      <c r="I9" s="108"/>
      <c r="J9" s="108"/>
      <c r="K9" s="108"/>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1:104" s="21" customFormat="1" ht="20.100000000000001" customHeight="1" x14ac:dyDescent="0.2">
      <c r="B10" s="1318"/>
      <c r="C10" s="1320"/>
      <c r="D10" s="85" t="s">
        <v>34</v>
      </c>
      <c r="E10" s="146">
        <f>HE_CY</f>
        <v>2025</v>
      </c>
      <c r="F10" s="147">
        <f>E10+1</f>
        <v>2026</v>
      </c>
      <c r="G10" s="147">
        <f t="shared" ref="G10:BB10" si="0">F10+1</f>
        <v>2027</v>
      </c>
      <c r="H10" s="147">
        <f t="shared" si="0"/>
        <v>2028</v>
      </c>
      <c r="I10" s="147">
        <f t="shared" si="0"/>
        <v>2029</v>
      </c>
      <c r="J10" s="147">
        <f t="shared" si="0"/>
        <v>2030</v>
      </c>
      <c r="K10" s="147">
        <f t="shared" si="0"/>
        <v>2031</v>
      </c>
      <c r="L10" s="147">
        <f t="shared" si="0"/>
        <v>2032</v>
      </c>
      <c r="M10" s="147">
        <f t="shared" si="0"/>
        <v>2033</v>
      </c>
      <c r="N10" s="147">
        <f t="shared" si="0"/>
        <v>2034</v>
      </c>
      <c r="O10" s="147">
        <f t="shared" si="0"/>
        <v>2035</v>
      </c>
      <c r="P10" s="147">
        <f t="shared" si="0"/>
        <v>2036</v>
      </c>
      <c r="Q10" s="147">
        <f t="shared" si="0"/>
        <v>2037</v>
      </c>
      <c r="R10" s="147">
        <f t="shared" si="0"/>
        <v>2038</v>
      </c>
      <c r="S10" s="147">
        <f t="shared" si="0"/>
        <v>2039</v>
      </c>
      <c r="T10" s="147">
        <f t="shared" si="0"/>
        <v>2040</v>
      </c>
      <c r="U10" s="147">
        <f t="shared" si="0"/>
        <v>2041</v>
      </c>
      <c r="V10" s="147">
        <f t="shared" si="0"/>
        <v>2042</v>
      </c>
      <c r="W10" s="147">
        <f t="shared" si="0"/>
        <v>2043</v>
      </c>
      <c r="X10" s="147">
        <f t="shared" si="0"/>
        <v>2044</v>
      </c>
      <c r="Y10" s="147">
        <f t="shared" si="0"/>
        <v>2045</v>
      </c>
      <c r="Z10" s="147">
        <f t="shared" si="0"/>
        <v>2046</v>
      </c>
      <c r="AA10" s="147">
        <f t="shared" si="0"/>
        <v>2047</v>
      </c>
      <c r="AB10" s="147">
        <f t="shared" si="0"/>
        <v>2048</v>
      </c>
      <c r="AC10" s="147">
        <f t="shared" si="0"/>
        <v>2049</v>
      </c>
      <c r="AD10" s="147">
        <f t="shared" si="0"/>
        <v>2050</v>
      </c>
      <c r="AE10" s="147">
        <f t="shared" si="0"/>
        <v>2051</v>
      </c>
      <c r="AF10" s="147">
        <f t="shared" si="0"/>
        <v>2052</v>
      </c>
      <c r="AG10" s="147">
        <f t="shared" si="0"/>
        <v>2053</v>
      </c>
      <c r="AH10" s="147">
        <f t="shared" si="0"/>
        <v>2054</v>
      </c>
      <c r="AI10" s="147">
        <f t="shared" si="0"/>
        <v>2055</v>
      </c>
      <c r="AJ10" s="147">
        <f t="shared" si="0"/>
        <v>2056</v>
      </c>
      <c r="AK10" s="147">
        <f t="shared" si="0"/>
        <v>2057</v>
      </c>
      <c r="AL10" s="147">
        <f t="shared" si="0"/>
        <v>2058</v>
      </c>
      <c r="AM10" s="147">
        <f t="shared" si="0"/>
        <v>2059</v>
      </c>
      <c r="AN10" s="147">
        <f t="shared" si="0"/>
        <v>2060</v>
      </c>
      <c r="AO10" s="147">
        <f t="shared" si="0"/>
        <v>2061</v>
      </c>
      <c r="AP10" s="147">
        <f t="shared" si="0"/>
        <v>2062</v>
      </c>
      <c r="AQ10" s="147">
        <f t="shared" si="0"/>
        <v>2063</v>
      </c>
      <c r="AR10" s="147">
        <f t="shared" si="0"/>
        <v>2064</v>
      </c>
      <c r="AS10" s="147">
        <f t="shared" si="0"/>
        <v>2065</v>
      </c>
      <c r="AT10" s="147">
        <f t="shared" si="0"/>
        <v>2066</v>
      </c>
      <c r="AU10" s="147">
        <f t="shared" si="0"/>
        <v>2067</v>
      </c>
      <c r="AV10" s="147">
        <f t="shared" si="0"/>
        <v>2068</v>
      </c>
      <c r="AW10" s="147">
        <f t="shared" si="0"/>
        <v>2069</v>
      </c>
      <c r="AX10" s="147">
        <f t="shared" si="0"/>
        <v>2070</v>
      </c>
      <c r="AY10" s="147">
        <f t="shared" si="0"/>
        <v>2071</v>
      </c>
      <c r="AZ10" s="147">
        <f t="shared" si="0"/>
        <v>2072</v>
      </c>
      <c r="BA10" s="147">
        <f t="shared" si="0"/>
        <v>2073</v>
      </c>
      <c r="BB10" s="148">
        <f t="shared" si="0"/>
        <v>2074</v>
      </c>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row>
    <row r="11" spans="1:104" s="21" customFormat="1" ht="14.25" customHeight="1" x14ac:dyDescent="0.2">
      <c r="B11" s="82" t="s">
        <v>38</v>
      </c>
      <c r="C11" s="83" t="s">
        <v>4</v>
      </c>
      <c r="D11" s="813"/>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row>
    <row r="12" spans="1:104" s="21" customFormat="1" ht="14.25" customHeight="1" x14ac:dyDescent="0.2">
      <c r="B12" s="74" t="s">
        <v>39</v>
      </c>
      <c r="C12" s="72" t="s">
        <v>4</v>
      </c>
      <c r="D12" s="92"/>
      <c r="E12" s="150"/>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row>
    <row r="13" spans="1:104" s="21" customFormat="1" ht="14.25" customHeight="1" x14ac:dyDescent="0.2">
      <c r="B13" s="73" t="s">
        <v>6</v>
      </c>
      <c r="C13" s="72" t="s">
        <v>4</v>
      </c>
      <c r="D13" s="92"/>
      <c r="E13" s="151">
        <f t="shared" ref="E13:BB13" si="1">SUM(E11:E12)</f>
        <v>0</v>
      </c>
      <c r="F13" s="151">
        <f t="shared" si="1"/>
        <v>0</v>
      </c>
      <c r="G13" s="151">
        <f t="shared" si="1"/>
        <v>0</v>
      </c>
      <c r="H13" s="151">
        <f t="shared" si="1"/>
        <v>0</v>
      </c>
      <c r="I13" s="151">
        <f t="shared" si="1"/>
        <v>0</v>
      </c>
      <c r="J13" s="151">
        <f t="shared" si="1"/>
        <v>0</v>
      </c>
      <c r="K13" s="151">
        <f t="shared" si="1"/>
        <v>0</v>
      </c>
      <c r="L13" s="151">
        <f t="shared" si="1"/>
        <v>0</v>
      </c>
      <c r="M13" s="151">
        <f t="shared" si="1"/>
        <v>0</v>
      </c>
      <c r="N13" s="151">
        <f t="shared" si="1"/>
        <v>0</v>
      </c>
      <c r="O13" s="151">
        <f t="shared" si="1"/>
        <v>0</v>
      </c>
      <c r="P13" s="151">
        <f t="shared" si="1"/>
        <v>0</v>
      </c>
      <c r="Q13" s="151">
        <f t="shared" si="1"/>
        <v>0</v>
      </c>
      <c r="R13" s="151">
        <f t="shared" si="1"/>
        <v>0</v>
      </c>
      <c r="S13" s="151">
        <f t="shared" si="1"/>
        <v>0</v>
      </c>
      <c r="T13" s="151">
        <f t="shared" si="1"/>
        <v>0</v>
      </c>
      <c r="U13" s="151">
        <f t="shared" si="1"/>
        <v>0</v>
      </c>
      <c r="V13" s="151">
        <f t="shared" si="1"/>
        <v>0</v>
      </c>
      <c r="W13" s="151">
        <f t="shared" si="1"/>
        <v>0</v>
      </c>
      <c r="X13" s="151">
        <f t="shared" si="1"/>
        <v>0</v>
      </c>
      <c r="Y13" s="151">
        <f t="shared" si="1"/>
        <v>0</v>
      </c>
      <c r="Z13" s="151">
        <f t="shared" si="1"/>
        <v>0</v>
      </c>
      <c r="AA13" s="151">
        <f t="shared" si="1"/>
        <v>0</v>
      </c>
      <c r="AB13" s="151">
        <f t="shared" si="1"/>
        <v>0</v>
      </c>
      <c r="AC13" s="151">
        <f t="shared" si="1"/>
        <v>0</v>
      </c>
      <c r="AD13" s="151">
        <f t="shared" si="1"/>
        <v>0</v>
      </c>
      <c r="AE13" s="151">
        <f t="shared" si="1"/>
        <v>0</v>
      </c>
      <c r="AF13" s="151">
        <f t="shared" si="1"/>
        <v>0</v>
      </c>
      <c r="AG13" s="151">
        <f t="shared" si="1"/>
        <v>0</v>
      </c>
      <c r="AH13" s="151">
        <f t="shared" si="1"/>
        <v>0</v>
      </c>
      <c r="AI13" s="151">
        <f t="shared" si="1"/>
        <v>0</v>
      </c>
      <c r="AJ13" s="151">
        <f t="shared" si="1"/>
        <v>0</v>
      </c>
      <c r="AK13" s="151">
        <f t="shared" si="1"/>
        <v>0</v>
      </c>
      <c r="AL13" s="151">
        <f t="shared" si="1"/>
        <v>0</v>
      </c>
      <c r="AM13" s="151">
        <f t="shared" si="1"/>
        <v>0</v>
      </c>
      <c r="AN13" s="151">
        <f t="shared" si="1"/>
        <v>0</v>
      </c>
      <c r="AO13" s="151">
        <f t="shared" si="1"/>
        <v>0</v>
      </c>
      <c r="AP13" s="151">
        <f t="shared" si="1"/>
        <v>0</v>
      </c>
      <c r="AQ13" s="151">
        <f t="shared" si="1"/>
        <v>0</v>
      </c>
      <c r="AR13" s="151">
        <f t="shared" si="1"/>
        <v>0</v>
      </c>
      <c r="AS13" s="151">
        <f t="shared" si="1"/>
        <v>0</v>
      </c>
      <c r="AT13" s="151">
        <f t="shared" si="1"/>
        <v>0</v>
      </c>
      <c r="AU13" s="151">
        <f t="shared" si="1"/>
        <v>0</v>
      </c>
      <c r="AV13" s="151">
        <f t="shared" si="1"/>
        <v>0</v>
      </c>
      <c r="AW13" s="151">
        <f t="shared" si="1"/>
        <v>0</v>
      </c>
      <c r="AX13" s="151">
        <f t="shared" si="1"/>
        <v>0</v>
      </c>
      <c r="AY13" s="151">
        <f t="shared" si="1"/>
        <v>0</v>
      </c>
      <c r="AZ13" s="151">
        <f t="shared" si="1"/>
        <v>0</v>
      </c>
      <c r="BA13" s="151">
        <f t="shared" si="1"/>
        <v>0</v>
      </c>
      <c r="BB13" s="151">
        <f t="shared" si="1"/>
        <v>0</v>
      </c>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row>
    <row r="14" spans="1:104" s="21" customFormat="1" ht="14.25" customHeight="1" x14ac:dyDescent="0.2">
      <c r="B14" s="73" t="s">
        <v>6</v>
      </c>
      <c r="C14" s="72" t="s">
        <v>7</v>
      </c>
      <c r="D14" s="92"/>
      <c r="E14" s="152">
        <f>E13</f>
        <v>0</v>
      </c>
      <c r="F14" s="152">
        <f>F13*HE_prescribed_parameters!C$13</f>
        <v>0</v>
      </c>
      <c r="G14" s="152">
        <f>G13*HE_prescribed_parameters!D$13</f>
        <v>0</v>
      </c>
      <c r="H14" s="152">
        <f>H13*HE_prescribed_parameters!E$13</f>
        <v>0</v>
      </c>
      <c r="I14" s="152">
        <f>I13*HE_prescribed_parameters!F$13</f>
        <v>0</v>
      </c>
      <c r="J14" s="152">
        <f>J13*HE_prescribed_parameters!G$13</f>
        <v>0</v>
      </c>
      <c r="K14" s="152">
        <f>K13*HE_prescribed_parameters!H$13</f>
        <v>0</v>
      </c>
      <c r="L14" s="152">
        <f>L13*HE_prescribed_parameters!I$13</f>
        <v>0</v>
      </c>
      <c r="M14" s="152">
        <f>M13*HE_prescribed_parameters!J$13</f>
        <v>0</v>
      </c>
      <c r="N14" s="152">
        <f>N13*HE_prescribed_parameters!K$13</f>
        <v>0</v>
      </c>
      <c r="O14" s="152">
        <f>O13*HE_prescribed_parameters!L$13</f>
        <v>0</v>
      </c>
      <c r="P14" s="152">
        <f>P13*HE_prescribed_parameters!M$13</f>
        <v>0</v>
      </c>
      <c r="Q14" s="152">
        <f>Q13*HE_prescribed_parameters!N$13</f>
        <v>0</v>
      </c>
      <c r="R14" s="152">
        <f>R13*HE_prescribed_parameters!O$13</f>
        <v>0</v>
      </c>
      <c r="S14" s="152">
        <f>S13*HE_prescribed_parameters!P$13</f>
        <v>0</v>
      </c>
      <c r="T14" s="152">
        <f>T13*HE_prescribed_parameters!Q$13</f>
        <v>0</v>
      </c>
      <c r="U14" s="152">
        <f>U13*HE_prescribed_parameters!R$13</f>
        <v>0</v>
      </c>
      <c r="V14" s="152">
        <f>V13*HE_prescribed_parameters!S$13</f>
        <v>0</v>
      </c>
      <c r="W14" s="152">
        <f>W13*HE_prescribed_parameters!T$13</f>
        <v>0</v>
      </c>
      <c r="X14" s="152">
        <f>X13*HE_prescribed_parameters!U$13</f>
        <v>0</v>
      </c>
      <c r="Y14" s="152">
        <f>Y13*HE_prescribed_parameters!V$13</f>
        <v>0</v>
      </c>
      <c r="Z14" s="152">
        <f>Z13*HE_prescribed_parameters!W$13</f>
        <v>0</v>
      </c>
      <c r="AA14" s="152">
        <f>AA13*HE_prescribed_parameters!X$13</f>
        <v>0</v>
      </c>
      <c r="AB14" s="152">
        <f>AB13*HE_prescribed_parameters!Y$13</f>
        <v>0</v>
      </c>
      <c r="AC14" s="152">
        <f>AC13*HE_prescribed_parameters!Z$13</f>
        <v>0</v>
      </c>
      <c r="AD14" s="152">
        <f>AD13*HE_prescribed_parameters!AA$13</f>
        <v>0</v>
      </c>
      <c r="AE14" s="152">
        <f>AE13*HE_prescribed_parameters!AB$13</f>
        <v>0</v>
      </c>
      <c r="AF14" s="152">
        <f>AF13*HE_prescribed_parameters!AC$13</f>
        <v>0</v>
      </c>
      <c r="AG14" s="152">
        <f>AG13*HE_prescribed_parameters!AD$13</f>
        <v>0</v>
      </c>
      <c r="AH14" s="152">
        <f>AH13*HE_prescribed_parameters!AE$13</f>
        <v>0</v>
      </c>
      <c r="AI14" s="152">
        <f>AI13*HE_prescribed_parameters!AF$13</f>
        <v>0</v>
      </c>
      <c r="AJ14" s="152">
        <f>AJ13*HE_prescribed_parameters!AG$13</f>
        <v>0</v>
      </c>
      <c r="AK14" s="152">
        <f>AK13*HE_prescribed_parameters!AH$13</f>
        <v>0</v>
      </c>
      <c r="AL14" s="152">
        <f>AL13*HE_prescribed_parameters!AI$13</f>
        <v>0</v>
      </c>
      <c r="AM14" s="152">
        <f>AM13*HE_prescribed_parameters!AJ$13</f>
        <v>0</v>
      </c>
      <c r="AN14" s="152">
        <f>AN13*HE_prescribed_parameters!AK$13</f>
        <v>0</v>
      </c>
      <c r="AO14" s="152">
        <f>AO13*HE_prescribed_parameters!AL$13</f>
        <v>0</v>
      </c>
      <c r="AP14" s="152">
        <f>AP13*HE_prescribed_parameters!AM$13</f>
        <v>0</v>
      </c>
      <c r="AQ14" s="152">
        <f>AQ13*HE_prescribed_parameters!AN$13</f>
        <v>0</v>
      </c>
      <c r="AR14" s="152">
        <f>AR13*HE_prescribed_parameters!AO$13</f>
        <v>0</v>
      </c>
      <c r="AS14" s="152">
        <f>AS13*HE_prescribed_parameters!AP$13</f>
        <v>0</v>
      </c>
      <c r="AT14" s="152">
        <f>AT13*HE_prescribed_parameters!AQ$13</f>
        <v>0</v>
      </c>
      <c r="AU14" s="152">
        <f>AU13*HE_prescribed_parameters!AR$13</f>
        <v>0</v>
      </c>
      <c r="AV14" s="152">
        <f>AV13*HE_prescribed_parameters!AS$13</f>
        <v>0</v>
      </c>
      <c r="AW14" s="152">
        <f>AW13*HE_prescribed_parameters!AT$13</f>
        <v>0</v>
      </c>
      <c r="AX14" s="152">
        <f>AX13*HE_prescribed_parameters!AU$13</f>
        <v>0</v>
      </c>
      <c r="AY14" s="152">
        <f>AY13*HE_prescribed_parameters!AV$13</f>
        <v>0</v>
      </c>
      <c r="AZ14" s="152">
        <f>AZ13*HE_prescribed_parameters!AW$13</f>
        <v>0</v>
      </c>
      <c r="BA14" s="152">
        <f>BA13*HE_prescribed_parameters!AX$13</f>
        <v>0</v>
      </c>
      <c r="BB14" s="152">
        <f>BB13*HE_prescribed_parameters!AY$13</f>
        <v>0</v>
      </c>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row>
    <row r="15" spans="1:104" s="21" customFormat="1" ht="14.25" customHeight="1" x14ac:dyDescent="0.2">
      <c r="B15" s="82" t="s">
        <v>40</v>
      </c>
      <c r="C15" s="83" t="s">
        <v>4</v>
      </c>
      <c r="D15" s="813"/>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row>
    <row r="16" spans="1:104" s="21" customFormat="1" ht="14.25" customHeight="1" x14ac:dyDescent="0.2">
      <c r="B16" s="74" t="s">
        <v>41</v>
      </c>
      <c r="C16" s="72" t="s">
        <v>4</v>
      </c>
      <c r="D16" s="92"/>
      <c r="E16" s="150"/>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row>
    <row r="17" spans="2:104" s="21" customFormat="1" ht="14.25" customHeight="1" x14ac:dyDescent="0.2">
      <c r="B17" s="73" t="s">
        <v>6</v>
      </c>
      <c r="C17" s="72" t="s">
        <v>4</v>
      </c>
      <c r="D17" s="92"/>
      <c r="E17" s="151">
        <f t="shared" ref="E17:BB17" si="2">SUM(E15:E16)</f>
        <v>0</v>
      </c>
      <c r="F17" s="151">
        <f t="shared" si="2"/>
        <v>0</v>
      </c>
      <c r="G17" s="151">
        <f t="shared" si="2"/>
        <v>0</v>
      </c>
      <c r="H17" s="151">
        <f t="shared" si="2"/>
        <v>0</v>
      </c>
      <c r="I17" s="151">
        <f t="shared" si="2"/>
        <v>0</v>
      </c>
      <c r="J17" s="151">
        <f t="shared" si="2"/>
        <v>0</v>
      </c>
      <c r="K17" s="151">
        <f t="shared" si="2"/>
        <v>0</v>
      </c>
      <c r="L17" s="151">
        <f t="shared" si="2"/>
        <v>0</v>
      </c>
      <c r="M17" s="151">
        <f t="shared" si="2"/>
        <v>0</v>
      </c>
      <c r="N17" s="151">
        <f t="shared" si="2"/>
        <v>0</v>
      </c>
      <c r="O17" s="151">
        <f t="shared" si="2"/>
        <v>0</v>
      </c>
      <c r="P17" s="151">
        <f t="shared" si="2"/>
        <v>0</v>
      </c>
      <c r="Q17" s="151">
        <f t="shared" si="2"/>
        <v>0</v>
      </c>
      <c r="R17" s="151">
        <f t="shared" si="2"/>
        <v>0</v>
      </c>
      <c r="S17" s="151">
        <f t="shared" si="2"/>
        <v>0</v>
      </c>
      <c r="T17" s="151">
        <f t="shared" si="2"/>
        <v>0</v>
      </c>
      <c r="U17" s="151">
        <f t="shared" si="2"/>
        <v>0</v>
      </c>
      <c r="V17" s="151">
        <f t="shared" si="2"/>
        <v>0</v>
      </c>
      <c r="W17" s="151">
        <f t="shared" si="2"/>
        <v>0</v>
      </c>
      <c r="X17" s="151">
        <f t="shared" si="2"/>
        <v>0</v>
      </c>
      <c r="Y17" s="151">
        <f t="shared" si="2"/>
        <v>0</v>
      </c>
      <c r="Z17" s="151">
        <f t="shared" si="2"/>
        <v>0</v>
      </c>
      <c r="AA17" s="151">
        <f t="shared" si="2"/>
        <v>0</v>
      </c>
      <c r="AB17" s="151">
        <f t="shared" si="2"/>
        <v>0</v>
      </c>
      <c r="AC17" s="151">
        <f t="shared" si="2"/>
        <v>0</v>
      </c>
      <c r="AD17" s="151">
        <f t="shared" si="2"/>
        <v>0</v>
      </c>
      <c r="AE17" s="151">
        <f t="shared" si="2"/>
        <v>0</v>
      </c>
      <c r="AF17" s="151">
        <f t="shared" si="2"/>
        <v>0</v>
      </c>
      <c r="AG17" s="151">
        <f t="shared" si="2"/>
        <v>0</v>
      </c>
      <c r="AH17" s="151">
        <f t="shared" si="2"/>
        <v>0</v>
      </c>
      <c r="AI17" s="151">
        <f t="shared" si="2"/>
        <v>0</v>
      </c>
      <c r="AJ17" s="151">
        <f t="shared" si="2"/>
        <v>0</v>
      </c>
      <c r="AK17" s="151">
        <f t="shared" si="2"/>
        <v>0</v>
      </c>
      <c r="AL17" s="151">
        <f t="shared" si="2"/>
        <v>0</v>
      </c>
      <c r="AM17" s="151">
        <f t="shared" si="2"/>
        <v>0</v>
      </c>
      <c r="AN17" s="151">
        <f t="shared" si="2"/>
        <v>0</v>
      </c>
      <c r="AO17" s="151">
        <f t="shared" si="2"/>
        <v>0</v>
      </c>
      <c r="AP17" s="151">
        <f t="shared" si="2"/>
        <v>0</v>
      </c>
      <c r="AQ17" s="151">
        <f t="shared" si="2"/>
        <v>0</v>
      </c>
      <c r="AR17" s="151">
        <f t="shared" si="2"/>
        <v>0</v>
      </c>
      <c r="AS17" s="151">
        <f t="shared" si="2"/>
        <v>0</v>
      </c>
      <c r="AT17" s="151">
        <f t="shared" si="2"/>
        <v>0</v>
      </c>
      <c r="AU17" s="151">
        <f t="shared" si="2"/>
        <v>0</v>
      </c>
      <c r="AV17" s="151">
        <f t="shared" si="2"/>
        <v>0</v>
      </c>
      <c r="AW17" s="151">
        <f t="shared" si="2"/>
        <v>0</v>
      </c>
      <c r="AX17" s="151">
        <f t="shared" si="2"/>
        <v>0</v>
      </c>
      <c r="AY17" s="151">
        <f t="shared" si="2"/>
        <v>0</v>
      </c>
      <c r="AZ17" s="151">
        <f t="shared" si="2"/>
        <v>0</v>
      </c>
      <c r="BA17" s="151">
        <f t="shared" si="2"/>
        <v>0</v>
      </c>
      <c r="BB17" s="151">
        <f t="shared" si="2"/>
        <v>0</v>
      </c>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row>
    <row r="18" spans="2:104" s="21" customFormat="1" ht="14.25" customHeight="1" x14ac:dyDescent="0.2">
      <c r="B18" s="73" t="s">
        <v>6</v>
      </c>
      <c r="C18" s="72" t="s">
        <v>7</v>
      </c>
      <c r="D18" s="92"/>
      <c r="E18" s="152">
        <f>E17</f>
        <v>0</v>
      </c>
      <c r="F18" s="152">
        <f>F17*HE_prescribed_parameters!C$13</f>
        <v>0</v>
      </c>
      <c r="G18" s="152">
        <f>G17*HE_prescribed_parameters!D$13</f>
        <v>0</v>
      </c>
      <c r="H18" s="152">
        <f>H17*HE_prescribed_parameters!E$13</f>
        <v>0</v>
      </c>
      <c r="I18" s="152">
        <f>I17*HE_prescribed_parameters!F$13</f>
        <v>0</v>
      </c>
      <c r="J18" s="152">
        <f>J17*HE_prescribed_parameters!G$13</f>
        <v>0</v>
      </c>
      <c r="K18" s="152">
        <f>K17*HE_prescribed_parameters!H$13</f>
        <v>0</v>
      </c>
      <c r="L18" s="152">
        <f>L17*HE_prescribed_parameters!I$13</f>
        <v>0</v>
      </c>
      <c r="M18" s="152">
        <f>M17*HE_prescribed_parameters!J$13</f>
        <v>0</v>
      </c>
      <c r="N18" s="152">
        <f>N17*HE_prescribed_parameters!K$13</f>
        <v>0</v>
      </c>
      <c r="O18" s="152">
        <f>O17*HE_prescribed_parameters!L$13</f>
        <v>0</v>
      </c>
      <c r="P18" s="152">
        <f>P17*HE_prescribed_parameters!M$13</f>
        <v>0</v>
      </c>
      <c r="Q18" s="152">
        <f>Q17*HE_prescribed_parameters!N$13</f>
        <v>0</v>
      </c>
      <c r="R18" s="152">
        <f>R17*HE_prescribed_parameters!O$13</f>
        <v>0</v>
      </c>
      <c r="S18" s="152">
        <f>S17*HE_prescribed_parameters!P$13</f>
        <v>0</v>
      </c>
      <c r="T18" s="152">
        <f>T17*HE_prescribed_parameters!Q$13</f>
        <v>0</v>
      </c>
      <c r="U18" s="152">
        <f>U17*HE_prescribed_parameters!R$13</f>
        <v>0</v>
      </c>
      <c r="V18" s="152">
        <f>V17*HE_prescribed_parameters!S$13</f>
        <v>0</v>
      </c>
      <c r="W18" s="152">
        <f>W17*HE_prescribed_parameters!T$13</f>
        <v>0</v>
      </c>
      <c r="X18" s="152">
        <f>X17*HE_prescribed_parameters!U$13</f>
        <v>0</v>
      </c>
      <c r="Y18" s="152">
        <f>Y17*HE_prescribed_parameters!V$13</f>
        <v>0</v>
      </c>
      <c r="Z18" s="152">
        <f>Z17*HE_prescribed_parameters!W$13</f>
        <v>0</v>
      </c>
      <c r="AA18" s="152">
        <f>AA17*HE_prescribed_parameters!X$13</f>
        <v>0</v>
      </c>
      <c r="AB18" s="152">
        <f>AB17*HE_prescribed_parameters!Y$13</f>
        <v>0</v>
      </c>
      <c r="AC18" s="152">
        <f>AC17*HE_prescribed_parameters!Z$13</f>
        <v>0</v>
      </c>
      <c r="AD18" s="152">
        <f>AD17*HE_prescribed_parameters!AA$13</f>
        <v>0</v>
      </c>
      <c r="AE18" s="152">
        <f>AE17*HE_prescribed_parameters!AB$13</f>
        <v>0</v>
      </c>
      <c r="AF18" s="152">
        <f>AF17*HE_prescribed_parameters!AC$13</f>
        <v>0</v>
      </c>
      <c r="AG18" s="152">
        <f>AG17*HE_prescribed_parameters!AD$13</f>
        <v>0</v>
      </c>
      <c r="AH18" s="152">
        <f>AH17*HE_prescribed_parameters!AE$13</f>
        <v>0</v>
      </c>
      <c r="AI18" s="152">
        <f>AI17*HE_prescribed_parameters!AF$13</f>
        <v>0</v>
      </c>
      <c r="AJ18" s="152">
        <f>AJ17*HE_prescribed_parameters!AG$13</f>
        <v>0</v>
      </c>
      <c r="AK18" s="152">
        <f>AK17*HE_prescribed_parameters!AH$13</f>
        <v>0</v>
      </c>
      <c r="AL18" s="152">
        <f>AL17*HE_prescribed_parameters!AI$13</f>
        <v>0</v>
      </c>
      <c r="AM18" s="152">
        <f>AM17*HE_prescribed_parameters!AJ$13</f>
        <v>0</v>
      </c>
      <c r="AN18" s="152">
        <f>AN17*HE_prescribed_parameters!AK$13</f>
        <v>0</v>
      </c>
      <c r="AO18" s="152">
        <f>AO17*HE_prescribed_parameters!AL$13</f>
        <v>0</v>
      </c>
      <c r="AP18" s="152">
        <f>AP17*HE_prescribed_parameters!AM$13</f>
        <v>0</v>
      </c>
      <c r="AQ18" s="152">
        <f>AQ17*HE_prescribed_parameters!AN$13</f>
        <v>0</v>
      </c>
      <c r="AR18" s="152">
        <f>AR17*HE_prescribed_parameters!AO$13</f>
        <v>0</v>
      </c>
      <c r="AS18" s="152">
        <f>AS17*HE_prescribed_parameters!AP$13</f>
        <v>0</v>
      </c>
      <c r="AT18" s="152">
        <f>AT17*HE_prescribed_parameters!AQ$13</f>
        <v>0</v>
      </c>
      <c r="AU18" s="152">
        <f>AU17*HE_prescribed_parameters!AR$13</f>
        <v>0</v>
      </c>
      <c r="AV18" s="152">
        <f>AV17*HE_prescribed_parameters!AS$13</f>
        <v>0</v>
      </c>
      <c r="AW18" s="152">
        <f>AW17*HE_prescribed_parameters!AT$13</f>
        <v>0</v>
      </c>
      <c r="AX18" s="152">
        <f>AX17*HE_prescribed_parameters!AU$13</f>
        <v>0</v>
      </c>
      <c r="AY18" s="152">
        <f>AY17*HE_prescribed_parameters!AV$13</f>
        <v>0</v>
      </c>
      <c r="AZ18" s="152">
        <f>AZ17*HE_prescribed_parameters!AW$13</f>
        <v>0</v>
      </c>
      <c r="BA18" s="152">
        <f>BA17*HE_prescribed_parameters!AX$13</f>
        <v>0</v>
      </c>
      <c r="BB18" s="152">
        <f>BB17*HE_prescribed_parameters!AY$13</f>
        <v>0</v>
      </c>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row>
    <row r="19" spans="2:104" s="21" customFormat="1" ht="14.25" customHeight="1" x14ac:dyDescent="0.2">
      <c r="B19" s="82" t="s">
        <v>42</v>
      </c>
      <c r="C19" s="83" t="s">
        <v>4</v>
      </c>
      <c r="D19" s="813"/>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row>
    <row r="20" spans="2:104" s="21" customFormat="1" ht="14.25" customHeight="1" x14ac:dyDescent="0.2">
      <c r="B20" s="74" t="s">
        <v>43</v>
      </c>
      <c r="C20" s="72" t="s">
        <v>4</v>
      </c>
      <c r="D20" s="92"/>
      <c r="E20" s="150"/>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row>
    <row r="21" spans="2:104" s="21" customFormat="1" ht="14.25" customHeight="1" x14ac:dyDescent="0.2">
      <c r="B21" s="73" t="s">
        <v>6</v>
      </c>
      <c r="C21" s="72" t="s">
        <v>4</v>
      </c>
      <c r="D21" s="92"/>
      <c r="E21" s="151">
        <f t="shared" ref="E21:BB21" si="3">SUM(E19:E20)</f>
        <v>0</v>
      </c>
      <c r="F21" s="151">
        <f t="shared" si="3"/>
        <v>0</v>
      </c>
      <c r="G21" s="151">
        <f t="shared" si="3"/>
        <v>0</v>
      </c>
      <c r="H21" s="151">
        <f t="shared" si="3"/>
        <v>0</v>
      </c>
      <c r="I21" s="151">
        <f t="shared" si="3"/>
        <v>0</v>
      </c>
      <c r="J21" s="151">
        <f t="shared" si="3"/>
        <v>0</v>
      </c>
      <c r="K21" s="151">
        <f t="shared" si="3"/>
        <v>0</v>
      </c>
      <c r="L21" s="151">
        <f t="shared" si="3"/>
        <v>0</v>
      </c>
      <c r="M21" s="151">
        <f t="shared" si="3"/>
        <v>0</v>
      </c>
      <c r="N21" s="151">
        <f t="shared" si="3"/>
        <v>0</v>
      </c>
      <c r="O21" s="151">
        <f t="shared" si="3"/>
        <v>0</v>
      </c>
      <c r="P21" s="151">
        <f t="shared" si="3"/>
        <v>0</v>
      </c>
      <c r="Q21" s="151">
        <f t="shared" si="3"/>
        <v>0</v>
      </c>
      <c r="R21" s="151">
        <f t="shared" si="3"/>
        <v>0</v>
      </c>
      <c r="S21" s="151">
        <f t="shared" si="3"/>
        <v>0</v>
      </c>
      <c r="T21" s="151">
        <f t="shared" si="3"/>
        <v>0</v>
      </c>
      <c r="U21" s="151">
        <f t="shared" si="3"/>
        <v>0</v>
      </c>
      <c r="V21" s="151">
        <f t="shared" si="3"/>
        <v>0</v>
      </c>
      <c r="W21" s="151">
        <f t="shared" si="3"/>
        <v>0</v>
      </c>
      <c r="X21" s="151">
        <f t="shared" si="3"/>
        <v>0</v>
      </c>
      <c r="Y21" s="151">
        <f t="shared" si="3"/>
        <v>0</v>
      </c>
      <c r="Z21" s="151">
        <f t="shared" si="3"/>
        <v>0</v>
      </c>
      <c r="AA21" s="151">
        <f t="shared" si="3"/>
        <v>0</v>
      </c>
      <c r="AB21" s="151">
        <f t="shared" si="3"/>
        <v>0</v>
      </c>
      <c r="AC21" s="151">
        <f t="shared" si="3"/>
        <v>0</v>
      </c>
      <c r="AD21" s="151">
        <f t="shared" si="3"/>
        <v>0</v>
      </c>
      <c r="AE21" s="151">
        <f t="shared" si="3"/>
        <v>0</v>
      </c>
      <c r="AF21" s="151">
        <f t="shared" si="3"/>
        <v>0</v>
      </c>
      <c r="AG21" s="151">
        <f t="shared" si="3"/>
        <v>0</v>
      </c>
      <c r="AH21" s="151">
        <f t="shared" si="3"/>
        <v>0</v>
      </c>
      <c r="AI21" s="151">
        <f t="shared" si="3"/>
        <v>0</v>
      </c>
      <c r="AJ21" s="151">
        <f t="shared" si="3"/>
        <v>0</v>
      </c>
      <c r="AK21" s="151">
        <f t="shared" si="3"/>
        <v>0</v>
      </c>
      <c r="AL21" s="151">
        <f t="shared" si="3"/>
        <v>0</v>
      </c>
      <c r="AM21" s="151">
        <f t="shared" si="3"/>
        <v>0</v>
      </c>
      <c r="AN21" s="151">
        <f t="shared" si="3"/>
        <v>0</v>
      </c>
      <c r="AO21" s="151">
        <f t="shared" si="3"/>
        <v>0</v>
      </c>
      <c r="AP21" s="151">
        <f t="shared" si="3"/>
        <v>0</v>
      </c>
      <c r="AQ21" s="151">
        <f t="shared" si="3"/>
        <v>0</v>
      </c>
      <c r="AR21" s="151">
        <f t="shared" si="3"/>
        <v>0</v>
      </c>
      <c r="AS21" s="151">
        <f t="shared" si="3"/>
        <v>0</v>
      </c>
      <c r="AT21" s="151">
        <f t="shared" si="3"/>
        <v>0</v>
      </c>
      <c r="AU21" s="151">
        <f t="shared" si="3"/>
        <v>0</v>
      </c>
      <c r="AV21" s="151">
        <f t="shared" si="3"/>
        <v>0</v>
      </c>
      <c r="AW21" s="151">
        <f t="shared" si="3"/>
        <v>0</v>
      </c>
      <c r="AX21" s="151">
        <f t="shared" si="3"/>
        <v>0</v>
      </c>
      <c r="AY21" s="151">
        <f t="shared" si="3"/>
        <v>0</v>
      </c>
      <c r="AZ21" s="151">
        <f t="shared" si="3"/>
        <v>0</v>
      </c>
      <c r="BA21" s="151">
        <f t="shared" si="3"/>
        <v>0</v>
      </c>
      <c r="BB21" s="151">
        <f t="shared" si="3"/>
        <v>0</v>
      </c>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row>
    <row r="22" spans="2:104" s="21" customFormat="1" ht="14.25" customHeight="1" x14ac:dyDescent="0.2">
      <c r="B22" s="73" t="s">
        <v>6</v>
      </c>
      <c r="C22" s="72" t="s">
        <v>7</v>
      </c>
      <c r="D22" s="92"/>
      <c r="E22" s="152">
        <f>E21</f>
        <v>0</v>
      </c>
      <c r="F22" s="152">
        <f>F21*HE_prescribed_parameters!C$13</f>
        <v>0</v>
      </c>
      <c r="G22" s="152">
        <f>G21*HE_prescribed_parameters!D$13</f>
        <v>0</v>
      </c>
      <c r="H22" s="152">
        <f>H21*HE_prescribed_parameters!E$13</f>
        <v>0</v>
      </c>
      <c r="I22" s="152">
        <f>I21*HE_prescribed_parameters!F$13</f>
        <v>0</v>
      </c>
      <c r="J22" s="152">
        <f>J21*HE_prescribed_parameters!G$13</f>
        <v>0</v>
      </c>
      <c r="K22" s="152">
        <f>K21*HE_prescribed_parameters!H$13</f>
        <v>0</v>
      </c>
      <c r="L22" s="152">
        <f>L21*HE_prescribed_parameters!I$13</f>
        <v>0</v>
      </c>
      <c r="M22" s="152">
        <f>M21*HE_prescribed_parameters!J$13</f>
        <v>0</v>
      </c>
      <c r="N22" s="152">
        <f>N21*HE_prescribed_parameters!K$13</f>
        <v>0</v>
      </c>
      <c r="O22" s="152">
        <f>O21*HE_prescribed_parameters!L$13</f>
        <v>0</v>
      </c>
      <c r="P22" s="152">
        <f>P21*HE_prescribed_parameters!M$13</f>
        <v>0</v>
      </c>
      <c r="Q22" s="152">
        <f>Q21*HE_prescribed_parameters!N$13</f>
        <v>0</v>
      </c>
      <c r="R22" s="152">
        <f>R21*HE_prescribed_parameters!O$13</f>
        <v>0</v>
      </c>
      <c r="S22" s="152">
        <f>S21*HE_prescribed_parameters!P$13</f>
        <v>0</v>
      </c>
      <c r="T22" s="152">
        <f>T21*HE_prescribed_parameters!Q$13</f>
        <v>0</v>
      </c>
      <c r="U22" s="152">
        <f>U21*HE_prescribed_parameters!R$13</f>
        <v>0</v>
      </c>
      <c r="V22" s="152">
        <f>V21*HE_prescribed_parameters!S$13</f>
        <v>0</v>
      </c>
      <c r="W22" s="152">
        <f>W21*HE_prescribed_parameters!T$13</f>
        <v>0</v>
      </c>
      <c r="X22" s="152">
        <f>X21*HE_prescribed_parameters!U$13</f>
        <v>0</v>
      </c>
      <c r="Y22" s="152">
        <f>Y21*HE_prescribed_parameters!V$13</f>
        <v>0</v>
      </c>
      <c r="Z22" s="152">
        <f>Z21*HE_prescribed_parameters!W$13</f>
        <v>0</v>
      </c>
      <c r="AA22" s="152">
        <f>AA21*HE_prescribed_parameters!X$13</f>
        <v>0</v>
      </c>
      <c r="AB22" s="152">
        <f>AB21*HE_prescribed_parameters!Y$13</f>
        <v>0</v>
      </c>
      <c r="AC22" s="152">
        <f>AC21*HE_prescribed_parameters!Z$13</f>
        <v>0</v>
      </c>
      <c r="AD22" s="152">
        <f>AD21*HE_prescribed_parameters!AA$13</f>
        <v>0</v>
      </c>
      <c r="AE22" s="152">
        <f>AE21*HE_prescribed_parameters!AB$13</f>
        <v>0</v>
      </c>
      <c r="AF22" s="152">
        <f>AF21*HE_prescribed_parameters!AC$13</f>
        <v>0</v>
      </c>
      <c r="AG22" s="152">
        <f>AG21*HE_prescribed_parameters!AD$13</f>
        <v>0</v>
      </c>
      <c r="AH22" s="152">
        <f>AH21*HE_prescribed_parameters!AE$13</f>
        <v>0</v>
      </c>
      <c r="AI22" s="152">
        <f>AI21*HE_prescribed_parameters!AF$13</f>
        <v>0</v>
      </c>
      <c r="AJ22" s="152">
        <f>AJ21*HE_prescribed_parameters!AG$13</f>
        <v>0</v>
      </c>
      <c r="AK22" s="152">
        <f>AK21*HE_prescribed_parameters!AH$13</f>
        <v>0</v>
      </c>
      <c r="AL22" s="152">
        <f>AL21*HE_prescribed_parameters!AI$13</f>
        <v>0</v>
      </c>
      <c r="AM22" s="152">
        <f>AM21*HE_prescribed_parameters!AJ$13</f>
        <v>0</v>
      </c>
      <c r="AN22" s="152">
        <f>AN21*HE_prescribed_parameters!AK$13</f>
        <v>0</v>
      </c>
      <c r="AO22" s="152">
        <f>AO21*HE_prescribed_parameters!AL$13</f>
        <v>0</v>
      </c>
      <c r="AP22" s="152">
        <f>AP21*HE_prescribed_parameters!AM$13</f>
        <v>0</v>
      </c>
      <c r="AQ22" s="152">
        <f>AQ21*HE_prescribed_parameters!AN$13</f>
        <v>0</v>
      </c>
      <c r="AR22" s="152">
        <f>AR21*HE_prescribed_parameters!AO$13</f>
        <v>0</v>
      </c>
      <c r="AS22" s="152">
        <f>AS21*HE_prescribed_parameters!AP$13</f>
        <v>0</v>
      </c>
      <c r="AT22" s="152">
        <f>AT21*HE_prescribed_parameters!AQ$13</f>
        <v>0</v>
      </c>
      <c r="AU22" s="152">
        <f>AU21*HE_prescribed_parameters!AR$13</f>
        <v>0</v>
      </c>
      <c r="AV22" s="152">
        <f>AV21*HE_prescribed_parameters!AS$13</f>
        <v>0</v>
      </c>
      <c r="AW22" s="152">
        <f>AW21*HE_prescribed_parameters!AT$13</f>
        <v>0</v>
      </c>
      <c r="AX22" s="152">
        <f>AX21*HE_prescribed_parameters!AU$13</f>
        <v>0</v>
      </c>
      <c r="AY22" s="152">
        <f>AY21*HE_prescribed_parameters!AV$13</f>
        <v>0</v>
      </c>
      <c r="AZ22" s="152">
        <f>AZ21*HE_prescribed_parameters!AW$13</f>
        <v>0</v>
      </c>
      <c r="BA22" s="152">
        <f>BA21*HE_prescribed_parameters!AX$13</f>
        <v>0</v>
      </c>
      <c r="BB22" s="152">
        <f>BB21*HE_prescribed_parameters!AY$13</f>
        <v>0</v>
      </c>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row>
    <row r="23" spans="2:104" s="21" customFormat="1" ht="14.25" customHeight="1" x14ac:dyDescent="0.2">
      <c r="B23" s="74" t="s">
        <v>8</v>
      </c>
      <c r="C23" s="72" t="s">
        <v>4</v>
      </c>
      <c r="D23" s="92"/>
      <c r="E23" s="150"/>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row>
    <row r="24" spans="2:104" s="21" customFormat="1" ht="14.25" customHeight="1" x14ac:dyDescent="0.2">
      <c r="B24" s="74" t="s">
        <v>9</v>
      </c>
      <c r="C24" s="72" t="s">
        <v>4</v>
      </c>
      <c r="D24" s="92"/>
      <c r="E24" s="150"/>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row>
    <row r="25" spans="2:104" s="21" customFormat="1" ht="14.25" customHeight="1" x14ac:dyDescent="0.2">
      <c r="B25" s="73" t="s">
        <v>6</v>
      </c>
      <c r="C25" s="72" t="s">
        <v>4</v>
      </c>
      <c r="D25" s="92"/>
      <c r="E25" s="151">
        <f t="shared" ref="E25:BB25" si="4">SUM(E23:E24)</f>
        <v>0</v>
      </c>
      <c r="F25" s="151">
        <f t="shared" si="4"/>
        <v>0</v>
      </c>
      <c r="G25" s="151">
        <f t="shared" si="4"/>
        <v>0</v>
      </c>
      <c r="H25" s="151">
        <f t="shared" si="4"/>
        <v>0</v>
      </c>
      <c r="I25" s="151">
        <f t="shared" si="4"/>
        <v>0</v>
      </c>
      <c r="J25" s="151">
        <f t="shared" si="4"/>
        <v>0</v>
      </c>
      <c r="K25" s="151">
        <f t="shared" si="4"/>
        <v>0</v>
      </c>
      <c r="L25" s="151">
        <f t="shared" si="4"/>
        <v>0</v>
      </c>
      <c r="M25" s="151">
        <f t="shared" si="4"/>
        <v>0</v>
      </c>
      <c r="N25" s="151">
        <f t="shared" si="4"/>
        <v>0</v>
      </c>
      <c r="O25" s="151">
        <f t="shared" si="4"/>
        <v>0</v>
      </c>
      <c r="P25" s="151">
        <f t="shared" si="4"/>
        <v>0</v>
      </c>
      <c r="Q25" s="151">
        <f t="shared" si="4"/>
        <v>0</v>
      </c>
      <c r="R25" s="151">
        <f t="shared" si="4"/>
        <v>0</v>
      </c>
      <c r="S25" s="151">
        <f t="shared" si="4"/>
        <v>0</v>
      </c>
      <c r="T25" s="151">
        <f t="shared" si="4"/>
        <v>0</v>
      </c>
      <c r="U25" s="151">
        <f t="shared" si="4"/>
        <v>0</v>
      </c>
      <c r="V25" s="151">
        <f t="shared" si="4"/>
        <v>0</v>
      </c>
      <c r="W25" s="151">
        <f t="shared" si="4"/>
        <v>0</v>
      </c>
      <c r="X25" s="151">
        <f t="shared" si="4"/>
        <v>0</v>
      </c>
      <c r="Y25" s="151">
        <f t="shared" si="4"/>
        <v>0</v>
      </c>
      <c r="Z25" s="151">
        <f t="shared" si="4"/>
        <v>0</v>
      </c>
      <c r="AA25" s="151">
        <f t="shared" si="4"/>
        <v>0</v>
      </c>
      <c r="AB25" s="151">
        <f t="shared" si="4"/>
        <v>0</v>
      </c>
      <c r="AC25" s="151">
        <f t="shared" si="4"/>
        <v>0</v>
      </c>
      <c r="AD25" s="151">
        <f t="shared" si="4"/>
        <v>0</v>
      </c>
      <c r="AE25" s="151">
        <f t="shared" si="4"/>
        <v>0</v>
      </c>
      <c r="AF25" s="151">
        <f t="shared" si="4"/>
        <v>0</v>
      </c>
      <c r="AG25" s="151">
        <f t="shared" si="4"/>
        <v>0</v>
      </c>
      <c r="AH25" s="151">
        <f t="shared" si="4"/>
        <v>0</v>
      </c>
      <c r="AI25" s="151">
        <f t="shared" si="4"/>
        <v>0</v>
      </c>
      <c r="AJ25" s="151">
        <f t="shared" si="4"/>
        <v>0</v>
      </c>
      <c r="AK25" s="151">
        <f t="shared" si="4"/>
        <v>0</v>
      </c>
      <c r="AL25" s="151">
        <f t="shared" si="4"/>
        <v>0</v>
      </c>
      <c r="AM25" s="151">
        <f t="shared" si="4"/>
        <v>0</v>
      </c>
      <c r="AN25" s="151">
        <f t="shared" si="4"/>
        <v>0</v>
      </c>
      <c r="AO25" s="151">
        <f t="shared" si="4"/>
        <v>0</v>
      </c>
      <c r="AP25" s="151">
        <f t="shared" si="4"/>
        <v>0</v>
      </c>
      <c r="AQ25" s="151">
        <f t="shared" si="4"/>
        <v>0</v>
      </c>
      <c r="AR25" s="151">
        <f t="shared" si="4"/>
        <v>0</v>
      </c>
      <c r="AS25" s="151">
        <f t="shared" si="4"/>
        <v>0</v>
      </c>
      <c r="AT25" s="151">
        <f t="shared" si="4"/>
        <v>0</v>
      </c>
      <c r="AU25" s="151">
        <f t="shared" si="4"/>
        <v>0</v>
      </c>
      <c r="AV25" s="151">
        <f t="shared" si="4"/>
        <v>0</v>
      </c>
      <c r="AW25" s="151">
        <f t="shared" si="4"/>
        <v>0</v>
      </c>
      <c r="AX25" s="151">
        <f t="shared" si="4"/>
        <v>0</v>
      </c>
      <c r="AY25" s="151">
        <f t="shared" si="4"/>
        <v>0</v>
      </c>
      <c r="AZ25" s="151">
        <f t="shared" si="4"/>
        <v>0</v>
      </c>
      <c r="BA25" s="151">
        <f t="shared" si="4"/>
        <v>0</v>
      </c>
      <c r="BB25" s="151">
        <f t="shared" si="4"/>
        <v>0</v>
      </c>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row>
    <row r="26" spans="2:104" s="21" customFormat="1" ht="14.25" customHeight="1" x14ac:dyDescent="0.2">
      <c r="B26" s="73" t="s">
        <v>6</v>
      </c>
      <c r="C26" s="72" t="s">
        <v>7</v>
      </c>
      <c r="D26" s="92"/>
      <c r="E26" s="152">
        <f>E25</f>
        <v>0</v>
      </c>
      <c r="F26" s="152">
        <f>F25*HE_prescribed_parameters!C$13</f>
        <v>0</v>
      </c>
      <c r="G26" s="152">
        <f>G25*HE_prescribed_parameters!D$13</f>
        <v>0</v>
      </c>
      <c r="H26" s="152">
        <f>H25*HE_prescribed_parameters!E$13</f>
        <v>0</v>
      </c>
      <c r="I26" s="152">
        <f>I25*HE_prescribed_parameters!F$13</f>
        <v>0</v>
      </c>
      <c r="J26" s="152">
        <f>J25*HE_prescribed_parameters!G$13</f>
        <v>0</v>
      </c>
      <c r="K26" s="152">
        <f>K25*HE_prescribed_parameters!H$13</f>
        <v>0</v>
      </c>
      <c r="L26" s="152">
        <f>L25*HE_prescribed_parameters!I$13</f>
        <v>0</v>
      </c>
      <c r="M26" s="152">
        <f>M25*HE_prescribed_parameters!J$13</f>
        <v>0</v>
      </c>
      <c r="N26" s="152">
        <f>N25*HE_prescribed_parameters!K$13</f>
        <v>0</v>
      </c>
      <c r="O26" s="152">
        <f>O25*HE_prescribed_parameters!L$13</f>
        <v>0</v>
      </c>
      <c r="P26" s="152">
        <f>P25*HE_prescribed_parameters!M$13</f>
        <v>0</v>
      </c>
      <c r="Q26" s="152">
        <f>Q25*HE_prescribed_parameters!N$13</f>
        <v>0</v>
      </c>
      <c r="R26" s="152">
        <f>R25*HE_prescribed_parameters!O$13</f>
        <v>0</v>
      </c>
      <c r="S26" s="152">
        <f>S25*HE_prescribed_parameters!P$13</f>
        <v>0</v>
      </c>
      <c r="T26" s="152">
        <f>T25*HE_prescribed_parameters!Q$13</f>
        <v>0</v>
      </c>
      <c r="U26" s="152">
        <f>U25*HE_prescribed_parameters!R$13</f>
        <v>0</v>
      </c>
      <c r="V26" s="152">
        <f>V25*HE_prescribed_parameters!S$13</f>
        <v>0</v>
      </c>
      <c r="W26" s="152">
        <f>W25*HE_prescribed_parameters!T$13</f>
        <v>0</v>
      </c>
      <c r="X26" s="152">
        <f>X25*HE_prescribed_parameters!U$13</f>
        <v>0</v>
      </c>
      <c r="Y26" s="152">
        <f>Y25*HE_prescribed_parameters!V$13</f>
        <v>0</v>
      </c>
      <c r="Z26" s="152">
        <f>Z25*HE_prescribed_parameters!W$13</f>
        <v>0</v>
      </c>
      <c r="AA26" s="152">
        <f>AA25*HE_prescribed_parameters!X$13</f>
        <v>0</v>
      </c>
      <c r="AB26" s="152">
        <f>AB25*HE_prescribed_parameters!Y$13</f>
        <v>0</v>
      </c>
      <c r="AC26" s="152">
        <f>AC25*HE_prescribed_parameters!Z$13</f>
        <v>0</v>
      </c>
      <c r="AD26" s="152">
        <f>AD25*HE_prescribed_parameters!AA$13</f>
        <v>0</v>
      </c>
      <c r="AE26" s="152">
        <f>AE25*HE_prescribed_parameters!AB$13</f>
        <v>0</v>
      </c>
      <c r="AF26" s="152">
        <f>AF25*HE_prescribed_parameters!AC$13</f>
        <v>0</v>
      </c>
      <c r="AG26" s="152">
        <f>AG25*HE_prescribed_parameters!AD$13</f>
        <v>0</v>
      </c>
      <c r="AH26" s="152">
        <f>AH25*HE_prescribed_parameters!AE$13</f>
        <v>0</v>
      </c>
      <c r="AI26" s="152">
        <f>AI25*HE_prescribed_parameters!AF$13</f>
        <v>0</v>
      </c>
      <c r="AJ26" s="152">
        <f>AJ25*HE_prescribed_parameters!AG$13</f>
        <v>0</v>
      </c>
      <c r="AK26" s="152">
        <f>AK25*HE_prescribed_parameters!AH$13</f>
        <v>0</v>
      </c>
      <c r="AL26" s="152">
        <f>AL25*HE_prescribed_parameters!AI$13</f>
        <v>0</v>
      </c>
      <c r="AM26" s="152">
        <f>AM25*HE_prescribed_parameters!AJ$13</f>
        <v>0</v>
      </c>
      <c r="AN26" s="152">
        <f>AN25*HE_prescribed_parameters!AK$13</f>
        <v>0</v>
      </c>
      <c r="AO26" s="152">
        <f>AO25*HE_prescribed_parameters!AL$13</f>
        <v>0</v>
      </c>
      <c r="AP26" s="152">
        <f>AP25*HE_prescribed_parameters!AM$13</f>
        <v>0</v>
      </c>
      <c r="AQ26" s="152">
        <f>AQ25*HE_prescribed_parameters!AN$13</f>
        <v>0</v>
      </c>
      <c r="AR26" s="152">
        <f>AR25*HE_prescribed_parameters!AO$13</f>
        <v>0</v>
      </c>
      <c r="AS26" s="152">
        <f>AS25*HE_prescribed_parameters!AP$13</f>
        <v>0</v>
      </c>
      <c r="AT26" s="152">
        <f>AT25*HE_prescribed_parameters!AQ$13</f>
        <v>0</v>
      </c>
      <c r="AU26" s="152">
        <f>AU25*HE_prescribed_parameters!AR$13</f>
        <v>0</v>
      </c>
      <c r="AV26" s="152">
        <f>AV25*HE_prescribed_parameters!AS$13</f>
        <v>0</v>
      </c>
      <c r="AW26" s="152">
        <f>AW25*HE_prescribed_parameters!AT$13</f>
        <v>0</v>
      </c>
      <c r="AX26" s="152">
        <f>AX25*HE_prescribed_parameters!AU$13</f>
        <v>0</v>
      </c>
      <c r="AY26" s="152">
        <f>AY25*HE_prescribed_parameters!AV$13</f>
        <v>0</v>
      </c>
      <c r="AZ26" s="152">
        <f>AZ25*HE_prescribed_parameters!AW$13</f>
        <v>0</v>
      </c>
      <c r="BA26" s="152">
        <f>BA25*HE_prescribed_parameters!AX$13</f>
        <v>0</v>
      </c>
      <c r="BB26" s="152">
        <f>BB25*HE_prescribed_parameters!AY$13</f>
        <v>0</v>
      </c>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row>
    <row r="27" spans="2:104" s="21" customFormat="1" ht="14.25" customHeight="1" x14ac:dyDescent="0.2">
      <c r="B27" s="74" t="s">
        <v>10</v>
      </c>
      <c r="C27" s="72" t="s">
        <v>4</v>
      </c>
      <c r="D27" s="92"/>
      <c r="E27" s="150"/>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row>
    <row r="28" spans="2:104" s="21" customFormat="1" ht="14.25" customHeight="1" x14ac:dyDescent="0.2">
      <c r="B28" s="74" t="s">
        <v>11</v>
      </c>
      <c r="C28" s="72" t="s">
        <v>4</v>
      </c>
      <c r="D28" s="92"/>
      <c r="E28" s="150"/>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row>
    <row r="29" spans="2:104" s="21" customFormat="1" ht="14.25" customHeight="1" x14ac:dyDescent="0.2">
      <c r="B29" s="73" t="s">
        <v>6</v>
      </c>
      <c r="C29" s="72" t="s">
        <v>4</v>
      </c>
      <c r="D29" s="92"/>
      <c r="E29" s="151">
        <f t="shared" ref="E29:AJ29" si="5">SUM(E27:E28)</f>
        <v>0</v>
      </c>
      <c r="F29" s="151">
        <f t="shared" si="5"/>
        <v>0</v>
      </c>
      <c r="G29" s="151">
        <f t="shared" si="5"/>
        <v>0</v>
      </c>
      <c r="H29" s="151">
        <f t="shared" si="5"/>
        <v>0</v>
      </c>
      <c r="I29" s="151">
        <f t="shared" si="5"/>
        <v>0</v>
      </c>
      <c r="J29" s="151">
        <f t="shared" si="5"/>
        <v>0</v>
      </c>
      <c r="K29" s="151">
        <f t="shared" si="5"/>
        <v>0</v>
      </c>
      <c r="L29" s="151">
        <f t="shared" si="5"/>
        <v>0</v>
      </c>
      <c r="M29" s="151">
        <f t="shared" si="5"/>
        <v>0</v>
      </c>
      <c r="N29" s="151">
        <f t="shared" si="5"/>
        <v>0</v>
      </c>
      <c r="O29" s="151">
        <f t="shared" si="5"/>
        <v>0</v>
      </c>
      <c r="P29" s="151">
        <f t="shared" si="5"/>
        <v>0</v>
      </c>
      <c r="Q29" s="151">
        <f t="shared" si="5"/>
        <v>0</v>
      </c>
      <c r="R29" s="151">
        <f t="shared" si="5"/>
        <v>0</v>
      </c>
      <c r="S29" s="151">
        <f t="shared" si="5"/>
        <v>0</v>
      </c>
      <c r="T29" s="151">
        <f t="shared" si="5"/>
        <v>0</v>
      </c>
      <c r="U29" s="151">
        <f t="shared" si="5"/>
        <v>0</v>
      </c>
      <c r="V29" s="151">
        <f t="shared" si="5"/>
        <v>0</v>
      </c>
      <c r="W29" s="151">
        <f t="shared" si="5"/>
        <v>0</v>
      </c>
      <c r="X29" s="151">
        <f t="shared" si="5"/>
        <v>0</v>
      </c>
      <c r="Y29" s="151">
        <f t="shared" si="5"/>
        <v>0</v>
      </c>
      <c r="Z29" s="151">
        <f t="shared" si="5"/>
        <v>0</v>
      </c>
      <c r="AA29" s="151">
        <f t="shared" si="5"/>
        <v>0</v>
      </c>
      <c r="AB29" s="151">
        <f t="shared" si="5"/>
        <v>0</v>
      </c>
      <c r="AC29" s="151">
        <f t="shared" si="5"/>
        <v>0</v>
      </c>
      <c r="AD29" s="151">
        <f t="shared" si="5"/>
        <v>0</v>
      </c>
      <c r="AE29" s="151">
        <f t="shared" si="5"/>
        <v>0</v>
      </c>
      <c r="AF29" s="151">
        <f t="shared" si="5"/>
        <v>0</v>
      </c>
      <c r="AG29" s="151">
        <f t="shared" si="5"/>
        <v>0</v>
      </c>
      <c r="AH29" s="151">
        <f t="shared" si="5"/>
        <v>0</v>
      </c>
      <c r="AI29" s="151">
        <f t="shared" si="5"/>
        <v>0</v>
      </c>
      <c r="AJ29" s="151">
        <f t="shared" si="5"/>
        <v>0</v>
      </c>
      <c r="AK29" s="151">
        <f t="shared" ref="AK29:BB29" si="6">SUM(AK27:AK28)</f>
        <v>0</v>
      </c>
      <c r="AL29" s="151">
        <f t="shared" si="6"/>
        <v>0</v>
      </c>
      <c r="AM29" s="151">
        <f t="shared" si="6"/>
        <v>0</v>
      </c>
      <c r="AN29" s="151">
        <f t="shared" si="6"/>
        <v>0</v>
      </c>
      <c r="AO29" s="151">
        <f t="shared" si="6"/>
        <v>0</v>
      </c>
      <c r="AP29" s="151">
        <f t="shared" si="6"/>
        <v>0</v>
      </c>
      <c r="AQ29" s="151">
        <f t="shared" si="6"/>
        <v>0</v>
      </c>
      <c r="AR29" s="151">
        <f t="shared" si="6"/>
        <v>0</v>
      </c>
      <c r="AS29" s="151">
        <f t="shared" si="6"/>
        <v>0</v>
      </c>
      <c r="AT29" s="151">
        <f t="shared" si="6"/>
        <v>0</v>
      </c>
      <c r="AU29" s="151">
        <f t="shared" si="6"/>
        <v>0</v>
      </c>
      <c r="AV29" s="151">
        <f t="shared" si="6"/>
        <v>0</v>
      </c>
      <c r="AW29" s="151">
        <f t="shared" si="6"/>
        <v>0</v>
      </c>
      <c r="AX29" s="151">
        <f t="shared" si="6"/>
        <v>0</v>
      </c>
      <c r="AY29" s="151">
        <f t="shared" si="6"/>
        <v>0</v>
      </c>
      <c r="AZ29" s="151">
        <f t="shared" si="6"/>
        <v>0</v>
      </c>
      <c r="BA29" s="151">
        <f t="shared" si="6"/>
        <v>0</v>
      </c>
      <c r="BB29" s="151">
        <f t="shared" si="6"/>
        <v>0</v>
      </c>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row>
    <row r="30" spans="2:104" s="21" customFormat="1" ht="14.25" customHeight="1" x14ac:dyDescent="0.2">
      <c r="B30" s="73" t="s">
        <v>6</v>
      </c>
      <c r="C30" s="72" t="s">
        <v>7</v>
      </c>
      <c r="D30" s="92"/>
      <c r="E30" s="152">
        <f>E29</f>
        <v>0</v>
      </c>
      <c r="F30" s="152">
        <f>F29*HE_prescribed_parameters!C$13</f>
        <v>0</v>
      </c>
      <c r="G30" s="152">
        <f>G29*HE_prescribed_parameters!D$13</f>
        <v>0</v>
      </c>
      <c r="H30" s="152">
        <f>H29*HE_prescribed_parameters!E$13</f>
        <v>0</v>
      </c>
      <c r="I30" s="152">
        <f>I29*HE_prescribed_parameters!F$13</f>
        <v>0</v>
      </c>
      <c r="J30" s="152">
        <f>J29*HE_prescribed_parameters!G$13</f>
        <v>0</v>
      </c>
      <c r="K30" s="152">
        <f>K29*HE_prescribed_parameters!H$13</f>
        <v>0</v>
      </c>
      <c r="L30" s="152">
        <f>L29*HE_prescribed_parameters!I$13</f>
        <v>0</v>
      </c>
      <c r="M30" s="152">
        <f>M29*HE_prescribed_parameters!J$13</f>
        <v>0</v>
      </c>
      <c r="N30" s="152">
        <f>N29*HE_prescribed_parameters!K$13</f>
        <v>0</v>
      </c>
      <c r="O30" s="152">
        <f>O29*HE_prescribed_parameters!L$13</f>
        <v>0</v>
      </c>
      <c r="P30" s="152">
        <f>P29*HE_prescribed_parameters!M$13</f>
        <v>0</v>
      </c>
      <c r="Q30" s="152">
        <f>Q29*HE_prescribed_parameters!N$13</f>
        <v>0</v>
      </c>
      <c r="R30" s="152">
        <f>R29*HE_prescribed_parameters!O$13</f>
        <v>0</v>
      </c>
      <c r="S30" s="152">
        <f>S29*HE_prescribed_parameters!P$13</f>
        <v>0</v>
      </c>
      <c r="T30" s="152">
        <f>T29*HE_prescribed_parameters!Q$13</f>
        <v>0</v>
      </c>
      <c r="U30" s="152">
        <f>U29*HE_prescribed_parameters!R$13</f>
        <v>0</v>
      </c>
      <c r="V30" s="152">
        <f>V29*HE_prescribed_parameters!S$13</f>
        <v>0</v>
      </c>
      <c r="W30" s="152">
        <f>W29*HE_prescribed_parameters!T$13</f>
        <v>0</v>
      </c>
      <c r="X30" s="152">
        <f>X29*HE_prescribed_parameters!U$13</f>
        <v>0</v>
      </c>
      <c r="Y30" s="152">
        <f>Y29*HE_prescribed_parameters!V$13</f>
        <v>0</v>
      </c>
      <c r="Z30" s="152">
        <f>Z29*HE_prescribed_parameters!W$13</f>
        <v>0</v>
      </c>
      <c r="AA30" s="152">
        <f>AA29*HE_prescribed_parameters!X$13</f>
        <v>0</v>
      </c>
      <c r="AB30" s="152">
        <f>AB29*HE_prescribed_parameters!Y$13</f>
        <v>0</v>
      </c>
      <c r="AC30" s="152">
        <f>AC29*HE_prescribed_parameters!Z$13</f>
        <v>0</v>
      </c>
      <c r="AD30" s="152">
        <f>AD29*HE_prescribed_parameters!AA$13</f>
        <v>0</v>
      </c>
      <c r="AE30" s="152">
        <f>AE29*HE_prescribed_parameters!AB$13</f>
        <v>0</v>
      </c>
      <c r="AF30" s="152">
        <f>AF29*HE_prescribed_parameters!AC$13</f>
        <v>0</v>
      </c>
      <c r="AG30" s="152">
        <f>AG29*HE_prescribed_parameters!AD$13</f>
        <v>0</v>
      </c>
      <c r="AH30" s="152">
        <f>AH29*HE_prescribed_parameters!AE$13</f>
        <v>0</v>
      </c>
      <c r="AI30" s="152">
        <f>AI29*HE_prescribed_parameters!AF$13</f>
        <v>0</v>
      </c>
      <c r="AJ30" s="152">
        <f>AJ29*HE_prescribed_parameters!AG$13</f>
        <v>0</v>
      </c>
      <c r="AK30" s="152">
        <f>AK29*HE_prescribed_parameters!AH$13</f>
        <v>0</v>
      </c>
      <c r="AL30" s="152">
        <f>AL29*HE_prescribed_parameters!AI$13</f>
        <v>0</v>
      </c>
      <c r="AM30" s="152">
        <f>AM29*HE_prescribed_parameters!AJ$13</f>
        <v>0</v>
      </c>
      <c r="AN30" s="152">
        <f>AN29*HE_prescribed_parameters!AK$13</f>
        <v>0</v>
      </c>
      <c r="AO30" s="152">
        <f>AO29*HE_prescribed_parameters!AL$13</f>
        <v>0</v>
      </c>
      <c r="AP30" s="152">
        <f>AP29*HE_prescribed_parameters!AM$13</f>
        <v>0</v>
      </c>
      <c r="AQ30" s="152">
        <f>AQ29*HE_prescribed_parameters!AN$13</f>
        <v>0</v>
      </c>
      <c r="AR30" s="152">
        <f>AR29*HE_prescribed_parameters!AO$13</f>
        <v>0</v>
      </c>
      <c r="AS30" s="152">
        <f>AS29*HE_prescribed_parameters!AP$13</f>
        <v>0</v>
      </c>
      <c r="AT30" s="152">
        <f>AT29*HE_prescribed_parameters!AQ$13</f>
        <v>0</v>
      </c>
      <c r="AU30" s="152">
        <f>AU29*HE_prescribed_parameters!AR$13</f>
        <v>0</v>
      </c>
      <c r="AV30" s="152">
        <f>AV29*HE_prescribed_parameters!AS$13</f>
        <v>0</v>
      </c>
      <c r="AW30" s="152">
        <f>AW29*HE_prescribed_parameters!AT$13</f>
        <v>0</v>
      </c>
      <c r="AX30" s="152">
        <f>AX29*HE_prescribed_parameters!AU$13</f>
        <v>0</v>
      </c>
      <c r="AY30" s="152">
        <f>AY29*HE_prescribed_parameters!AV$13</f>
        <v>0</v>
      </c>
      <c r="AZ30" s="152">
        <f>AZ29*HE_prescribed_parameters!AW$13</f>
        <v>0</v>
      </c>
      <c r="BA30" s="152">
        <f>BA29*HE_prescribed_parameters!AX$13</f>
        <v>0</v>
      </c>
      <c r="BB30" s="152">
        <f>BB29*HE_prescribed_parameters!AY$13</f>
        <v>0</v>
      </c>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row>
    <row r="31" spans="2:104" s="21" customFormat="1" ht="14.25" customHeight="1" x14ac:dyDescent="0.2">
      <c r="B31" s="74" t="s">
        <v>12</v>
      </c>
      <c r="C31" s="72" t="s">
        <v>4</v>
      </c>
      <c r="D31" s="92"/>
      <c r="E31" s="150"/>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row>
    <row r="32" spans="2:104" s="21" customFormat="1" ht="14.25" customHeight="1" x14ac:dyDescent="0.2">
      <c r="B32" s="74" t="s">
        <v>13</v>
      </c>
      <c r="C32" s="72" t="s">
        <v>4</v>
      </c>
      <c r="D32" s="92"/>
      <c r="E32" s="150"/>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row>
    <row r="33" spans="1:104" s="21" customFormat="1" ht="14.25" customHeight="1" x14ac:dyDescent="0.2">
      <c r="B33" s="73" t="s">
        <v>6</v>
      </c>
      <c r="C33" s="72" t="s">
        <v>4</v>
      </c>
      <c r="D33" s="92"/>
      <c r="E33" s="151">
        <f t="shared" ref="E33:AJ33" si="7">SUM(E31:E32)</f>
        <v>0</v>
      </c>
      <c r="F33" s="151">
        <f t="shared" si="7"/>
        <v>0</v>
      </c>
      <c r="G33" s="151">
        <f t="shared" si="7"/>
        <v>0</v>
      </c>
      <c r="H33" s="151">
        <f t="shared" si="7"/>
        <v>0</v>
      </c>
      <c r="I33" s="151">
        <f t="shared" si="7"/>
        <v>0</v>
      </c>
      <c r="J33" s="151">
        <f t="shared" si="7"/>
        <v>0</v>
      </c>
      <c r="K33" s="151">
        <f t="shared" si="7"/>
        <v>0</v>
      </c>
      <c r="L33" s="151">
        <f t="shared" si="7"/>
        <v>0</v>
      </c>
      <c r="M33" s="151">
        <f t="shared" si="7"/>
        <v>0</v>
      </c>
      <c r="N33" s="151">
        <f t="shared" si="7"/>
        <v>0</v>
      </c>
      <c r="O33" s="151">
        <f t="shared" si="7"/>
        <v>0</v>
      </c>
      <c r="P33" s="151">
        <f t="shared" si="7"/>
        <v>0</v>
      </c>
      <c r="Q33" s="151">
        <f t="shared" si="7"/>
        <v>0</v>
      </c>
      <c r="R33" s="151">
        <f t="shared" si="7"/>
        <v>0</v>
      </c>
      <c r="S33" s="151">
        <f t="shared" si="7"/>
        <v>0</v>
      </c>
      <c r="T33" s="151">
        <f t="shared" si="7"/>
        <v>0</v>
      </c>
      <c r="U33" s="151">
        <f t="shared" si="7"/>
        <v>0</v>
      </c>
      <c r="V33" s="151">
        <f t="shared" si="7"/>
        <v>0</v>
      </c>
      <c r="W33" s="151">
        <f t="shared" si="7"/>
        <v>0</v>
      </c>
      <c r="X33" s="151">
        <f t="shared" si="7"/>
        <v>0</v>
      </c>
      <c r="Y33" s="151">
        <f t="shared" si="7"/>
        <v>0</v>
      </c>
      <c r="Z33" s="151">
        <f t="shared" si="7"/>
        <v>0</v>
      </c>
      <c r="AA33" s="151">
        <f t="shared" si="7"/>
        <v>0</v>
      </c>
      <c r="AB33" s="151">
        <f t="shared" si="7"/>
        <v>0</v>
      </c>
      <c r="AC33" s="151">
        <f t="shared" si="7"/>
        <v>0</v>
      </c>
      <c r="AD33" s="151">
        <f t="shared" si="7"/>
        <v>0</v>
      </c>
      <c r="AE33" s="151">
        <f t="shared" si="7"/>
        <v>0</v>
      </c>
      <c r="AF33" s="151">
        <f t="shared" si="7"/>
        <v>0</v>
      </c>
      <c r="AG33" s="151">
        <f t="shared" si="7"/>
        <v>0</v>
      </c>
      <c r="AH33" s="151">
        <f t="shared" si="7"/>
        <v>0</v>
      </c>
      <c r="AI33" s="151">
        <f t="shared" si="7"/>
        <v>0</v>
      </c>
      <c r="AJ33" s="151">
        <f t="shared" si="7"/>
        <v>0</v>
      </c>
      <c r="AK33" s="151">
        <f t="shared" ref="AK33:BB33" si="8">SUM(AK31:AK32)</f>
        <v>0</v>
      </c>
      <c r="AL33" s="151">
        <f t="shared" si="8"/>
        <v>0</v>
      </c>
      <c r="AM33" s="151">
        <f t="shared" si="8"/>
        <v>0</v>
      </c>
      <c r="AN33" s="151">
        <f t="shared" si="8"/>
        <v>0</v>
      </c>
      <c r="AO33" s="151">
        <f t="shared" si="8"/>
        <v>0</v>
      </c>
      <c r="AP33" s="151">
        <f t="shared" si="8"/>
        <v>0</v>
      </c>
      <c r="AQ33" s="151">
        <f t="shared" si="8"/>
        <v>0</v>
      </c>
      <c r="AR33" s="151">
        <f t="shared" si="8"/>
        <v>0</v>
      </c>
      <c r="AS33" s="151">
        <f t="shared" si="8"/>
        <v>0</v>
      </c>
      <c r="AT33" s="151">
        <f t="shared" si="8"/>
        <v>0</v>
      </c>
      <c r="AU33" s="151">
        <f t="shared" si="8"/>
        <v>0</v>
      </c>
      <c r="AV33" s="151">
        <f t="shared" si="8"/>
        <v>0</v>
      </c>
      <c r="AW33" s="151">
        <f t="shared" si="8"/>
        <v>0</v>
      </c>
      <c r="AX33" s="151">
        <f t="shared" si="8"/>
        <v>0</v>
      </c>
      <c r="AY33" s="151">
        <f t="shared" si="8"/>
        <v>0</v>
      </c>
      <c r="AZ33" s="151">
        <f t="shared" si="8"/>
        <v>0</v>
      </c>
      <c r="BA33" s="151">
        <f t="shared" si="8"/>
        <v>0</v>
      </c>
      <c r="BB33" s="151">
        <f t="shared" si="8"/>
        <v>0</v>
      </c>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row>
    <row r="34" spans="1:104" s="21" customFormat="1" ht="14.25" customHeight="1" x14ac:dyDescent="0.2">
      <c r="B34" s="73" t="s">
        <v>6</v>
      </c>
      <c r="C34" s="72" t="s">
        <v>7</v>
      </c>
      <c r="D34" s="92"/>
      <c r="E34" s="152">
        <f>E33</f>
        <v>0</v>
      </c>
      <c r="F34" s="152">
        <f>F33*HE_prescribed_parameters!C$13</f>
        <v>0</v>
      </c>
      <c r="G34" s="152">
        <f>G33*HE_prescribed_parameters!D$13</f>
        <v>0</v>
      </c>
      <c r="H34" s="152">
        <f>H33*HE_prescribed_parameters!E$13</f>
        <v>0</v>
      </c>
      <c r="I34" s="152">
        <f>I33*HE_prescribed_parameters!F$13</f>
        <v>0</v>
      </c>
      <c r="J34" s="152">
        <f>J33*HE_prescribed_parameters!G$13</f>
        <v>0</v>
      </c>
      <c r="K34" s="152">
        <f>K33*HE_prescribed_parameters!H$13</f>
        <v>0</v>
      </c>
      <c r="L34" s="152">
        <f>L33*HE_prescribed_parameters!I$13</f>
        <v>0</v>
      </c>
      <c r="M34" s="152">
        <f>M33*HE_prescribed_parameters!J$13</f>
        <v>0</v>
      </c>
      <c r="N34" s="152">
        <f>N33*HE_prescribed_parameters!K$13</f>
        <v>0</v>
      </c>
      <c r="O34" s="152">
        <f>O33*HE_prescribed_parameters!L$13</f>
        <v>0</v>
      </c>
      <c r="P34" s="152">
        <f>P33*HE_prescribed_parameters!M$13</f>
        <v>0</v>
      </c>
      <c r="Q34" s="152">
        <f>Q33*HE_prescribed_parameters!N$13</f>
        <v>0</v>
      </c>
      <c r="R34" s="152">
        <f>R33*HE_prescribed_parameters!O$13</f>
        <v>0</v>
      </c>
      <c r="S34" s="152">
        <f>S33*HE_prescribed_parameters!P$13</f>
        <v>0</v>
      </c>
      <c r="T34" s="152">
        <f>T33*HE_prescribed_parameters!Q$13</f>
        <v>0</v>
      </c>
      <c r="U34" s="152">
        <f>U33*HE_prescribed_parameters!R$13</f>
        <v>0</v>
      </c>
      <c r="V34" s="152">
        <f>V33*HE_prescribed_parameters!S$13</f>
        <v>0</v>
      </c>
      <c r="W34" s="152">
        <f>W33*HE_prescribed_parameters!T$13</f>
        <v>0</v>
      </c>
      <c r="X34" s="152">
        <f>X33*HE_prescribed_parameters!U$13</f>
        <v>0</v>
      </c>
      <c r="Y34" s="152">
        <f>Y33*HE_prescribed_parameters!V$13</f>
        <v>0</v>
      </c>
      <c r="Z34" s="152">
        <f>Z33*HE_prescribed_parameters!W$13</f>
        <v>0</v>
      </c>
      <c r="AA34" s="152">
        <f>AA33*HE_prescribed_parameters!X$13</f>
        <v>0</v>
      </c>
      <c r="AB34" s="152">
        <f>AB33*HE_prescribed_parameters!Y$13</f>
        <v>0</v>
      </c>
      <c r="AC34" s="152">
        <f>AC33*HE_prescribed_parameters!Z$13</f>
        <v>0</v>
      </c>
      <c r="AD34" s="152">
        <f>AD33*HE_prescribed_parameters!AA$13</f>
        <v>0</v>
      </c>
      <c r="AE34" s="152">
        <f>AE33*HE_prescribed_parameters!AB$13</f>
        <v>0</v>
      </c>
      <c r="AF34" s="152">
        <f>AF33*HE_prescribed_parameters!AC$13</f>
        <v>0</v>
      </c>
      <c r="AG34" s="152">
        <f>AG33*HE_prescribed_parameters!AD$13</f>
        <v>0</v>
      </c>
      <c r="AH34" s="152">
        <f>AH33*HE_prescribed_parameters!AE$13</f>
        <v>0</v>
      </c>
      <c r="AI34" s="152">
        <f>AI33*HE_prescribed_parameters!AF$13</f>
        <v>0</v>
      </c>
      <c r="AJ34" s="152">
        <f>AJ33*HE_prescribed_parameters!AG$13</f>
        <v>0</v>
      </c>
      <c r="AK34" s="152">
        <f>AK33*HE_prescribed_parameters!AH$13</f>
        <v>0</v>
      </c>
      <c r="AL34" s="152">
        <f>AL33*HE_prescribed_parameters!AI$13</f>
        <v>0</v>
      </c>
      <c r="AM34" s="152">
        <f>AM33*HE_prescribed_parameters!AJ$13</f>
        <v>0</v>
      </c>
      <c r="AN34" s="152">
        <f>AN33*HE_prescribed_parameters!AK$13</f>
        <v>0</v>
      </c>
      <c r="AO34" s="152">
        <f>AO33*HE_prescribed_parameters!AL$13</f>
        <v>0</v>
      </c>
      <c r="AP34" s="152">
        <f>AP33*HE_prescribed_parameters!AM$13</f>
        <v>0</v>
      </c>
      <c r="AQ34" s="152">
        <f>AQ33*HE_prescribed_parameters!AN$13</f>
        <v>0</v>
      </c>
      <c r="AR34" s="152">
        <f>AR33*HE_prescribed_parameters!AO$13</f>
        <v>0</v>
      </c>
      <c r="AS34" s="152">
        <f>AS33*HE_prescribed_parameters!AP$13</f>
        <v>0</v>
      </c>
      <c r="AT34" s="152">
        <f>AT33*HE_prescribed_parameters!AQ$13</f>
        <v>0</v>
      </c>
      <c r="AU34" s="152">
        <f>AU33*HE_prescribed_parameters!AR$13</f>
        <v>0</v>
      </c>
      <c r="AV34" s="152">
        <f>AV33*HE_prescribed_parameters!AS$13</f>
        <v>0</v>
      </c>
      <c r="AW34" s="152">
        <f>AW33*HE_prescribed_parameters!AT$13</f>
        <v>0</v>
      </c>
      <c r="AX34" s="152">
        <f>AX33*HE_prescribed_parameters!AU$13</f>
        <v>0</v>
      </c>
      <c r="AY34" s="152">
        <f>AY33*HE_prescribed_parameters!AV$13</f>
        <v>0</v>
      </c>
      <c r="AZ34" s="152">
        <f>AZ33*HE_prescribed_parameters!AW$13</f>
        <v>0</v>
      </c>
      <c r="BA34" s="152">
        <f>BA33*HE_prescribed_parameters!AX$13</f>
        <v>0</v>
      </c>
      <c r="BB34" s="152">
        <f>BB33*HE_prescribed_parameters!AY$13</f>
        <v>0</v>
      </c>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row>
    <row r="35" spans="1:104" s="21" customFormat="1" ht="14.25" customHeight="1" x14ac:dyDescent="0.2">
      <c r="B35" s="74" t="s">
        <v>14</v>
      </c>
      <c r="C35" s="72" t="s">
        <v>4</v>
      </c>
      <c r="D35" s="92"/>
      <c r="E35" s="150"/>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row>
    <row r="36" spans="1:104" s="21" customFormat="1" ht="14.25" customHeight="1" x14ac:dyDescent="0.2">
      <c r="B36" s="74" t="s">
        <v>15</v>
      </c>
      <c r="C36" s="72" t="s">
        <v>4</v>
      </c>
      <c r="D36" s="92"/>
      <c r="E36" s="150"/>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row>
    <row r="37" spans="1:104" s="21" customFormat="1" ht="14.25" customHeight="1" x14ac:dyDescent="0.2">
      <c r="B37" s="73" t="s">
        <v>6</v>
      </c>
      <c r="C37" s="72" t="s">
        <v>4</v>
      </c>
      <c r="D37" s="92"/>
      <c r="E37" s="151">
        <f t="shared" ref="E37:AJ37" si="9">SUM(E35:E36)</f>
        <v>0</v>
      </c>
      <c r="F37" s="151">
        <f t="shared" si="9"/>
        <v>0</v>
      </c>
      <c r="G37" s="151">
        <f t="shared" si="9"/>
        <v>0</v>
      </c>
      <c r="H37" s="151">
        <f t="shared" si="9"/>
        <v>0</v>
      </c>
      <c r="I37" s="151">
        <f t="shared" si="9"/>
        <v>0</v>
      </c>
      <c r="J37" s="151">
        <f t="shared" si="9"/>
        <v>0</v>
      </c>
      <c r="K37" s="151">
        <f t="shared" si="9"/>
        <v>0</v>
      </c>
      <c r="L37" s="151">
        <f t="shared" si="9"/>
        <v>0</v>
      </c>
      <c r="M37" s="151">
        <f t="shared" si="9"/>
        <v>0</v>
      </c>
      <c r="N37" s="151">
        <f t="shared" si="9"/>
        <v>0</v>
      </c>
      <c r="O37" s="151">
        <f t="shared" si="9"/>
        <v>0</v>
      </c>
      <c r="P37" s="151">
        <f t="shared" si="9"/>
        <v>0</v>
      </c>
      <c r="Q37" s="151">
        <f t="shared" si="9"/>
        <v>0</v>
      </c>
      <c r="R37" s="151">
        <f t="shared" si="9"/>
        <v>0</v>
      </c>
      <c r="S37" s="151">
        <f t="shared" si="9"/>
        <v>0</v>
      </c>
      <c r="T37" s="151">
        <f t="shared" si="9"/>
        <v>0</v>
      </c>
      <c r="U37" s="151">
        <f t="shared" si="9"/>
        <v>0</v>
      </c>
      <c r="V37" s="151">
        <f t="shared" si="9"/>
        <v>0</v>
      </c>
      <c r="W37" s="151">
        <f t="shared" si="9"/>
        <v>0</v>
      </c>
      <c r="X37" s="151">
        <f t="shared" si="9"/>
        <v>0</v>
      </c>
      <c r="Y37" s="151">
        <f t="shared" si="9"/>
        <v>0</v>
      </c>
      <c r="Z37" s="151">
        <f t="shared" si="9"/>
        <v>0</v>
      </c>
      <c r="AA37" s="151">
        <f t="shared" si="9"/>
        <v>0</v>
      </c>
      <c r="AB37" s="151">
        <f t="shared" si="9"/>
        <v>0</v>
      </c>
      <c r="AC37" s="151">
        <f t="shared" si="9"/>
        <v>0</v>
      </c>
      <c r="AD37" s="151">
        <f t="shared" si="9"/>
        <v>0</v>
      </c>
      <c r="AE37" s="151">
        <f t="shared" si="9"/>
        <v>0</v>
      </c>
      <c r="AF37" s="151">
        <f t="shared" si="9"/>
        <v>0</v>
      </c>
      <c r="AG37" s="151">
        <f t="shared" si="9"/>
        <v>0</v>
      </c>
      <c r="AH37" s="151">
        <f t="shared" si="9"/>
        <v>0</v>
      </c>
      <c r="AI37" s="151">
        <f t="shared" si="9"/>
        <v>0</v>
      </c>
      <c r="AJ37" s="151">
        <f t="shared" si="9"/>
        <v>0</v>
      </c>
      <c r="AK37" s="151">
        <f t="shared" ref="AK37:BB37" si="10">SUM(AK35:AK36)</f>
        <v>0</v>
      </c>
      <c r="AL37" s="151">
        <f t="shared" si="10"/>
        <v>0</v>
      </c>
      <c r="AM37" s="151">
        <f t="shared" si="10"/>
        <v>0</v>
      </c>
      <c r="AN37" s="151">
        <f t="shared" si="10"/>
        <v>0</v>
      </c>
      <c r="AO37" s="151">
        <f t="shared" si="10"/>
        <v>0</v>
      </c>
      <c r="AP37" s="151">
        <f t="shared" si="10"/>
        <v>0</v>
      </c>
      <c r="AQ37" s="151">
        <f t="shared" si="10"/>
        <v>0</v>
      </c>
      <c r="AR37" s="151">
        <f t="shared" si="10"/>
        <v>0</v>
      </c>
      <c r="AS37" s="151">
        <f t="shared" si="10"/>
        <v>0</v>
      </c>
      <c r="AT37" s="151">
        <f t="shared" si="10"/>
        <v>0</v>
      </c>
      <c r="AU37" s="151">
        <f t="shared" si="10"/>
        <v>0</v>
      </c>
      <c r="AV37" s="151">
        <f t="shared" si="10"/>
        <v>0</v>
      </c>
      <c r="AW37" s="151">
        <f t="shared" si="10"/>
        <v>0</v>
      </c>
      <c r="AX37" s="151">
        <f t="shared" si="10"/>
        <v>0</v>
      </c>
      <c r="AY37" s="151">
        <f t="shared" si="10"/>
        <v>0</v>
      </c>
      <c r="AZ37" s="151">
        <f t="shared" si="10"/>
        <v>0</v>
      </c>
      <c r="BA37" s="151">
        <f t="shared" si="10"/>
        <v>0</v>
      </c>
      <c r="BB37" s="151">
        <f t="shared" si="10"/>
        <v>0</v>
      </c>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row>
    <row r="38" spans="1:104" s="21" customFormat="1" ht="14.25" customHeight="1" x14ac:dyDescent="0.2">
      <c r="B38" s="73" t="s">
        <v>6</v>
      </c>
      <c r="C38" s="72" t="s">
        <v>7</v>
      </c>
      <c r="D38" s="92"/>
      <c r="E38" s="153">
        <f>E37</f>
        <v>0</v>
      </c>
      <c r="F38" s="153">
        <f>F37*HE_prescribed_parameters!C$13</f>
        <v>0</v>
      </c>
      <c r="G38" s="153">
        <f>G37*HE_prescribed_parameters!D$13</f>
        <v>0</v>
      </c>
      <c r="H38" s="153">
        <f>H37*HE_prescribed_parameters!E$13</f>
        <v>0</v>
      </c>
      <c r="I38" s="153">
        <f>I37*HE_prescribed_parameters!F$13</f>
        <v>0</v>
      </c>
      <c r="J38" s="153">
        <f>J37*HE_prescribed_parameters!G$13</f>
        <v>0</v>
      </c>
      <c r="K38" s="153">
        <f>K37*HE_prescribed_parameters!H$13</f>
        <v>0</v>
      </c>
      <c r="L38" s="153">
        <f>L37*HE_prescribed_parameters!I$13</f>
        <v>0</v>
      </c>
      <c r="M38" s="153">
        <f>M37*HE_prescribed_parameters!J$13</f>
        <v>0</v>
      </c>
      <c r="N38" s="153">
        <f>N37*HE_prescribed_parameters!K$13</f>
        <v>0</v>
      </c>
      <c r="O38" s="153">
        <f>O37*HE_prescribed_parameters!L$13</f>
        <v>0</v>
      </c>
      <c r="P38" s="153">
        <f>P37*HE_prescribed_parameters!M$13</f>
        <v>0</v>
      </c>
      <c r="Q38" s="153">
        <f>Q37*HE_prescribed_parameters!N$13</f>
        <v>0</v>
      </c>
      <c r="R38" s="153">
        <f>R37*HE_prescribed_parameters!O$13</f>
        <v>0</v>
      </c>
      <c r="S38" s="153">
        <f>S37*HE_prescribed_parameters!P$13</f>
        <v>0</v>
      </c>
      <c r="T38" s="153">
        <f>T37*HE_prescribed_parameters!Q$13</f>
        <v>0</v>
      </c>
      <c r="U38" s="153">
        <f>U37*HE_prescribed_parameters!R$13</f>
        <v>0</v>
      </c>
      <c r="V38" s="153">
        <f>V37*HE_prescribed_parameters!S$13</f>
        <v>0</v>
      </c>
      <c r="W38" s="153">
        <f>W37*HE_prescribed_parameters!T$13</f>
        <v>0</v>
      </c>
      <c r="X38" s="153">
        <f>X37*HE_prescribed_parameters!U$13</f>
        <v>0</v>
      </c>
      <c r="Y38" s="153">
        <f>Y37*HE_prescribed_parameters!V$13</f>
        <v>0</v>
      </c>
      <c r="Z38" s="153">
        <f>Z37*HE_prescribed_parameters!W$13</f>
        <v>0</v>
      </c>
      <c r="AA38" s="153">
        <f>AA37*HE_prescribed_parameters!X$13</f>
        <v>0</v>
      </c>
      <c r="AB38" s="153">
        <f>AB37*HE_prescribed_parameters!Y$13</f>
        <v>0</v>
      </c>
      <c r="AC38" s="153">
        <f>AC37*HE_prescribed_parameters!Z$13</f>
        <v>0</v>
      </c>
      <c r="AD38" s="153">
        <f>AD37*HE_prescribed_parameters!AA$13</f>
        <v>0</v>
      </c>
      <c r="AE38" s="153">
        <f>AE37*HE_prescribed_parameters!AB$13</f>
        <v>0</v>
      </c>
      <c r="AF38" s="153">
        <f>AF37*HE_prescribed_parameters!AC$13</f>
        <v>0</v>
      </c>
      <c r="AG38" s="153">
        <f>AG37*HE_prescribed_parameters!AD$13</f>
        <v>0</v>
      </c>
      <c r="AH38" s="153">
        <f>AH37*HE_prescribed_parameters!AE$13</f>
        <v>0</v>
      </c>
      <c r="AI38" s="153">
        <f>AI37*HE_prescribed_parameters!AF$13</f>
        <v>0</v>
      </c>
      <c r="AJ38" s="153">
        <f>AJ37*HE_prescribed_parameters!AG$13</f>
        <v>0</v>
      </c>
      <c r="AK38" s="153">
        <f>AK37*HE_prescribed_parameters!AH$13</f>
        <v>0</v>
      </c>
      <c r="AL38" s="153">
        <f>AL37*HE_prescribed_parameters!AI$13</f>
        <v>0</v>
      </c>
      <c r="AM38" s="153">
        <f>AM37*HE_prescribed_parameters!AJ$13</f>
        <v>0</v>
      </c>
      <c r="AN38" s="153">
        <f>AN37*HE_prescribed_parameters!AK$13</f>
        <v>0</v>
      </c>
      <c r="AO38" s="153">
        <f>AO37*HE_prescribed_parameters!AL$13</f>
        <v>0</v>
      </c>
      <c r="AP38" s="153">
        <f>AP37*HE_prescribed_parameters!AM$13</f>
        <v>0</v>
      </c>
      <c r="AQ38" s="153">
        <f>AQ37*HE_prescribed_parameters!AN$13</f>
        <v>0</v>
      </c>
      <c r="AR38" s="153">
        <f>AR37*HE_prescribed_parameters!AO$13</f>
        <v>0</v>
      </c>
      <c r="AS38" s="153">
        <f>AS37*HE_prescribed_parameters!AP$13</f>
        <v>0</v>
      </c>
      <c r="AT38" s="153">
        <f>AT37*HE_prescribed_parameters!AQ$13</f>
        <v>0</v>
      </c>
      <c r="AU38" s="153">
        <f>AU37*HE_prescribed_parameters!AR$13</f>
        <v>0</v>
      </c>
      <c r="AV38" s="153">
        <f>AV37*HE_prescribed_parameters!AS$13</f>
        <v>0</v>
      </c>
      <c r="AW38" s="153">
        <f>AW37*HE_prescribed_parameters!AT$13</f>
        <v>0</v>
      </c>
      <c r="AX38" s="153">
        <f>AX37*HE_prescribed_parameters!AU$13</f>
        <v>0</v>
      </c>
      <c r="AY38" s="153">
        <f>AY37*HE_prescribed_parameters!AV$13</f>
        <v>0</v>
      </c>
      <c r="AZ38" s="153">
        <f>AZ37*HE_prescribed_parameters!AW$13</f>
        <v>0</v>
      </c>
      <c r="BA38" s="153">
        <f>BA37*HE_prescribed_parameters!AX$13</f>
        <v>0</v>
      </c>
      <c r="BB38" s="153">
        <f>BB37*HE_prescribed_parameters!AY$13</f>
        <v>0</v>
      </c>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row>
    <row r="39" spans="1:104" s="21" customFormat="1" ht="14.25" customHeight="1" x14ac:dyDescent="0.2">
      <c r="B39" s="75" t="s">
        <v>16</v>
      </c>
      <c r="C39" s="72" t="s">
        <v>4</v>
      </c>
      <c r="D39" s="168"/>
      <c r="E39" s="78">
        <f>E13+E17+E21+E25+E29+E33+E37</f>
        <v>0</v>
      </c>
      <c r="F39" s="78">
        <f t="shared" ref="F39:BB39" si="11">F13+F17+F21+F25+F29+F33+F37</f>
        <v>0</v>
      </c>
      <c r="G39" s="78">
        <f t="shared" si="11"/>
        <v>0</v>
      </c>
      <c r="H39" s="78">
        <f t="shared" si="11"/>
        <v>0</v>
      </c>
      <c r="I39" s="78">
        <f t="shared" si="11"/>
        <v>0</v>
      </c>
      <c r="J39" s="78">
        <f t="shared" si="11"/>
        <v>0</v>
      </c>
      <c r="K39" s="78">
        <f t="shared" si="11"/>
        <v>0</v>
      </c>
      <c r="L39" s="78">
        <f t="shared" si="11"/>
        <v>0</v>
      </c>
      <c r="M39" s="78">
        <f t="shared" si="11"/>
        <v>0</v>
      </c>
      <c r="N39" s="78">
        <f t="shared" si="11"/>
        <v>0</v>
      </c>
      <c r="O39" s="78">
        <f t="shared" si="11"/>
        <v>0</v>
      </c>
      <c r="P39" s="78">
        <f t="shared" si="11"/>
        <v>0</v>
      </c>
      <c r="Q39" s="78">
        <f t="shared" si="11"/>
        <v>0</v>
      </c>
      <c r="R39" s="78">
        <f t="shared" si="11"/>
        <v>0</v>
      </c>
      <c r="S39" s="78">
        <f t="shared" si="11"/>
        <v>0</v>
      </c>
      <c r="T39" s="78">
        <f t="shared" si="11"/>
        <v>0</v>
      </c>
      <c r="U39" s="78">
        <f t="shared" si="11"/>
        <v>0</v>
      </c>
      <c r="V39" s="78">
        <f t="shared" si="11"/>
        <v>0</v>
      </c>
      <c r="W39" s="78">
        <f t="shared" si="11"/>
        <v>0</v>
      </c>
      <c r="X39" s="78">
        <f t="shared" si="11"/>
        <v>0</v>
      </c>
      <c r="Y39" s="78">
        <f t="shared" si="11"/>
        <v>0</v>
      </c>
      <c r="Z39" s="78">
        <f t="shared" si="11"/>
        <v>0</v>
      </c>
      <c r="AA39" s="78">
        <f t="shared" si="11"/>
        <v>0</v>
      </c>
      <c r="AB39" s="78">
        <f t="shared" si="11"/>
        <v>0</v>
      </c>
      <c r="AC39" s="78">
        <f t="shared" si="11"/>
        <v>0</v>
      </c>
      <c r="AD39" s="78">
        <f t="shared" si="11"/>
        <v>0</v>
      </c>
      <c r="AE39" s="78">
        <f t="shared" si="11"/>
        <v>0</v>
      </c>
      <c r="AF39" s="78">
        <f t="shared" si="11"/>
        <v>0</v>
      </c>
      <c r="AG39" s="78">
        <f t="shared" si="11"/>
        <v>0</v>
      </c>
      <c r="AH39" s="78">
        <f t="shared" si="11"/>
        <v>0</v>
      </c>
      <c r="AI39" s="78">
        <f t="shared" si="11"/>
        <v>0</v>
      </c>
      <c r="AJ39" s="78">
        <f t="shared" si="11"/>
        <v>0</v>
      </c>
      <c r="AK39" s="78">
        <f t="shared" si="11"/>
        <v>0</v>
      </c>
      <c r="AL39" s="78">
        <f t="shared" si="11"/>
        <v>0</v>
      </c>
      <c r="AM39" s="78">
        <f t="shared" si="11"/>
        <v>0</v>
      </c>
      <c r="AN39" s="78">
        <f t="shared" si="11"/>
        <v>0</v>
      </c>
      <c r="AO39" s="78">
        <f t="shared" si="11"/>
        <v>0</v>
      </c>
      <c r="AP39" s="78">
        <f t="shared" si="11"/>
        <v>0</v>
      </c>
      <c r="AQ39" s="78">
        <f t="shared" si="11"/>
        <v>0</v>
      </c>
      <c r="AR39" s="78">
        <f t="shared" si="11"/>
        <v>0</v>
      </c>
      <c r="AS39" s="78">
        <f t="shared" si="11"/>
        <v>0</v>
      </c>
      <c r="AT39" s="78">
        <f t="shared" si="11"/>
        <v>0</v>
      </c>
      <c r="AU39" s="78">
        <f t="shared" si="11"/>
        <v>0</v>
      </c>
      <c r="AV39" s="78">
        <f t="shared" si="11"/>
        <v>0</v>
      </c>
      <c r="AW39" s="78">
        <f t="shared" si="11"/>
        <v>0</v>
      </c>
      <c r="AX39" s="78">
        <f t="shared" si="11"/>
        <v>0</v>
      </c>
      <c r="AY39" s="78">
        <f t="shared" si="11"/>
        <v>0</v>
      </c>
      <c r="AZ39" s="78">
        <f t="shared" si="11"/>
        <v>0</v>
      </c>
      <c r="BA39" s="78">
        <f t="shared" si="11"/>
        <v>0</v>
      </c>
      <c r="BB39" s="78">
        <f t="shared" si="11"/>
        <v>0</v>
      </c>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row>
    <row r="40" spans="1:104" s="12" customFormat="1" ht="14.25" customHeight="1" x14ac:dyDescent="0.2">
      <c r="A40" s="6"/>
      <c r="B40" s="80" t="s">
        <v>16</v>
      </c>
      <c r="C40" s="81" t="s">
        <v>7</v>
      </c>
      <c r="D40" s="814"/>
      <c r="E40" s="79">
        <f>E39</f>
        <v>0</v>
      </c>
      <c r="F40" s="79">
        <f>F39*HE_prescribed_parameters!C$13</f>
        <v>0</v>
      </c>
      <c r="G40" s="79">
        <f>G39*HE_prescribed_parameters!D$13</f>
        <v>0</v>
      </c>
      <c r="H40" s="79">
        <f>H39*HE_prescribed_parameters!E$13</f>
        <v>0</v>
      </c>
      <c r="I40" s="79">
        <f>I39*HE_prescribed_parameters!F$13</f>
        <v>0</v>
      </c>
      <c r="J40" s="79">
        <f>J39*HE_prescribed_parameters!G$13</f>
        <v>0</v>
      </c>
      <c r="K40" s="79">
        <f>K39*HE_prescribed_parameters!H$13</f>
        <v>0</v>
      </c>
      <c r="L40" s="79">
        <f>L39*HE_prescribed_parameters!I$13</f>
        <v>0</v>
      </c>
      <c r="M40" s="79">
        <f>M39*HE_prescribed_parameters!J$13</f>
        <v>0</v>
      </c>
      <c r="N40" s="79">
        <f>N39*HE_prescribed_parameters!K$13</f>
        <v>0</v>
      </c>
      <c r="O40" s="79">
        <f>O39*HE_prescribed_parameters!L$13</f>
        <v>0</v>
      </c>
      <c r="P40" s="79">
        <f>P39*HE_prescribed_parameters!M$13</f>
        <v>0</v>
      </c>
      <c r="Q40" s="79">
        <f>Q39*HE_prescribed_parameters!N$13</f>
        <v>0</v>
      </c>
      <c r="R40" s="79">
        <f>R39*HE_prescribed_parameters!O$13</f>
        <v>0</v>
      </c>
      <c r="S40" s="79">
        <f>S39*HE_prescribed_parameters!P$13</f>
        <v>0</v>
      </c>
      <c r="T40" s="79">
        <f>T39*HE_prescribed_parameters!Q$13</f>
        <v>0</v>
      </c>
      <c r="U40" s="79">
        <f>U39*HE_prescribed_parameters!R$13</f>
        <v>0</v>
      </c>
      <c r="V40" s="79">
        <f>V39*HE_prescribed_parameters!S$13</f>
        <v>0</v>
      </c>
      <c r="W40" s="79">
        <f>W39*HE_prescribed_parameters!T$13</f>
        <v>0</v>
      </c>
      <c r="X40" s="79">
        <f>X39*HE_prescribed_parameters!U$13</f>
        <v>0</v>
      </c>
      <c r="Y40" s="79">
        <f>Y39*HE_prescribed_parameters!V$13</f>
        <v>0</v>
      </c>
      <c r="Z40" s="79">
        <f>Z39*HE_prescribed_parameters!W$13</f>
        <v>0</v>
      </c>
      <c r="AA40" s="79">
        <f>AA39*HE_prescribed_parameters!X$13</f>
        <v>0</v>
      </c>
      <c r="AB40" s="79">
        <f>AB39*HE_prescribed_parameters!Y$13</f>
        <v>0</v>
      </c>
      <c r="AC40" s="79">
        <f>AC39*HE_prescribed_parameters!Z$13</f>
        <v>0</v>
      </c>
      <c r="AD40" s="79">
        <f>AD39*HE_prescribed_parameters!AA$13</f>
        <v>0</v>
      </c>
      <c r="AE40" s="79">
        <f>AE39*HE_prescribed_parameters!AB$13</f>
        <v>0</v>
      </c>
      <c r="AF40" s="79">
        <f>AF39*HE_prescribed_parameters!AC$13</f>
        <v>0</v>
      </c>
      <c r="AG40" s="79">
        <f>AG39*HE_prescribed_parameters!AD$13</f>
        <v>0</v>
      </c>
      <c r="AH40" s="79">
        <f>AH39*HE_prescribed_parameters!AE$13</f>
        <v>0</v>
      </c>
      <c r="AI40" s="79">
        <f>AI39*HE_prescribed_parameters!AF$13</f>
        <v>0</v>
      </c>
      <c r="AJ40" s="79">
        <f>AJ39*HE_prescribed_parameters!AG$13</f>
        <v>0</v>
      </c>
      <c r="AK40" s="79">
        <f>AK39*HE_prescribed_parameters!AH$13</f>
        <v>0</v>
      </c>
      <c r="AL40" s="79">
        <f>AL39*HE_prescribed_parameters!AI$13</f>
        <v>0</v>
      </c>
      <c r="AM40" s="79">
        <f>AM39*HE_prescribed_parameters!AJ$13</f>
        <v>0</v>
      </c>
      <c r="AN40" s="79">
        <f>AN39*HE_prescribed_parameters!AK$13</f>
        <v>0</v>
      </c>
      <c r="AO40" s="79">
        <f>AO39*HE_prescribed_parameters!AL$13</f>
        <v>0</v>
      </c>
      <c r="AP40" s="79">
        <f>AP39*HE_prescribed_parameters!AM$13</f>
        <v>0</v>
      </c>
      <c r="AQ40" s="79">
        <f>AQ39*HE_prescribed_parameters!AN$13</f>
        <v>0</v>
      </c>
      <c r="AR40" s="79">
        <f>AR39*HE_prescribed_parameters!AO$13</f>
        <v>0</v>
      </c>
      <c r="AS40" s="79">
        <f>AS39*HE_prescribed_parameters!AP$13</f>
        <v>0</v>
      </c>
      <c r="AT40" s="79">
        <f>AT39*HE_prescribed_parameters!AQ$13</f>
        <v>0</v>
      </c>
      <c r="AU40" s="79">
        <f>AU39*HE_prescribed_parameters!AR$13</f>
        <v>0</v>
      </c>
      <c r="AV40" s="79">
        <f>AV39*HE_prescribed_parameters!AS$13</f>
        <v>0</v>
      </c>
      <c r="AW40" s="79">
        <f>AW39*HE_prescribed_parameters!AT$13</f>
        <v>0</v>
      </c>
      <c r="AX40" s="79">
        <f>AX39*HE_prescribed_parameters!AU$13</f>
        <v>0</v>
      </c>
      <c r="AY40" s="79">
        <f>AY39*HE_prescribed_parameters!AV$13</f>
        <v>0</v>
      </c>
      <c r="AZ40" s="79">
        <f>AZ39*HE_prescribed_parameters!AW$13</f>
        <v>0</v>
      </c>
      <c r="BA40" s="79">
        <f>BA39*HE_prescribed_parameters!AX$13</f>
        <v>0</v>
      </c>
      <c r="BB40" s="79">
        <f>BB39*HE_prescribed_parameters!AY$13</f>
        <v>0</v>
      </c>
    </row>
    <row r="41" spans="1:104" s="6" customFormat="1" ht="14.25" customHeight="1" x14ac:dyDescent="0.2">
      <c r="B41" s="97"/>
      <c r="C41" s="71"/>
      <c r="D41" s="813"/>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row>
    <row r="42" spans="1:104" s="6" customFormat="1" ht="14.25" customHeight="1" x14ac:dyDescent="0.2">
      <c r="D42" s="12"/>
    </row>
    <row r="43" spans="1:104" s="21" customFormat="1" ht="20.100000000000001" customHeight="1" x14ac:dyDescent="0.2">
      <c r="B43" s="1317" t="s">
        <v>0</v>
      </c>
      <c r="C43" s="1321" t="s">
        <v>17</v>
      </c>
      <c r="D43" s="84" t="s">
        <v>32</v>
      </c>
      <c r="E43" s="145" t="s">
        <v>2</v>
      </c>
      <c r="F43" s="108"/>
      <c r="G43" s="108"/>
      <c r="H43" s="108"/>
      <c r="I43" s="108"/>
      <c r="J43" s="108"/>
      <c r="K43" s="108"/>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row>
    <row r="44" spans="1:104" s="21" customFormat="1" ht="20.100000000000001" customHeight="1" x14ac:dyDescent="0.2">
      <c r="B44" s="1318"/>
      <c r="C44" s="1322"/>
      <c r="D44" s="85" t="s">
        <v>33</v>
      </c>
      <c r="E44" s="146">
        <f>HE_CY</f>
        <v>2025</v>
      </c>
      <c r="F44" s="147">
        <f>E44+1</f>
        <v>2026</v>
      </c>
      <c r="G44" s="147">
        <f t="shared" ref="G44:BB44" si="12">F44+1</f>
        <v>2027</v>
      </c>
      <c r="H44" s="147">
        <f t="shared" si="12"/>
        <v>2028</v>
      </c>
      <c r="I44" s="147">
        <f t="shared" si="12"/>
        <v>2029</v>
      </c>
      <c r="J44" s="147">
        <f t="shared" si="12"/>
        <v>2030</v>
      </c>
      <c r="K44" s="147">
        <f t="shared" si="12"/>
        <v>2031</v>
      </c>
      <c r="L44" s="147">
        <f t="shared" si="12"/>
        <v>2032</v>
      </c>
      <c r="M44" s="147">
        <f t="shared" si="12"/>
        <v>2033</v>
      </c>
      <c r="N44" s="147">
        <f t="shared" si="12"/>
        <v>2034</v>
      </c>
      <c r="O44" s="147">
        <f t="shared" si="12"/>
        <v>2035</v>
      </c>
      <c r="P44" s="147">
        <f t="shared" si="12"/>
        <v>2036</v>
      </c>
      <c r="Q44" s="147">
        <f t="shared" si="12"/>
        <v>2037</v>
      </c>
      <c r="R44" s="147">
        <f t="shared" si="12"/>
        <v>2038</v>
      </c>
      <c r="S44" s="147">
        <f t="shared" si="12"/>
        <v>2039</v>
      </c>
      <c r="T44" s="147">
        <f t="shared" si="12"/>
        <v>2040</v>
      </c>
      <c r="U44" s="147">
        <f t="shared" si="12"/>
        <v>2041</v>
      </c>
      <c r="V44" s="147">
        <f t="shared" si="12"/>
        <v>2042</v>
      </c>
      <c r="W44" s="147">
        <f t="shared" si="12"/>
        <v>2043</v>
      </c>
      <c r="X44" s="147">
        <f t="shared" si="12"/>
        <v>2044</v>
      </c>
      <c r="Y44" s="147">
        <f t="shared" si="12"/>
        <v>2045</v>
      </c>
      <c r="Z44" s="147">
        <f t="shared" si="12"/>
        <v>2046</v>
      </c>
      <c r="AA44" s="147">
        <f t="shared" si="12"/>
        <v>2047</v>
      </c>
      <c r="AB44" s="147">
        <f t="shared" si="12"/>
        <v>2048</v>
      </c>
      <c r="AC44" s="147">
        <f t="shared" si="12"/>
        <v>2049</v>
      </c>
      <c r="AD44" s="147">
        <f t="shared" si="12"/>
        <v>2050</v>
      </c>
      <c r="AE44" s="147">
        <f t="shared" si="12"/>
        <v>2051</v>
      </c>
      <c r="AF44" s="147">
        <f t="shared" si="12"/>
        <v>2052</v>
      </c>
      <c r="AG44" s="147">
        <f t="shared" si="12"/>
        <v>2053</v>
      </c>
      <c r="AH44" s="147">
        <f t="shared" si="12"/>
        <v>2054</v>
      </c>
      <c r="AI44" s="147">
        <f t="shared" si="12"/>
        <v>2055</v>
      </c>
      <c r="AJ44" s="147">
        <f t="shared" si="12"/>
        <v>2056</v>
      </c>
      <c r="AK44" s="147">
        <f t="shared" si="12"/>
        <v>2057</v>
      </c>
      <c r="AL44" s="147">
        <f t="shared" si="12"/>
        <v>2058</v>
      </c>
      <c r="AM44" s="147">
        <f t="shared" si="12"/>
        <v>2059</v>
      </c>
      <c r="AN44" s="147">
        <f t="shared" si="12"/>
        <v>2060</v>
      </c>
      <c r="AO44" s="147">
        <f t="shared" si="12"/>
        <v>2061</v>
      </c>
      <c r="AP44" s="147">
        <f t="shared" si="12"/>
        <v>2062</v>
      </c>
      <c r="AQ44" s="147">
        <f t="shared" si="12"/>
        <v>2063</v>
      </c>
      <c r="AR44" s="147">
        <f t="shared" si="12"/>
        <v>2064</v>
      </c>
      <c r="AS44" s="147">
        <f t="shared" si="12"/>
        <v>2065</v>
      </c>
      <c r="AT44" s="147">
        <f t="shared" si="12"/>
        <v>2066</v>
      </c>
      <c r="AU44" s="147">
        <f t="shared" si="12"/>
        <v>2067</v>
      </c>
      <c r="AV44" s="147">
        <f t="shared" si="12"/>
        <v>2068</v>
      </c>
      <c r="AW44" s="147">
        <f t="shared" si="12"/>
        <v>2069</v>
      </c>
      <c r="AX44" s="147">
        <f t="shared" si="12"/>
        <v>2070</v>
      </c>
      <c r="AY44" s="147">
        <f t="shared" si="12"/>
        <v>2071</v>
      </c>
      <c r="AZ44" s="147">
        <f t="shared" si="12"/>
        <v>2072</v>
      </c>
      <c r="BA44" s="147">
        <f t="shared" si="12"/>
        <v>2073</v>
      </c>
      <c r="BB44" s="148">
        <f t="shared" si="12"/>
        <v>2074</v>
      </c>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1:104" s="21" customFormat="1" ht="14.25" customHeight="1" x14ac:dyDescent="0.2">
      <c r="B45" s="82" t="s">
        <v>3</v>
      </c>
      <c r="C45" s="83" t="s">
        <v>4</v>
      </c>
      <c r="D45" s="813"/>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7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1:104" s="21" customFormat="1" ht="14.25" customHeight="1" x14ac:dyDescent="0.2">
      <c r="B46" s="74" t="s">
        <v>5</v>
      </c>
      <c r="C46" s="72" t="s">
        <v>4</v>
      </c>
      <c r="D46" s="92"/>
      <c r="E46" s="150"/>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7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1:104" s="21" customFormat="1" ht="14.25" customHeight="1" x14ac:dyDescent="0.2">
      <c r="B47" s="73" t="s">
        <v>18</v>
      </c>
      <c r="C47" s="72" t="s">
        <v>4</v>
      </c>
      <c r="D47" s="92"/>
      <c r="E47" s="151">
        <f t="shared" ref="E47" si="13">SUM(E45:E46)</f>
        <v>0</v>
      </c>
      <c r="F47" s="151">
        <f t="shared" ref="F47:BB47" si="14">SUM(F45:F46)</f>
        <v>0</v>
      </c>
      <c r="G47" s="151">
        <f t="shared" si="14"/>
        <v>0</v>
      </c>
      <c r="H47" s="151">
        <f t="shared" si="14"/>
        <v>0</v>
      </c>
      <c r="I47" s="151">
        <f t="shared" si="14"/>
        <v>0</v>
      </c>
      <c r="J47" s="151">
        <f t="shared" si="14"/>
        <v>0</v>
      </c>
      <c r="K47" s="151">
        <f t="shared" si="14"/>
        <v>0</v>
      </c>
      <c r="L47" s="151">
        <f t="shared" si="14"/>
        <v>0</v>
      </c>
      <c r="M47" s="151">
        <f t="shared" si="14"/>
        <v>0</v>
      </c>
      <c r="N47" s="151">
        <f t="shared" si="14"/>
        <v>0</v>
      </c>
      <c r="O47" s="151">
        <f t="shared" si="14"/>
        <v>0</v>
      </c>
      <c r="P47" s="151">
        <f t="shared" si="14"/>
        <v>0</v>
      </c>
      <c r="Q47" s="151">
        <f t="shared" si="14"/>
        <v>0</v>
      </c>
      <c r="R47" s="151">
        <f t="shared" si="14"/>
        <v>0</v>
      </c>
      <c r="S47" s="151">
        <f t="shared" si="14"/>
        <v>0</v>
      </c>
      <c r="T47" s="151">
        <f t="shared" si="14"/>
        <v>0</v>
      </c>
      <c r="U47" s="151">
        <f t="shared" si="14"/>
        <v>0</v>
      </c>
      <c r="V47" s="151">
        <f t="shared" si="14"/>
        <v>0</v>
      </c>
      <c r="W47" s="151">
        <f t="shared" si="14"/>
        <v>0</v>
      </c>
      <c r="X47" s="151">
        <f t="shared" si="14"/>
        <v>0</v>
      </c>
      <c r="Y47" s="151">
        <f t="shared" si="14"/>
        <v>0</v>
      </c>
      <c r="Z47" s="151">
        <f t="shared" si="14"/>
        <v>0</v>
      </c>
      <c r="AA47" s="151">
        <f t="shared" si="14"/>
        <v>0</v>
      </c>
      <c r="AB47" s="151">
        <f t="shared" si="14"/>
        <v>0</v>
      </c>
      <c r="AC47" s="151">
        <f t="shared" si="14"/>
        <v>0</v>
      </c>
      <c r="AD47" s="151">
        <f t="shared" si="14"/>
        <v>0</v>
      </c>
      <c r="AE47" s="151">
        <f t="shared" si="14"/>
        <v>0</v>
      </c>
      <c r="AF47" s="151">
        <f t="shared" si="14"/>
        <v>0</v>
      </c>
      <c r="AG47" s="151">
        <f t="shared" si="14"/>
        <v>0</v>
      </c>
      <c r="AH47" s="151">
        <f t="shared" si="14"/>
        <v>0</v>
      </c>
      <c r="AI47" s="151">
        <f t="shared" si="14"/>
        <v>0</v>
      </c>
      <c r="AJ47" s="151">
        <f t="shared" si="14"/>
        <v>0</v>
      </c>
      <c r="AK47" s="151">
        <f t="shared" si="14"/>
        <v>0</v>
      </c>
      <c r="AL47" s="151">
        <f t="shared" si="14"/>
        <v>0</v>
      </c>
      <c r="AM47" s="151">
        <f t="shared" si="14"/>
        <v>0</v>
      </c>
      <c r="AN47" s="151">
        <f t="shared" si="14"/>
        <v>0</v>
      </c>
      <c r="AO47" s="151">
        <f t="shared" si="14"/>
        <v>0</v>
      </c>
      <c r="AP47" s="151">
        <f t="shared" si="14"/>
        <v>0</v>
      </c>
      <c r="AQ47" s="151">
        <f t="shared" si="14"/>
        <v>0</v>
      </c>
      <c r="AR47" s="151">
        <f t="shared" si="14"/>
        <v>0</v>
      </c>
      <c r="AS47" s="151">
        <f t="shared" si="14"/>
        <v>0</v>
      </c>
      <c r="AT47" s="151">
        <f t="shared" si="14"/>
        <v>0</v>
      </c>
      <c r="AU47" s="151">
        <f t="shared" si="14"/>
        <v>0</v>
      </c>
      <c r="AV47" s="151">
        <f t="shared" si="14"/>
        <v>0</v>
      </c>
      <c r="AW47" s="151">
        <f t="shared" si="14"/>
        <v>0</v>
      </c>
      <c r="AX47" s="151">
        <f t="shared" si="14"/>
        <v>0</v>
      </c>
      <c r="AY47" s="151">
        <f t="shared" si="14"/>
        <v>0</v>
      </c>
      <c r="AZ47" s="151">
        <f t="shared" si="14"/>
        <v>0</v>
      </c>
      <c r="BA47" s="151">
        <f t="shared" si="14"/>
        <v>0</v>
      </c>
      <c r="BB47" s="151">
        <f t="shared" si="14"/>
        <v>0</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1:104" s="21" customFormat="1" ht="14.25" customHeight="1" x14ac:dyDescent="0.2">
      <c r="B48" s="73" t="s">
        <v>18</v>
      </c>
      <c r="C48" s="72" t="s">
        <v>7</v>
      </c>
      <c r="D48" s="92"/>
      <c r="E48" s="152">
        <f>E47</f>
        <v>0</v>
      </c>
      <c r="F48" s="152">
        <f>F47*HE_prescribed_parameters!C$13</f>
        <v>0</v>
      </c>
      <c r="G48" s="152">
        <f>G47*HE_prescribed_parameters!D$13</f>
        <v>0</v>
      </c>
      <c r="H48" s="152">
        <f>H47*HE_prescribed_parameters!E$13</f>
        <v>0</v>
      </c>
      <c r="I48" s="152">
        <f>I47*HE_prescribed_parameters!F$13</f>
        <v>0</v>
      </c>
      <c r="J48" s="152">
        <f>J47*HE_prescribed_parameters!G$13</f>
        <v>0</v>
      </c>
      <c r="K48" s="152">
        <f>K47*HE_prescribed_parameters!H$13</f>
        <v>0</v>
      </c>
      <c r="L48" s="152">
        <f>L47*HE_prescribed_parameters!I$13</f>
        <v>0</v>
      </c>
      <c r="M48" s="152">
        <f>M47*HE_prescribed_parameters!J$13</f>
        <v>0</v>
      </c>
      <c r="N48" s="152">
        <f>N47*HE_prescribed_parameters!K$13</f>
        <v>0</v>
      </c>
      <c r="O48" s="152">
        <f>O47*HE_prescribed_parameters!L$13</f>
        <v>0</v>
      </c>
      <c r="P48" s="152">
        <f>P47*HE_prescribed_parameters!M$13</f>
        <v>0</v>
      </c>
      <c r="Q48" s="152">
        <f>Q47*HE_prescribed_parameters!N$13</f>
        <v>0</v>
      </c>
      <c r="R48" s="152">
        <f>R47*HE_prescribed_parameters!O$13</f>
        <v>0</v>
      </c>
      <c r="S48" s="152">
        <f>S47*HE_prescribed_parameters!P$13</f>
        <v>0</v>
      </c>
      <c r="T48" s="152">
        <f>T47*HE_prescribed_parameters!Q$13</f>
        <v>0</v>
      </c>
      <c r="U48" s="152">
        <f>U47*HE_prescribed_parameters!R$13</f>
        <v>0</v>
      </c>
      <c r="V48" s="152">
        <f>V47*HE_prescribed_parameters!S$13</f>
        <v>0</v>
      </c>
      <c r="W48" s="152">
        <f>W47*HE_prescribed_parameters!T$13</f>
        <v>0</v>
      </c>
      <c r="X48" s="152">
        <f>X47*HE_prescribed_parameters!U$13</f>
        <v>0</v>
      </c>
      <c r="Y48" s="152">
        <f>Y47*HE_prescribed_parameters!V$13</f>
        <v>0</v>
      </c>
      <c r="Z48" s="152">
        <f>Z47*HE_prescribed_parameters!W$13</f>
        <v>0</v>
      </c>
      <c r="AA48" s="152">
        <f>AA47*HE_prescribed_parameters!X$13</f>
        <v>0</v>
      </c>
      <c r="AB48" s="152">
        <f>AB47*HE_prescribed_parameters!Y$13</f>
        <v>0</v>
      </c>
      <c r="AC48" s="152">
        <f>AC47*HE_prescribed_parameters!Z$13</f>
        <v>0</v>
      </c>
      <c r="AD48" s="152">
        <f>AD47*HE_prescribed_parameters!AA$13</f>
        <v>0</v>
      </c>
      <c r="AE48" s="152">
        <f>AE47*HE_prescribed_parameters!AB$13</f>
        <v>0</v>
      </c>
      <c r="AF48" s="152">
        <f>AF47*HE_prescribed_parameters!AC$13</f>
        <v>0</v>
      </c>
      <c r="AG48" s="152">
        <f>AG47*HE_prescribed_parameters!AD$13</f>
        <v>0</v>
      </c>
      <c r="AH48" s="152">
        <f>AH47*HE_prescribed_parameters!AE$13</f>
        <v>0</v>
      </c>
      <c r="AI48" s="152">
        <f>AI47*HE_prescribed_parameters!AF$13</f>
        <v>0</v>
      </c>
      <c r="AJ48" s="152">
        <f>AJ47*HE_prescribed_parameters!AG$13</f>
        <v>0</v>
      </c>
      <c r="AK48" s="152">
        <f>AK47*HE_prescribed_parameters!AH$13</f>
        <v>0</v>
      </c>
      <c r="AL48" s="152">
        <f>AL47*HE_prescribed_parameters!AI$13</f>
        <v>0</v>
      </c>
      <c r="AM48" s="152">
        <f>AM47*HE_prescribed_parameters!AJ$13</f>
        <v>0</v>
      </c>
      <c r="AN48" s="152">
        <f>AN47*HE_prescribed_parameters!AK$13</f>
        <v>0</v>
      </c>
      <c r="AO48" s="152">
        <f>AO47*HE_prescribed_parameters!AL$13</f>
        <v>0</v>
      </c>
      <c r="AP48" s="152">
        <f>AP47*HE_prescribed_parameters!AM$13</f>
        <v>0</v>
      </c>
      <c r="AQ48" s="152">
        <f>AQ47*HE_prescribed_parameters!AN$13</f>
        <v>0</v>
      </c>
      <c r="AR48" s="152">
        <f>AR47*HE_prescribed_parameters!AO$13</f>
        <v>0</v>
      </c>
      <c r="AS48" s="152">
        <f>AS47*HE_prescribed_parameters!AP$13</f>
        <v>0</v>
      </c>
      <c r="AT48" s="152">
        <f>AT47*HE_prescribed_parameters!AQ$13</f>
        <v>0</v>
      </c>
      <c r="AU48" s="152">
        <f>AU47*HE_prescribed_parameters!AR$13</f>
        <v>0</v>
      </c>
      <c r="AV48" s="152">
        <f>AV47*HE_prescribed_parameters!AS$13</f>
        <v>0</v>
      </c>
      <c r="AW48" s="152">
        <f>AW47*HE_prescribed_parameters!AT$13</f>
        <v>0</v>
      </c>
      <c r="AX48" s="152">
        <f>AX47*HE_prescribed_parameters!AU$13</f>
        <v>0</v>
      </c>
      <c r="AY48" s="152">
        <f>AY47*HE_prescribed_parameters!AV$13</f>
        <v>0</v>
      </c>
      <c r="AZ48" s="152">
        <f>AZ47*HE_prescribed_parameters!AW$13</f>
        <v>0</v>
      </c>
      <c r="BA48" s="152">
        <f>BA47*HE_prescribed_parameters!AX$13</f>
        <v>0</v>
      </c>
      <c r="BB48" s="152">
        <f>BB47*HE_prescribed_parameters!AY$13</f>
        <v>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s="21" customFormat="1" ht="14.25" customHeight="1" x14ac:dyDescent="0.2">
      <c r="B49" s="82" t="s">
        <v>40</v>
      </c>
      <c r="C49" s="83" t="s">
        <v>4</v>
      </c>
      <c r="D49" s="813"/>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7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s="21" customFormat="1" ht="14.25" customHeight="1" x14ac:dyDescent="0.2">
      <c r="B50" s="74" t="s">
        <v>41</v>
      </c>
      <c r="C50" s="72" t="s">
        <v>4</v>
      </c>
      <c r="D50" s="92"/>
      <c r="E50" s="150"/>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7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s="21" customFormat="1" ht="14.25" customHeight="1" x14ac:dyDescent="0.2">
      <c r="B51" s="73" t="s">
        <v>18</v>
      </c>
      <c r="C51" s="72" t="s">
        <v>4</v>
      </c>
      <c r="D51" s="92"/>
      <c r="E51" s="151">
        <f t="shared" ref="E51" si="15">SUM(E49:E50)</f>
        <v>0</v>
      </c>
      <c r="F51" s="151">
        <f t="shared" ref="F51:BB51" si="16">SUM(F49:F50)</f>
        <v>0</v>
      </c>
      <c r="G51" s="151">
        <f t="shared" si="16"/>
        <v>0</v>
      </c>
      <c r="H51" s="151">
        <f t="shared" si="16"/>
        <v>0</v>
      </c>
      <c r="I51" s="151">
        <f t="shared" si="16"/>
        <v>0</v>
      </c>
      <c r="J51" s="151">
        <f t="shared" si="16"/>
        <v>0</v>
      </c>
      <c r="K51" s="151">
        <f t="shared" si="16"/>
        <v>0</v>
      </c>
      <c r="L51" s="151">
        <f t="shared" si="16"/>
        <v>0</v>
      </c>
      <c r="M51" s="151">
        <f t="shared" si="16"/>
        <v>0</v>
      </c>
      <c r="N51" s="151">
        <f t="shared" si="16"/>
        <v>0</v>
      </c>
      <c r="O51" s="151">
        <f t="shared" si="16"/>
        <v>0</v>
      </c>
      <c r="P51" s="151">
        <f t="shared" si="16"/>
        <v>0</v>
      </c>
      <c r="Q51" s="151">
        <f t="shared" si="16"/>
        <v>0</v>
      </c>
      <c r="R51" s="151">
        <f t="shared" si="16"/>
        <v>0</v>
      </c>
      <c r="S51" s="151">
        <f t="shared" si="16"/>
        <v>0</v>
      </c>
      <c r="T51" s="151">
        <f t="shared" si="16"/>
        <v>0</v>
      </c>
      <c r="U51" s="151">
        <f t="shared" si="16"/>
        <v>0</v>
      </c>
      <c r="V51" s="151">
        <f t="shared" si="16"/>
        <v>0</v>
      </c>
      <c r="W51" s="151">
        <f t="shared" si="16"/>
        <v>0</v>
      </c>
      <c r="X51" s="151">
        <f t="shared" si="16"/>
        <v>0</v>
      </c>
      <c r="Y51" s="151">
        <f t="shared" si="16"/>
        <v>0</v>
      </c>
      <c r="Z51" s="151">
        <f t="shared" si="16"/>
        <v>0</v>
      </c>
      <c r="AA51" s="151">
        <f t="shared" si="16"/>
        <v>0</v>
      </c>
      <c r="AB51" s="151">
        <f t="shared" si="16"/>
        <v>0</v>
      </c>
      <c r="AC51" s="151">
        <f t="shared" si="16"/>
        <v>0</v>
      </c>
      <c r="AD51" s="151">
        <f t="shared" si="16"/>
        <v>0</v>
      </c>
      <c r="AE51" s="151">
        <f t="shared" si="16"/>
        <v>0</v>
      </c>
      <c r="AF51" s="151">
        <f t="shared" si="16"/>
        <v>0</v>
      </c>
      <c r="AG51" s="151">
        <f t="shared" si="16"/>
        <v>0</v>
      </c>
      <c r="AH51" s="151">
        <f t="shared" si="16"/>
        <v>0</v>
      </c>
      <c r="AI51" s="151">
        <f t="shared" si="16"/>
        <v>0</v>
      </c>
      <c r="AJ51" s="151">
        <f t="shared" si="16"/>
        <v>0</v>
      </c>
      <c r="AK51" s="151">
        <f t="shared" si="16"/>
        <v>0</v>
      </c>
      <c r="AL51" s="151">
        <f t="shared" si="16"/>
        <v>0</v>
      </c>
      <c r="AM51" s="151">
        <f t="shared" si="16"/>
        <v>0</v>
      </c>
      <c r="AN51" s="151">
        <f t="shared" si="16"/>
        <v>0</v>
      </c>
      <c r="AO51" s="151">
        <f t="shared" si="16"/>
        <v>0</v>
      </c>
      <c r="AP51" s="151">
        <f t="shared" si="16"/>
        <v>0</v>
      </c>
      <c r="AQ51" s="151">
        <f t="shared" si="16"/>
        <v>0</v>
      </c>
      <c r="AR51" s="151">
        <f t="shared" si="16"/>
        <v>0</v>
      </c>
      <c r="AS51" s="151">
        <f t="shared" si="16"/>
        <v>0</v>
      </c>
      <c r="AT51" s="151">
        <f t="shared" si="16"/>
        <v>0</v>
      </c>
      <c r="AU51" s="151">
        <f t="shared" si="16"/>
        <v>0</v>
      </c>
      <c r="AV51" s="151">
        <f t="shared" si="16"/>
        <v>0</v>
      </c>
      <c r="AW51" s="151">
        <f t="shared" si="16"/>
        <v>0</v>
      </c>
      <c r="AX51" s="151">
        <f t="shared" si="16"/>
        <v>0</v>
      </c>
      <c r="AY51" s="151">
        <f t="shared" si="16"/>
        <v>0</v>
      </c>
      <c r="AZ51" s="151">
        <f t="shared" si="16"/>
        <v>0</v>
      </c>
      <c r="BA51" s="151">
        <f t="shared" si="16"/>
        <v>0</v>
      </c>
      <c r="BB51" s="151">
        <f t="shared" si="16"/>
        <v>0</v>
      </c>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s="21" customFormat="1" ht="14.25" customHeight="1" x14ac:dyDescent="0.2">
      <c r="B52" s="73" t="s">
        <v>18</v>
      </c>
      <c r="C52" s="72" t="s">
        <v>7</v>
      </c>
      <c r="D52" s="92"/>
      <c r="E52" s="152">
        <f>E51</f>
        <v>0</v>
      </c>
      <c r="F52" s="152">
        <f>F51*HE_prescribed_parameters!C$13</f>
        <v>0</v>
      </c>
      <c r="G52" s="152">
        <f>G51*HE_prescribed_parameters!D$13</f>
        <v>0</v>
      </c>
      <c r="H52" s="152">
        <f>H51*HE_prescribed_parameters!E$13</f>
        <v>0</v>
      </c>
      <c r="I52" s="152">
        <f>I51*HE_prescribed_parameters!F$13</f>
        <v>0</v>
      </c>
      <c r="J52" s="152">
        <f>J51*HE_prescribed_parameters!G$13</f>
        <v>0</v>
      </c>
      <c r="K52" s="152">
        <f>K51*HE_prescribed_parameters!H$13</f>
        <v>0</v>
      </c>
      <c r="L52" s="152">
        <f>L51*HE_prescribed_parameters!I$13</f>
        <v>0</v>
      </c>
      <c r="M52" s="152">
        <f>M51*HE_prescribed_parameters!J$13</f>
        <v>0</v>
      </c>
      <c r="N52" s="152">
        <f>N51*HE_prescribed_parameters!K$13</f>
        <v>0</v>
      </c>
      <c r="O52" s="152">
        <f>O51*HE_prescribed_parameters!L$13</f>
        <v>0</v>
      </c>
      <c r="P52" s="152">
        <f>P51*HE_prescribed_parameters!M$13</f>
        <v>0</v>
      </c>
      <c r="Q52" s="152">
        <f>Q51*HE_prescribed_parameters!N$13</f>
        <v>0</v>
      </c>
      <c r="R52" s="152">
        <f>R51*HE_prescribed_parameters!O$13</f>
        <v>0</v>
      </c>
      <c r="S52" s="152">
        <f>S51*HE_prescribed_parameters!P$13</f>
        <v>0</v>
      </c>
      <c r="T52" s="152">
        <f>T51*HE_prescribed_parameters!Q$13</f>
        <v>0</v>
      </c>
      <c r="U52" s="152">
        <f>U51*HE_prescribed_parameters!R$13</f>
        <v>0</v>
      </c>
      <c r="V52" s="152">
        <f>V51*HE_prescribed_parameters!S$13</f>
        <v>0</v>
      </c>
      <c r="W52" s="152">
        <f>W51*HE_prescribed_parameters!T$13</f>
        <v>0</v>
      </c>
      <c r="X52" s="152">
        <f>X51*HE_prescribed_parameters!U$13</f>
        <v>0</v>
      </c>
      <c r="Y52" s="152">
        <f>Y51*HE_prescribed_parameters!V$13</f>
        <v>0</v>
      </c>
      <c r="Z52" s="152">
        <f>Z51*HE_prescribed_parameters!W$13</f>
        <v>0</v>
      </c>
      <c r="AA52" s="152">
        <f>AA51*HE_prescribed_parameters!X$13</f>
        <v>0</v>
      </c>
      <c r="AB52" s="152">
        <f>AB51*HE_prescribed_parameters!Y$13</f>
        <v>0</v>
      </c>
      <c r="AC52" s="152">
        <f>AC51*HE_prescribed_parameters!Z$13</f>
        <v>0</v>
      </c>
      <c r="AD52" s="152">
        <f>AD51*HE_prescribed_parameters!AA$13</f>
        <v>0</v>
      </c>
      <c r="AE52" s="152">
        <f>AE51*HE_prescribed_parameters!AB$13</f>
        <v>0</v>
      </c>
      <c r="AF52" s="152">
        <f>AF51*HE_prescribed_parameters!AC$13</f>
        <v>0</v>
      </c>
      <c r="AG52" s="152">
        <f>AG51*HE_prescribed_parameters!AD$13</f>
        <v>0</v>
      </c>
      <c r="AH52" s="152">
        <f>AH51*HE_prescribed_parameters!AE$13</f>
        <v>0</v>
      </c>
      <c r="AI52" s="152">
        <f>AI51*HE_prescribed_parameters!AF$13</f>
        <v>0</v>
      </c>
      <c r="AJ52" s="152">
        <f>AJ51*HE_prescribed_parameters!AG$13</f>
        <v>0</v>
      </c>
      <c r="AK52" s="152">
        <f>AK51*HE_prescribed_parameters!AH$13</f>
        <v>0</v>
      </c>
      <c r="AL52" s="152">
        <f>AL51*HE_prescribed_parameters!AI$13</f>
        <v>0</v>
      </c>
      <c r="AM52" s="152">
        <f>AM51*HE_prescribed_parameters!AJ$13</f>
        <v>0</v>
      </c>
      <c r="AN52" s="152">
        <f>AN51*HE_prescribed_parameters!AK$13</f>
        <v>0</v>
      </c>
      <c r="AO52" s="152">
        <f>AO51*HE_prescribed_parameters!AL$13</f>
        <v>0</v>
      </c>
      <c r="AP52" s="152">
        <f>AP51*HE_prescribed_parameters!AM$13</f>
        <v>0</v>
      </c>
      <c r="AQ52" s="152">
        <f>AQ51*HE_prescribed_parameters!AN$13</f>
        <v>0</v>
      </c>
      <c r="AR52" s="152">
        <f>AR51*HE_prescribed_parameters!AO$13</f>
        <v>0</v>
      </c>
      <c r="AS52" s="152">
        <f>AS51*HE_prescribed_parameters!AP$13</f>
        <v>0</v>
      </c>
      <c r="AT52" s="152">
        <f>AT51*HE_prescribed_parameters!AQ$13</f>
        <v>0</v>
      </c>
      <c r="AU52" s="152">
        <f>AU51*HE_prescribed_parameters!AR$13</f>
        <v>0</v>
      </c>
      <c r="AV52" s="152">
        <f>AV51*HE_prescribed_parameters!AS$13</f>
        <v>0</v>
      </c>
      <c r="AW52" s="152">
        <f>AW51*HE_prescribed_parameters!AT$13</f>
        <v>0</v>
      </c>
      <c r="AX52" s="152">
        <f>AX51*HE_prescribed_parameters!AU$13</f>
        <v>0</v>
      </c>
      <c r="AY52" s="152">
        <f>AY51*HE_prescribed_parameters!AV$13</f>
        <v>0</v>
      </c>
      <c r="AZ52" s="152">
        <f>AZ51*HE_prescribed_parameters!AW$13</f>
        <v>0</v>
      </c>
      <c r="BA52" s="152">
        <f>BA51*HE_prescribed_parameters!AX$13</f>
        <v>0</v>
      </c>
      <c r="BB52" s="152">
        <f>BB51*HE_prescribed_parameters!AY$13</f>
        <v>0</v>
      </c>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s="21" customFormat="1" ht="14.25" customHeight="1" x14ac:dyDescent="0.2">
      <c r="B53" s="82" t="s">
        <v>42</v>
      </c>
      <c r="C53" s="83" t="s">
        <v>4</v>
      </c>
      <c r="D53" s="813"/>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7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s="21" customFormat="1" ht="14.25" customHeight="1" x14ac:dyDescent="0.2">
      <c r="B54" s="74" t="s">
        <v>43</v>
      </c>
      <c r="C54" s="72" t="s">
        <v>4</v>
      </c>
      <c r="D54" s="92"/>
      <c r="E54" s="150"/>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7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s="21" customFormat="1" ht="14.25" customHeight="1" x14ac:dyDescent="0.2">
      <c r="B55" s="73" t="s">
        <v>18</v>
      </c>
      <c r="C55" s="72" t="s">
        <v>4</v>
      </c>
      <c r="D55" s="92"/>
      <c r="E55" s="151">
        <f t="shared" ref="E55" si="17">SUM(E53:E54)</f>
        <v>0</v>
      </c>
      <c r="F55" s="151">
        <f t="shared" ref="F55:BB55" si="18">SUM(F53:F54)</f>
        <v>0</v>
      </c>
      <c r="G55" s="151">
        <f t="shared" si="18"/>
        <v>0</v>
      </c>
      <c r="H55" s="151">
        <f t="shared" si="18"/>
        <v>0</v>
      </c>
      <c r="I55" s="151">
        <f t="shared" si="18"/>
        <v>0</v>
      </c>
      <c r="J55" s="151">
        <f t="shared" si="18"/>
        <v>0</v>
      </c>
      <c r="K55" s="151">
        <f t="shared" si="18"/>
        <v>0</v>
      </c>
      <c r="L55" s="151">
        <f t="shared" si="18"/>
        <v>0</v>
      </c>
      <c r="M55" s="151">
        <f t="shared" si="18"/>
        <v>0</v>
      </c>
      <c r="N55" s="151">
        <f t="shared" si="18"/>
        <v>0</v>
      </c>
      <c r="O55" s="151">
        <f t="shared" si="18"/>
        <v>0</v>
      </c>
      <c r="P55" s="151">
        <f t="shared" si="18"/>
        <v>0</v>
      </c>
      <c r="Q55" s="151">
        <f t="shared" si="18"/>
        <v>0</v>
      </c>
      <c r="R55" s="151">
        <f t="shared" si="18"/>
        <v>0</v>
      </c>
      <c r="S55" s="151">
        <f t="shared" si="18"/>
        <v>0</v>
      </c>
      <c r="T55" s="151">
        <f t="shared" si="18"/>
        <v>0</v>
      </c>
      <c r="U55" s="151">
        <f t="shared" si="18"/>
        <v>0</v>
      </c>
      <c r="V55" s="151">
        <f t="shared" si="18"/>
        <v>0</v>
      </c>
      <c r="W55" s="151">
        <f t="shared" si="18"/>
        <v>0</v>
      </c>
      <c r="X55" s="151">
        <f t="shared" si="18"/>
        <v>0</v>
      </c>
      <c r="Y55" s="151">
        <f t="shared" si="18"/>
        <v>0</v>
      </c>
      <c r="Z55" s="151">
        <f t="shared" si="18"/>
        <v>0</v>
      </c>
      <c r="AA55" s="151">
        <f t="shared" si="18"/>
        <v>0</v>
      </c>
      <c r="AB55" s="151">
        <f t="shared" si="18"/>
        <v>0</v>
      </c>
      <c r="AC55" s="151">
        <f t="shared" si="18"/>
        <v>0</v>
      </c>
      <c r="AD55" s="151">
        <f t="shared" si="18"/>
        <v>0</v>
      </c>
      <c r="AE55" s="151">
        <f t="shared" si="18"/>
        <v>0</v>
      </c>
      <c r="AF55" s="151">
        <f t="shared" si="18"/>
        <v>0</v>
      </c>
      <c r="AG55" s="151">
        <f t="shared" si="18"/>
        <v>0</v>
      </c>
      <c r="AH55" s="151">
        <f t="shared" si="18"/>
        <v>0</v>
      </c>
      <c r="AI55" s="151">
        <f t="shared" si="18"/>
        <v>0</v>
      </c>
      <c r="AJ55" s="151">
        <f t="shared" si="18"/>
        <v>0</v>
      </c>
      <c r="AK55" s="151">
        <f t="shared" si="18"/>
        <v>0</v>
      </c>
      <c r="AL55" s="151">
        <f t="shared" si="18"/>
        <v>0</v>
      </c>
      <c r="AM55" s="151">
        <f t="shared" si="18"/>
        <v>0</v>
      </c>
      <c r="AN55" s="151">
        <f t="shared" si="18"/>
        <v>0</v>
      </c>
      <c r="AO55" s="151">
        <f t="shared" si="18"/>
        <v>0</v>
      </c>
      <c r="AP55" s="151">
        <f t="shared" si="18"/>
        <v>0</v>
      </c>
      <c r="AQ55" s="151">
        <f t="shared" si="18"/>
        <v>0</v>
      </c>
      <c r="AR55" s="151">
        <f t="shared" si="18"/>
        <v>0</v>
      </c>
      <c r="AS55" s="151">
        <f t="shared" si="18"/>
        <v>0</v>
      </c>
      <c r="AT55" s="151">
        <f t="shared" si="18"/>
        <v>0</v>
      </c>
      <c r="AU55" s="151">
        <f t="shared" si="18"/>
        <v>0</v>
      </c>
      <c r="AV55" s="151">
        <f t="shared" si="18"/>
        <v>0</v>
      </c>
      <c r="AW55" s="151">
        <f t="shared" si="18"/>
        <v>0</v>
      </c>
      <c r="AX55" s="151">
        <f t="shared" si="18"/>
        <v>0</v>
      </c>
      <c r="AY55" s="151">
        <f t="shared" si="18"/>
        <v>0</v>
      </c>
      <c r="AZ55" s="151">
        <f t="shared" si="18"/>
        <v>0</v>
      </c>
      <c r="BA55" s="151">
        <f t="shared" si="18"/>
        <v>0</v>
      </c>
      <c r="BB55" s="151">
        <f t="shared" si="18"/>
        <v>0</v>
      </c>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s="21" customFormat="1" ht="14.25" customHeight="1" x14ac:dyDescent="0.2">
      <c r="B56" s="73" t="s">
        <v>18</v>
      </c>
      <c r="C56" s="72" t="s">
        <v>7</v>
      </c>
      <c r="D56" s="92"/>
      <c r="E56" s="152">
        <f>E55</f>
        <v>0</v>
      </c>
      <c r="F56" s="152">
        <f>F55*HE_prescribed_parameters!C$13</f>
        <v>0</v>
      </c>
      <c r="G56" s="152">
        <f>G55*HE_prescribed_parameters!D$13</f>
        <v>0</v>
      </c>
      <c r="H56" s="152">
        <f>H55*HE_prescribed_parameters!E$13</f>
        <v>0</v>
      </c>
      <c r="I56" s="152">
        <f>I55*HE_prescribed_parameters!F$13</f>
        <v>0</v>
      </c>
      <c r="J56" s="152">
        <f>J55*HE_prescribed_parameters!G$13</f>
        <v>0</v>
      </c>
      <c r="K56" s="152">
        <f>K55*HE_prescribed_parameters!H$13</f>
        <v>0</v>
      </c>
      <c r="L56" s="152">
        <f>L55*HE_prescribed_parameters!I$13</f>
        <v>0</v>
      </c>
      <c r="M56" s="152">
        <f>M55*HE_prescribed_parameters!J$13</f>
        <v>0</v>
      </c>
      <c r="N56" s="152">
        <f>N55*HE_prescribed_parameters!K$13</f>
        <v>0</v>
      </c>
      <c r="O56" s="152">
        <f>O55*HE_prescribed_parameters!L$13</f>
        <v>0</v>
      </c>
      <c r="P56" s="152">
        <f>P55*HE_prescribed_parameters!M$13</f>
        <v>0</v>
      </c>
      <c r="Q56" s="152">
        <f>Q55*HE_prescribed_parameters!N$13</f>
        <v>0</v>
      </c>
      <c r="R56" s="152">
        <f>R55*HE_prescribed_parameters!O$13</f>
        <v>0</v>
      </c>
      <c r="S56" s="152">
        <f>S55*HE_prescribed_parameters!P$13</f>
        <v>0</v>
      </c>
      <c r="T56" s="152">
        <f>T55*HE_prescribed_parameters!Q$13</f>
        <v>0</v>
      </c>
      <c r="U56" s="152">
        <f>U55*HE_prescribed_parameters!R$13</f>
        <v>0</v>
      </c>
      <c r="V56" s="152">
        <f>V55*HE_prescribed_parameters!S$13</f>
        <v>0</v>
      </c>
      <c r="W56" s="152">
        <f>W55*HE_prescribed_parameters!T$13</f>
        <v>0</v>
      </c>
      <c r="X56" s="152">
        <f>X55*HE_prescribed_parameters!U$13</f>
        <v>0</v>
      </c>
      <c r="Y56" s="152">
        <f>Y55*HE_prescribed_parameters!V$13</f>
        <v>0</v>
      </c>
      <c r="Z56" s="152">
        <f>Z55*HE_prescribed_parameters!W$13</f>
        <v>0</v>
      </c>
      <c r="AA56" s="152">
        <f>AA55*HE_prescribed_parameters!X$13</f>
        <v>0</v>
      </c>
      <c r="AB56" s="152">
        <f>AB55*HE_prescribed_parameters!Y$13</f>
        <v>0</v>
      </c>
      <c r="AC56" s="152">
        <f>AC55*HE_prescribed_parameters!Z$13</f>
        <v>0</v>
      </c>
      <c r="AD56" s="152">
        <f>AD55*HE_prescribed_parameters!AA$13</f>
        <v>0</v>
      </c>
      <c r="AE56" s="152">
        <f>AE55*HE_prescribed_parameters!AB$13</f>
        <v>0</v>
      </c>
      <c r="AF56" s="152">
        <f>AF55*HE_prescribed_parameters!AC$13</f>
        <v>0</v>
      </c>
      <c r="AG56" s="152">
        <f>AG55*HE_prescribed_parameters!AD$13</f>
        <v>0</v>
      </c>
      <c r="AH56" s="152">
        <f>AH55*HE_prescribed_parameters!AE$13</f>
        <v>0</v>
      </c>
      <c r="AI56" s="152">
        <f>AI55*HE_prescribed_parameters!AF$13</f>
        <v>0</v>
      </c>
      <c r="AJ56" s="152">
        <f>AJ55*HE_prescribed_parameters!AG$13</f>
        <v>0</v>
      </c>
      <c r="AK56" s="152">
        <f>AK55*HE_prescribed_parameters!AH$13</f>
        <v>0</v>
      </c>
      <c r="AL56" s="152">
        <f>AL55*HE_prescribed_parameters!AI$13</f>
        <v>0</v>
      </c>
      <c r="AM56" s="152">
        <f>AM55*HE_prescribed_parameters!AJ$13</f>
        <v>0</v>
      </c>
      <c r="AN56" s="152">
        <f>AN55*HE_prescribed_parameters!AK$13</f>
        <v>0</v>
      </c>
      <c r="AO56" s="152">
        <f>AO55*HE_prescribed_parameters!AL$13</f>
        <v>0</v>
      </c>
      <c r="AP56" s="152">
        <f>AP55*HE_prescribed_parameters!AM$13</f>
        <v>0</v>
      </c>
      <c r="AQ56" s="152">
        <f>AQ55*HE_prescribed_parameters!AN$13</f>
        <v>0</v>
      </c>
      <c r="AR56" s="152">
        <f>AR55*HE_prescribed_parameters!AO$13</f>
        <v>0</v>
      </c>
      <c r="AS56" s="152">
        <f>AS55*HE_prescribed_parameters!AP$13</f>
        <v>0</v>
      </c>
      <c r="AT56" s="152">
        <f>AT55*HE_prescribed_parameters!AQ$13</f>
        <v>0</v>
      </c>
      <c r="AU56" s="152">
        <f>AU55*HE_prescribed_parameters!AR$13</f>
        <v>0</v>
      </c>
      <c r="AV56" s="152">
        <f>AV55*HE_prescribed_parameters!AS$13</f>
        <v>0</v>
      </c>
      <c r="AW56" s="152">
        <f>AW55*HE_prescribed_parameters!AT$13</f>
        <v>0</v>
      </c>
      <c r="AX56" s="152">
        <f>AX55*HE_prescribed_parameters!AU$13</f>
        <v>0</v>
      </c>
      <c r="AY56" s="152">
        <f>AY55*HE_prescribed_parameters!AV$13</f>
        <v>0</v>
      </c>
      <c r="AZ56" s="152">
        <f>AZ55*HE_prescribed_parameters!AW$13</f>
        <v>0</v>
      </c>
      <c r="BA56" s="152">
        <f>BA55*HE_prescribed_parameters!AX$13</f>
        <v>0</v>
      </c>
      <c r="BB56" s="152">
        <f>BB55*HE_prescribed_parameters!AY$13</f>
        <v>0</v>
      </c>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s="21" customFormat="1" ht="14.25" customHeight="1" x14ac:dyDescent="0.2">
      <c r="B57" s="74" t="s">
        <v>8</v>
      </c>
      <c r="C57" s="72" t="s">
        <v>4</v>
      </c>
      <c r="D57" s="92"/>
      <c r="E57" s="150"/>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7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s="21" customFormat="1" ht="14.25" customHeight="1" x14ac:dyDescent="0.2">
      <c r="B58" s="74" t="s">
        <v>9</v>
      </c>
      <c r="C58" s="72" t="s">
        <v>4</v>
      </c>
      <c r="D58" s="92"/>
      <c r="E58" s="150"/>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7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s="21" customFormat="1" ht="14.25" customHeight="1" x14ac:dyDescent="0.2">
      <c r="B59" s="73" t="s">
        <v>18</v>
      </c>
      <c r="C59" s="72" t="s">
        <v>4</v>
      </c>
      <c r="D59" s="92"/>
      <c r="E59" s="151">
        <f t="shared" ref="E59" si="19">SUM(E57:E58)</f>
        <v>0</v>
      </c>
      <c r="F59" s="151">
        <f t="shared" ref="F59:BB59" si="20">SUM(F57:F58)</f>
        <v>0</v>
      </c>
      <c r="G59" s="151">
        <f t="shared" si="20"/>
        <v>0</v>
      </c>
      <c r="H59" s="151">
        <f t="shared" si="20"/>
        <v>0</v>
      </c>
      <c r="I59" s="151">
        <f t="shared" si="20"/>
        <v>0</v>
      </c>
      <c r="J59" s="151">
        <f t="shared" si="20"/>
        <v>0</v>
      </c>
      <c r="K59" s="151">
        <f t="shared" si="20"/>
        <v>0</v>
      </c>
      <c r="L59" s="151">
        <f t="shared" si="20"/>
        <v>0</v>
      </c>
      <c r="M59" s="151">
        <f t="shared" si="20"/>
        <v>0</v>
      </c>
      <c r="N59" s="151">
        <f t="shared" si="20"/>
        <v>0</v>
      </c>
      <c r="O59" s="151">
        <f t="shared" si="20"/>
        <v>0</v>
      </c>
      <c r="P59" s="151">
        <f t="shared" si="20"/>
        <v>0</v>
      </c>
      <c r="Q59" s="151">
        <f t="shared" si="20"/>
        <v>0</v>
      </c>
      <c r="R59" s="151">
        <f t="shared" si="20"/>
        <v>0</v>
      </c>
      <c r="S59" s="151">
        <f t="shared" si="20"/>
        <v>0</v>
      </c>
      <c r="T59" s="151">
        <f t="shared" si="20"/>
        <v>0</v>
      </c>
      <c r="U59" s="151">
        <f t="shared" si="20"/>
        <v>0</v>
      </c>
      <c r="V59" s="151">
        <f t="shared" si="20"/>
        <v>0</v>
      </c>
      <c r="W59" s="151">
        <f t="shared" si="20"/>
        <v>0</v>
      </c>
      <c r="X59" s="151">
        <f t="shared" si="20"/>
        <v>0</v>
      </c>
      <c r="Y59" s="151">
        <f t="shared" si="20"/>
        <v>0</v>
      </c>
      <c r="Z59" s="151">
        <f t="shared" si="20"/>
        <v>0</v>
      </c>
      <c r="AA59" s="151">
        <f t="shared" si="20"/>
        <v>0</v>
      </c>
      <c r="AB59" s="151">
        <f t="shared" si="20"/>
        <v>0</v>
      </c>
      <c r="AC59" s="151">
        <f t="shared" si="20"/>
        <v>0</v>
      </c>
      <c r="AD59" s="151">
        <f t="shared" si="20"/>
        <v>0</v>
      </c>
      <c r="AE59" s="151">
        <f t="shared" si="20"/>
        <v>0</v>
      </c>
      <c r="AF59" s="151">
        <f t="shared" si="20"/>
        <v>0</v>
      </c>
      <c r="AG59" s="151">
        <f t="shared" si="20"/>
        <v>0</v>
      </c>
      <c r="AH59" s="151">
        <f t="shared" si="20"/>
        <v>0</v>
      </c>
      <c r="AI59" s="151">
        <f t="shared" si="20"/>
        <v>0</v>
      </c>
      <c r="AJ59" s="151">
        <f t="shared" si="20"/>
        <v>0</v>
      </c>
      <c r="AK59" s="151">
        <f t="shared" si="20"/>
        <v>0</v>
      </c>
      <c r="AL59" s="151">
        <f t="shared" si="20"/>
        <v>0</v>
      </c>
      <c r="AM59" s="151">
        <f t="shared" si="20"/>
        <v>0</v>
      </c>
      <c r="AN59" s="151">
        <f t="shared" si="20"/>
        <v>0</v>
      </c>
      <c r="AO59" s="151">
        <f t="shared" si="20"/>
        <v>0</v>
      </c>
      <c r="AP59" s="151">
        <f t="shared" si="20"/>
        <v>0</v>
      </c>
      <c r="AQ59" s="151">
        <f t="shared" si="20"/>
        <v>0</v>
      </c>
      <c r="AR59" s="151">
        <f t="shared" si="20"/>
        <v>0</v>
      </c>
      <c r="AS59" s="151">
        <f t="shared" si="20"/>
        <v>0</v>
      </c>
      <c r="AT59" s="151">
        <f t="shared" si="20"/>
        <v>0</v>
      </c>
      <c r="AU59" s="151">
        <f t="shared" si="20"/>
        <v>0</v>
      </c>
      <c r="AV59" s="151">
        <f t="shared" si="20"/>
        <v>0</v>
      </c>
      <c r="AW59" s="151">
        <f t="shared" si="20"/>
        <v>0</v>
      </c>
      <c r="AX59" s="151">
        <f t="shared" si="20"/>
        <v>0</v>
      </c>
      <c r="AY59" s="151">
        <f t="shared" si="20"/>
        <v>0</v>
      </c>
      <c r="AZ59" s="151">
        <f t="shared" si="20"/>
        <v>0</v>
      </c>
      <c r="BA59" s="151">
        <f t="shared" si="20"/>
        <v>0</v>
      </c>
      <c r="BB59" s="151">
        <f t="shared" si="20"/>
        <v>0</v>
      </c>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s="21" customFormat="1" ht="14.25" customHeight="1" x14ac:dyDescent="0.2">
      <c r="B60" s="73" t="s">
        <v>18</v>
      </c>
      <c r="C60" s="72" t="s">
        <v>7</v>
      </c>
      <c r="D60" s="92"/>
      <c r="E60" s="152">
        <f>E59</f>
        <v>0</v>
      </c>
      <c r="F60" s="152">
        <f>F59*HE_prescribed_parameters!C$13</f>
        <v>0</v>
      </c>
      <c r="G60" s="152">
        <f>G59*HE_prescribed_parameters!D$13</f>
        <v>0</v>
      </c>
      <c r="H60" s="152">
        <f>H59*HE_prescribed_parameters!E$13</f>
        <v>0</v>
      </c>
      <c r="I60" s="152">
        <f>I59*HE_prescribed_parameters!F$13</f>
        <v>0</v>
      </c>
      <c r="J60" s="152">
        <f>J59*HE_prescribed_parameters!G$13</f>
        <v>0</v>
      </c>
      <c r="K60" s="152">
        <f>K59*HE_prescribed_parameters!H$13</f>
        <v>0</v>
      </c>
      <c r="L60" s="152">
        <f>L59*HE_prescribed_parameters!I$13</f>
        <v>0</v>
      </c>
      <c r="M60" s="152">
        <f>M59*HE_prescribed_parameters!J$13</f>
        <v>0</v>
      </c>
      <c r="N60" s="152">
        <f>N59*HE_prescribed_parameters!K$13</f>
        <v>0</v>
      </c>
      <c r="O60" s="152">
        <f>O59*HE_prescribed_parameters!L$13</f>
        <v>0</v>
      </c>
      <c r="P60" s="152">
        <f>P59*HE_prescribed_parameters!M$13</f>
        <v>0</v>
      </c>
      <c r="Q60" s="152">
        <f>Q59*HE_prescribed_parameters!N$13</f>
        <v>0</v>
      </c>
      <c r="R60" s="152">
        <f>R59*HE_prescribed_parameters!O$13</f>
        <v>0</v>
      </c>
      <c r="S60" s="152">
        <f>S59*HE_prescribed_parameters!P$13</f>
        <v>0</v>
      </c>
      <c r="T60" s="152">
        <f>T59*HE_prescribed_parameters!Q$13</f>
        <v>0</v>
      </c>
      <c r="U60" s="152">
        <f>U59*HE_prescribed_parameters!R$13</f>
        <v>0</v>
      </c>
      <c r="V60" s="152">
        <f>V59*HE_prescribed_parameters!S$13</f>
        <v>0</v>
      </c>
      <c r="W60" s="152">
        <f>W59*HE_prescribed_parameters!T$13</f>
        <v>0</v>
      </c>
      <c r="X60" s="152">
        <f>X59*HE_prescribed_parameters!U$13</f>
        <v>0</v>
      </c>
      <c r="Y60" s="152">
        <f>Y59*HE_prescribed_parameters!V$13</f>
        <v>0</v>
      </c>
      <c r="Z60" s="152">
        <f>Z59*HE_prescribed_parameters!W$13</f>
        <v>0</v>
      </c>
      <c r="AA60" s="152">
        <f>AA59*HE_prescribed_parameters!X$13</f>
        <v>0</v>
      </c>
      <c r="AB60" s="152">
        <f>AB59*HE_prescribed_parameters!Y$13</f>
        <v>0</v>
      </c>
      <c r="AC60" s="152">
        <f>AC59*HE_prescribed_parameters!Z$13</f>
        <v>0</v>
      </c>
      <c r="AD60" s="152">
        <f>AD59*HE_prescribed_parameters!AA$13</f>
        <v>0</v>
      </c>
      <c r="AE60" s="152">
        <f>AE59*HE_prescribed_parameters!AB$13</f>
        <v>0</v>
      </c>
      <c r="AF60" s="152">
        <f>AF59*HE_prescribed_parameters!AC$13</f>
        <v>0</v>
      </c>
      <c r="AG60" s="152">
        <f>AG59*HE_prescribed_parameters!AD$13</f>
        <v>0</v>
      </c>
      <c r="AH60" s="152">
        <f>AH59*HE_prescribed_parameters!AE$13</f>
        <v>0</v>
      </c>
      <c r="AI60" s="152">
        <f>AI59*HE_prescribed_parameters!AF$13</f>
        <v>0</v>
      </c>
      <c r="AJ60" s="152">
        <f>AJ59*HE_prescribed_parameters!AG$13</f>
        <v>0</v>
      </c>
      <c r="AK60" s="152">
        <f>AK59*HE_prescribed_parameters!AH$13</f>
        <v>0</v>
      </c>
      <c r="AL60" s="152">
        <f>AL59*HE_prescribed_parameters!AI$13</f>
        <v>0</v>
      </c>
      <c r="AM60" s="152">
        <f>AM59*HE_prescribed_parameters!AJ$13</f>
        <v>0</v>
      </c>
      <c r="AN60" s="152">
        <f>AN59*HE_prescribed_parameters!AK$13</f>
        <v>0</v>
      </c>
      <c r="AO60" s="152">
        <f>AO59*HE_prescribed_parameters!AL$13</f>
        <v>0</v>
      </c>
      <c r="AP60" s="152">
        <f>AP59*HE_prescribed_parameters!AM$13</f>
        <v>0</v>
      </c>
      <c r="AQ60" s="152">
        <f>AQ59*HE_prescribed_parameters!AN$13</f>
        <v>0</v>
      </c>
      <c r="AR60" s="152">
        <f>AR59*HE_prescribed_parameters!AO$13</f>
        <v>0</v>
      </c>
      <c r="AS60" s="152">
        <f>AS59*HE_prescribed_parameters!AP$13</f>
        <v>0</v>
      </c>
      <c r="AT60" s="152">
        <f>AT59*HE_prescribed_parameters!AQ$13</f>
        <v>0</v>
      </c>
      <c r="AU60" s="152">
        <f>AU59*HE_prescribed_parameters!AR$13</f>
        <v>0</v>
      </c>
      <c r="AV60" s="152">
        <f>AV59*HE_prescribed_parameters!AS$13</f>
        <v>0</v>
      </c>
      <c r="AW60" s="152">
        <f>AW59*HE_prescribed_parameters!AT$13</f>
        <v>0</v>
      </c>
      <c r="AX60" s="152">
        <f>AX59*HE_prescribed_parameters!AU$13</f>
        <v>0</v>
      </c>
      <c r="AY60" s="152">
        <f>AY59*HE_prescribed_parameters!AV$13</f>
        <v>0</v>
      </c>
      <c r="AZ60" s="152">
        <f>AZ59*HE_prescribed_parameters!AW$13</f>
        <v>0</v>
      </c>
      <c r="BA60" s="152">
        <f>BA59*HE_prescribed_parameters!AX$13</f>
        <v>0</v>
      </c>
      <c r="BB60" s="152">
        <f>BB59*HE_prescribed_parameters!AY$13</f>
        <v>0</v>
      </c>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s="21" customFormat="1" ht="14.25" customHeight="1" x14ac:dyDescent="0.2">
      <c r="B61" s="74" t="s">
        <v>10</v>
      </c>
      <c r="C61" s="72" t="s">
        <v>4</v>
      </c>
      <c r="D61" s="92"/>
      <c r="E61" s="150"/>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7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s="21" customFormat="1" ht="14.25" customHeight="1" x14ac:dyDescent="0.2">
      <c r="B62" s="74" t="s">
        <v>11</v>
      </c>
      <c r="C62" s="72" t="s">
        <v>4</v>
      </c>
      <c r="D62" s="92"/>
      <c r="E62" s="150"/>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7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s="21" customFormat="1" ht="14.25" customHeight="1" x14ac:dyDescent="0.2">
      <c r="B63" s="73" t="s">
        <v>18</v>
      </c>
      <c r="C63" s="72" t="s">
        <v>4</v>
      </c>
      <c r="D63" s="92"/>
      <c r="E63" s="151">
        <f t="shared" ref="E63" si="21">SUM(E61:E62)</f>
        <v>0</v>
      </c>
      <c r="F63" s="151">
        <f t="shared" ref="F63:BB63" si="22">SUM(F61:F62)</f>
        <v>0</v>
      </c>
      <c r="G63" s="151">
        <f t="shared" si="22"/>
        <v>0</v>
      </c>
      <c r="H63" s="151">
        <f t="shared" si="22"/>
        <v>0</v>
      </c>
      <c r="I63" s="151">
        <f t="shared" si="22"/>
        <v>0</v>
      </c>
      <c r="J63" s="151">
        <f t="shared" si="22"/>
        <v>0</v>
      </c>
      <c r="K63" s="151">
        <f t="shared" si="22"/>
        <v>0</v>
      </c>
      <c r="L63" s="151">
        <f t="shared" si="22"/>
        <v>0</v>
      </c>
      <c r="M63" s="151">
        <f t="shared" si="22"/>
        <v>0</v>
      </c>
      <c r="N63" s="151">
        <f t="shared" si="22"/>
        <v>0</v>
      </c>
      <c r="O63" s="151">
        <f t="shared" si="22"/>
        <v>0</v>
      </c>
      <c r="P63" s="151">
        <f t="shared" si="22"/>
        <v>0</v>
      </c>
      <c r="Q63" s="151">
        <f t="shared" si="22"/>
        <v>0</v>
      </c>
      <c r="R63" s="151">
        <f t="shared" si="22"/>
        <v>0</v>
      </c>
      <c r="S63" s="151">
        <f t="shared" si="22"/>
        <v>0</v>
      </c>
      <c r="T63" s="151">
        <f t="shared" si="22"/>
        <v>0</v>
      </c>
      <c r="U63" s="151">
        <f t="shared" si="22"/>
        <v>0</v>
      </c>
      <c r="V63" s="151">
        <f t="shared" si="22"/>
        <v>0</v>
      </c>
      <c r="W63" s="151">
        <f t="shared" si="22"/>
        <v>0</v>
      </c>
      <c r="X63" s="151">
        <f t="shared" si="22"/>
        <v>0</v>
      </c>
      <c r="Y63" s="151">
        <f t="shared" si="22"/>
        <v>0</v>
      </c>
      <c r="Z63" s="151">
        <f t="shared" si="22"/>
        <v>0</v>
      </c>
      <c r="AA63" s="151">
        <f t="shared" si="22"/>
        <v>0</v>
      </c>
      <c r="AB63" s="151">
        <f t="shared" si="22"/>
        <v>0</v>
      </c>
      <c r="AC63" s="151">
        <f t="shared" si="22"/>
        <v>0</v>
      </c>
      <c r="AD63" s="151">
        <f t="shared" si="22"/>
        <v>0</v>
      </c>
      <c r="AE63" s="151">
        <f t="shared" si="22"/>
        <v>0</v>
      </c>
      <c r="AF63" s="151">
        <f t="shared" si="22"/>
        <v>0</v>
      </c>
      <c r="AG63" s="151">
        <f t="shared" si="22"/>
        <v>0</v>
      </c>
      <c r="AH63" s="151">
        <f t="shared" si="22"/>
        <v>0</v>
      </c>
      <c r="AI63" s="151">
        <f t="shared" si="22"/>
        <v>0</v>
      </c>
      <c r="AJ63" s="151">
        <f t="shared" si="22"/>
        <v>0</v>
      </c>
      <c r="AK63" s="151">
        <f t="shared" si="22"/>
        <v>0</v>
      </c>
      <c r="AL63" s="151">
        <f t="shared" si="22"/>
        <v>0</v>
      </c>
      <c r="AM63" s="151">
        <f t="shared" si="22"/>
        <v>0</v>
      </c>
      <c r="AN63" s="151">
        <f t="shared" si="22"/>
        <v>0</v>
      </c>
      <c r="AO63" s="151">
        <f t="shared" si="22"/>
        <v>0</v>
      </c>
      <c r="AP63" s="151">
        <f t="shared" si="22"/>
        <v>0</v>
      </c>
      <c r="AQ63" s="151">
        <f t="shared" si="22"/>
        <v>0</v>
      </c>
      <c r="AR63" s="151">
        <f t="shared" si="22"/>
        <v>0</v>
      </c>
      <c r="AS63" s="151">
        <f t="shared" si="22"/>
        <v>0</v>
      </c>
      <c r="AT63" s="151">
        <f t="shared" si="22"/>
        <v>0</v>
      </c>
      <c r="AU63" s="151">
        <f t="shared" si="22"/>
        <v>0</v>
      </c>
      <c r="AV63" s="151">
        <f t="shared" si="22"/>
        <v>0</v>
      </c>
      <c r="AW63" s="151">
        <f t="shared" si="22"/>
        <v>0</v>
      </c>
      <c r="AX63" s="151">
        <f t="shared" si="22"/>
        <v>0</v>
      </c>
      <c r="AY63" s="151">
        <f t="shared" si="22"/>
        <v>0</v>
      </c>
      <c r="AZ63" s="151">
        <f t="shared" si="22"/>
        <v>0</v>
      </c>
      <c r="BA63" s="151">
        <f t="shared" si="22"/>
        <v>0</v>
      </c>
      <c r="BB63" s="151">
        <f t="shared" si="22"/>
        <v>0</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s="21" customFormat="1" ht="14.25" customHeight="1" x14ac:dyDescent="0.2">
      <c r="B64" s="73" t="s">
        <v>18</v>
      </c>
      <c r="C64" s="72" t="s">
        <v>7</v>
      </c>
      <c r="D64" s="92"/>
      <c r="E64" s="152">
        <f>E63</f>
        <v>0</v>
      </c>
      <c r="F64" s="152">
        <f>F63*HE_prescribed_parameters!C$13</f>
        <v>0</v>
      </c>
      <c r="G64" s="152">
        <f>G63*HE_prescribed_parameters!D$13</f>
        <v>0</v>
      </c>
      <c r="H64" s="152">
        <f>H63*HE_prescribed_parameters!E$13</f>
        <v>0</v>
      </c>
      <c r="I64" s="152">
        <f>I63*HE_prescribed_parameters!F$13</f>
        <v>0</v>
      </c>
      <c r="J64" s="152">
        <f>J63*HE_prescribed_parameters!G$13</f>
        <v>0</v>
      </c>
      <c r="K64" s="152">
        <f>K63*HE_prescribed_parameters!H$13</f>
        <v>0</v>
      </c>
      <c r="L64" s="152">
        <f>L63*HE_prescribed_parameters!I$13</f>
        <v>0</v>
      </c>
      <c r="M64" s="152">
        <f>M63*HE_prescribed_parameters!J$13</f>
        <v>0</v>
      </c>
      <c r="N64" s="152">
        <f>N63*HE_prescribed_parameters!K$13</f>
        <v>0</v>
      </c>
      <c r="O64" s="152">
        <f>O63*HE_prescribed_parameters!L$13</f>
        <v>0</v>
      </c>
      <c r="P64" s="152">
        <f>P63*HE_prescribed_parameters!M$13</f>
        <v>0</v>
      </c>
      <c r="Q64" s="152">
        <f>Q63*HE_prescribed_parameters!N$13</f>
        <v>0</v>
      </c>
      <c r="R64" s="152">
        <f>R63*HE_prescribed_parameters!O$13</f>
        <v>0</v>
      </c>
      <c r="S64" s="152">
        <f>S63*HE_prescribed_parameters!P$13</f>
        <v>0</v>
      </c>
      <c r="T64" s="152">
        <f>T63*HE_prescribed_parameters!Q$13</f>
        <v>0</v>
      </c>
      <c r="U64" s="152">
        <f>U63*HE_prescribed_parameters!R$13</f>
        <v>0</v>
      </c>
      <c r="V64" s="152">
        <f>V63*HE_prescribed_parameters!S$13</f>
        <v>0</v>
      </c>
      <c r="W64" s="152">
        <f>W63*HE_prescribed_parameters!T$13</f>
        <v>0</v>
      </c>
      <c r="X64" s="152">
        <f>X63*HE_prescribed_parameters!U$13</f>
        <v>0</v>
      </c>
      <c r="Y64" s="152">
        <f>Y63*HE_prescribed_parameters!V$13</f>
        <v>0</v>
      </c>
      <c r="Z64" s="152">
        <f>Z63*HE_prescribed_parameters!W$13</f>
        <v>0</v>
      </c>
      <c r="AA64" s="152">
        <f>AA63*HE_prescribed_parameters!X$13</f>
        <v>0</v>
      </c>
      <c r="AB64" s="152">
        <f>AB63*HE_prescribed_parameters!Y$13</f>
        <v>0</v>
      </c>
      <c r="AC64" s="152">
        <f>AC63*HE_prescribed_parameters!Z$13</f>
        <v>0</v>
      </c>
      <c r="AD64" s="152">
        <f>AD63*HE_prescribed_parameters!AA$13</f>
        <v>0</v>
      </c>
      <c r="AE64" s="152">
        <f>AE63*HE_prescribed_parameters!AB$13</f>
        <v>0</v>
      </c>
      <c r="AF64" s="152">
        <f>AF63*HE_prescribed_parameters!AC$13</f>
        <v>0</v>
      </c>
      <c r="AG64" s="152">
        <f>AG63*HE_prescribed_parameters!AD$13</f>
        <v>0</v>
      </c>
      <c r="AH64" s="152">
        <f>AH63*HE_prescribed_parameters!AE$13</f>
        <v>0</v>
      </c>
      <c r="AI64" s="152">
        <f>AI63*HE_prescribed_parameters!AF$13</f>
        <v>0</v>
      </c>
      <c r="AJ64" s="152">
        <f>AJ63*HE_prescribed_parameters!AG$13</f>
        <v>0</v>
      </c>
      <c r="AK64" s="152">
        <f>AK63*HE_prescribed_parameters!AH$13</f>
        <v>0</v>
      </c>
      <c r="AL64" s="152">
        <f>AL63*HE_prescribed_parameters!AI$13</f>
        <v>0</v>
      </c>
      <c r="AM64" s="152">
        <f>AM63*HE_prescribed_parameters!AJ$13</f>
        <v>0</v>
      </c>
      <c r="AN64" s="152">
        <f>AN63*HE_prescribed_parameters!AK$13</f>
        <v>0</v>
      </c>
      <c r="AO64" s="152">
        <f>AO63*HE_prescribed_parameters!AL$13</f>
        <v>0</v>
      </c>
      <c r="AP64" s="152">
        <f>AP63*HE_prescribed_parameters!AM$13</f>
        <v>0</v>
      </c>
      <c r="AQ64" s="152">
        <f>AQ63*HE_prescribed_parameters!AN$13</f>
        <v>0</v>
      </c>
      <c r="AR64" s="152">
        <f>AR63*HE_prescribed_parameters!AO$13</f>
        <v>0</v>
      </c>
      <c r="AS64" s="152">
        <f>AS63*HE_prescribed_parameters!AP$13</f>
        <v>0</v>
      </c>
      <c r="AT64" s="152">
        <f>AT63*HE_prescribed_parameters!AQ$13</f>
        <v>0</v>
      </c>
      <c r="AU64" s="152">
        <f>AU63*HE_prescribed_parameters!AR$13</f>
        <v>0</v>
      </c>
      <c r="AV64" s="152">
        <f>AV63*HE_prescribed_parameters!AS$13</f>
        <v>0</v>
      </c>
      <c r="AW64" s="152">
        <f>AW63*HE_prescribed_parameters!AT$13</f>
        <v>0</v>
      </c>
      <c r="AX64" s="152">
        <f>AX63*HE_prescribed_parameters!AU$13</f>
        <v>0</v>
      </c>
      <c r="AY64" s="152">
        <f>AY63*HE_prescribed_parameters!AV$13</f>
        <v>0</v>
      </c>
      <c r="AZ64" s="152">
        <f>AZ63*HE_prescribed_parameters!AW$13</f>
        <v>0</v>
      </c>
      <c r="BA64" s="152">
        <f>BA63*HE_prescribed_parameters!AX$13</f>
        <v>0</v>
      </c>
      <c r="BB64" s="152">
        <f>BB63*HE_prescribed_parameters!AY$13</f>
        <v>0</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s="21" customFormat="1" ht="14.25" customHeight="1" x14ac:dyDescent="0.2">
      <c r="B65" s="74" t="s">
        <v>12</v>
      </c>
      <c r="C65" s="72" t="s">
        <v>4</v>
      </c>
      <c r="D65" s="92"/>
      <c r="E65" s="150"/>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7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s="21" customFormat="1" ht="14.25" customHeight="1" x14ac:dyDescent="0.2">
      <c r="B66" s="74" t="s">
        <v>13</v>
      </c>
      <c r="C66" s="72" t="s">
        <v>4</v>
      </c>
      <c r="D66" s="92"/>
      <c r="E66" s="150"/>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7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s="21" customFormat="1" ht="14.25" customHeight="1" x14ac:dyDescent="0.2">
      <c r="B67" s="73" t="s">
        <v>18</v>
      </c>
      <c r="C67" s="72" t="s">
        <v>4</v>
      </c>
      <c r="D67" s="92"/>
      <c r="E67" s="151">
        <f t="shared" ref="E67" si="23">SUM(E65:E66)</f>
        <v>0</v>
      </c>
      <c r="F67" s="151">
        <f t="shared" ref="F67:BB67" si="24">SUM(F65:F66)</f>
        <v>0</v>
      </c>
      <c r="G67" s="151">
        <f t="shared" si="24"/>
        <v>0</v>
      </c>
      <c r="H67" s="151">
        <f t="shared" si="24"/>
        <v>0</v>
      </c>
      <c r="I67" s="151">
        <f t="shared" si="24"/>
        <v>0</v>
      </c>
      <c r="J67" s="151">
        <f t="shared" si="24"/>
        <v>0</v>
      </c>
      <c r="K67" s="151">
        <f t="shared" si="24"/>
        <v>0</v>
      </c>
      <c r="L67" s="151">
        <f t="shared" si="24"/>
        <v>0</v>
      </c>
      <c r="M67" s="151">
        <f t="shared" si="24"/>
        <v>0</v>
      </c>
      <c r="N67" s="151">
        <f t="shared" si="24"/>
        <v>0</v>
      </c>
      <c r="O67" s="151">
        <f t="shared" si="24"/>
        <v>0</v>
      </c>
      <c r="P67" s="151">
        <f t="shared" si="24"/>
        <v>0</v>
      </c>
      <c r="Q67" s="151">
        <f t="shared" si="24"/>
        <v>0</v>
      </c>
      <c r="R67" s="151">
        <f t="shared" si="24"/>
        <v>0</v>
      </c>
      <c r="S67" s="151">
        <f t="shared" si="24"/>
        <v>0</v>
      </c>
      <c r="T67" s="151">
        <f t="shared" si="24"/>
        <v>0</v>
      </c>
      <c r="U67" s="151">
        <f t="shared" si="24"/>
        <v>0</v>
      </c>
      <c r="V67" s="151">
        <f t="shared" si="24"/>
        <v>0</v>
      </c>
      <c r="W67" s="151">
        <f t="shared" si="24"/>
        <v>0</v>
      </c>
      <c r="X67" s="151">
        <f t="shared" si="24"/>
        <v>0</v>
      </c>
      <c r="Y67" s="151">
        <f t="shared" si="24"/>
        <v>0</v>
      </c>
      <c r="Z67" s="151">
        <f t="shared" si="24"/>
        <v>0</v>
      </c>
      <c r="AA67" s="151">
        <f t="shared" si="24"/>
        <v>0</v>
      </c>
      <c r="AB67" s="151">
        <f t="shared" si="24"/>
        <v>0</v>
      </c>
      <c r="AC67" s="151">
        <f t="shared" si="24"/>
        <v>0</v>
      </c>
      <c r="AD67" s="151">
        <f t="shared" si="24"/>
        <v>0</v>
      </c>
      <c r="AE67" s="151">
        <f t="shared" si="24"/>
        <v>0</v>
      </c>
      <c r="AF67" s="151">
        <f t="shared" si="24"/>
        <v>0</v>
      </c>
      <c r="AG67" s="151">
        <f t="shared" si="24"/>
        <v>0</v>
      </c>
      <c r="AH67" s="151">
        <f t="shared" si="24"/>
        <v>0</v>
      </c>
      <c r="AI67" s="151">
        <f t="shared" si="24"/>
        <v>0</v>
      </c>
      <c r="AJ67" s="151">
        <f t="shared" si="24"/>
        <v>0</v>
      </c>
      <c r="AK67" s="151">
        <f t="shared" si="24"/>
        <v>0</v>
      </c>
      <c r="AL67" s="151">
        <f t="shared" si="24"/>
        <v>0</v>
      </c>
      <c r="AM67" s="151">
        <f t="shared" si="24"/>
        <v>0</v>
      </c>
      <c r="AN67" s="151">
        <f t="shared" si="24"/>
        <v>0</v>
      </c>
      <c r="AO67" s="151">
        <f t="shared" si="24"/>
        <v>0</v>
      </c>
      <c r="AP67" s="151">
        <f t="shared" si="24"/>
        <v>0</v>
      </c>
      <c r="AQ67" s="151">
        <f t="shared" si="24"/>
        <v>0</v>
      </c>
      <c r="AR67" s="151">
        <f t="shared" si="24"/>
        <v>0</v>
      </c>
      <c r="AS67" s="151">
        <f t="shared" si="24"/>
        <v>0</v>
      </c>
      <c r="AT67" s="151">
        <f t="shared" si="24"/>
        <v>0</v>
      </c>
      <c r="AU67" s="151">
        <f t="shared" si="24"/>
        <v>0</v>
      </c>
      <c r="AV67" s="151">
        <f t="shared" si="24"/>
        <v>0</v>
      </c>
      <c r="AW67" s="151">
        <f t="shared" si="24"/>
        <v>0</v>
      </c>
      <c r="AX67" s="151">
        <f t="shared" si="24"/>
        <v>0</v>
      </c>
      <c r="AY67" s="151">
        <f t="shared" si="24"/>
        <v>0</v>
      </c>
      <c r="AZ67" s="151">
        <f t="shared" si="24"/>
        <v>0</v>
      </c>
      <c r="BA67" s="151">
        <f t="shared" si="24"/>
        <v>0</v>
      </c>
      <c r="BB67" s="151">
        <f t="shared" si="24"/>
        <v>0</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s="21" customFormat="1" ht="14.25" customHeight="1" x14ac:dyDescent="0.2">
      <c r="B68" s="73" t="s">
        <v>18</v>
      </c>
      <c r="C68" s="72" t="s">
        <v>7</v>
      </c>
      <c r="D68" s="92"/>
      <c r="E68" s="152">
        <f>E67</f>
        <v>0</v>
      </c>
      <c r="F68" s="152">
        <f>F67*HE_prescribed_parameters!C$13</f>
        <v>0</v>
      </c>
      <c r="G68" s="152">
        <f>G67*HE_prescribed_parameters!D$13</f>
        <v>0</v>
      </c>
      <c r="H68" s="152">
        <f>H67*HE_prescribed_parameters!E$13</f>
        <v>0</v>
      </c>
      <c r="I68" s="152">
        <f>I67*HE_prescribed_parameters!F$13</f>
        <v>0</v>
      </c>
      <c r="J68" s="152">
        <f>J67*HE_prescribed_parameters!G$13</f>
        <v>0</v>
      </c>
      <c r="K68" s="152">
        <f>K67*HE_prescribed_parameters!H$13</f>
        <v>0</v>
      </c>
      <c r="L68" s="152">
        <f>L67*HE_prescribed_parameters!I$13</f>
        <v>0</v>
      </c>
      <c r="M68" s="152">
        <f>M67*HE_prescribed_parameters!J$13</f>
        <v>0</v>
      </c>
      <c r="N68" s="152">
        <f>N67*HE_prescribed_parameters!K$13</f>
        <v>0</v>
      </c>
      <c r="O68" s="152">
        <f>O67*HE_prescribed_parameters!L$13</f>
        <v>0</v>
      </c>
      <c r="P68" s="152">
        <f>P67*HE_prescribed_parameters!M$13</f>
        <v>0</v>
      </c>
      <c r="Q68" s="152">
        <f>Q67*HE_prescribed_parameters!N$13</f>
        <v>0</v>
      </c>
      <c r="R68" s="152">
        <f>R67*HE_prescribed_parameters!O$13</f>
        <v>0</v>
      </c>
      <c r="S68" s="152">
        <f>S67*HE_prescribed_parameters!P$13</f>
        <v>0</v>
      </c>
      <c r="T68" s="152">
        <f>T67*HE_prescribed_parameters!Q$13</f>
        <v>0</v>
      </c>
      <c r="U68" s="152">
        <f>U67*HE_prescribed_parameters!R$13</f>
        <v>0</v>
      </c>
      <c r="V68" s="152">
        <f>V67*HE_prescribed_parameters!S$13</f>
        <v>0</v>
      </c>
      <c r="W68" s="152">
        <f>W67*HE_prescribed_parameters!T$13</f>
        <v>0</v>
      </c>
      <c r="X68" s="152">
        <f>X67*HE_prescribed_parameters!U$13</f>
        <v>0</v>
      </c>
      <c r="Y68" s="152">
        <f>Y67*HE_prescribed_parameters!V$13</f>
        <v>0</v>
      </c>
      <c r="Z68" s="152">
        <f>Z67*HE_prescribed_parameters!W$13</f>
        <v>0</v>
      </c>
      <c r="AA68" s="152">
        <f>AA67*HE_prescribed_parameters!X$13</f>
        <v>0</v>
      </c>
      <c r="AB68" s="152">
        <f>AB67*HE_prescribed_parameters!Y$13</f>
        <v>0</v>
      </c>
      <c r="AC68" s="152">
        <f>AC67*HE_prescribed_parameters!Z$13</f>
        <v>0</v>
      </c>
      <c r="AD68" s="152">
        <f>AD67*HE_prescribed_parameters!AA$13</f>
        <v>0</v>
      </c>
      <c r="AE68" s="152">
        <f>AE67*HE_prescribed_parameters!AB$13</f>
        <v>0</v>
      </c>
      <c r="AF68" s="152">
        <f>AF67*HE_prescribed_parameters!AC$13</f>
        <v>0</v>
      </c>
      <c r="AG68" s="152">
        <f>AG67*HE_prescribed_parameters!AD$13</f>
        <v>0</v>
      </c>
      <c r="AH68" s="152">
        <f>AH67*HE_prescribed_parameters!AE$13</f>
        <v>0</v>
      </c>
      <c r="AI68" s="152">
        <f>AI67*HE_prescribed_parameters!AF$13</f>
        <v>0</v>
      </c>
      <c r="AJ68" s="152">
        <f>AJ67*HE_prescribed_parameters!AG$13</f>
        <v>0</v>
      </c>
      <c r="AK68" s="152">
        <f>AK67*HE_prescribed_parameters!AH$13</f>
        <v>0</v>
      </c>
      <c r="AL68" s="152">
        <f>AL67*HE_prescribed_parameters!AI$13</f>
        <v>0</v>
      </c>
      <c r="AM68" s="152">
        <f>AM67*HE_prescribed_parameters!AJ$13</f>
        <v>0</v>
      </c>
      <c r="AN68" s="152">
        <f>AN67*HE_prescribed_parameters!AK$13</f>
        <v>0</v>
      </c>
      <c r="AO68" s="152">
        <f>AO67*HE_prescribed_parameters!AL$13</f>
        <v>0</v>
      </c>
      <c r="AP68" s="152">
        <f>AP67*HE_prescribed_parameters!AM$13</f>
        <v>0</v>
      </c>
      <c r="AQ68" s="152">
        <f>AQ67*HE_prescribed_parameters!AN$13</f>
        <v>0</v>
      </c>
      <c r="AR68" s="152">
        <f>AR67*HE_prescribed_parameters!AO$13</f>
        <v>0</v>
      </c>
      <c r="AS68" s="152">
        <f>AS67*HE_prescribed_parameters!AP$13</f>
        <v>0</v>
      </c>
      <c r="AT68" s="152">
        <f>AT67*HE_prescribed_parameters!AQ$13</f>
        <v>0</v>
      </c>
      <c r="AU68" s="152">
        <f>AU67*HE_prescribed_parameters!AR$13</f>
        <v>0</v>
      </c>
      <c r="AV68" s="152">
        <f>AV67*HE_prescribed_parameters!AS$13</f>
        <v>0</v>
      </c>
      <c r="AW68" s="152">
        <f>AW67*HE_prescribed_parameters!AT$13</f>
        <v>0</v>
      </c>
      <c r="AX68" s="152">
        <f>AX67*HE_prescribed_parameters!AU$13</f>
        <v>0</v>
      </c>
      <c r="AY68" s="152">
        <f>AY67*HE_prescribed_parameters!AV$13</f>
        <v>0</v>
      </c>
      <c r="AZ68" s="152">
        <f>AZ67*HE_prescribed_parameters!AW$13</f>
        <v>0</v>
      </c>
      <c r="BA68" s="152">
        <f>BA67*HE_prescribed_parameters!AX$13</f>
        <v>0</v>
      </c>
      <c r="BB68" s="152">
        <f>BB67*HE_prescribed_parameters!AY$13</f>
        <v>0</v>
      </c>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s="21" customFormat="1" ht="14.25" customHeight="1" x14ac:dyDescent="0.2">
      <c r="B69" s="74" t="s">
        <v>14</v>
      </c>
      <c r="C69" s="72" t="s">
        <v>4</v>
      </c>
      <c r="D69" s="92"/>
      <c r="E69" s="150"/>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7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s="21" customFormat="1" ht="14.25" customHeight="1" x14ac:dyDescent="0.2">
      <c r="B70" s="74" t="s">
        <v>15</v>
      </c>
      <c r="C70" s="72" t="s">
        <v>4</v>
      </c>
      <c r="D70" s="92"/>
      <c r="E70" s="150"/>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7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s="21" customFormat="1" ht="14.25" customHeight="1" x14ac:dyDescent="0.2">
      <c r="B71" s="73" t="s">
        <v>18</v>
      </c>
      <c r="C71" s="72" t="s">
        <v>4</v>
      </c>
      <c r="D71" s="92"/>
      <c r="E71" s="151">
        <f t="shared" ref="E71" si="25">SUM(E69:E70)</f>
        <v>0</v>
      </c>
      <c r="F71" s="151">
        <f t="shared" ref="F71:BB71" si="26">SUM(F69:F70)</f>
        <v>0</v>
      </c>
      <c r="G71" s="151">
        <f t="shared" si="26"/>
        <v>0</v>
      </c>
      <c r="H71" s="151">
        <f t="shared" si="26"/>
        <v>0</v>
      </c>
      <c r="I71" s="151">
        <f t="shared" si="26"/>
        <v>0</v>
      </c>
      <c r="J71" s="151">
        <f t="shared" si="26"/>
        <v>0</v>
      </c>
      <c r="K71" s="151">
        <f t="shared" si="26"/>
        <v>0</v>
      </c>
      <c r="L71" s="151">
        <f t="shared" si="26"/>
        <v>0</v>
      </c>
      <c r="M71" s="151">
        <f t="shared" si="26"/>
        <v>0</v>
      </c>
      <c r="N71" s="151">
        <f t="shared" si="26"/>
        <v>0</v>
      </c>
      <c r="O71" s="151">
        <f t="shared" si="26"/>
        <v>0</v>
      </c>
      <c r="P71" s="151">
        <f t="shared" si="26"/>
        <v>0</v>
      </c>
      <c r="Q71" s="151">
        <f t="shared" si="26"/>
        <v>0</v>
      </c>
      <c r="R71" s="151">
        <f t="shared" si="26"/>
        <v>0</v>
      </c>
      <c r="S71" s="151">
        <f t="shared" si="26"/>
        <v>0</v>
      </c>
      <c r="T71" s="151">
        <f t="shared" si="26"/>
        <v>0</v>
      </c>
      <c r="U71" s="151">
        <f t="shared" si="26"/>
        <v>0</v>
      </c>
      <c r="V71" s="151">
        <f t="shared" si="26"/>
        <v>0</v>
      </c>
      <c r="W71" s="151">
        <f t="shared" si="26"/>
        <v>0</v>
      </c>
      <c r="X71" s="151">
        <f t="shared" si="26"/>
        <v>0</v>
      </c>
      <c r="Y71" s="151">
        <f t="shared" si="26"/>
        <v>0</v>
      </c>
      <c r="Z71" s="151">
        <f t="shared" si="26"/>
        <v>0</v>
      </c>
      <c r="AA71" s="151">
        <f t="shared" si="26"/>
        <v>0</v>
      </c>
      <c r="AB71" s="151">
        <f t="shared" si="26"/>
        <v>0</v>
      </c>
      <c r="AC71" s="151">
        <f t="shared" si="26"/>
        <v>0</v>
      </c>
      <c r="AD71" s="151">
        <f t="shared" si="26"/>
        <v>0</v>
      </c>
      <c r="AE71" s="151">
        <f t="shared" si="26"/>
        <v>0</v>
      </c>
      <c r="AF71" s="151">
        <f t="shared" si="26"/>
        <v>0</v>
      </c>
      <c r="AG71" s="151">
        <f t="shared" si="26"/>
        <v>0</v>
      </c>
      <c r="AH71" s="151">
        <f t="shared" si="26"/>
        <v>0</v>
      </c>
      <c r="AI71" s="151">
        <f t="shared" si="26"/>
        <v>0</v>
      </c>
      <c r="AJ71" s="151">
        <f t="shared" si="26"/>
        <v>0</v>
      </c>
      <c r="AK71" s="151">
        <f t="shared" si="26"/>
        <v>0</v>
      </c>
      <c r="AL71" s="151">
        <f t="shared" si="26"/>
        <v>0</v>
      </c>
      <c r="AM71" s="151">
        <f t="shared" si="26"/>
        <v>0</v>
      </c>
      <c r="AN71" s="151">
        <f t="shared" si="26"/>
        <v>0</v>
      </c>
      <c r="AO71" s="151">
        <f t="shared" si="26"/>
        <v>0</v>
      </c>
      <c r="AP71" s="151">
        <f t="shared" si="26"/>
        <v>0</v>
      </c>
      <c r="AQ71" s="151">
        <f t="shared" si="26"/>
        <v>0</v>
      </c>
      <c r="AR71" s="151">
        <f t="shared" si="26"/>
        <v>0</v>
      </c>
      <c r="AS71" s="151">
        <f t="shared" si="26"/>
        <v>0</v>
      </c>
      <c r="AT71" s="151">
        <f t="shared" si="26"/>
        <v>0</v>
      </c>
      <c r="AU71" s="151">
        <f t="shared" si="26"/>
        <v>0</v>
      </c>
      <c r="AV71" s="151">
        <f t="shared" si="26"/>
        <v>0</v>
      </c>
      <c r="AW71" s="151">
        <f t="shared" si="26"/>
        <v>0</v>
      </c>
      <c r="AX71" s="151">
        <f t="shared" si="26"/>
        <v>0</v>
      </c>
      <c r="AY71" s="151">
        <f t="shared" si="26"/>
        <v>0</v>
      </c>
      <c r="AZ71" s="151">
        <f t="shared" si="26"/>
        <v>0</v>
      </c>
      <c r="BA71" s="151">
        <f t="shared" si="26"/>
        <v>0</v>
      </c>
      <c r="BB71" s="151">
        <f t="shared" si="26"/>
        <v>0</v>
      </c>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s="21" customFormat="1" ht="14.25" customHeight="1" x14ac:dyDescent="0.2">
      <c r="B72" s="73" t="s">
        <v>18</v>
      </c>
      <c r="C72" s="72" t="s">
        <v>7</v>
      </c>
      <c r="D72" s="92"/>
      <c r="E72" s="153">
        <f>E71</f>
        <v>0</v>
      </c>
      <c r="F72" s="153">
        <f>F71*HE_prescribed_parameters!C$13</f>
        <v>0</v>
      </c>
      <c r="G72" s="153">
        <f>G71*HE_prescribed_parameters!D$13</f>
        <v>0</v>
      </c>
      <c r="H72" s="153">
        <f>H71*HE_prescribed_parameters!E$13</f>
        <v>0</v>
      </c>
      <c r="I72" s="153">
        <f>I71*HE_prescribed_parameters!F$13</f>
        <v>0</v>
      </c>
      <c r="J72" s="153">
        <f>J71*HE_prescribed_parameters!G$13</f>
        <v>0</v>
      </c>
      <c r="K72" s="153">
        <f>K71*HE_prescribed_parameters!H$13</f>
        <v>0</v>
      </c>
      <c r="L72" s="153">
        <f>L71*HE_prescribed_parameters!I$13</f>
        <v>0</v>
      </c>
      <c r="M72" s="153">
        <f>M71*HE_prescribed_parameters!J$13</f>
        <v>0</v>
      </c>
      <c r="N72" s="153">
        <f>N71*HE_prescribed_parameters!K$13</f>
        <v>0</v>
      </c>
      <c r="O72" s="153">
        <f>O71*HE_prescribed_parameters!L$13</f>
        <v>0</v>
      </c>
      <c r="P72" s="153">
        <f>P71*HE_prescribed_parameters!M$13</f>
        <v>0</v>
      </c>
      <c r="Q72" s="153">
        <f>Q71*HE_prescribed_parameters!N$13</f>
        <v>0</v>
      </c>
      <c r="R72" s="153">
        <f>R71*HE_prescribed_parameters!O$13</f>
        <v>0</v>
      </c>
      <c r="S72" s="153">
        <f>S71*HE_prescribed_parameters!P$13</f>
        <v>0</v>
      </c>
      <c r="T72" s="153">
        <f>T71*HE_prescribed_parameters!Q$13</f>
        <v>0</v>
      </c>
      <c r="U72" s="153">
        <f>U71*HE_prescribed_parameters!R$13</f>
        <v>0</v>
      </c>
      <c r="V72" s="153">
        <f>V71*HE_prescribed_parameters!S$13</f>
        <v>0</v>
      </c>
      <c r="W72" s="153">
        <f>W71*HE_prescribed_parameters!T$13</f>
        <v>0</v>
      </c>
      <c r="X72" s="153">
        <f>X71*HE_prescribed_parameters!U$13</f>
        <v>0</v>
      </c>
      <c r="Y72" s="153">
        <f>Y71*HE_prescribed_parameters!V$13</f>
        <v>0</v>
      </c>
      <c r="Z72" s="153">
        <f>Z71*HE_prescribed_parameters!W$13</f>
        <v>0</v>
      </c>
      <c r="AA72" s="153">
        <f>AA71*HE_prescribed_parameters!X$13</f>
        <v>0</v>
      </c>
      <c r="AB72" s="153">
        <f>AB71*HE_prescribed_parameters!Y$13</f>
        <v>0</v>
      </c>
      <c r="AC72" s="153">
        <f>AC71*HE_prescribed_parameters!Z$13</f>
        <v>0</v>
      </c>
      <c r="AD72" s="153">
        <f>AD71*HE_prescribed_parameters!AA$13</f>
        <v>0</v>
      </c>
      <c r="AE72" s="153">
        <f>AE71*HE_prescribed_parameters!AB$13</f>
        <v>0</v>
      </c>
      <c r="AF72" s="153">
        <f>AF71*HE_prescribed_parameters!AC$13</f>
        <v>0</v>
      </c>
      <c r="AG72" s="153">
        <f>AG71*HE_prescribed_parameters!AD$13</f>
        <v>0</v>
      </c>
      <c r="AH72" s="153">
        <f>AH71*HE_prescribed_parameters!AE$13</f>
        <v>0</v>
      </c>
      <c r="AI72" s="153">
        <f>AI71*HE_prescribed_parameters!AF$13</f>
        <v>0</v>
      </c>
      <c r="AJ72" s="153">
        <f>AJ71*HE_prescribed_parameters!AG$13</f>
        <v>0</v>
      </c>
      <c r="AK72" s="153">
        <f>AK71*HE_prescribed_parameters!AH$13</f>
        <v>0</v>
      </c>
      <c r="AL72" s="153">
        <f>AL71*HE_prescribed_parameters!AI$13</f>
        <v>0</v>
      </c>
      <c r="AM72" s="153">
        <f>AM71*HE_prescribed_parameters!AJ$13</f>
        <v>0</v>
      </c>
      <c r="AN72" s="153">
        <f>AN71*HE_prescribed_parameters!AK$13</f>
        <v>0</v>
      </c>
      <c r="AO72" s="153">
        <f>AO71*HE_prescribed_parameters!AL$13</f>
        <v>0</v>
      </c>
      <c r="AP72" s="153">
        <f>AP71*HE_prescribed_parameters!AM$13</f>
        <v>0</v>
      </c>
      <c r="AQ72" s="153">
        <f>AQ71*HE_prescribed_parameters!AN$13</f>
        <v>0</v>
      </c>
      <c r="AR72" s="153">
        <f>AR71*HE_prescribed_parameters!AO$13</f>
        <v>0</v>
      </c>
      <c r="AS72" s="153">
        <f>AS71*HE_prescribed_parameters!AP$13</f>
        <v>0</v>
      </c>
      <c r="AT72" s="153">
        <f>AT71*HE_prescribed_parameters!AQ$13</f>
        <v>0</v>
      </c>
      <c r="AU72" s="153">
        <f>AU71*HE_prescribed_parameters!AR$13</f>
        <v>0</v>
      </c>
      <c r="AV72" s="153">
        <f>AV71*HE_prescribed_parameters!AS$13</f>
        <v>0</v>
      </c>
      <c r="AW72" s="153">
        <f>AW71*HE_prescribed_parameters!AT$13</f>
        <v>0</v>
      </c>
      <c r="AX72" s="153">
        <f>AX71*HE_prescribed_parameters!AU$13</f>
        <v>0</v>
      </c>
      <c r="AY72" s="153">
        <f>AY71*HE_prescribed_parameters!AV$13</f>
        <v>0</v>
      </c>
      <c r="AZ72" s="153">
        <f>AZ71*HE_prescribed_parameters!AW$13</f>
        <v>0</v>
      </c>
      <c r="BA72" s="153">
        <f>BA71*HE_prescribed_parameters!AX$13</f>
        <v>0</v>
      </c>
      <c r="BB72" s="153">
        <f>BB71*HE_prescribed_parameters!AY$13</f>
        <v>0</v>
      </c>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s="21" customFormat="1" ht="14.25" customHeight="1" x14ac:dyDescent="0.2">
      <c r="B73" s="75" t="s">
        <v>19</v>
      </c>
      <c r="C73" s="72" t="s">
        <v>4</v>
      </c>
      <c r="D73" s="168"/>
      <c r="E73" s="78">
        <f>E47+E51+E55+E59+E63+E67+E71</f>
        <v>0</v>
      </c>
      <c r="F73" s="78">
        <f t="shared" ref="F73:BB73" si="27">F47+F51+F55+F59+F63+F67+F71</f>
        <v>0</v>
      </c>
      <c r="G73" s="78">
        <f t="shared" si="27"/>
        <v>0</v>
      </c>
      <c r="H73" s="78">
        <f t="shared" si="27"/>
        <v>0</v>
      </c>
      <c r="I73" s="78">
        <f t="shared" si="27"/>
        <v>0</v>
      </c>
      <c r="J73" s="78">
        <f t="shared" si="27"/>
        <v>0</v>
      </c>
      <c r="K73" s="78">
        <f t="shared" si="27"/>
        <v>0</v>
      </c>
      <c r="L73" s="78">
        <f t="shared" si="27"/>
        <v>0</v>
      </c>
      <c r="M73" s="78">
        <f t="shared" si="27"/>
        <v>0</v>
      </c>
      <c r="N73" s="78">
        <f t="shared" si="27"/>
        <v>0</v>
      </c>
      <c r="O73" s="78">
        <f t="shared" si="27"/>
        <v>0</v>
      </c>
      <c r="P73" s="78">
        <f t="shared" si="27"/>
        <v>0</v>
      </c>
      <c r="Q73" s="78">
        <f t="shared" si="27"/>
        <v>0</v>
      </c>
      <c r="R73" s="78">
        <f t="shared" si="27"/>
        <v>0</v>
      </c>
      <c r="S73" s="78">
        <f t="shared" si="27"/>
        <v>0</v>
      </c>
      <c r="T73" s="78">
        <f t="shared" si="27"/>
        <v>0</v>
      </c>
      <c r="U73" s="78">
        <f t="shared" si="27"/>
        <v>0</v>
      </c>
      <c r="V73" s="78">
        <f t="shared" si="27"/>
        <v>0</v>
      </c>
      <c r="W73" s="78">
        <f t="shared" si="27"/>
        <v>0</v>
      </c>
      <c r="X73" s="78">
        <f t="shared" si="27"/>
        <v>0</v>
      </c>
      <c r="Y73" s="78">
        <f t="shared" si="27"/>
        <v>0</v>
      </c>
      <c r="Z73" s="78">
        <f t="shared" si="27"/>
        <v>0</v>
      </c>
      <c r="AA73" s="78">
        <f t="shared" si="27"/>
        <v>0</v>
      </c>
      <c r="AB73" s="78">
        <f t="shared" si="27"/>
        <v>0</v>
      </c>
      <c r="AC73" s="78">
        <f t="shared" si="27"/>
        <v>0</v>
      </c>
      <c r="AD73" s="78">
        <f t="shared" si="27"/>
        <v>0</v>
      </c>
      <c r="AE73" s="78">
        <f t="shared" si="27"/>
        <v>0</v>
      </c>
      <c r="AF73" s="78">
        <f t="shared" si="27"/>
        <v>0</v>
      </c>
      <c r="AG73" s="78">
        <f t="shared" si="27"/>
        <v>0</v>
      </c>
      <c r="AH73" s="78">
        <f t="shared" si="27"/>
        <v>0</v>
      </c>
      <c r="AI73" s="78">
        <f t="shared" si="27"/>
        <v>0</v>
      </c>
      <c r="AJ73" s="78">
        <f t="shared" si="27"/>
        <v>0</v>
      </c>
      <c r="AK73" s="78">
        <f t="shared" si="27"/>
        <v>0</v>
      </c>
      <c r="AL73" s="78">
        <f t="shared" si="27"/>
        <v>0</v>
      </c>
      <c r="AM73" s="78">
        <f t="shared" si="27"/>
        <v>0</v>
      </c>
      <c r="AN73" s="78">
        <f t="shared" si="27"/>
        <v>0</v>
      </c>
      <c r="AO73" s="78">
        <f t="shared" si="27"/>
        <v>0</v>
      </c>
      <c r="AP73" s="78">
        <f t="shared" si="27"/>
        <v>0</v>
      </c>
      <c r="AQ73" s="78">
        <f t="shared" si="27"/>
        <v>0</v>
      </c>
      <c r="AR73" s="78">
        <f t="shared" si="27"/>
        <v>0</v>
      </c>
      <c r="AS73" s="78">
        <f t="shared" si="27"/>
        <v>0</v>
      </c>
      <c r="AT73" s="78">
        <f t="shared" si="27"/>
        <v>0</v>
      </c>
      <c r="AU73" s="78">
        <f t="shared" si="27"/>
        <v>0</v>
      </c>
      <c r="AV73" s="78">
        <f t="shared" si="27"/>
        <v>0</v>
      </c>
      <c r="AW73" s="78">
        <f t="shared" si="27"/>
        <v>0</v>
      </c>
      <c r="AX73" s="78">
        <f t="shared" si="27"/>
        <v>0</v>
      </c>
      <c r="AY73" s="78">
        <f t="shared" si="27"/>
        <v>0</v>
      </c>
      <c r="AZ73" s="78">
        <f t="shared" si="27"/>
        <v>0</v>
      </c>
      <c r="BA73" s="78">
        <f t="shared" si="27"/>
        <v>0</v>
      </c>
      <c r="BB73" s="78">
        <f t="shared" si="27"/>
        <v>0</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s="6" customFormat="1" ht="14.25" customHeight="1" x14ac:dyDescent="0.2">
      <c r="B74" s="80" t="s">
        <v>19</v>
      </c>
      <c r="C74" s="81" t="s">
        <v>7</v>
      </c>
      <c r="D74" s="814"/>
      <c r="E74" s="79">
        <f>E73</f>
        <v>0</v>
      </c>
      <c r="F74" s="79">
        <f>F73*HE_prescribed_parameters!C$13</f>
        <v>0</v>
      </c>
      <c r="G74" s="79">
        <f>G73*HE_prescribed_parameters!D$13</f>
        <v>0</v>
      </c>
      <c r="H74" s="79">
        <f>H73*HE_prescribed_parameters!E$13</f>
        <v>0</v>
      </c>
      <c r="I74" s="79">
        <f>I73*HE_prescribed_parameters!F$13</f>
        <v>0</v>
      </c>
      <c r="J74" s="79">
        <f>J73*HE_prescribed_parameters!G$13</f>
        <v>0</v>
      </c>
      <c r="K74" s="79">
        <f>K73*HE_prescribed_parameters!H$13</f>
        <v>0</v>
      </c>
      <c r="L74" s="79">
        <f>L73*HE_prescribed_parameters!I$13</f>
        <v>0</v>
      </c>
      <c r="M74" s="79">
        <f>M73*HE_prescribed_parameters!J$13</f>
        <v>0</v>
      </c>
      <c r="N74" s="79">
        <f>N73*HE_prescribed_parameters!K$13</f>
        <v>0</v>
      </c>
      <c r="O74" s="79">
        <f>O73*HE_prescribed_parameters!L$13</f>
        <v>0</v>
      </c>
      <c r="P74" s="79">
        <f>P73*HE_prescribed_parameters!M$13</f>
        <v>0</v>
      </c>
      <c r="Q74" s="79">
        <f>Q73*HE_prescribed_parameters!N$13</f>
        <v>0</v>
      </c>
      <c r="R74" s="79">
        <f>R73*HE_prescribed_parameters!O$13</f>
        <v>0</v>
      </c>
      <c r="S74" s="79">
        <f>S73*HE_prescribed_parameters!P$13</f>
        <v>0</v>
      </c>
      <c r="T74" s="79">
        <f>T73*HE_prescribed_parameters!Q$13</f>
        <v>0</v>
      </c>
      <c r="U74" s="79">
        <f>U73*HE_prescribed_parameters!R$13</f>
        <v>0</v>
      </c>
      <c r="V74" s="79">
        <f>V73*HE_prescribed_parameters!S$13</f>
        <v>0</v>
      </c>
      <c r="W74" s="79">
        <f>W73*HE_prescribed_parameters!T$13</f>
        <v>0</v>
      </c>
      <c r="X74" s="79">
        <f>X73*HE_prescribed_parameters!U$13</f>
        <v>0</v>
      </c>
      <c r="Y74" s="79">
        <f>Y73*HE_prescribed_parameters!V$13</f>
        <v>0</v>
      </c>
      <c r="Z74" s="79">
        <f>Z73*HE_prescribed_parameters!W$13</f>
        <v>0</v>
      </c>
      <c r="AA74" s="79">
        <f>AA73*HE_prescribed_parameters!X$13</f>
        <v>0</v>
      </c>
      <c r="AB74" s="79">
        <f>AB73*HE_prescribed_parameters!Y$13</f>
        <v>0</v>
      </c>
      <c r="AC74" s="79">
        <f>AC73*HE_prescribed_parameters!Z$13</f>
        <v>0</v>
      </c>
      <c r="AD74" s="79">
        <f>AD73*HE_prescribed_parameters!AA$13</f>
        <v>0</v>
      </c>
      <c r="AE74" s="79">
        <f>AE73*HE_prescribed_parameters!AB$13</f>
        <v>0</v>
      </c>
      <c r="AF74" s="79">
        <f>AF73*HE_prescribed_parameters!AC$13</f>
        <v>0</v>
      </c>
      <c r="AG74" s="79">
        <f>AG73*HE_prescribed_parameters!AD$13</f>
        <v>0</v>
      </c>
      <c r="AH74" s="79">
        <f>AH73*HE_prescribed_parameters!AE$13</f>
        <v>0</v>
      </c>
      <c r="AI74" s="79">
        <f>AI73*HE_prescribed_parameters!AF$13</f>
        <v>0</v>
      </c>
      <c r="AJ74" s="79">
        <f>AJ73*HE_prescribed_parameters!AG$13</f>
        <v>0</v>
      </c>
      <c r="AK74" s="79">
        <f>AK73*HE_prescribed_parameters!AH$13</f>
        <v>0</v>
      </c>
      <c r="AL74" s="79">
        <f>AL73*HE_prescribed_parameters!AI$13</f>
        <v>0</v>
      </c>
      <c r="AM74" s="79">
        <f>AM73*HE_prescribed_parameters!AJ$13</f>
        <v>0</v>
      </c>
      <c r="AN74" s="79">
        <f>AN73*HE_prescribed_parameters!AK$13</f>
        <v>0</v>
      </c>
      <c r="AO74" s="79">
        <f>AO73*HE_prescribed_parameters!AL$13</f>
        <v>0</v>
      </c>
      <c r="AP74" s="79">
        <f>AP73*HE_prescribed_parameters!AM$13</f>
        <v>0</v>
      </c>
      <c r="AQ74" s="79">
        <f>AQ73*HE_prescribed_parameters!AN$13</f>
        <v>0</v>
      </c>
      <c r="AR74" s="79">
        <f>AR73*HE_prescribed_parameters!AO$13</f>
        <v>0</v>
      </c>
      <c r="AS74" s="79">
        <f>AS73*HE_prescribed_parameters!AP$13</f>
        <v>0</v>
      </c>
      <c r="AT74" s="79">
        <f>AT73*HE_prescribed_parameters!AQ$13</f>
        <v>0</v>
      </c>
      <c r="AU74" s="79">
        <f>AU73*HE_prescribed_parameters!AR$13</f>
        <v>0</v>
      </c>
      <c r="AV74" s="79">
        <f>AV73*HE_prescribed_parameters!AS$13</f>
        <v>0</v>
      </c>
      <c r="AW74" s="79">
        <f>AW73*HE_prescribed_parameters!AT$13</f>
        <v>0</v>
      </c>
      <c r="AX74" s="79">
        <f>AX73*HE_prescribed_parameters!AU$13</f>
        <v>0</v>
      </c>
      <c r="AY74" s="79">
        <f>AY73*HE_prescribed_parameters!AV$13</f>
        <v>0</v>
      </c>
      <c r="AZ74" s="79">
        <f>AZ73*HE_prescribed_parameters!AW$13</f>
        <v>0</v>
      </c>
      <c r="BA74" s="79">
        <f>BA73*HE_prescribed_parameters!AX$13</f>
        <v>0</v>
      </c>
      <c r="BB74" s="79">
        <f>BB73*HE_prescribed_parameters!AY$13</f>
        <v>0</v>
      </c>
    </row>
    <row r="75" spans="2:104" s="6" customFormat="1" ht="14.25" customHeight="1" x14ac:dyDescent="0.2">
      <c r="D75" s="12"/>
    </row>
    <row r="76" spans="2:104" s="6" customFormat="1" ht="14.25" customHeight="1" x14ac:dyDescent="0.2">
      <c r="D76" s="12"/>
    </row>
    <row r="77" spans="2:104" s="6" customFormat="1" ht="14.25" customHeight="1" x14ac:dyDescent="0.2">
      <c r="D77" s="815"/>
    </row>
    <row r="78" spans="2:104" s="6" customFormat="1" ht="14.25" customHeight="1" x14ac:dyDescent="0.2">
      <c r="D78" s="2"/>
    </row>
    <row r="79" spans="2:104" s="6" customFormat="1" ht="14.25" customHeight="1" x14ac:dyDescent="0.2">
      <c r="D79" s="12"/>
      <c r="E79" s="145" t="s">
        <v>2</v>
      </c>
      <c r="F79" s="108"/>
      <c r="G79" s="108"/>
      <c r="H79" s="108"/>
      <c r="I79" s="108"/>
      <c r="J79" s="108"/>
      <c r="K79" s="108"/>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spans="2:104" s="6" customFormat="1" ht="20.100000000000001" customHeight="1" x14ac:dyDescent="0.25">
      <c r="B80" s="86" t="s">
        <v>46</v>
      </c>
      <c r="C80" s="87"/>
      <c r="D80" s="816"/>
      <c r="E80" s="146">
        <f>HE_CY</f>
        <v>2025</v>
      </c>
      <c r="F80" s="147">
        <f>E80+1</f>
        <v>2026</v>
      </c>
      <c r="G80" s="147">
        <f>F80+1</f>
        <v>2027</v>
      </c>
      <c r="H80" s="147">
        <f t="shared" ref="H80:BB80" si="28">G80+1</f>
        <v>2028</v>
      </c>
      <c r="I80" s="147">
        <f t="shared" si="28"/>
        <v>2029</v>
      </c>
      <c r="J80" s="147">
        <f t="shared" si="28"/>
        <v>2030</v>
      </c>
      <c r="K80" s="147">
        <f t="shared" si="28"/>
        <v>2031</v>
      </c>
      <c r="L80" s="147">
        <f t="shared" si="28"/>
        <v>2032</v>
      </c>
      <c r="M80" s="147">
        <f t="shared" si="28"/>
        <v>2033</v>
      </c>
      <c r="N80" s="147">
        <f t="shared" si="28"/>
        <v>2034</v>
      </c>
      <c r="O80" s="147">
        <f t="shared" si="28"/>
        <v>2035</v>
      </c>
      <c r="P80" s="147">
        <f t="shared" si="28"/>
        <v>2036</v>
      </c>
      <c r="Q80" s="147">
        <f t="shared" si="28"/>
        <v>2037</v>
      </c>
      <c r="R80" s="147">
        <f t="shared" si="28"/>
        <v>2038</v>
      </c>
      <c r="S80" s="147">
        <f t="shared" si="28"/>
        <v>2039</v>
      </c>
      <c r="T80" s="147">
        <f t="shared" si="28"/>
        <v>2040</v>
      </c>
      <c r="U80" s="147">
        <f t="shared" si="28"/>
        <v>2041</v>
      </c>
      <c r="V80" s="147">
        <f t="shared" si="28"/>
        <v>2042</v>
      </c>
      <c r="W80" s="147">
        <f t="shared" si="28"/>
        <v>2043</v>
      </c>
      <c r="X80" s="147">
        <f t="shared" si="28"/>
        <v>2044</v>
      </c>
      <c r="Y80" s="147">
        <f t="shared" si="28"/>
        <v>2045</v>
      </c>
      <c r="Z80" s="147">
        <f t="shared" si="28"/>
        <v>2046</v>
      </c>
      <c r="AA80" s="147">
        <f t="shared" si="28"/>
        <v>2047</v>
      </c>
      <c r="AB80" s="147">
        <f t="shared" si="28"/>
        <v>2048</v>
      </c>
      <c r="AC80" s="147">
        <f t="shared" si="28"/>
        <v>2049</v>
      </c>
      <c r="AD80" s="147">
        <f t="shared" si="28"/>
        <v>2050</v>
      </c>
      <c r="AE80" s="147">
        <f t="shared" si="28"/>
        <v>2051</v>
      </c>
      <c r="AF80" s="147">
        <f t="shared" si="28"/>
        <v>2052</v>
      </c>
      <c r="AG80" s="147">
        <f t="shared" si="28"/>
        <v>2053</v>
      </c>
      <c r="AH80" s="147">
        <f t="shared" si="28"/>
        <v>2054</v>
      </c>
      <c r="AI80" s="147">
        <f t="shared" si="28"/>
        <v>2055</v>
      </c>
      <c r="AJ80" s="147">
        <f t="shared" si="28"/>
        <v>2056</v>
      </c>
      <c r="AK80" s="147">
        <f t="shared" si="28"/>
        <v>2057</v>
      </c>
      <c r="AL80" s="147">
        <f t="shared" si="28"/>
        <v>2058</v>
      </c>
      <c r="AM80" s="147">
        <f t="shared" si="28"/>
        <v>2059</v>
      </c>
      <c r="AN80" s="147">
        <f t="shared" si="28"/>
        <v>2060</v>
      </c>
      <c r="AO80" s="147">
        <f t="shared" si="28"/>
        <v>2061</v>
      </c>
      <c r="AP80" s="147">
        <f t="shared" si="28"/>
        <v>2062</v>
      </c>
      <c r="AQ80" s="147">
        <f t="shared" si="28"/>
        <v>2063</v>
      </c>
      <c r="AR80" s="147">
        <f t="shared" si="28"/>
        <v>2064</v>
      </c>
      <c r="AS80" s="147">
        <f t="shared" si="28"/>
        <v>2065</v>
      </c>
      <c r="AT80" s="147">
        <f t="shared" si="28"/>
        <v>2066</v>
      </c>
      <c r="AU80" s="147">
        <f t="shared" si="28"/>
        <v>2067</v>
      </c>
      <c r="AV80" s="147">
        <f t="shared" si="28"/>
        <v>2068</v>
      </c>
      <c r="AW80" s="147">
        <f t="shared" si="28"/>
        <v>2069</v>
      </c>
      <c r="AX80" s="147">
        <f t="shared" si="28"/>
        <v>2070</v>
      </c>
      <c r="AY80" s="147">
        <f t="shared" si="28"/>
        <v>2071</v>
      </c>
      <c r="AZ80" s="147">
        <f t="shared" si="28"/>
        <v>2072</v>
      </c>
      <c r="BA80" s="147">
        <f t="shared" si="28"/>
        <v>2073</v>
      </c>
      <c r="BB80" s="147">
        <f t="shared" si="28"/>
        <v>2074</v>
      </c>
    </row>
    <row r="81" spans="2:54" s="6" customFormat="1" ht="14.25" customHeight="1" x14ac:dyDescent="0.2">
      <c r="B81" s="88" t="s">
        <v>22</v>
      </c>
      <c r="C81" s="89" t="s">
        <v>4</v>
      </c>
      <c r="D81" s="89"/>
      <c r="E81" s="90">
        <f>E13+E17+E21-E47-E51-E55</f>
        <v>0</v>
      </c>
      <c r="F81" s="90">
        <f t="shared" ref="F81:BB81" si="29">F13+F17+F21-F47-F51-F55</f>
        <v>0</v>
      </c>
      <c r="G81" s="90">
        <f t="shared" si="29"/>
        <v>0</v>
      </c>
      <c r="H81" s="90">
        <f t="shared" si="29"/>
        <v>0</v>
      </c>
      <c r="I81" s="90">
        <f t="shared" si="29"/>
        <v>0</v>
      </c>
      <c r="J81" s="90">
        <f t="shared" si="29"/>
        <v>0</v>
      </c>
      <c r="K81" s="90">
        <f t="shared" si="29"/>
        <v>0</v>
      </c>
      <c r="L81" s="90">
        <f t="shared" si="29"/>
        <v>0</v>
      </c>
      <c r="M81" s="90">
        <f t="shared" si="29"/>
        <v>0</v>
      </c>
      <c r="N81" s="90">
        <f t="shared" si="29"/>
        <v>0</v>
      </c>
      <c r="O81" s="90">
        <f t="shared" si="29"/>
        <v>0</v>
      </c>
      <c r="P81" s="90">
        <f t="shared" si="29"/>
        <v>0</v>
      </c>
      <c r="Q81" s="90">
        <f t="shared" si="29"/>
        <v>0</v>
      </c>
      <c r="R81" s="90">
        <f t="shared" si="29"/>
        <v>0</v>
      </c>
      <c r="S81" s="90">
        <f t="shared" si="29"/>
        <v>0</v>
      </c>
      <c r="T81" s="90">
        <f t="shared" si="29"/>
        <v>0</v>
      </c>
      <c r="U81" s="90">
        <f t="shared" si="29"/>
        <v>0</v>
      </c>
      <c r="V81" s="90">
        <f t="shared" si="29"/>
        <v>0</v>
      </c>
      <c r="W81" s="90">
        <f t="shared" si="29"/>
        <v>0</v>
      </c>
      <c r="X81" s="90">
        <f t="shared" si="29"/>
        <v>0</v>
      </c>
      <c r="Y81" s="90">
        <f t="shared" si="29"/>
        <v>0</v>
      </c>
      <c r="Z81" s="90">
        <f t="shared" si="29"/>
        <v>0</v>
      </c>
      <c r="AA81" s="90">
        <f t="shared" si="29"/>
        <v>0</v>
      </c>
      <c r="AB81" s="90">
        <f t="shared" si="29"/>
        <v>0</v>
      </c>
      <c r="AC81" s="90">
        <f t="shared" si="29"/>
        <v>0</v>
      </c>
      <c r="AD81" s="90">
        <f t="shared" si="29"/>
        <v>0</v>
      </c>
      <c r="AE81" s="90">
        <f t="shared" si="29"/>
        <v>0</v>
      </c>
      <c r="AF81" s="90">
        <f t="shared" si="29"/>
        <v>0</v>
      </c>
      <c r="AG81" s="90">
        <f t="shared" si="29"/>
        <v>0</v>
      </c>
      <c r="AH81" s="90">
        <f t="shared" si="29"/>
        <v>0</v>
      </c>
      <c r="AI81" s="90">
        <f t="shared" si="29"/>
        <v>0</v>
      </c>
      <c r="AJ81" s="90">
        <f t="shared" si="29"/>
        <v>0</v>
      </c>
      <c r="AK81" s="90">
        <f t="shared" si="29"/>
        <v>0</v>
      </c>
      <c r="AL81" s="90">
        <f t="shared" si="29"/>
        <v>0</v>
      </c>
      <c r="AM81" s="90">
        <f t="shared" si="29"/>
        <v>0</v>
      </c>
      <c r="AN81" s="90">
        <f t="shared" si="29"/>
        <v>0</v>
      </c>
      <c r="AO81" s="90">
        <f t="shared" si="29"/>
        <v>0</v>
      </c>
      <c r="AP81" s="90">
        <f t="shared" si="29"/>
        <v>0</v>
      </c>
      <c r="AQ81" s="90">
        <f t="shared" si="29"/>
        <v>0</v>
      </c>
      <c r="AR81" s="90">
        <f t="shared" si="29"/>
        <v>0</v>
      </c>
      <c r="AS81" s="90">
        <f t="shared" si="29"/>
        <v>0</v>
      </c>
      <c r="AT81" s="90">
        <f t="shared" si="29"/>
        <v>0</v>
      </c>
      <c r="AU81" s="90">
        <f t="shared" si="29"/>
        <v>0</v>
      </c>
      <c r="AV81" s="90">
        <f t="shared" si="29"/>
        <v>0</v>
      </c>
      <c r="AW81" s="90">
        <f t="shared" si="29"/>
        <v>0</v>
      </c>
      <c r="AX81" s="90">
        <f t="shared" si="29"/>
        <v>0</v>
      </c>
      <c r="AY81" s="90">
        <f t="shared" si="29"/>
        <v>0</v>
      </c>
      <c r="AZ81" s="90">
        <f t="shared" si="29"/>
        <v>0</v>
      </c>
      <c r="BA81" s="90">
        <f t="shared" si="29"/>
        <v>0</v>
      </c>
      <c r="BB81" s="90">
        <f t="shared" si="29"/>
        <v>0</v>
      </c>
    </row>
    <row r="82" spans="2:54" s="6" customFormat="1" ht="14.25" customHeight="1" x14ac:dyDescent="0.2">
      <c r="B82" s="91" t="s">
        <v>23</v>
      </c>
      <c r="C82" s="92" t="s">
        <v>4</v>
      </c>
      <c r="D82" s="92"/>
      <c r="E82" s="93">
        <f t="shared" ref="E82:AJ82" si="30">IF(E80-HE_CY&gt;=Health_JahrPCap,IF((E13+E17+E21)&gt;(E47+E51+E55)/Health_CR,(E47+E51+E55)/Health_CR,E13+E17+E21),E13+E17+E21)</f>
        <v>0</v>
      </c>
      <c r="F82" s="93">
        <f t="shared" si="30"/>
        <v>0</v>
      </c>
      <c r="G82" s="93">
        <f t="shared" si="30"/>
        <v>0</v>
      </c>
      <c r="H82" s="93">
        <f t="shared" si="30"/>
        <v>0</v>
      </c>
      <c r="I82" s="93">
        <f t="shared" si="30"/>
        <v>0</v>
      </c>
      <c r="J82" s="93">
        <f t="shared" si="30"/>
        <v>0</v>
      </c>
      <c r="K82" s="93">
        <f t="shared" si="30"/>
        <v>0</v>
      </c>
      <c r="L82" s="93">
        <f t="shared" si="30"/>
        <v>0</v>
      </c>
      <c r="M82" s="93">
        <f t="shared" si="30"/>
        <v>0</v>
      </c>
      <c r="N82" s="93">
        <f t="shared" si="30"/>
        <v>0</v>
      </c>
      <c r="O82" s="93">
        <f t="shared" si="30"/>
        <v>0</v>
      </c>
      <c r="P82" s="93">
        <f t="shared" si="30"/>
        <v>0</v>
      </c>
      <c r="Q82" s="93">
        <f t="shared" si="30"/>
        <v>0</v>
      </c>
      <c r="R82" s="93">
        <f t="shared" si="30"/>
        <v>0</v>
      </c>
      <c r="S82" s="93">
        <f t="shared" si="30"/>
        <v>0</v>
      </c>
      <c r="T82" s="93">
        <f t="shared" si="30"/>
        <v>0</v>
      </c>
      <c r="U82" s="93">
        <f t="shared" si="30"/>
        <v>0</v>
      </c>
      <c r="V82" s="93">
        <f t="shared" si="30"/>
        <v>0</v>
      </c>
      <c r="W82" s="93">
        <f t="shared" si="30"/>
        <v>0</v>
      </c>
      <c r="X82" s="93">
        <f t="shared" si="30"/>
        <v>0</v>
      </c>
      <c r="Y82" s="93">
        <f t="shared" si="30"/>
        <v>0</v>
      </c>
      <c r="Z82" s="93">
        <f t="shared" si="30"/>
        <v>0</v>
      </c>
      <c r="AA82" s="93">
        <f t="shared" si="30"/>
        <v>0</v>
      </c>
      <c r="AB82" s="93">
        <f t="shared" si="30"/>
        <v>0</v>
      </c>
      <c r="AC82" s="93">
        <f t="shared" si="30"/>
        <v>0</v>
      </c>
      <c r="AD82" s="93">
        <f t="shared" si="30"/>
        <v>0</v>
      </c>
      <c r="AE82" s="93">
        <f t="shared" si="30"/>
        <v>0</v>
      </c>
      <c r="AF82" s="93">
        <f t="shared" si="30"/>
        <v>0</v>
      </c>
      <c r="AG82" s="93">
        <f t="shared" si="30"/>
        <v>0</v>
      </c>
      <c r="AH82" s="93">
        <f t="shared" si="30"/>
        <v>0</v>
      </c>
      <c r="AI82" s="93">
        <f t="shared" si="30"/>
        <v>0</v>
      </c>
      <c r="AJ82" s="93">
        <f t="shared" si="30"/>
        <v>0</v>
      </c>
      <c r="AK82" s="93">
        <f t="shared" ref="AK82:BB82" si="31">IF(AK80-HE_CY&gt;=Health_JahrPCap,IF((AK13+AK17+AK21)&gt;(AK47+AK51+AK55)/Health_CR,(AK47+AK51+AK55)/Health_CR,AK13+AK17+AK21),AK13+AK17+AK21)</f>
        <v>0</v>
      </c>
      <c r="AL82" s="93">
        <f t="shared" si="31"/>
        <v>0</v>
      </c>
      <c r="AM82" s="93">
        <f t="shared" si="31"/>
        <v>0</v>
      </c>
      <c r="AN82" s="93">
        <f t="shared" si="31"/>
        <v>0</v>
      </c>
      <c r="AO82" s="93">
        <f t="shared" si="31"/>
        <v>0</v>
      </c>
      <c r="AP82" s="93">
        <f t="shared" si="31"/>
        <v>0</v>
      </c>
      <c r="AQ82" s="93">
        <f t="shared" si="31"/>
        <v>0</v>
      </c>
      <c r="AR82" s="93">
        <f t="shared" si="31"/>
        <v>0</v>
      </c>
      <c r="AS82" s="93">
        <f t="shared" si="31"/>
        <v>0</v>
      </c>
      <c r="AT82" s="93">
        <f t="shared" si="31"/>
        <v>0</v>
      </c>
      <c r="AU82" s="93">
        <f t="shared" si="31"/>
        <v>0</v>
      </c>
      <c r="AV82" s="93">
        <f t="shared" si="31"/>
        <v>0</v>
      </c>
      <c r="AW82" s="93">
        <f t="shared" si="31"/>
        <v>0</v>
      </c>
      <c r="AX82" s="93">
        <f t="shared" si="31"/>
        <v>0</v>
      </c>
      <c r="AY82" s="93">
        <f t="shared" si="31"/>
        <v>0</v>
      </c>
      <c r="AZ82" s="93">
        <f t="shared" si="31"/>
        <v>0</v>
      </c>
      <c r="BA82" s="93">
        <f t="shared" si="31"/>
        <v>0</v>
      </c>
      <c r="BB82" s="93">
        <f t="shared" si="31"/>
        <v>0</v>
      </c>
    </row>
    <row r="83" spans="2:54" s="6" customFormat="1" ht="14.25" customHeight="1" x14ac:dyDescent="0.2">
      <c r="B83" s="94" t="s">
        <v>24</v>
      </c>
      <c r="C83" s="92" t="s">
        <v>4</v>
      </c>
      <c r="D83" s="168"/>
      <c r="E83" s="93">
        <f>E82-E47-E51-E55</f>
        <v>0</v>
      </c>
      <c r="F83" s="93">
        <f t="shared" ref="F83:BB83" si="32">F82-F47-F51-F55</f>
        <v>0</v>
      </c>
      <c r="G83" s="93">
        <f t="shared" si="32"/>
        <v>0</v>
      </c>
      <c r="H83" s="93">
        <f t="shared" si="32"/>
        <v>0</v>
      </c>
      <c r="I83" s="93">
        <f t="shared" si="32"/>
        <v>0</v>
      </c>
      <c r="J83" s="93">
        <f t="shared" si="32"/>
        <v>0</v>
      </c>
      <c r="K83" s="93">
        <f t="shared" si="32"/>
        <v>0</v>
      </c>
      <c r="L83" s="93">
        <f t="shared" si="32"/>
        <v>0</v>
      </c>
      <c r="M83" s="93">
        <f t="shared" si="32"/>
        <v>0</v>
      </c>
      <c r="N83" s="93">
        <f t="shared" si="32"/>
        <v>0</v>
      </c>
      <c r="O83" s="93">
        <f t="shared" si="32"/>
        <v>0</v>
      </c>
      <c r="P83" s="93">
        <f t="shared" si="32"/>
        <v>0</v>
      </c>
      <c r="Q83" s="93">
        <f t="shared" si="32"/>
        <v>0</v>
      </c>
      <c r="R83" s="93">
        <f t="shared" si="32"/>
        <v>0</v>
      </c>
      <c r="S83" s="93">
        <f t="shared" si="32"/>
        <v>0</v>
      </c>
      <c r="T83" s="93">
        <f t="shared" si="32"/>
        <v>0</v>
      </c>
      <c r="U83" s="93">
        <f t="shared" si="32"/>
        <v>0</v>
      </c>
      <c r="V83" s="93">
        <f t="shared" si="32"/>
        <v>0</v>
      </c>
      <c r="W83" s="93">
        <f t="shared" si="32"/>
        <v>0</v>
      </c>
      <c r="X83" s="93">
        <f t="shared" si="32"/>
        <v>0</v>
      </c>
      <c r="Y83" s="93">
        <f t="shared" si="32"/>
        <v>0</v>
      </c>
      <c r="Z83" s="93">
        <f t="shared" si="32"/>
        <v>0</v>
      </c>
      <c r="AA83" s="93">
        <f t="shared" si="32"/>
        <v>0</v>
      </c>
      <c r="AB83" s="93">
        <f t="shared" si="32"/>
        <v>0</v>
      </c>
      <c r="AC83" s="93">
        <f t="shared" si="32"/>
        <v>0</v>
      </c>
      <c r="AD83" s="93">
        <f t="shared" si="32"/>
        <v>0</v>
      </c>
      <c r="AE83" s="93">
        <f t="shared" si="32"/>
        <v>0</v>
      </c>
      <c r="AF83" s="93">
        <f t="shared" si="32"/>
        <v>0</v>
      </c>
      <c r="AG83" s="93">
        <f t="shared" si="32"/>
        <v>0</v>
      </c>
      <c r="AH83" s="93">
        <f t="shared" si="32"/>
        <v>0</v>
      </c>
      <c r="AI83" s="93">
        <f t="shared" si="32"/>
        <v>0</v>
      </c>
      <c r="AJ83" s="93">
        <f t="shared" si="32"/>
        <v>0</v>
      </c>
      <c r="AK83" s="93">
        <f t="shared" si="32"/>
        <v>0</v>
      </c>
      <c r="AL83" s="93">
        <f t="shared" si="32"/>
        <v>0</v>
      </c>
      <c r="AM83" s="93">
        <f t="shared" si="32"/>
        <v>0</v>
      </c>
      <c r="AN83" s="93">
        <f t="shared" si="32"/>
        <v>0</v>
      </c>
      <c r="AO83" s="93">
        <f t="shared" si="32"/>
        <v>0</v>
      </c>
      <c r="AP83" s="93">
        <f t="shared" si="32"/>
        <v>0</v>
      </c>
      <c r="AQ83" s="93">
        <f t="shared" si="32"/>
        <v>0</v>
      </c>
      <c r="AR83" s="93">
        <f t="shared" si="32"/>
        <v>0</v>
      </c>
      <c r="AS83" s="93">
        <f t="shared" si="32"/>
        <v>0</v>
      </c>
      <c r="AT83" s="93">
        <f t="shared" si="32"/>
        <v>0</v>
      </c>
      <c r="AU83" s="93">
        <f t="shared" si="32"/>
        <v>0</v>
      </c>
      <c r="AV83" s="93">
        <f t="shared" si="32"/>
        <v>0</v>
      </c>
      <c r="AW83" s="93">
        <f t="shared" si="32"/>
        <v>0</v>
      </c>
      <c r="AX83" s="93">
        <f t="shared" si="32"/>
        <v>0</v>
      </c>
      <c r="AY83" s="93">
        <f t="shared" si="32"/>
        <v>0</v>
      </c>
      <c r="AZ83" s="93">
        <f t="shared" si="32"/>
        <v>0</v>
      </c>
      <c r="BA83" s="93">
        <f t="shared" si="32"/>
        <v>0</v>
      </c>
      <c r="BB83" s="93">
        <f t="shared" si="32"/>
        <v>0</v>
      </c>
    </row>
    <row r="84" spans="2:54" s="6" customFormat="1" ht="14.25" customHeight="1" x14ac:dyDescent="0.2">
      <c r="B84" s="94" t="s">
        <v>24</v>
      </c>
      <c r="C84" s="92" t="s">
        <v>7</v>
      </c>
      <c r="D84" s="92"/>
      <c r="E84" s="93">
        <f>E83</f>
        <v>0</v>
      </c>
      <c r="F84" s="93">
        <f>F83*HE_prescribed_parameters!C$13</f>
        <v>0</v>
      </c>
      <c r="G84" s="93">
        <f>G83*HE_prescribed_parameters!D$13</f>
        <v>0</v>
      </c>
      <c r="H84" s="93">
        <f>H83*HE_prescribed_parameters!E$13</f>
        <v>0</v>
      </c>
      <c r="I84" s="93">
        <f>I83*HE_prescribed_parameters!F$13</f>
        <v>0</v>
      </c>
      <c r="J84" s="93">
        <f>J83*HE_prescribed_parameters!G$13</f>
        <v>0</v>
      </c>
      <c r="K84" s="93">
        <f>K83*HE_prescribed_parameters!H$13</f>
        <v>0</v>
      </c>
      <c r="L84" s="93">
        <f>L83*HE_prescribed_parameters!I$13</f>
        <v>0</v>
      </c>
      <c r="M84" s="93">
        <f>M83*HE_prescribed_parameters!J$13</f>
        <v>0</v>
      </c>
      <c r="N84" s="93">
        <f>N83*HE_prescribed_parameters!K$13</f>
        <v>0</v>
      </c>
      <c r="O84" s="93">
        <f>O83*HE_prescribed_parameters!L$13</f>
        <v>0</v>
      </c>
      <c r="P84" s="93">
        <f>P83*HE_prescribed_parameters!M$13</f>
        <v>0</v>
      </c>
      <c r="Q84" s="93">
        <f>Q83*HE_prescribed_parameters!N$13</f>
        <v>0</v>
      </c>
      <c r="R84" s="93">
        <f>R83*HE_prescribed_parameters!O$13</f>
        <v>0</v>
      </c>
      <c r="S84" s="93">
        <f>S83*HE_prescribed_parameters!P$13</f>
        <v>0</v>
      </c>
      <c r="T84" s="93">
        <f>T83*HE_prescribed_parameters!Q$13</f>
        <v>0</v>
      </c>
      <c r="U84" s="93">
        <f>U83*HE_prescribed_parameters!R$13</f>
        <v>0</v>
      </c>
      <c r="V84" s="93">
        <f>V83*HE_prescribed_parameters!S$13</f>
        <v>0</v>
      </c>
      <c r="W84" s="93">
        <f>W83*HE_prescribed_parameters!T$13</f>
        <v>0</v>
      </c>
      <c r="X84" s="93">
        <f>X83*HE_prescribed_parameters!U$13</f>
        <v>0</v>
      </c>
      <c r="Y84" s="93">
        <f>Y83*HE_prescribed_parameters!V$13</f>
        <v>0</v>
      </c>
      <c r="Z84" s="93">
        <f>Z83*HE_prescribed_parameters!W$13</f>
        <v>0</v>
      </c>
      <c r="AA84" s="93">
        <f>AA83*HE_prescribed_parameters!X$13</f>
        <v>0</v>
      </c>
      <c r="AB84" s="93">
        <f>AB83*HE_prescribed_parameters!Y$13</f>
        <v>0</v>
      </c>
      <c r="AC84" s="93">
        <f>AC83*HE_prescribed_parameters!Z$13</f>
        <v>0</v>
      </c>
      <c r="AD84" s="93">
        <f>AD83*HE_prescribed_parameters!AA$13</f>
        <v>0</v>
      </c>
      <c r="AE84" s="93">
        <f>AE83*HE_prescribed_parameters!AB$13</f>
        <v>0</v>
      </c>
      <c r="AF84" s="93">
        <f>AF83*HE_prescribed_parameters!AC$13</f>
        <v>0</v>
      </c>
      <c r="AG84" s="93">
        <f>AG83*HE_prescribed_parameters!AD$13</f>
        <v>0</v>
      </c>
      <c r="AH84" s="93">
        <f>AH83*HE_prescribed_parameters!AE$13</f>
        <v>0</v>
      </c>
      <c r="AI84" s="93">
        <f>AI83*HE_prescribed_parameters!AF$13</f>
        <v>0</v>
      </c>
      <c r="AJ84" s="93">
        <f>AJ83*HE_prescribed_parameters!AG$13</f>
        <v>0</v>
      </c>
      <c r="AK84" s="93">
        <f>AK83*HE_prescribed_parameters!AH$13</f>
        <v>0</v>
      </c>
      <c r="AL84" s="93">
        <f>AL83*HE_prescribed_parameters!AI$13</f>
        <v>0</v>
      </c>
      <c r="AM84" s="93">
        <f>AM83*HE_prescribed_parameters!AJ$13</f>
        <v>0</v>
      </c>
      <c r="AN84" s="93">
        <f>AN83*HE_prescribed_parameters!AK$13</f>
        <v>0</v>
      </c>
      <c r="AO84" s="93">
        <f>AO83*HE_prescribed_parameters!AL$13</f>
        <v>0</v>
      </c>
      <c r="AP84" s="93">
        <f>AP83*HE_prescribed_parameters!AM$13</f>
        <v>0</v>
      </c>
      <c r="AQ84" s="93">
        <f>AQ83*HE_prescribed_parameters!AN$13</f>
        <v>0</v>
      </c>
      <c r="AR84" s="93">
        <f>AR83*HE_prescribed_parameters!AO$13</f>
        <v>0</v>
      </c>
      <c r="AS84" s="93">
        <f>AS83*HE_prescribed_parameters!AP$13</f>
        <v>0</v>
      </c>
      <c r="AT84" s="93">
        <f>AT83*HE_prescribed_parameters!AQ$13</f>
        <v>0</v>
      </c>
      <c r="AU84" s="93">
        <f>AU83*HE_prescribed_parameters!AR$13</f>
        <v>0</v>
      </c>
      <c r="AV84" s="93">
        <f>AV83*HE_prescribed_parameters!AS$13</f>
        <v>0</v>
      </c>
      <c r="AW84" s="93">
        <f>AW83*HE_prescribed_parameters!AT$13</f>
        <v>0</v>
      </c>
      <c r="AX84" s="93">
        <f>AX83*HE_prescribed_parameters!AU$13</f>
        <v>0</v>
      </c>
      <c r="AY84" s="93">
        <f>AY83*HE_prescribed_parameters!AV$13</f>
        <v>0</v>
      </c>
      <c r="AZ84" s="93">
        <f>AZ83*HE_prescribed_parameters!AW$13</f>
        <v>0</v>
      </c>
      <c r="BA84" s="93">
        <f>BA83*HE_prescribed_parameters!AX$13</f>
        <v>0</v>
      </c>
      <c r="BB84" s="93">
        <f>BB83*HE_prescribed_parameters!AY$13</f>
        <v>0</v>
      </c>
    </row>
    <row r="85" spans="2:54" s="6" customFormat="1" ht="14.25" customHeight="1" x14ac:dyDescent="0.2">
      <c r="B85" s="95" t="s">
        <v>35</v>
      </c>
      <c r="C85" s="79">
        <f>-SUM(E84:BB84)</f>
        <v>0</v>
      </c>
      <c r="D85" s="79"/>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2:54" s="6" customFormat="1" ht="14.25" customHeight="1" x14ac:dyDescent="0.2">
      <c r="B86" s="154"/>
      <c r="C86" s="77"/>
      <c r="D86" s="7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2:54" s="6" customFormat="1" ht="14.25" customHeight="1" x14ac:dyDescent="0.2">
      <c r="D87" s="12"/>
      <c r="E87" s="145" t="s">
        <v>2</v>
      </c>
      <c r="F87" s="108"/>
      <c r="G87" s="108"/>
      <c r="H87" s="108"/>
      <c r="I87" s="108"/>
      <c r="J87" s="108"/>
      <c r="K87" s="108"/>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spans="2:54" s="6" customFormat="1" ht="20.100000000000001" customHeight="1" x14ac:dyDescent="0.25">
      <c r="B88" s="86" t="s">
        <v>25</v>
      </c>
      <c r="C88" s="87"/>
      <c r="D88" s="816"/>
      <c r="E88" s="146">
        <f>HE_CY</f>
        <v>2025</v>
      </c>
      <c r="F88" s="147">
        <f>E88+1</f>
        <v>2026</v>
      </c>
      <c r="G88" s="147">
        <f>F88+1</f>
        <v>2027</v>
      </c>
      <c r="H88" s="147">
        <f t="shared" ref="H88:BB88" si="33">G88+1</f>
        <v>2028</v>
      </c>
      <c r="I88" s="147">
        <f t="shared" si="33"/>
        <v>2029</v>
      </c>
      <c r="J88" s="147">
        <f t="shared" si="33"/>
        <v>2030</v>
      </c>
      <c r="K88" s="147">
        <f t="shared" si="33"/>
        <v>2031</v>
      </c>
      <c r="L88" s="147">
        <f t="shared" si="33"/>
        <v>2032</v>
      </c>
      <c r="M88" s="147">
        <f t="shared" si="33"/>
        <v>2033</v>
      </c>
      <c r="N88" s="147">
        <f t="shared" si="33"/>
        <v>2034</v>
      </c>
      <c r="O88" s="147">
        <f t="shared" si="33"/>
        <v>2035</v>
      </c>
      <c r="P88" s="147">
        <f t="shared" si="33"/>
        <v>2036</v>
      </c>
      <c r="Q88" s="147">
        <f t="shared" si="33"/>
        <v>2037</v>
      </c>
      <c r="R88" s="147">
        <f t="shared" si="33"/>
        <v>2038</v>
      </c>
      <c r="S88" s="147">
        <f t="shared" si="33"/>
        <v>2039</v>
      </c>
      <c r="T88" s="147">
        <f t="shared" si="33"/>
        <v>2040</v>
      </c>
      <c r="U88" s="147">
        <f t="shared" si="33"/>
        <v>2041</v>
      </c>
      <c r="V88" s="147">
        <f t="shared" si="33"/>
        <v>2042</v>
      </c>
      <c r="W88" s="147">
        <f t="shared" si="33"/>
        <v>2043</v>
      </c>
      <c r="X88" s="147">
        <f t="shared" si="33"/>
        <v>2044</v>
      </c>
      <c r="Y88" s="147">
        <f t="shared" si="33"/>
        <v>2045</v>
      </c>
      <c r="Z88" s="147">
        <f t="shared" si="33"/>
        <v>2046</v>
      </c>
      <c r="AA88" s="147">
        <f t="shared" si="33"/>
        <v>2047</v>
      </c>
      <c r="AB88" s="147">
        <f t="shared" si="33"/>
        <v>2048</v>
      </c>
      <c r="AC88" s="147">
        <f t="shared" si="33"/>
        <v>2049</v>
      </c>
      <c r="AD88" s="147">
        <f t="shared" si="33"/>
        <v>2050</v>
      </c>
      <c r="AE88" s="147">
        <f t="shared" si="33"/>
        <v>2051</v>
      </c>
      <c r="AF88" s="147">
        <f t="shared" si="33"/>
        <v>2052</v>
      </c>
      <c r="AG88" s="147">
        <f t="shared" si="33"/>
        <v>2053</v>
      </c>
      <c r="AH88" s="147">
        <f t="shared" si="33"/>
        <v>2054</v>
      </c>
      <c r="AI88" s="147">
        <f t="shared" si="33"/>
        <v>2055</v>
      </c>
      <c r="AJ88" s="147">
        <f t="shared" si="33"/>
        <v>2056</v>
      </c>
      <c r="AK88" s="147">
        <f t="shared" si="33"/>
        <v>2057</v>
      </c>
      <c r="AL88" s="147">
        <f t="shared" si="33"/>
        <v>2058</v>
      </c>
      <c r="AM88" s="147">
        <f t="shared" si="33"/>
        <v>2059</v>
      </c>
      <c r="AN88" s="147">
        <f t="shared" si="33"/>
        <v>2060</v>
      </c>
      <c r="AO88" s="147">
        <f t="shared" si="33"/>
        <v>2061</v>
      </c>
      <c r="AP88" s="147">
        <f t="shared" si="33"/>
        <v>2062</v>
      </c>
      <c r="AQ88" s="147">
        <f t="shared" si="33"/>
        <v>2063</v>
      </c>
      <c r="AR88" s="147">
        <f t="shared" si="33"/>
        <v>2064</v>
      </c>
      <c r="AS88" s="147">
        <f t="shared" si="33"/>
        <v>2065</v>
      </c>
      <c r="AT88" s="147">
        <f t="shared" si="33"/>
        <v>2066</v>
      </c>
      <c r="AU88" s="147">
        <f t="shared" si="33"/>
        <v>2067</v>
      </c>
      <c r="AV88" s="147">
        <f t="shared" si="33"/>
        <v>2068</v>
      </c>
      <c r="AW88" s="147">
        <f t="shared" si="33"/>
        <v>2069</v>
      </c>
      <c r="AX88" s="147">
        <f t="shared" si="33"/>
        <v>2070</v>
      </c>
      <c r="AY88" s="147">
        <f t="shared" si="33"/>
        <v>2071</v>
      </c>
      <c r="AZ88" s="147">
        <f t="shared" si="33"/>
        <v>2072</v>
      </c>
      <c r="BA88" s="147">
        <f t="shared" si="33"/>
        <v>2073</v>
      </c>
      <c r="BB88" s="147">
        <f t="shared" si="33"/>
        <v>2074</v>
      </c>
    </row>
    <row r="89" spans="2:54" s="6" customFormat="1" ht="14.25" customHeight="1" x14ac:dyDescent="0.2">
      <c r="B89" s="88" t="s">
        <v>22</v>
      </c>
      <c r="C89" s="89" t="s">
        <v>4</v>
      </c>
      <c r="D89" s="89"/>
      <c r="E89" s="90">
        <f t="shared" ref="E89:AJ89" si="34">E25-E59</f>
        <v>0</v>
      </c>
      <c r="F89" s="90">
        <f t="shared" si="34"/>
        <v>0</v>
      </c>
      <c r="G89" s="90">
        <f t="shared" si="34"/>
        <v>0</v>
      </c>
      <c r="H89" s="90">
        <f t="shared" si="34"/>
        <v>0</v>
      </c>
      <c r="I89" s="90">
        <f t="shared" si="34"/>
        <v>0</v>
      </c>
      <c r="J89" s="90">
        <f t="shared" si="34"/>
        <v>0</v>
      </c>
      <c r="K89" s="90">
        <f t="shared" si="34"/>
        <v>0</v>
      </c>
      <c r="L89" s="90">
        <f t="shared" si="34"/>
        <v>0</v>
      </c>
      <c r="M89" s="90">
        <f t="shared" si="34"/>
        <v>0</v>
      </c>
      <c r="N89" s="90">
        <f t="shared" si="34"/>
        <v>0</v>
      </c>
      <c r="O89" s="90">
        <f t="shared" si="34"/>
        <v>0</v>
      </c>
      <c r="P89" s="90">
        <f t="shared" si="34"/>
        <v>0</v>
      </c>
      <c r="Q89" s="90">
        <f t="shared" si="34"/>
        <v>0</v>
      </c>
      <c r="R89" s="90">
        <f t="shared" si="34"/>
        <v>0</v>
      </c>
      <c r="S89" s="90">
        <f t="shared" si="34"/>
        <v>0</v>
      </c>
      <c r="T89" s="90">
        <f t="shared" si="34"/>
        <v>0</v>
      </c>
      <c r="U89" s="90">
        <f t="shared" si="34"/>
        <v>0</v>
      </c>
      <c r="V89" s="90">
        <f t="shared" si="34"/>
        <v>0</v>
      </c>
      <c r="W89" s="90">
        <f t="shared" si="34"/>
        <v>0</v>
      </c>
      <c r="X89" s="90">
        <f t="shared" si="34"/>
        <v>0</v>
      </c>
      <c r="Y89" s="90">
        <f t="shared" si="34"/>
        <v>0</v>
      </c>
      <c r="Z89" s="90">
        <f t="shared" si="34"/>
        <v>0</v>
      </c>
      <c r="AA89" s="90">
        <f t="shared" si="34"/>
        <v>0</v>
      </c>
      <c r="AB89" s="90">
        <f t="shared" si="34"/>
        <v>0</v>
      </c>
      <c r="AC89" s="90">
        <f t="shared" si="34"/>
        <v>0</v>
      </c>
      <c r="AD89" s="90">
        <f t="shared" si="34"/>
        <v>0</v>
      </c>
      <c r="AE89" s="90">
        <f t="shared" si="34"/>
        <v>0</v>
      </c>
      <c r="AF89" s="90">
        <f t="shared" si="34"/>
        <v>0</v>
      </c>
      <c r="AG89" s="90">
        <f t="shared" si="34"/>
        <v>0</v>
      </c>
      <c r="AH89" s="90">
        <f t="shared" si="34"/>
        <v>0</v>
      </c>
      <c r="AI89" s="90">
        <f t="shared" si="34"/>
        <v>0</v>
      </c>
      <c r="AJ89" s="90">
        <f t="shared" si="34"/>
        <v>0</v>
      </c>
      <c r="AK89" s="90">
        <f t="shared" ref="AK89:BB89" si="35">AK25-AK59</f>
        <v>0</v>
      </c>
      <c r="AL89" s="90">
        <f t="shared" si="35"/>
        <v>0</v>
      </c>
      <c r="AM89" s="90">
        <f t="shared" si="35"/>
        <v>0</v>
      </c>
      <c r="AN89" s="90">
        <f t="shared" si="35"/>
        <v>0</v>
      </c>
      <c r="AO89" s="90">
        <f t="shared" si="35"/>
        <v>0</v>
      </c>
      <c r="AP89" s="90">
        <f t="shared" si="35"/>
        <v>0</v>
      </c>
      <c r="AQ89" s="90">
        <f t="shared" si="35"/>
        <v>0</v>
      </c>
      <c r="AR89" s="90">
        <f t="shared" si="35"/>
        <v>0</v>
      </c>
      <c r="AS89" s="90">
        <f t="shared" si="35"/>
        <v>0</v>
      </c>
      <c r="AT89" s="90">
        <f t="shared" si="35"/>
        <v>0</v>
      </c>
      <c r="AU89" s="90">
        <f t="shared" si="35"/>
        <v>0</v>
      </c>
      <c r="AV89" s="90">
        <f t="shared" si="35"/>
        <v>0</v>
      </c>
      <c r="AW89" s="90">
        <f t="shared" si="35"/>
        <v>0</v>
      </c>
      <c r="AX89" s="90">
        <f t="shared" si="35"/>
        <v>0</v>
      </c>
      <c r="AY89" s="90">
        <f t="shared" si="35"/>
        <v>0</v>
      </c>
      <c r="AZ89" s="90">
        <f t="shared" si="35"/>
        <v>0</v>
      </c>
      <c r="BA89" s="90">
        <f t="shared" si="35"/>
        <v>0</v>
      </c>
      <c r="BB89" s="90">
        <f t="shared" si="35"/>
        <v>0</v>
      </c>
    </row>
    <row r="90" spans="2:54" s="6" customFormat="1" ht="14.25" customHeight="1" x14ac:dyDescent="0.2">
      <c r="B90" s="91" t="s">
        <v>23</v>
      </c>
      <c r="C90" s="92" t="s">
        <v>4</v>
      </c>
      <c r="D90" s="92"/>
      <c r="E90" s="93">
        <f t="shared" ref="E90:AJ90" si="36">IF(E80-HE_CY&gt;=(Health_JahrPCap),IF(E25&gt;E59/Health_CR,E59/Health_CR,E25),E25)</f>
        <v>0</v>
      </c>
      <c r="F90" s="93">
        <f t="shared" si="36"/>
        <v>0</v>
      </c>
      <c r="G90" s="93">
        <f t="shared" si="36"/>
        <v>0</v>
      </c>
      <c r="H90" s="93">
        <f t="shared" si="36"/>
        <v>0</v>
      </c>
      <c r="I90" s="93">
        <f t="shared" si="36"/>
        <v>0</v>
      </c>
      <c r="J90" s="93">
        <f t="shared" si="36"/>
        <v>0</v>
      </c>
      <c r="K90" s="93">
        <f t="shared" si="36"/>
        <v>0</v>
      </c>
      <c r="L90" s="93">
        <f t="shared" si="36"/>
        <v>0</v>
      </c>
      <c r="M90" s="93">
        <f t="shared" si="36"/>
        <v>0</v>
      </c>
      <c r="N90" s="93">
        <f t="shared" si="36"/>
        <v>0</v>
      </c>
      <c r="O90" s="93">
        <f t="shared" si="36"/>
        <v>0</v>
      </c>
      <c r="P90" s="93">
        <f t="shared" si="36"/>
        <v>0</v>
      </c>
      <c r="Q90" s="93">
        <f t="shared" si="36"/>
        <v>0</v>
      </c>
      <c r="R90" s="93">
        <f t="shared" si="36"/>
        <v>0</v>
      </c>
      <c r="S90" s="93">
        <f t="shared" si="36"/>
        <v>0</v>
      </c>
      <c r="T90" s="93">
        <f t="shared" si="36"/>
        <v>0</v>
      </c>
      <c r="U90" s="93">
        <f t="shared" si="36"/>
        <v>0</v>
      </c>
      <c r="V90" s="93">
        <f t="shared" si="36"/>
        <v>0</v>
      </c>
      <c r="W90" s="93">
        <f t="shared" si="36"/>
        <v>0</v>
      </c>
      <c r="X90" s="93">
        <f t="shared" si="36"/>
        <v>0</v>
      </c>
      <c r="Y90" s="93">
        <f t="shared" si="36"/>
        <v>0</v>
      </c>
      <c r="Z90" s="93">
        <f t="shared" si="36"/>
        <v>0</v>
      </c>
      <c r="AA90" s="93">
        <f t="shared" si="36"/>
        <v>0</v>
      </c>
      <c r="AB90" s="93">
        <f t="shared" si="36"/>
        <v>0</v>
      </c>
      <c r="AC90" s="93">
        <f t="shared" si="36"/>
        <v>0</v>
      </c>
      <c r="AD90" s="93">
        <f t="shared" si="36"/>
        <v>0</v>
      </c>
      <c r="AE90" s="93">
        <f t="shared" si="36"/>
        <v>0</v>
      </c>
      <c r="AF90" s="93">
        <f t="shared" si="36"/>
        <v>0</v>
      </c>
      <c r="AG90" s="93">
        <f t="shared" si="36"/>
        <v>0</v>
      </c>
      <c r="AH90" s="93">
        <f t="shared" si="36"/>
        <v>0</v>
      </c>
      <c r="AI90" s="93">
        <f t="shared" si="36"/>
        <v>0</v>
      </c>
      <c r="AJ90" s="93">
        <f t="shared" si="36"/>
        <v>0</v>
      </c>
      <c r="AK90" s="93">
        <f t="shared" ref="AK90:BB90" si="37">IF(AK80-HE_CY&gt;=(Health_JahrPCap),IF(AK25&gt;AK59/Health_CR,AK59/Health_CR,AK25),AK25)</f>
        <v>0</v>
      </c>
      <c r="AL90" s="93">
        <f t="shared" si="37"/>
        <v>0</v>
      </c>
      <c r="AM90" s="93">
        <f t="shared" si="37"/>
        <v>0</v>
      </c>
      <c r="AN90" s="93">
        <f t="shared" si="37"/>
        <v>0</v>
      </c>
      <c r="AO90" s="93">
        <f t="shared" si="37"/>
        <v>0</v>
      </c>
      <c r="AP90" s="93">
        <f t="shared" si="37"/>
        <v>0</v>
      </c>
      <c r="AQ90" s="93">
        <f t="shared" si="37"/>
        <v>0</v>
      </c>
      <c r="AR90" s="93">
        <f t="shared" si="37"/>
        <v>0</v>
      </c>
      <c r="AS90" s="93">
        <f t="shared" si="37"/>
        <v>0</v>
      </c>
      <c r="AT90" s="93">
        <f t="shared" si="37"/>
        <v>0</v>
      </c>
      <c r="AU90" s="93">
        <f t="shared" si="37"/>
        <v>0</v>
      </c>
      <c r="AV90" s="93">
        <f t="shared" si="37"/>
        <v>0</v>
      </c>
      <c r="AW90" s="93">
        <f t="shared" si="37"/>
        <v>0</v>
      </c>
      <c r="AX90" s="93">
        <f t="shared" si="37"/>
        <v>0</v>
      </c>
      <c r="AY90" s="93">
        <f t="shared" si="37"/>
        <v>0</v>
      </c>
      <c r="AZ90" s="93">
        <f t="shared" si="37"/>
        <v>0</v>
      </c>
      <c r="BA90" s="93">
        <f t="shared" si="37"/>
        <v>0</v>
      </c>
      <c r="BB90" s="93">
        <f t="shared" si="37"/>
        <v>0</v>
      </c>
    </row>
    <row r="91" spans="2:54" s="6" customFormat="1" ht="14.25" customHeight="1" x14ac:dyDescent="0.2">
      <c r="B91" s="94" t="s">
        <v>24</v>
      </c>
      <c r="C91" s="92" t="s">
        <v>4</v>
      </c>
      <c r="D91" s="168"/>
      <c r="E91" s="93">
        <f t="shared" ref="E91:AJ91" si="38">E90-E59</f>
        <v>0</v>
      </c>
      <c r="F91" s="93">
        <f t="shared" si="38"/>
        <v>0</v>
      </c>
      <c r="G91" s="93">
        <f t="shared" si="38"/>
        <v>0</v>
      </c>
      <c r="H91" s="93">
        <f t="shared" si="38"/>
        <v>0</v>
      </c>
      <c r="I91" s="93">
        <f t="shared" si="38"/>
        <v>0</v>
      </c>
      <c r="J91" s="93">
        <f t="shared" si="38"/>
        <v>0</v>
      </c>
      <c r="K91" s="93">
        <f t="shared" si="38"/>
        <v>0</v>
      </c>
      <c r="L91" s="93">
        <f t="shared" si="38"/>
        <v>0</v>
      </c>
      <c r="M91" s="93">
        <f t="shared" si="38"/>
        <v>0</v>
      </c>
      <c r="N91" s="93">
        <f t="shared" si="38"/>
        <v>0</v>
      </c>
      <c r="O91" s="93">
        <f t="shared" si="38"/>
        <v>0</v>
      </c>
      <c r="P91" s="93">
        <f t="shared" si="38"/>
        <v>0</v>
      </c>
      <c r="Q91" s="93">
        <f t="shared" si="38"/>
        <v>0</v>
      </c>
      <c r="R91" s="93">
        <f t="shared" si="38"/>
        <v>0</v>
      </c>
      <c r="S91" s="93">
        <f t="shared" si="38"/>
        <v>0</v>
      </c>
      <c r="T91" s="93">
        <f t="shared" si="38"/>
        <v>0</v>
      </c>
      <c r="U91" s="93">
        <f t="shared" si="38"/>
        <v>0</v>
      </c>
      <c r="V91" s="93">
        <f t="shared" si="38"/>
        <v>0</v>
      </c>
      <c r="W91" s="93">
        <f t="shared" si="38"/>
        <v>0</v>
      </c>
      <c r="X91" s="93">
        <f t="shared" si="38"/>
        <v>0</v>
      </c>
      <c r="Y91" s="93">
        <f t="shared" si="38"/>
        <v>0</v>
      </c>
      <c r="Z91" s="93">
        <f t="shared" si="38"/>
        <v>0</v>
      </c>
      <c r="AA91" s="93">
        <f t="shared" si="38"/>
        <v>0</v>
      </c>
      <c r="AB91" s="93">
        <f t="shared" si="38"/>
        <v>0</v>
      </c>
      <c r="AC91" s="93">
        <f t="shared" si="38"/>
        <v>0</v>
      </c>
      <c r="AD91" s="93">
        <f t="shared" si="38"/>
        <v>0</v>
      </c>
      <c r="AE91" s="93">
        <f t="shared" si="38"/>
        <v>0</v>
      </c>
      <c r="AF91" s="93">
        <f t="shared" si="38"/>
        <v>0</v>
      </c>
      <c r="AG91" s="93">
        <f t="shared" si="38"/>
        <v>0</v>
      </c>
      <c r="AH91" s="93">
        <f t="shared" si="38"/>
        <v>0</v>
      </c>
      <c r="AI91" s="93">
        <f t="shared" si="38"/>
        <v>0</v>
      </c>
      <c r="AJ91" s="93">
        <f t="shared" si="38"/>
        <v>0</v>
      </c>
      <c r="AK91" s="93">
        <f t="shared" ref="AK91:BB91" si="39">AK90-AK59</f>
        <v>0</v>
      </c>
      <c r="AL91" s="93">
        <f t="shared" si="39"/>
        <v>0</v>
      </c>
      <c r="AM91" s="93">
        <f t="shared" si="39"/>
        <v>0</v>
      </c>
      <c r="AN91" s="93">
        <f t="shared" si="39"/>
        <v>0</v>
      </c>
      <c r="AO91" s="93">
        <f t="shared" si="39"/>
        <v>0</v>
      </c>
      <c r="AP91" s="93">
        <f t="shared" si="39"/>
        <v>0</v>
      </c>
      <c r="AQ91" s="93">
        <f t="shared" si="39"/>
        <v>0</v>
      </c>
      <c r="AR91" s="93">
        <f t="shared" si="39"/>
        <v>0</v>
      </c>
      <c r="AS91" s="93">
        <f t="shared" si="39"/>
        <v>0</v>
      </c>
      <c r="AT91" s="93">
        <f t="shared" si="39"/>
        <v>0</v>
      </c>
      <c r="AU91" s="93">
        <f t="shared" si="39"/>
        <v>0</v>
      </c>
      <c r="AV91" s="93">
        <f t="shared" si="39"/>
        <v>0</v>
      </c>
      <c r="AW91" s="93">
        <f t="shared" si="39"/>
        <v>0</v>
      </c>
      <c r="AX91" s="93">
        <f t="shared" si="39"/>
        <v>0</v>
      </c>
      <c r="AY91" s="93">
        <f t="shared" si="39"/>
        <v>0</v>
      </c>
      <c r="AZ91" s="93">
        <f t="shared" si="39"/>
        <v>0</v>
      </c>
      <c r="BA91" s="93">
        <f t="shared" si="39"/>
        <v>0</v>
      </c>
      <c r="BB91" s="93">
        <f t="shared" si="39"/>
        <v>0</v>
      </c>
    </row>
    <row r="92" spans="2:54" s="6" customFormat="1" ht="14.25" customHeight="1" x14ac:dyDescent="0.2">
      <c r="B92" s="94" t="s">
        <v>24</v>
      </c>
      <c r="C92" s="92" t="s">
        <v>7</v>
      </c>
      <c r="D92" s="92"/>
      <c r="E92" s="93">
        <f>E91</f>
        <v>0</v>
      </c>
      <c r="F92" s="93">
        <f>F91*HE_prescribed_parameters!C$13</f>
        <v>0</v>
      </c>
      <c r="G92" s="93">
        <f>G91*HE_prescribed_parameters!D$13</f>
        <v>0</v>
      </c>
      <c r="H92" s="93">
        <f>H91*HE_prescribed_parameters!E$13</f>
        <v>0</v>
      </c>
      <c r="I92" s="93">
        <f>I91*HE_prescribed_parameters!F$13</f>
        <v>0</v>
      </c>
      <c r="J92" s="93">
        <f>J91*HE_prescribed_parameters!G$13</f>
        <v>0</v>
      </c>
      <c r="K92" s="93">
        <f>K91*HE_prescribed_parameters!H$13</f>
        <v>0</v>
      </c>
      <c r="L92" s="93">
        <f>L91*HE_prescribed_parameters!I$13</f>
        <v>0</v>
      </c>
      <c r="M92" s="93">
        <f>M91*HE_prescribed_parameters!J$13</f>
        <v>0</v>
      </c>
      <c r="N92" s="93">
        <f>N91*HE_prescribed_parameters!K$13</f>
        <v>0</v>
      </c>
      <c r="O92" s="93">
        <f>O91*HE_prescribed_parameters!L$13</f>
        <v>0</v>
      </c>
      <c r="P92" s="93">
        <f>P91*HE_prescribed_parameters!M$13</f>
        <v>0</v>
      </c>
      <c r="Q92" s="93">
        <f>Q91*HE_prescribed_parameters!N$13</f>
        <v>0</v>
      </c>
      <c r="R92" s="93">
        <f>R91*HE_prescribed_parameters!O$13</f>
        <v>0</v>
      </c>
      <c r="S92" s="93">
        <f>S91*HE_prescribed_parameters!P$13</f>
        <v>0</v>
      </c>
      <c r="T92" s="93">
        <f>T91*HE_prescribed_parameters!Q$13</f>
        <v>0</v>
      </c>
      <c r="U92" s="93">
        <f>U91*HE_prescribed_parameters!R$13</f>
        <v>0</v>
      </c>
      <c r="V92" s="93">
        <f>V91*HE_prescribed_parameters!S$13</f>
        <v>0</v>
      </c>
      <c r="W92" s="93">
        <f>W91*HE_prescribed_parameters!T$13</f>
        <v>0</v>
      </c>
      <c r="X92" s="93">
        <f>X91*HE_prescribed_parameters!U$13</f>
        <v>0</v>
      </c>
      <c r="Y92" s="93">
        <f>Y91*HE_prescribed_parameters!V$13</f>
        <v>0</v>
      </c>
      <c r="Z92" s="93">
        <f>Z91*HE_prescribed_parameters!W$13</f>
        <v>0</v>
      </c>
      <c r="AA92" s="93">
        <f>AA91*HE_prescribed_parameters!X$13</f>
        <v>0</v>
      </c>
      <c r="AB92" s="93">
        <f>AB91*HE_prescribed_parameters!Y$13</f>
        <v>0</v>
      </c>
      <c r="AC92" s="93">
        <f>AC91*HE_prescribed_parameters!Z$13</f>
        <v>0</v>
      </c>
      <c r="AD92" s="93">
        <f>AD91*HE_prescribed_parameters!AA$13</f>
        <v>0</v>
      </c>
      <c r="AE92" s="93">
        <f>AE91*HE_prescribed_parameters!AB$13</f>
        <v>0</v>
      </c>
      <c r="AF92" s="93">
        <f>AF91*HE_prescribed_parameters!AC$13</f>
        <v>0</v>
      </c>
      <c r="AG92" s="93">
        <f>AG91*HE_prescribed_parameters!AD$13</f>
        <v>0</v>
      </c>
      <c r="AH92" s="93">
        <f>AH91*HE_prescribed_parameters!AE$13</f>
        <v>0</v>
      </c>
      <c r="AI92" s="93">
        <f>AI91*HE_prescribed_parameters!AF$13</f>
        <v>0</v>
      </c>
      <c r="AJ92" s="93">
        <f>AJ91*HE_prescribed_parameters!AG$13</f>
        <v>0</v>
      </c>
      <c r="AK92" s="93">
        <f>AK91*HE_prescribed_parameters!AH$13</f>
        <v>0</v>
      </c>
      <c r="AL92" s="93">
        <f>AL91*HE_prescribed_parameters!AI$13</f>
        <v>0</v>
      </c>
      <c r="AM92" s="93">
        <f>AM91*HE_prescribed_parameters!AJ$13</f>
        <v>0</v>
      </c>
      <c r="AN92" s="93">
        <f>AN91*HE_prescribed_parameters!AK$13</f>
        <v>0</v>
      </c>
      <c r="AO92" s="93">
        <f>AO91*HE_prescribed_parameters!AL$13</f>
        <v>0</v>
      </c>
      <c r="AP92" s="93">
        <f>AP91*HE_prescribed_parameters!AM$13</f>
        <v>0</v>
      </c>
      <c r="AQ92" s="93">
        <f>AQ91*HE_prescribed_parameters!AN$13</f>
        <v>0</v>
      </c>
      <c r="AR92" s="93">
        <f>AR91*HE_prescribed_parameters!AO$13</f>
        <v>0</v>
      </c>
      <c r="AS92" s="93">
        <f>AS91*HE_prescribed_parameters!AP$13</f>
        <v>0</v>
      </c>
      <c r="AT92" s="93">
        <f>AT91*HE_prescribed_parameters!AQ$13</f>
        <v>0</v>
      </c>
      <c r="AU92" s="93">
        <f>AU91*HE_prescribed_parameters!AR$13</f>
        <v>0</v>
      </c>
      <c r="AV92" s="93">
        <f>AV91*HE_prescribed_parameters!AS$13</f>
        <v>0</v>
      </c>
      <c r="AW92" s="93">
        <f>AW91*HE_prescribed_parameters!AT$13</f>
        <v>0</v>
      </c>
      <c r="AX92" s="93">
        <f>AX91*HE_prescribed_parameters!AU$13</f>
        <v>0</v>
      </c>
      <c r="AY92" s="93">
        <f>AY91*HE_prescribed_parameters!AV$13</f>
        <v>0</v>
      </c>
      <c r="AZ92" s="93">
        <f>AZ91*HE_prescribed_parameters!AW$13</f>
        <v>0</v>
      </c>
      <c r="BA92" s="93">
        <f>BA91*HE_prescribed_parameters!AX$13</f>
        <v>0</v>
      </c>
      <c r="BB92" s="93">
        <f>BB91*HE_prescribed_parameters!AY$13</f>
        <v>0</v>
      </c>
    </row>
    <row r="93" spans="2:54" s="6" customFormat="1" ht="14.25" customHeight="1" x14ac:dyDescent="0.2">
      <c r="B93" s="95" t="s">
        <v>35</v>
      </c>
      <c r="C93" s="79">
        <f>-SUM(E92:BB92)</f>
        <v>0</v>
      </c>
      <c r="D93" s="79"/>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2:54" s="6" customFormat="1" ht="14.25" customHeight="1" x14ac:dyDescent="0.2">
      <c r="B94" s="154"/>
      <c r="C94" s="77"/>
      <c r="D94" s="7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2:54" s="6" customFormat="1" ht="14.25" customHeight="1" x14ac:dyDescent="0.2">
      <c r="D95" s="12"/>
      <c r="E95" s="145" t="s">
        <v>2</v>
      </c>
      <c r="F95" s="108"/>
      <c r="G95" s="108"/>
      <c r="H95" s="108"/>
      <c r="I95" s="108"/>
      <c r="J95" s="108"/>
      <c r="K95" s="108"/>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spans="2:54" s="6" customFormat="1" ht="20.100000000000001" customHeight="1" x14ac:dyDescent="0.25">
      <c r="B96" s="86" t="s">
        <v>26</v>
      </c>
      <c r="C96" s="87"/>
      <c r="D96" s="816"/>
      <c r="E96" s="146">
        <f>HE_CY</f>
        <v>2025</v>
      </c>
      <c r="F96" s="147">
        <f>E96+1</f>
        <v>2026</v>
      </c>
      <c r="G96" s="147">
        <f>F96+1</f>
        <v>2027</v>
      </c>
      <c r="H96" s="147">
        <f t="shared" ref="H96:BB96" si="40">G96+1</f>
        <v>2028</v>
      </c>
      <c r="I96" s="147">
        <f t="shared" si="40"/>
        <v>2029</v>
      </c>
      <c r="J96" s="147">
        <f t="shared" si="40"/>
        <v>2030</v>
      </c>
      <c r="K96" s="147">
        <f t="shared" si="40"/>
        <v>2031</v>
      </c>
      <c r="L96" s="147">
        <f t="shared" si="40"/>
        <v>2032</v>
      </c>
      <c r="M96" s="147">
        <f t="shared" si="40"/>
        <v>2033</v>
      </c>
      <c r="N96" s="147">
        <f t="shared" si="40"/>
        <v>2034</v>
      </c>
      <c r="O96" s="147">
        <f t="shared" si="40"/>
        <v>2035</v>
      </c>
      <c r="P96" s="147">
        <f t="shared" si="40"/>
        <v>2036</v>
      </c>
      <c r="Q96" s="147">
        <f t="shared" si="40"/>
        <v>2037</v>
      </c>
      <c r="R96" s="147">
        <f t="shared" si="40"/>
        <v>2038</v>
      </c>
      <c r="S96" s="147">
        <f t="shared" si="40"/>
        <v>2039</v>
      </c>
      <c r="T96" s="147">
        <f t="shared" si="40"/>
        <v>2040</v>
      </c>
      <c r="U96" s="147">
        <f t="shared" si="40"/>
        <v>2041</v>
      </c>
      <c r="V96" s="147">
        <f t="shared" si="40"/>
        <v>2042</v>
      </c>
      <c r="W96" s="147">
        <f t="shared" si="40"/>
        <v>2043</v>
      </c>
      <c r="X96" s="147">
        <f t="shared" si="40"/>
        <v>2044</v>
      </c>
      <c r="Y96" s="147">
        <f t="shared" si="40"/>
        <v>2045</v>
      </c>
      <c r="Z96" s="147">
        <f t="shared" si="40"/>
        <v>2046</v>
      </c>
      <c r="AA96" s="147">
        <f t="shared" si="40"/>
        <v>2047</v>
      </c>
      <c r="AB96" s="147">
        <f t="shared" si="40"/>
        <v>2048</v>
      </c>
      <c r="AC96" s="147">
        <f t="shared" si="40"/>
        <v>2049</v>
      </c>
      <c r="AD96" s="147">
        <f t="shared" si="40"/>
        <v>2050</v>
      </c>
      <c r="AE96" s="147">
        <f t="shared" si="40"/>
        <v>2051</v>
      </c>
      <c r="AF96" s="147">
        <f t="shared" si="40"/>
        <v>2052</v>
      </c>
      <c r="AG96" s="147">
        <f t="shared" si="40"/>
        <v>2053</v>
      </c>
      <c r="AH96" s="147">
        <f t="shared" si="40"/>
        <v>2054</v>
      </c>
      <c r="AI96" s="147">
        <f t="shared" si="40"/>
        <v>2055</v>
      </c>
      <c r="AJ96" s="147">
        <f t="shared" si="40"/>
        <v>2056</v>
      </c>
      <c r="AK96" s="147">
        <f t="shared" si="40"/>
        <v>2057</v>
      </c>
      <c r="AL96" s="147">
        <f t="shared" si="40"/>
        <v>2058</v>
      </c>
      <c r="AM96" s="147">
        <f t="shared" si="40"/>
        <v>2059</v>
      </c>
      <c r="AN96" s="147">
        <f t="shared" si="40"/>
        <v>2060</v>
      </c>
      <c r="AO96" s="147">
        <f t="shared" si="40"/>
        <v>2061</v>
      </c>
      <c r="AP96" s="147">
        <f t="shared" si="40"/>
        <v>2062</v>
      </c>
      <c r="AQ96" s="147">
        <f t="shared" si="40"/>
        <v>2063</v>
      </c>
      <c r="AR96" s="147">
        <f t="shared" si="40"/>
        <v>2064</v>
      </c>
      <c r="AS96" s="147">
        <f t="shared" si="40"/>
        <v>2065</v>
      </c>
      <c r="AT96" s="147">
        <f t="shared" si="40"/>
        <v>2066</v>
      </c>
      <c r="AU96" s="147">
        <f t="shared" si="40"/>
        <v>2067</v>
      </c>
      <c r="AV96" s="147">
        <f t="shared" si="40"/>
        <v>2068</v>
      </c>
      <c r="AW96" s="147">
        <f t="shared" si="40"/>
        <v>2069</v>
      </c>
      <c r="AX96" s="147">
        <f t="shared" si="40"/>
        <v>2070</v>
      </c>
      <c r="AY96" s="147">
        <f t="shared" si="40"/>
        <v>2071</v>
      </c>
      <c r="AZ96" s="147">
        <f t="shared" si="40"/>
        <v>2072</v>
      </c>
      <c r="BA96" s="147">
        <f t="shared" si="40"/>
        <v>2073</v>
      </c>
      <c r="BB96" s="147">
        <f t="shared" si="40"/>
        <v>2074</v>
      </c>
    </row>
    <row r="97" spans="1:54" s="6" customFormat="1" ht="14.25" customHeight="1" x14ac:dyDescent="0.2">
      <c r="B97" s="88" t="s">
        <v>22</v>
      </c>
      <c r="C97" s="89" t="s">
        <v>4</v>
      </c>
      <c r="D97" s="89"/>
      <c r="E97" s="90">
        <f t="shared" ref="E97:AJ97" si="41">E29-E63</f>
        <v>0</v>
      </c>
      <c r="F97" s="90">
        <f t="shared" si="41"/>
        <v>0</v>
      </c>
      <c r="G97" s="90">
        <f t="shared" si="41"/>
        <v>0</v>
      </c>
      <c r="H97" s="90">
        <f t="shared" si="41"/>
        <v>0</v>
      </c>
      <c r="I97" s="90">
        <f t="shared" si="41"/>
        <v>0</v>
      </c>
      <c r="J97" s="90">
        <f t="shared" si="41"/>
        <v>0</v>
      </c>
      <c r="K97" s="90">
        <f t="shared" si="41"/>
        <v>0</v>
      </c>
      <c r="L97" s="90">
        <f t="shared" si="41"/>
        <v>0</v>
      </c>
      <c r="M97" s="90">
        <f t="shared" si="41"/>
        <v>0</v>
      </c>
      <c r="N97" s="90">
        <f t="shared" si="41"/>
        <v>0</v>
      </c>
      <c r="O97" s="90">
        <f t="shared" si="41"/>
        <v>0</v>
      </c>
      <c r="P97" s="90">
        <f t="shared" si="41"/>
        <v>0</v>
      </c>
      <c r="Q97" s="90">
        <f t="shared" si="41"/>
        <v>0</v>
      </c>
      <c r="R97" s="90">
        <f t="shared" si="41"/>
        <v>0</v>
      </c>
      <c r="S97" s="90">
        <f t="shared" si="41"/>
        <v>0</v>
      </c>
      <c r="T97" s="90">
        <f t="shared" si="41"/>
        <v>0</v>
      </c>
      <c r="U97" s="90">
        <f t="shared" si="41"/>
        <v>0</v>
      </c>
      <c r="V97" s="90">
        <f t="shared" si="41"/>
        <v>0</v>
      </c>
      <c r="W97" s="90">
        <f t="shared" si="41"/>
        <v>0</v>
      </c>
      <c r="X97" s="90">
        <f t="shared" si="41"/>
        <v>0</v>
      </c>
      <c r="Y97" s="90">
        <f t="shared" si="41"/>
        <v>0</v>
      </c>
      <c r="Z97" s="90">
        <f t="shared" si="41"/>
        <v>0</v>
      </c>
      <c r="AA97" s="90">
        <f t="shared" si="41"/>
        <v>0</v>
      </c>
      <c r="AB97" s="90">
        <f t="shared" si="41"/>
        <v>0</v>
      </c>
      <c r="AC97" s="90">
        <f t="shared" si="41"/>
        <v>0</v>
      </c>
      <c r="AD97" s="90">
        <f t="shared" si="41"/>
        <v>0</v>
      </c>
      <c r="AE97" s="90">
        <f t="shared" si="41"/>
        <v>0</v>
      </c>
      <c r="AF97" s="90">
        <f t="shared" si="41"/>
        <v>0</v>
      </c>
      <c r="AG97" s="90">
        <f t="shared" si="41"/>
        <v>0</v>
      </c>
      <c r="AH97" s="90">
        <f t="shared" si="41"/>
        <v>0</v>
      </c>
      <c r="AI97" s="90">
        <f t="shared" si="41"/>
        <v>0</v>
      </c>
      <c r="AJ97" s="90">
        <f t="shared" si="41"/>
        <v>0</v>
      </c>
      <c r="AK97" s="90">
        <f t="shared" ref="AK97:BB97" si="42">AK29-AK63</f>
        <v>0</v>
      </c>
      <c r="AL97" s="90">
        <f t="shared" si="42"/>
        <v>0</v>
      </c>
      <c r="AM97" s="90">
        <f t="shared" si="42"/>
        <v>0</v>
      </c>
      <c r="AN97" s="90">
        <f t="shared" si="42"/>
        <v>0</v>
      </c>
      <c r="AO97" s="90">
        <f t="shared" si="42"/>
        <v>0</v>
      </c>
      <c r="AP97" s="90">
        <f t="shared" si="42"/>
        <v>0</v>
      </c>
      <c r="AQ97" s="90">
        <f t="shared" si="42"/>
        <v>0</v>
      </c>
      <c r="AR97" s="90">
        <f t="shared" si="42"/>
        <v>0</v>
      </c>
      <c r="AS97" s="90">
        <f t="shared" si="42"/>
        <v>0</v>
      </c>
      <c r="AT97" s="90">
        <f t="shared" si="42"/>
        <v>0</v>
      </c>
      <c r="AU97" s="90">
        <f t="shared" si="42"/>
        <v>0</v>
      </c>
      <c r="AV97" s="90">
        <f t="shared" si="42"/>
        <v>0</v>
      </c>
      <c r="AW97" s="90">
        <f t="shared" si="42"/>
        <v>0</v>
      </c>
      <c r="AX97" s="90">
        <f t="shared" si="42"/>
        <v>0</v>
      </c>
      <c r="AY97" s="90">
        <f t="shared" si="42"/>
        <v>0</v>
      </c>
      <c r="AZ97" s="90">
        <f t="shared" si="42"/>
        <v>0</v>
      </c>
      <c r="BA97" s="90">
        <f t="shared" si="42"/>
        <v>0</v>
      </c>
      <c r="BB97" s="90">
        <f t="shared" si="42"/>
        <v>0</v>
      </c>
    </row>
    <row r="98" spans="1:54" s="6" customFormat="1" ht="14.25" customHeight="1" x14ac:dyDescent="0.2">
      <c r="B98" s="91" t="s">
        <v>23</v>
      </c>
      <c r="C98" s="92" t="s">
        <v>4</v>
      </c>
      <c r="D98" s="92"/>
      <c r="E98" s="93">
        <f t="shared" ref="E98:AJ98" si="43">IF(E80-HE_CY&gt;=(Health_JahrPCap),IF(E29&gt;E63/Health_CR,E63/Health_CR,E29),E29)</f>
        <v>0</v>
      </c>
      <c r="F98" s="93">
        <f t="shared" si="43"/>
        <v>0</v>
      </c>
      <c r="G98" s="93">
        <f t="shared" si="43"/>
        <v>0</v>
      </c>
      <c r="H98" s="93">
        <f t="shared" si="43"/>
        <v>0</v>
      </c>
      <c r="I98" s="93">
        <f t="shared" si="43"/>
        <v>0</v>
      </c>
      <c r="J98" s="93">
        <f t="shared" si="43"/>
        <v>0</v>
      </c>
      <c r="K98" s="93">
        <f t="shared" si="43"/>
        <v>0</v>
      </c>
      <c r="L98" s="93">
        <f t="shared" si="43"/>
        <v>0</v>
      </c>
      <c r="M98" s="93">
        <f t="shared" si="43"/>
        <v>0</v>
      </c>
      <c r="N98" s="93">
        <f t="shared" si="43"/>
        <v>0</v>
      </c>
      <c r="O98" s="93">
        <f t="shared" si="43"/>
        <v>0</v>
      </c>
      <c r="P98" s="93">
        <f t="shared" si="43"/>
        <v>0</v>
      </c>
      <c r="Q98" s="93">
        <f t="shared" si="43"/>
        <v>0</v>
      </c>
      <c r="R98" s="93">
        <f t="shared" si="43"/>
        <v>0</v>
      </c>
      <c r="S98" s="93">
        <f t="shared" si="43"/>
        <v>0</v>
      </c>
      <c r="T98" s="93">
        <f t="shared" si="43"/>
        <v>0</v>
      </c>
      <c r="U98" s="93">
        <f t="shared" si="43"/>
        <v>0</v>
      </c>
      <c r="V98" s="93">
        <f t="shared" si="43"/>
        <v>0</v>
      </c>
      <c r="W98" s="93">
        <f t="shared" si="43"/>
        <v>0</v>
      </c>
      <c r="X98" s="93">
        <f t="shared" si="43"/>
        <v>0</v>
      </c>
      <c r="Y98" s="93">
        <f t="shared" si="43"/>
        <v>0</v>
      </c>
      <c r="Z98" s="93">
        <f t="shared" si="43"/>
        <v>0</v>
      </c>
      <c r="AA98" s="93">
        <f t="shared" si="43"/>
        <v>0</v>
      </c>
      <c r="AB98" s="93">
        <f t="shared" si="43"/>
        <v>0</v>
      </c>
      <c r="AC98" s="93">
        <f t="shared" si="43"/>
        <v>0</v>
      </c>
      <c r="AD98" s="93">
        <f t="shared" si="43"/>
        <v>0</v>
      </c>
      <c r="AE98" s="93">
        <f t="shared" si="43"/>
        <v>0</v>
      </c>
      <c r="AF98" s="93">
        <f t="shared" si="43"/>
        <v>0</v>
      </c>
      <c r="AG98" s="93">
        <f t="shared" si="43"/>
        <v>0</v>
      </c>
      <c r="AH98" s="93">
        <f t="shared" si="43"/>
        <v>0</v>
      </c>
      <c r="AI98" s="93">
        <f t="shared" si="43"/>
        <v>0</v>
      </c>
      <c r="AJ98" s="93">
        <f t="shared" si="43"/>
        <v>0</v>
      </c>
      <c r="AK98" s="93">
        <f t="shared" ref="AK98:BB98" si="44">IF(AK80-HE_CY&gt;=(Health_JahrPCap),IF(AK29&gt;AK63/Health_CR,AK63/Health_CR,AK29),AK29)</f>
        <v>0</v>
      </c>
      <c r="AL98" s="93">
        <f t="shared" si="44"/>
        <v>0</v>
      </c>
      <c r="AM98" s="93">
        <f t="shared" si="44"/>
        <v>0</v>
      </c>
      <c r="AN98" s="93">
        <f t="shared" si="44"/>
        <v>0</v>
      </c>
      <c r="AO98" s="93">
        <f t="shared" si="44"/>
        <v>0</v>
      </c>
      <c r="AP98" s="93">
        <f t="shared" si="44"/>
        <v>0</v>
      </c>
      <c r="AQ98" s="93">
        <f t="shared" si="44"/>
        <v>0</v>
      </c>
      <c r="AR98" s="93">
        <f t="shared" si="44"/>
        <v>0</v>
      </c>
      <c r="AS98" s="93">
        <f t="shared" si="44"/>
        <v>0</v>
      </c>
      <c r="AT98" s="93">
        <f t="shared" si="44"/>
        <v>0</v>
      </c>
      <c r="AU98" s="93">
        <f t="shared" si="44"/>
        <v>0</v>
      </c>
      <c r="AV98" s="93">
        <f t="shared" si="44"/>
        <v>0</v>
      </c>
      <c r="AW98" s="93">
        <f t="shared" si="44"/>
        <v>0</v>
      </c>
      <c r="AX98" s="93">
        <f t="shared" si="44"/>
        <v>0</v>
      </c>
      <c r="AY98" s="93">
        <f t="shared" si="44"/>
        <v>0</v>
      </c>
      <c r="AZ98" s="93">
        <f t="shared" si="44"/>
        <v>0</v>
      </c>
      <c r="BA98" s="93">
        <f t="shared" si="44"/>
        <v>0</v>
      </c>
      <c r="BB98" s="93">
        <f t="shared" si="44"/>
        <v>0</v>
      </c>
    </row>
    <row r="99" spans="1:54" s="6" customFormat="1" ht="14.25" customHeight="1" x14ac:dyDescent="0.2">
      <c r="B99" s="94" t="s">
        <v>24</v>
      </c>
      <c r="C99" s="92" t="s">
        <v>4</v>
      </c>
      <c r="D99" s="168"/>
      <c r="E99" s="93">
        <f t="shared" ref="E99:AJ99" si="45">E98-E63</f>
        <v>0</v>
      </c>
      <c r="F99" s="93">
        <f t="shared" si="45"/>
        <v>0</v>
      </c>
      <c r="G99" s="93">
        <f t="shared" si="45"/>
        <v>0</v>
      </c>
      <c r="H99" s="93">
        <f t="shared" si="45"/>
        <v>0</v>
      </c>
      <c r="I99" s="93">
        <f t="shared" si="45"/>
        <v>0</v>
      </c>
      <c r="J99" s="93">
        <f t="shared" si="45"/>
        <v>0</v>
      </c>
      <c r="K99" s="93">
        <f t="shared" si="45"/>
        <v>0</v>
      </c>
      <c r="L99" s="93">
        <f t="shared" si="45"/>
        <v>0</v>
      </c>
      <c r="M99" s="93">
        <f t="shared" si="45"/>
        <v>0</v>
      </c>
      <c r="N99" s="93">
        <f t="shared" si="45"/>
        <v>0</v>
      </c>
      <c r="O99" s="93">
        <f t="shared" si="45"/>
        <v>0</v>
      </c>
      <c r="P99" s="93">
        <f t="shared" si="45"/>
        <v>0</v>
      </c>
      <c r="Q99" s="93">
        <f t="shared" si="45"/>
        <v>0</v>
      </c>
      <c r="R99" s="93">
        <f t="shared" si="45"/>
        <v>0</v>
      </c>
      <c r="S99" s="93">
        <f t="shared" si="45"/>
        <v>0</v>
      </c>
      <c r="T99" s="93">
        <f t="shared" si="45"/>
        <v>0</v>
      </c>
      <c r="U99" s="93">
        <f t="shared" si="45"/>
        <v>0</v>
      </c>
      <c r="V99" s="93">
        <f t="shared" si="45"/>
        <v>0</v>
      </c>
      <c r="W99" s="93">
        <f t="shared" si="45"/>
        <v>0</v>
      </c>
      <c r="X99" s="93">
        <f t="shared" si="45"/>
        <v>0</v>
      </c>
      <c r="Y99" s="93">
        <f t="shared" si="45"/>
        <v>0</v>
      </c>
      <c r="Z99" s="93">
        <f t="shared" si="45"/>
        <v>0</v>
      </c>
      <c r="AA99" s="93">
        <f t="shared" si="45"/>
        <v>0</v>
      </c>
      <c r="AB99" s="93">
        <f t="shared" si="45"/>
        <v>0</v>
      </c>
      <c r="AC99" s="93">
        <f t="shared" si="45"/>
        <v>0</v>
      </c>
      <c r="AD99" s="93">
        <f t="shared" si="45"/>
        <v>0</v>
      </c>
      <c r="AE99" s="93">
        <f t="shared" si="45"/>
        <v>0</v>
      </c>
      <c r="AF99" s="93">
        <f t="shared" si="45"/>
        <v>0</v>
      </c>
      <c r="AG99" s="93">
        <f t="shared" si="45"/>
        <v>0</v>
      </c>
      <c r="AH99" s="93">
        <f t="shared" si="45"/>
        <v>0</v>
      </c>
      <c r="AI99" s="93">
        <f t="shared" si="45"/>
        <v>0</v>
      </c>
      <c r="AJ99" s="93">
        <f t="shared" si="45"/>
        <v>0</v>
      </c>
      <c r="AK99" s="93">
        <f t="shared" ref="AK99:BB99" si="46">AK98-AK63</f>
        <v>0</v>
      </c>
      <c r="AL99" s="93">
        <f t="shared" si="46"/>
        <v>0</v>
      </c>
      <c r="AM99" s="93">
        <f t="shared" si="46"/>
        <v>0</v>
      </c>
      <c r="AN99" s="93">
        <f t="shared" si="46"/>
        <v>0</v>
      </c>
      <c r="AO99" s="93">
        <f t="shared" si="46"/>
        <v>0</v>
      </c>
      <c r="AP99" s="93">
        <f t="shared" si="46"/>
        <v>0</v>
      </c>
      <c r="AQ99" s="93">
        <f t="shared" si="46"/>
        <v>0</v>
      </c>
      <c r="AR99" s="93">
        <f t="shared" si="46"/>
        <v>0</v>
      </c>
      <c r="AS99" s="93">
        <f t="shared" si="46"/>
        <v>0</v>
      </c>
      <c r="AT99" s="93">
        <f t="shared" si="46"/>
        <v>0</v>
      </c>
      <c r="AU99" s="93">
        <f t="shared" si="46"/>
        <v>0</v>
      </c>
      <c r="AV99" s="93">
        <f t="shared" si="46"/>
        <v>0</v>
      </c>
      <c r="AW99" s="93">
        <f t="shared" si="46"/>
        <v>0</v>
      </c>
      <c r="AX99" s="93">
        <f t="shared" si="46"/>
        <v>0</v>
      </c>
      <c r="AY99" s="93">
        <f t="shared" si="46"/>
        <v>0</v>
      </c>
      <c r="AZ99" s="93">
        <f t="shared" si="46"/>
        <v>0</v>
      </c>
      <c r="BA99" s="93">
        <f t="shared" si="46"/>
        <v>0</v>
      </c>
      <c r="BB99" s="93">
        <f t="shared" si="46"/>
        <v>0</v>
      </c>
    </row>
    <row r="100" spans="1:54" s="6" customFormat="1" ht="14.25" customHeight="1" x14ac:dyDescent="0.2">
      <c r="B100" s="94" t="s">
        <v>24</v>
      </c>
      <c r="C100" s="92" t="s">
        <v>7</v>
      </c>
      <c r="D100" s="92"/>
      <c r="E100" s="93">
        <f>E99</f>
        <v>0</v>
      </c>
      <c r="F100" s="93">
        <f>F99*HE_prescribed_parameters!C$13</f>
        <v>0</v>
      </c>
      <c r="G100" s="93">
        <f>G99*HE_prescribed_parameters!D$13</f>
        <v>0</v>
      </c>
      <c r="H100" s="93">
        <f>H99*HE_prescribed_parameters!E$13</f>
        <v>0</v>
      </c>
      <c r="I100" s="93">
        <f>I99*HE_prescribed_parameters!F$13</f>
        <v>0</v>
      </c>
      <c r="J100" s="93">
        <f>J99*HE_prescribed_parameters!G$13</f>
        <v>0</v>
      </c>
      <c r="K100" s="93">
        <f>K99*HE_prescribed_parameters!H$13</f>
        <v>0</v>
      </c>
      <c r="L100" s="93">
        <f>L99*HE_prescribed_parameters!I$13</f>
        <v>0</v>
      </c>
      <c r="M100" s="93">
        <f>M99*HE_prescribed_parameters!J$13</f>
        <v>0</v>
      </c>
      <c r="N100" s="93">
        <f>N99*HE_prescribed_parameters!K$13</f>
        <v>0</v>
      </c>
      <c r="O100" s="93">
        <f>O99*HE_prescribed_parameters!L$13</f>
        <v>0</v>
      </c>
      <c r="P100" s="93">
        <f>P99*HE_prescribed_parameters!M$13</f>
        <v>0</v>
      </c>
      <c r="Q100" s="93">
        <f>Q99*HE_prescribed_parameters!N$13</f>
        <v>0</v>
      </c>
      <c r="R100" s="93">
        <f>R99*HE_prescribed_parameters!O$13</f>
        <v>0</v>
      </c>
      <c r="S100" s="93">
        <f>S99*HE_prescribed_parameters!P$13</f>
        <v>0</v>
      </c>
      <c r="T100" s="93">
        <f>T99*HE_prescribed_parameters!Q$13</f>
        <v>0</v>
      </c>
      <c r="U100" s="93">
        <f>U99*HE_prescribed_parameters!R$13</f>
        <v>0</v>
      </c>
      <c r="V100" s="93">
        <f>V99*HE_prescribed_parameters!S$13</f>
        <v>0</v>
      </c>
      <c r="W100" s="93">
        <f>W99*HE_prescribed_parameters!T$13</f>
        <v>0</v>
      </c>
      <c r="X100" s="93">
        <f>X99*HE_prescribed_parameters!U$13</f>
        <v>0</v>
      </c>
      <c r="Y100" s="93">
        <f>Y99*HE_prescribed_parameters!V$13</f>
        <v>0</v>
      </c>
      <c r="Z100" s="93">
        <f>Z99*HE_prescribed_parameters!W$13</f>
        <v>0</v>
      </c>
      <c r="AA100" s="93">
        <f>AA99*HE_prescribed_parameters!X$13</f>
        <v>0</v>
      </c>
      <c r="AB100" s="93">
        <f>AB99*HE_prescribed_parameters!Y$13</f>
        <v>0</v>
      </c>
      <c r="AC100" s="93">
        <f>AC99*HE_prescribed_parameters!Z$13</f>
        <v>0</v>
      </c>
      <c r="AD100" s="93">
        <f>AD99*HE_prescribed_parameters!AA$13</f>
        <v>0</v>
      </c>
      <c r="AE100" s="93">
        <f>AE99*HE_prescribed_parameters!AB$13</f>
        <v>0</v>
      </c>
      <c r="AF100" s="93">
        <f>AF99*HE_prescribed_parameters!AC$13</f>
        <v>0</v>
      </c>
      <c r="AG100" s="93">
        <f>AG99*HE_prescribed_parameters!AD$13</f>
        <v>0</v>
      </c>
      <c r="AH100" s="93">
        <f>AH99*HE_prescribed_parameters!AE$13</f>
        <v>0</v>
      </c>
      <c r="AI100" s="93">
        <f>AI99*HE_prescribed_parameters!AF$13</f>
        <v>0</v>
      </c>
      <c r="AJ100" s="93">
        <f>AJ99*HE_prescribed_parameters!AG$13</f>
        <v>0</v>
      </c>
      <c r="AK100" s="93">
        <f>AK99*HE_prescribed_parameters!AH$13</f>
        <v>0</v>
      </c>
      <c r="AL100" s="93">
        <f>AL99*HE_prescribed_parameters!AI$13</f>
        <v>0</v>
      </c>
      <c r="AM100" s="93">
        <f>AM99*HE_prescribed_parameters!AJ$13</f>
        <v>0</v>
      </c>
      <c r="AN100" s="93">
        <f>AN99*HE_prescribed_parameters!AK$13</f>
        <v>0</v>
      </c>
      <c r="AO100" s="93">
        <f>AO99*HE_prescribed_parameters!AL$13</f>
        <v>0</v>
      </c>
      <c r="AP100" s="93">
        <f>AP99*HE_prescribed_parameters!AM$13</f>
        <v>0</v>
      </c>
      <c r="AQ100" s="93">
        <f>AQ99*HE_prescribed_parameters!AN$13</f>
        <v>0</v>
      </c>
      <c r="AR100" s="93">
        <f>AR99*HE_prescribed_parameters!AO$13</f>
        <v>0</v>
      </c>
      <c r="AS100" s="93">
        <f>AS99*HE_prescribed_parameters!AP$13</f>
        <v>0</v>
      </c>
      <c r="AT100" s="93">
        <f>AT99*HE_prescribed_parameters!AQ$13</f>
        <v>0</v>
      </c>
      <c r="AU100" s="93">
        <f>AU99*HE_prescribed_parameters!AR$13</f>
        <v>0</v>
      </c>
      <c r="AV100" s="93">
        <f>AV99*HE_prescribed_parameters!AS$13</f>
        <v>0</v>
      </c>
      <c r="AW100" s="93">
        <f>AW99*HE_prescribed_parameters!AT$13</f>
        <v>0</v>
      </c>
      <c r="AX100" s="93">
        <f>AX99*HE_prescribed_parameters!AU$13</f>
        <v>0</v>
      </c>
      <c r="AY100" s="93">
        <f>AY99*HE_prescribed_parameters!AV$13</f>
        <v>0</v>
      </c>
      <c r="AZ100" s="93">
        <f>AZ99*HE_prescribed_parameters!AW$13</f>
        <v>0</v>
      </c>
      <c r="BA100" s="93">
        <f>BA99*HE_prescribed_parameters!AX$13</f>
        <v>0</v>
      </c>
      <c r="BB100" s="93">
        <f>BB99*HE_prescribed_parameters!AY$13</f>
        <v>0</v>
      </c>
    </row>
    <row r="101" spans="1:54" s="6" customFormat="1" ht="14.25" customHeight="1" x14ac:dyDescent="0.2">
      <c r="B101" s="95" t="s">
        <v>35</v>
      </c>
      <c r="C101" s="79">
        <f>-SUM(E100:BB100)</f>
        <v>0</v>
      </c>
      <c r="D101" s="7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s="6" customFormat="1" ht="14.25" customHeight="1" x14ac:dyDescent="0.2">
      <c r="B102" s="154"/>
      <c r="C102" s="77"/>
      <c r="D102" s="7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s="6" customFormat="1" ht="14.25" customHeight="1" x14ac:dyDescent="0.2">
      <c r="D103" s="12"/>
      <c r="E103" s="145" t="s">
        <v>2</v>
      </c>
      <c r="F103" s="108"/>
      <c r="G103" s="108"/>
      <c r="H103" s="108"/>
      <c r="I103" s="108"/>
      <c r="J103" s="108"/>
      <c r="K103" s="108"/>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spans="1:54" s="6" customFormat="1" ht="20.100000000000001" customHeight="1" x14ac:dyDescent="0.25">
      <c r="B104" s="86" t="s">
        <v>27</v>
      </c>
      <c r="C104" s="87"/>
      <c r="D104" s="816"/>
      <c r="E104" s="146">
        <f>HE_CY</f>
        <v>2025</v>
      </c>
      <c r="F104" s="147">
        <f>E104+1</f>
        <v>2026</v>
      </c>
      <c r="G104" s="147">
        <f>F104+1</f>
        <v>2027</v>
      </c>
      <c r="H104" s="147">
        <f t="shared" ref="H104:BB104" si="47">G104+1</f>
        <v>2028</v>
      </c>
      <c r="I104" s="147">
        <f t="shared" si="47"/>
        <v>2029</v>
      </c>
      <c r="J104" s="147">
        <f t="shared" si="47"/>
        <v>2030</v>
      </c>
      <c r="K104" s="147">
        <f t="shared" si="47"/>
        <v>2031</v>
      </c>
      <c r="L104" s="147">
        <f t="shared" si="47"/>
        <v>2032</v>
      </c>
      <c r="M104" s="147">
        <f t="shared" si="47"/>
        <v>2033</v>
      </c>
      <c r="N104" s="147">
        <f t="shared" si="47"/>
        <v>2034</v>
      </c>
      <c r="O104" s="147">
        <f t="shared" si="47"/>
        <v>2035</v>
      </c>
      <c r="P104" s="147">
        <f t="shared" si="47"/>
        <v>2036</v>
      </c>
      <c r="Q104" s="147">
        <f t="shared" si="47"/>
        <v>2037</v>
      </c>
      <c r="R104" s="147">
        <f t="shared" si="47"/>
        <v>2038</v>
      </c>
      <c r="S104" s="147">
        <f t="shared" si="47"/>
        <v>2039</v>
      </c>
      <c r="T104" s="147">
        <f t="shared" si="47"/>
        <v>2040</v>
      </c>
      <c r="U104" s="147">
        <f t="shared" si="47"/>
        <v>2041</v>
      </c>
      <c r="V104" s="147">
        <f t="shared" si="47"/>
        <v>2042</v>
      </c>
      <c r="W104" s="147">
        <f t="shared" si="47"/>
        <v>2043</v>
      </c>
      <c r="X104" s="147">
        <f t="shared" si="47"/>
        <v>2044</v>
      </c>
      <c r="Y104" s="147">
        <f t="shared" si="47"/>
        <v>2045</v>
      </c>
      <c r="Z104" s="147">
        <f t="shared" si="47"/>
        <v>2046</v>
      </c>
      <c r="AA104" s="147">
        <f t="shared" si="47"/>
        <v>2047</v>
      </c>
      <c r="AB104" s="147">
        <f t="shared" si="47"/>
        <v>2048</v>
      </c>
      <c r="AC104" s="147">
        <f t="shared" si="47"/>
        <v>2049</v>
      </c>
      <c r="AD104" s="147">
        <f t="shared" si="47"/>
        <v>2050</v>
      </c>
      <c r="AE104" s="147">
        <f t="shared" si="47"/>
        <v>2051</v>
      </c>
      <c r="AF104" s="147">
        <f t="shared" si="47"/>
        <v>2052</v>
      </c>
      <c r="AG104" s="147">
        <f t="shared" si="47"/>
        <v>2053</v>
      </c>
      <c r="AH104" s="147">
        <f t="shared" si="47"/>
        <v>2054</v>
      </c>
      <c r="AI104" s="147">
        <f t="shared" si="47"/>
        <v>2055</v>
      </c>
      <c r="AJ104" s="147">
        <f t="shared" si="47"/>
        <v>2056</v>
      </c>
      <c r="AK104" s="147">
        <f t="shared" si="47"/>
        <v>2057</v>
      </c>
      <c r="AL104" s="147">
        <f t="shared" si="47"/>
        <v>2058</v>
      </c>
      <c r="AM104" s="147">
        <f t="shared" si="47"/>
        <v>2059</v>
      </c>
      <c r="AN104" s="147">
        <f t="shared" si="47"/>
        <v>2060</v>
      </c>
      <c r="AO104" s="147">
        <f t="shared" si="47"/>
        <v>2061</v>
      </c>
      <c r="AP104" s="147">
        <f t="shared" si="47"/>
        <v>2062</v>
      </c>
      <c r="AQ104" s="147">
        <f t="shared" si="47"/>
        <v>2063</v>
      </c>
      <c r="AR104" s="147">
        <f t="shared" si="47"/>
        <v>2064</v>
      </c>
      <c r="AS104" s="147">
        <f t="shared" si="47"/>
        <v>2065</v>
      </c>
      <c r="AT104" s="147">
        <f t="shared" si="47"/>
        <v>2066</v>
      </c>
      <c r="AU104" s="147">
        <f t="shared" si="47"/>
        <v>2067</v>
      </c>
      <c r="AV104" s="147">
        <f t="shared" si="47"/>
        <v>2068</v>
      </c>
      <c r="AW104" s="147">
        <f t="shared" si="47"/>
        <v>2069</v>
      </c>
      <c r="AX104" s="147">
        <f t="shared" si="47"/>
        <v>2070</v>
      </c>
      <c r="AY104" s="147">
        <f t="shared" si="47"/>
        <v>2071</v>
      </c>
      <c r="AZ104" s="147">
        <f t="shared" si="47"/>
        <v>2072</v>
      </c>
      <c r="BA104" s="147">
        <f t="shared" si="47"/>
        <v>2073</v>
      </c>
      <c r="BB104" s="147">
        <f t="shared" si="47"/>
        <v>2074</v>
      </c>
    </row>
    <row r="105" spans="1:54" s="6" customFormat="1" ht="14.25" customHeight="1" x14ac:dyDescent="0.2">
      <c r="B105" s="88" t="s">
        <v>22</v>
      </c>
      <c r="C105" s="89" t="s">
        <v>4</v>
      </c>
      <c r="D105" s="89"/>
      <c r="E105" s="90">
        <f t="shared" ref="E105:AJ105" si="48">E33-E67</f>
        <v>0</v>
      </c>
      <c r="F105" s="90">
        <f t="shared" si="48"/>
        <v>0</v>
      </c>
      <c r="G105" s="90">
        <f t="shared" si="48"/>
        <v>0</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90">
        <f t="shared" si="48"/>
        <v>0</v>
      </c>
      <c r="S105" s="90">
        <f t="shared" si="48"/>
        <v>0</v>
      </c>
      <c r="T105" s="90">
        <f t="shared" si="48"/>
        <v>0</v>
      </c>
      <c r="U105" s="90">
        <f t="shared" si="48"/>
        <v>0</v>
      </c>
      <c r="V105" s="90">
        <f t="shared" si="48"/>
        <v>0</v>
      </c>
      <c r="W105" s="90">
        <f t="shared" si="48"/>
        <v>0</v>
      </c>
      <c r="X105" s="90">
        <f t="shared" si="48"/>
        <v>0</v>
      </c>
      <c r="Y105" s="90">
        <f t="shared" si="48"/>
        <v>0</v>
      </c>
      <c r="Z105" s="90">
        <f t="shared" si="48"/>
        <v>0</v>
      </c>
      <c r="AA105" s="90">
        <f t="shared" si="48"/>
        <v>0</v>
      </c>
      <c r="AB105" s="90">
        <f t="shared" si="48"/>
        <v>0</v>
      </c>
      <c r="AC105" s="90">
        <f t="shared" si="48"/>
        <v>0</v>
      </c>
      <c r="AD105" s="90">
        <f t="shared" si="48"/>
        <v>0</v>
      </c>
      <c r="AE105" s="90">
        <f t="shared" si="48"/>
        <v>0</v>
      </c>
      <c r="AF105" s="90">
        <f t="shared" si="48"/>
        <v>0</v>
      </c>
      <c r="AG105" s="90">
        <f t="shared" si="48"/>
        <v>0</v>
      </c>
      <c r="AH105" s="90">
        <f t="shared" si="48"/>
        <v>0</v>
      </c>
      <c r="AI105" s="90">
        <f t="shared" si="48"/>
        <v>0</v>
      </c>
      <c r="AJ105" s="90">
        <f t="shared" si="48"/>
        <v>0</v>
      </c>
      <c r="AK105" s="90">
        <f t="shared" ref="AK105:BB105" si="49">AK33-AK67</f>
        <v>0</v>
      </c>
      <c r="AL105" s="90">
        <f t="shared" si="49"/>
        <v>0</v>
      </c>
      <c r="AM105" s="90">
        <f t="shared" si="49"/>
        <v>0</v>
      </c>
      <c r="AN105" s="90">
        <f t="shared" si="49"/>
        <v>0</v>
      </c>
      <c r="AO105" s="90">
        <f t="shared" si="49"/>
        <v>0</v>
      </c>
      <c r="AP105" s="90">
        <f t="shared" si="49"/>
        <v>0</v>
      </c>
      <c r="AQ105" s="90">
        <f t="shared" si="49"/>
        <v>0</v>
      </c>
      <c r="AR105" s="90">
        <f t="shared" si="49"/>
        <v>0</v>
      </c>
      <c r="AS105" s="90">
        <f t="shared" si="49"/>
        <v>0</v>
      </c>
      <c r="AT105" s="90">
        <f t="shared" si="49"/>
        <v>0</v>
      </c>
      <c r="AU105" s="90">
        <f t="shared" si="49"/>
        <v>0</v>
      </c>
      <c r="AV105" s="90">
        <f t="shared" si="49"/>
        <v>0</v>
      </c>
      <c r="AW105" s="90">
        <f t="shared" si="49"/>
        <v>0</v>
      </c>
      <c r="AX105" s="90">
        <f t="shared" si="49"/>
        <v>0</v>
      </c>
      <c r="AY105" s="90">
        <f t="shared" si="49"/>
        <v>0</v>
      </c>
      <c r="AZ105" s="90">
        <f t="shared" si="49"/>
        <v>0</v>
      </c>
      <c r="BA105" s="90">
        <f t="shared" si="49"/>
        <v>0</v>
      </c>
      <c r="BB105" s="90">
        <f t="shared" si="49"/>
        <v>0</v>
      </c>
    </row>
    <row r="106" spans="1:54" s="6" customFormat="1" ht="14.25" customHeight="1" x14ac:dyDescent="0.2">
      <c r="B106" s="91" t="s">
        <v>23</v>
      </c>
      <c r="C106" s="92" t="s">
        <v>4</v>
      </c>
      <c r="D106" s="92"/>
      <c r="E106" s="93">
        <f t="shared" ref="E106:AJ106" si="50">IF(E80-HE_CY&gt;=(Health_JahrPCap),IF(E33&gt;E67/Health_CR,E67/Health_CR,E33),E33)</f>
        <v>0</v>
      </c>
      <c r="F106" s="93">
        <f t="shared" si="50"/>
        <v>0</v>
      </c>
      <c r="G106" s="93">
        <f t="shared" si="50"/>
        <v>0</v>
      </c>
      <c r="H106" s="93">
        <f t="shared" si="50"/>
        <v>0</v>
      </c>
      <c r="I106" s="93">
        <f t="shared" si="50"/>
        <v>0</v>
      </c>
      <c r="J106" s="93">
        <f t="shared" si="50"/>
        <v>0</v>
      </c>
      <c r="K106" s="93">
        <f t="shared" si="50"/>
        <v>0</v>
      </c>
      <c r="L106" s="93">
        <f t="shared" si="50"/>
        <v>0</v>
      </c>
      <c r="M106" s="93">
        <f t="shared" si="50"/>
        <v>0</v>
      </c>
      <c r="N106" s="93">
        <f t="shared" si="50"/>
        <v>0</v>
      </c>
      <c r="O106" s="93">
        <f t="shared" si="50"/>
        <v>0</v>
      </c>
      <c r="P106" s="93">
        <f t="shared" si="50"/>
        <v>0</v>
      </c>
      <c r="Q106" s="93">
        <f t="shared" si="50"/>
        <v>0</v>
      </c>
      <c r="R106" s="93">
        <f t="shared" si="50"/>
        <v>0</v>
      </c>
      <c r="S106" s="93">
        <f t="shared" si="50"/>
        <v>0</v>
      </c>
      <c r="T106" s="93">
        <f t="shared" si="50"/>
        <v>0</v>
      </c>
      <c r="U106" s="93">
        <f t="shared" si="50"/>
        <v>0</v>
      </c>
      <c r="V106" s="93">
        <f t="shared" si="50"/>
        <v>0</v>
      </c>
      <c r="W106" s="93">
        <f t="shared" si="50"/>
        <v>0</v>
      </c>
      <c r="X106" s="93">
        <f t="shared" si="50"/>
        <v>0</v>
      </c>
      <c r="Y106" s="93">
        <f t="shared" si="50"/>
        <v>0</v>
      </c>
      <c r="Z106" s="93">
        <f t="shared" si="50"/>
        <v>0</v>
      </c>
      <c r="AA106" s="93">
        <f t="shared" si="50"/>
        <v>0</v>
      </c>
      <c r="AB106" s="93">
        <f t="shared" si="50"/>
        <v>0</v>
      </c>
      <c r="AC106" s="93">
        <f t="shared" si="50"/>
        <v>0</v>
      </c>
      <c r="AD106" s="93">
        <f t="shared" si="50"/>
        <v>0</v>
      </c>
      <c r="AE106" s="93">
        <f t="shared" si="50"/>
        <v>0</v>
      </c>
      <c r="AF106" s="93">
        <f t="shared" si="50"/>
        <v>0</v>
      </c>
      <c r="AG106" s="93">
        <f t="shared" si="50"/>
        <v>0</v>
      </c>
      <c r="AH106" s="93">
        <f t="shared" si="50"/>
        <v>0</v>
      </c>
      <c r="AI106" s="93">
        <f t="shared" si="50"/>
        <v>0</v>
      </c>
      <c r="AJ106" s="93">
        <f t="shared" si="50"/>
        <v>0</v>
      </c>
      <c r="AK106" s="93">
        <f t="shared" ref="AK106:BB106" si="51">IF(AK80-HE_CY&gt;=(Health_JahrPCap),IF(AK33&gt;AK67/Health_CR,AK67/Health_CR,AK33),AK33)</f>
        <v>0</v>
      </c>
      <c r="AL106" s="93">
        <f t="shared" si="51"/>
        <v>0</v>
      </c>
      <c r="AM106" s="93">
        <f t="shared" si="51"/>
        <v>0</v>
      </c>
      <c r="AN106" s="93">
        <f t="shared" si="51"/>
        <v>0</v>
      </c>
      <c r="AO106" s="93">
        <f t="shared" si="51"/>
        <v>0</v>
      </c>
      <c r="AP106" s="93">
        <f t="shared" si="51"/>
        <v>0</v>
      </c>
      <c r="AQ106" s="93">
        <f t="shared" si="51"/>
        <v>0</v>
      </c>
      <c r="AR106" s="93">
        <f t="shared" si="51"/>
        <v>0</v>
      </c>
      <c r="AS106" s="93">
        <f t="shared" si="51"/>
        <v>0</v>
      </c>
      <c r="AT106" s="93">
        <f t="shared" si="51"/>
        <v>0</v>
      </c>
      <c r="AU106" s="93">
        <f t="shared" si="51"/>
        <v>0</v>
      </c>
      <c r="AV106" s="93">
        <f t="shared" si="51"/>
        <v>0</v>
      </c>
      <c r="AW106" s="93">
        <f t="shared" si="51"/>
        <v>0</v>
      </c>
      <c r="AX106" s="93">
        <f t="shared" si="51"/>
        <v>0</v>
      </c>
      <c r="AY106" s="93">
        <f t="shared" si="51"/>
        <v>0</v>
      </c>
      <c r="AZ106" s="93">
        <f t="shared" si="51"/>
        <v>0</v>
      </c>
      <c r="BA106" s="93">
        <f t="shared" si="51"/>
        <v>0</v>
      </c>
      <c r="BB106" s="93">
        <f t="shared" si="51"/>
        <v>0</v>
      </c>
    </row>
    <row r="107" spans="1:54" s="22" customFormat="1" ht="14.25" customHeight="1" x14ac:dyDescent="0.2">
      <c r="A107" s="6"/>
      <c r="B107" s="94" t="s">
        <v>24</v>
      </c>
      <c r="C107" s="92" t="s">
        <v>4</v>
      </c>
      <c r="D107" s="168"/>
      <c r="E107" s="93">
        <f t="shared" ref="E107:AJ107" si="52">E106-E67</f>
        <v>0</v>
      </c>
      <c r="F107" s="93">
        <f t="shared" si="52"/>
        <v>0</v>
      </c>
      <c r="G107" s="93">
        <f t="shared" si="52"/>
        <v>0</v>
      </c>
      <c r="H107" s="93">
        <f t="shared" si="52"/>
        <v>0</v>
      </c>
      <c r="I107" s="93">
        <f t="shared" si="52"/>
        <v>0</v>
      </c>
      <c r="J107" s="93">
        <f t="shared" si="52"/>
        <v>0</v>
      </c>
      <c r="K107" s="93">
        <f t="shared" si="52"/>
        <v>0</v>
      </c>
      <c r="L107" s="93">
        <f t="shared" si="52"/>
        <v>0</v>
      </c>
      <c r="M107" s="93">
        <f t="shared" si="52"/>
        <v>0</v>
      </c>
      <c r="N107" s="93">
        <f t="shared" si="52"/>
        <v>0</v>
      </c>
      <c r="O107" s="93">
        <f t="shared" si="52"/>
        <v>0</v>
      </c>
      <c r="P107" s="93">
        <f t="shared" si="52"/>
        <v>0</v>
      </c>
      <c r="Q107" s="93">
        <f t="shared" si="52"/>
        <v>0</v>
      </c>
      <c r="R107" s="93">
        <f t="shared" si="52"/>
        <v>0</v>
      </c>
      <c r="S107" s="93">
        <f t="shared" si="52"/>
        <v>0</v>
      </c>
      <c r="T107" s="93">
        <f t="shared" si="52"/>
        <v>0</v>
      </c>
      <c r="U107" s="93">
        <f t="shared" si="52"/>
        <v>0</v>
      </c>
      <c r="V107" s="93">
        <f t="shared" si="52"/>
        <v>0</v>
      </c>
      <c r="W107" s="93">
        <f t="shared" si="52"/>
        <v>0</v>
      </c>
      <c r="X107" s="93">
        <f t="shared" si="52"/>
        <v>0</v>
      </c>
      <c r="Y107" s="93">
        <f t="shared" si="52"/>
        <v>0</v>
      </c>
      <c r="Z107" s="93">
        <f t="shared" si="52"/>
        <v>0</v>
      </c>
      <c r="AA107" s="93">
        <f t="shared" si="52"/>
        <v>0</v>
      </c>
      <c r="AB107" s="93">
        <f t="shared" si="52"/>
        <v>0</v>
      </c>
      <c r="AC107" s="93">
        <f t="shared" si="52"/>
        <v>0</v>
      </c>
      <c r="AD107" s="93">
        <f t="shared" si="52"/>
        <v>0</v>
      </c>
      <c r="AE107" s="93">
        <f t="shared" si="52"/>
        <v>0</v>
      </c>
      <c r="AF107" s="93">
        <f t="shared" si="52"/>
        <v>0</v>
      </c>
      <c r="AG107" s="93">
        <f t="shared" si="52"/>
        <v>0</v>
      </c>
      <c r="AH107" s="93">
        <f t="shared" si="52"/>
        <v>0</v>
      </c>
      <c r="AI107" s="93">
        <f t="shared" si="52"/>
        <v>0</v>
      </c>
      <c r="AJ107" s="93">
        <f t="shared" si="52"/>
        <v>0</v>
      </c>
      <c r="AK107" s="93">
        <f t="shared" ref="AK107:BB107" si="53">AK106-AK67</f>
        <v>0</v>
      </c>
      <c r="AL107" s="93">
        <f t="shared" si="53"/>
        <v>0</v>
      </c>
      <c r="AM107" s="93">
        <f t="shared" si="53"/>
        <v>0</v>
      </c>
      <c r="AN107" s="93">
        <f t="shared" si="53"/>
        <v>0</v>
      </c>
      <c r="AO107" s="93">
        <f t="shared" si="53"/>
        <v>0</v>
      </c>
      <c r="AP107" s="93">
        <f t="shared" si="53"/>
        <v>0</v>
      </c>
      <c r="AQ107" s="93">
        <f t="shared" si="53"/>
        <v>0</v>
      </c>
      <c r="AR107" s="93">
        <f t="shared" si="53"/>
        <v>0</v>
      </c>
      <c r="AS107" s="93">
        <f t="shared" si="53"/>
        <v>0</v>
      </c>
      <c r="AT107" s="93">
        <f t="shared" si="53"/>
        <v>0</v>
      </c>
      <c r="AU107" s="93">
        <f t="shared" si="53"/>
        <v>0</v>
      </c>
      <c r="AV107" s="93">
        <f t="shared" si="53"/>
        <v>0</v>
      </c>
      <c r="AW107" s="93">
        <f t="shared" si="53"/>
        <v>0</v>
      </c>
      <c r="AX107" s="93">
        <f t="shared" si="53"/>
        <v>0</v>
      </c>
      <c r="AY107" s="93">
        <f t="shared" si="53"/>
        <v>0</v>
      </c>
      <c r="AZ107" s="93">
        <f t="shared" si="53"/>
        <v>0</v>
      </c>
      <c r="BA107" s="93">
        <f t="shared" si="53"/>
        <v>0</v>
      </c>
      <c r="BB107" s="93">
        <f t="shared" si="53"/>
        <v>0</v>
      </c>
    </row>
    <row r="108" spans="1:54" s="22" customFormat="1" ht="14.25" customHeight="1" x14ac:dyDescent="0.2">
      <c r="A108" s="6"/>
      <c r="B108" s="94" t="s">
        <v>24</v>
      </c>
      <c r="C108" s="92" t="s">
        <v>7</v>
      </c>
      <c r="D108" s="92"/>
      <c r="E108" s="93">
        <f>E107</f>
        <v>0</v>
      </c>
      <c r="F108" s="93">
        <f>F107*HE_prescribed_parameters!C$13</f>
        <v>0</v>
      </c>
      <c r="G108" s="93">
        <f>G107*HE_prescribed_parameters!D$13</f>
        <v>0</v>
      </c>
      <c r="H108" s="93">
        <f>H107*HE_prescribed_parameters!E$13</f>
        <v>0</v>
      </c>
      <c r="I108" s="93">
        <f>I107*HE_prescribed_parameters!F$13</f>
        <v>0</v>
      </c>
      <c r="J108" s="93">
        <f>J107*HE_prescribed_parameters!G$13</f>
        <v>0</v>
      </c>
      <c r="K108" s="93">
        <f>K107*HE_prescribed_parameters!H$13</f>
        <v>0</v>
      </c>
      <c r="L108" s="93">
        <f>L107*HE_prescribed_parameters!I$13</f>
        <v>0</v>
      </c>
      <c r="M108" s="93">
        <f>M107*HE_prescribed_parameters!J$13</f>
        <v>0</v>
      </c>
      <c r="N108" s="93">
        <f>N107*HE_prescribed_parameters!K$13</f>
        <v>0</v>
      </c>
      <c r="O108" s="93">
        <f>O107*HE_prescribed_parameters!L$13</f>
        <v>0</v>
      </c>
      <c r="P108" s="93">
        <f>P107*HE_prescribed_parameters!M$13</f>
        <v>0</v>
      </c>
      <c r="Q108" s="93">
        <f>Q107*HE_prescribed_parameters!N$13</f>
        <v>0</v>
      </c>
      <c r="R108" s="93">
        <f>R107*HE_prescribed_parameters!O$13</f>
        <v>0</v>
      </c>
      <c r="S108" s="93">
        <f>S107*HE_prescribed_parameters!P$13</f>
        <v>0</v>
      </c>
      <c r="T108" s="93">
        <f>T107*HE_prescribed_parameters!Q$13</f>
        <v>0</v>
      </c>
      <c r="U108" s="93">
        <f>U107*HE_prescribed_parameters!R$13</f>
        <v>0</v>
      </c>
      <c r="V108" s="93">
        <f>V107*HE_prescribed_parameters!S$13</f>
        <v>0</v>
      </c>
      <c r="W108" s="93">
        <f>W107*HE_prescribed_parameters!T$13</f>
        <v>0</v>
      </c>
      <c r="X108" s="93">
        <f>X107*HE_prescribed_parameters!U$13</f>
        <v>0</v>
      </c>
      <c r="Y108" s="93">
        <f>Y107*HE_prescribed_parameters!V$13</f>
        <v>0</v>
      </c>
      <c r="Z108" s="93">
        <f>Z107*HE_prescribed_parameters!W$13</f>
        <v>0</v>
      </c>
      <c r="AA108" s="93">
        <f>AA107*HE_prescribed_parameters!X$13</f>
        <v>0</v>
      </c>
      <c r="AB108" s="93">
        <f>AB107*HE_prescribed_parameters!Y$13</f>
        <v>0</v>
      </c>
      <c r="AC108" s="93">
        <f>AC107*HE_prescribed_parameters!Z$13</f>
        <v>0</v>
      </c>
      <c r="AD108" s="93">
        <f>AD107*HE_prescribed_parameters!AA$13</f>
        <v>0</v>
      </c>
      <c r="AE108" s="93">
        <f>AE107*HE_prescribed_parameters!AB$13</f>
        <v>0</v>
      </c>
      <c r="AF108" s="93">
        <f>AF107*HE_prescribed_parameters!AC$13</f>
        <v>0</v>
      </c>
      <c r="AG108" s="93">
        <f>AG107*HE_prescribed_parameters!AD$13</f>
        <v>0</v>
      </c>
      <c r="AH108" s="93">
        <f>AH107*HE_prescribed_parameters!AE$13</f>
        <v>0</v>
      </c>
      <c r="AI108" s="93">
        <f>AI107*HE_prescribed_parameters!AF$13</f>
        <v>0</v>
      </c>
      <c r="AJ108" s="93">
        <f>AJ107*HE_prescribed_parameters!AG$13</f>
        <v>0</v>
      </c>
      <c r="AK108" s="93">
        <f>AK107*HE_prescribed_parameters!AH$13</f>
        <v>0</v>
      </c>
      <c r="AL108" s="93">
        <f>AL107*HE_prescribed_parameters!AI$13</f>
        <v>0</v>
      </c>
      <c r="AM108" s="93">
        <f>AM107*HE_prescribed_parameters!AJ$13</f>
        <v>0</v>
      </c>
      <c r="AN108" s="93">
        <f>AN107*HE_prescribed_parameters!AK$13</f>
        <v>0</v>
      </c>
      <c r="AO108" s="93">
        <f>AO107*HE_prescribed_parameters!AL$13</f>
        <v>0</v>
      </c>
      <c r="AP108" s="93">
        <f>AP107*HE_prescribed_parameters!AM$13</f>
        <v>0</v>
      </c>
      <c r="AQ108" s="93">
        <f>AQ107*HE_prescribed_parameters!AN$13</f>
        <v>0</v>
      </c>
      <c r="AR108" s="93">
        <f>AR107*HE_prescribed_parameters!AO$13</f>
        <v>0</v>
      </c>
      <c r="AS108" s="93">
        <f>AS107*HE_prescribed_parameters!AP$13</f>
        <v>0</v>
      </c>
      <c r="AT108" s="93">
        <f>AT107*HE_prescribed_parameters!AQ$13</f>
        <v>0</v>
      </c>
      <c r="AU108" s="93">
        <f>AU107*HE_prescribed_parameters!AR$13</f>
        <v>0</v>
      </c>
      <c r="AV108" s="93">
        <f>AV107*HE_prescribed_parameters!AS$13</f>
        <v>0</v>
      </c>
      <c r="AW108" s="93">
        <f>AW107*HE_prescribed_parameters!AT$13</f>
        <v>0</v>
      </c>
      <c r="AX108" s="93">
        <f>AX107*HE_prescribed_parameters!AU$13</f>
        <v>0</v>
      </c>
      <c r="AY108" s="93">
        <f>AY107*HE_prescribed_parameters!AV$13</f>
        <v>0</v>
      </c>
      <c r="AZ108" s="93">
        <f>AZ107*HE_prescribed_parameters!AW$13</f>
        <v>0</v>
      </c>
      <c r="BA108" s="93">
        <f>BA107*HE_prescribed_parameters!AX$13</f>
        <v>0</v>
      </c>
      <c r="BB108" s="93">
        <f>BB107*HE_prescribed_parameters!AY$13</f>
        <v>0</v>
      </c>
    </row>
    <row r="109" spans="1:54" s="22" customFormat="1" ht="14.25" customHeight="1" x14ac:dyDescent="0.2">
      <c r="A109" s="6"/>
      <c r="B109" s="95" t="s">
        <v>35</v>
      </c>
      <c r="C109" s="79">
        <f>-SUM(E108:BB108)</f>
        <v>0</v>
      </c>
      <c r="D109" s="79"/>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22" customFormat="1" ht="14.25" customHeight="1" x14ac:dyDescent="0.2">
      <c r="A110" s="6"/>
      <c r="B110" s="154"/>
      <c r="C110" s="77"/>
      <c r="D110" s="7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s="6" customFormat="1" ht="14.25" customHeight="1" x14ac:dyDescent="0.2">
      <c r="D111" s="12"/>
      <c r="E111" s="145" t="s">
        <v>2</v>
      </c>
      <c r="F111" s="108"/>
      <c r="G111" s="108"/>
      <c r="H111" s="108"/>
      <c r="I111" s="108"/>
      <c r="J111" s="108"/>
      <c r="K111" s="108"/>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row>
    <row r="112" spans="1:54" s="6" customFormat="1" ht="20.100000000000001" customHeight="1" x14ac:dyDescent="0.25">
      <c r="B112" s="86" t="s">
        <v>28</v>
      </c>
      <c r="C112" s="87"/>
      <c r="D112" s="816"/>
      <c r="E112" s="146">
        <f>HE_CY</f>
        <v>2025</v>
      </c>
      <c r="F112" s="147">
        <f>E112+1</f>
        <v>2026</v>
      </c>
      <c r="G112" s="147">
        <f>F112+1</f>
        <v>2027</v>
      </c>
      <c r="H112" s="147">
        <f t="shared" ref="H112:BB112" si="54">G112+1</f>
        <v>2028</v>
      </c>
      <c r="I112" s="147">
        <f t="shared" si="54"/>
        <v>2029</v>
      </c>
      <c r="J112" s="147">
        <f t="shared" si="54"/>
        <v>2030</v>
      </c>
      <c r="K112" s="147">
        <f t="shared" si="54"/>
        <v>2031</v>
      </c>
      <c r="L112" s="147">
        <f t="shared" si="54"/>
        <v>2032</v>
      </c>
      <c r="M112" s="147">
        <f t="shared" si="54"/>
        <v>2033</v>
      </c>
      <c r="N112" s="147">
        <f t="shared" si="54"/>
        <v>2034</v>
      </c>
      <c r="O112" s="147">
        <f t="shared" si="54"/>
        <v>2035</v>
      </c>
      <c r="P112" s="147">
        <f t="shared" si="54"/>
        <v>2036</v>
      </c>
      <c r="Q112" s="147">
        <f t="shared" si="54"/>
        <v>2037</v>
      </c>
      <c r="R112" s="147">
        <f t="shared" si="54"/>
        <v>2038</v>
      </c>
      <c r="S112" s="147">
        <f t="shared" si="54"/>
        <v>2039</v>
      </c>
      <c r="T112" s="147">
        <f t="shared" si="54"/>
        <v>2040</v>
      </c>
      <c r="U112" s="147">
        <f t="shared" si="54"/>
        <v>2041</v>
      </c>
      <c r="V112" s="147">
        <f t="shared" si="54"/>
        <v>2042</v>
      </c>
      <c r="W112" s="147">
        <f t="shared" si="54"/>
        <v>2043</v>
      </c>
      <c r="X112" s="147">
        <f t="shared" si="54"/>
        <v>2044</v>
      </c>
      <c r="Y112" s="147">
        <f t="shared" si="54"/>
        <v>2045</v>
      </c>
      <c r="Z112" s="147">
        <f t="shared" si="54"/>
        <v>2046</v>
      </c>
      <c r="AA112" s="147">
        <f t="shared" si="54"/>
        <v>2047</v>
      </c>
      <c r="AB112" s="147">
        <f t="shared" si="54"/>
        <v>2048</v>
      </c>
      <c r="AC112" s="147">
        <f t="shared" si="54"/>
        <v>2049</v>
      </c>
      <c r="AD112" s="147">
        <f t="shared" si="54"/>
        <v>2050</v>
      </c>
      <c r="AE112" s="147">
        <f t="shared" si="54"/>
        <v>2051</v>
      </c>
      <c r="AF112" s="147">
        <f t="shared" si="54"/>
        <v>2052</v>
      </c>
      <c r="AG112" s="147">
        <f t="shared" si="54"/>
        <v>2053</v>
      </c>
      <c r="AH112" s="147">
        <f t="shared" si="54"/>
        <v>2054</v>
      </c>
      <c r="AI112" s="147">
        <f t="shared" si="54"/>
        <v>2055</v>
      </c>
      <c r="AJ112" s="147">
        <f t="shared" si="54"/>
        <v>2056</v>
      </c>
      <c r="AK112" s="147">
        <f t="shared" si="54"/>
        <v>2057</v>
      </c>
      <c r="AL112" s="147">
        <f t="shared" si="54"/>
        <v>2058</v>
      </c>
      <c r="AM112" s="147">
        <f t="shared" si="54"/>
        <v>2059</v>
      </c>
      <c r="AN112" s="147">
        <f t="shared" si="54"/>
        <v>2060</v>
      </c>
      <c r="AO112" s="147">
        <f t="shared" si="54"/>
        <v>2061</v>
      </c>
      <c r="AP112" s="147">
        <f t="shared" si="54"/>
        <v>2062</v>
      </c>
      <c r="AQ112" s="147">
        <f t="shared" si="54"/>
        <v>2063</v>
      </c>
      <c r="AR112" s="147">
        <f t="shared" si="54"/>
        <v>2064</v>
      </c>
      <c r="AS112" s="147">
        <f t="shared" si="54"/>
        <v>2065</v>
      </c>
      <c r="AT112" s="147">
        <f t="shared" si="54"/>
        <v>2066</v>
      </c>
      <c r="AU112" s="147">
        <f t="shared" si="54"/>
        <v>2067</v>
      </c>
      <c r="AV112" s="147">
        <f t="shared" si="54"/>
        <v>2068</v>
      </c>
      <c r="AW112" s="147">
        <f t="shared" si="54"/>
        <v>2069</v>
      </c>
      <c r="AX112" s="147">
        <f t="shared" si="54"/>
        <v>2070</v>
      </c>
      <c r="AY112" s="147">
        <f t="shared" si="54"/>
        <v>2071</v>
      </c>
      <c r="AZ112" s="147">
        <f t="shared" si="54"/>
        <v>2072</v>
      </c>
      <c r="BA112" s="147">
        <f t="shared" si="54"/>
        <v>2073</v>
      </c>
      <c r="BB112" s="147">
        <f t="shared" si="54"/>
        <v>2074</v>
      </c>
    </row>
    <row r="113" spans="1:54" s="6" customFormat="1" ht="14.25" customHeight="1" x14ac:dyDescent="0.2">
      <c r="B113" s="88" t="s">
        <v>22</v>
      </c>
      <c r="C113" s="89" t="s">
        <v>4</v>
      </c>
      <c r="D113" s="89"/>
      <c r="E113" s="90">
        <f t="shared" ref="E113:AJ113" si="55">E37-E71</f>
        <v>0</v>
      </c>
      <c r="F113" s="90">
        <f t="shared" si="55"/>
        <v>0</v>
      </c>
      <c r="G113" s="90">
        <f t="shared" si="55"/>
        <v>0</v>
      </c>
      <c r="H113" s="90">
        <f t="shared" si="55"/>
        <v>0</v>
      </c>
      <c r="I113" s="90">
        <f t="shared" si="55"/>
        <v>0</v>
      </c>
      <c r="J113" s="90">
        <f t="shared" si="55"/>
        <v>0</v>
      </c>
      <c r="K113" s="90">
        <f t="shared" si="55"/>
        <v>0</v>
      </c>
      <c r="L113" s="90">
        <f t="shared" si="55"/>
        <v>0</v>
      </c>
      <c r="M113" s="90">
        <f t="shared" si="55"/>
        <v>0</v>
      </c>
      <c r="N113" s="90">
        <f t="shared" si="55"/>
        <v>0</v>
      </c>
      <c r="O113" s="90">
        <f t="shared" si="55"/>
        <v>0</v>
      </c>
      <c r="P113" s="90">
        <f t="shared" si="55"/>
        <v>0</v>
      </c>
      <c r="Q113" s="90">
        <f t="shared" si="55"/>
        <v>0</v>
      </c>
      <c r="R113" s="90">
        <f t="shared" si="55"/>
        <v>0</v>
      </c>
      <c r="S113" s="90">
        <f t="shared" si="55"/>
        <v>0</v>
      </c>
      <c r="T113" s="90">
        <f t="shared" si="55"/>
        <v>0</v>
      </c>
      <c r="U113" s="90">
        <f t="shared" si="55"/>
        <v>0</v>
      </c>
      <c r="V113" s="90">
        <f t="shared" si="55"/>
        <v>0</v>
      </c>
      <c r="W113" s="90">
        <f t="shared" si="55"/>
        <v>0</v>
      </c>
      <c r="X113" s="90">
        <f t="shared" si="55"/>
        <v>0</v>
      </c>
      <c r="Y113" s="90">
        <f t="shared" si="55"/>
        <v>0</v>
      </c>
      <c r="Z113" s="90">
        <f t="shared" si="55"/>
        <v>0</v>
      </c>
      <c r="AA113" s="90">
        <f t="shared" si="55"/>
        <v>0</v>
      </c>
      <c r="AB113" s="90">
        <f t="shared" si="55"/>
        <v>0</v>
      </c>
      <c r="AC113" s="90">
        <f t="shared" si="55"/>
        <v>0</v>
      </c>
      <c r="AD113" s="90">
        <f t="shared" si="55"/>
        <v>0</v>
      </c>
      <c r="AE113" s="90">
        <f t="shared" si="55"/>
        <v>0</v>
      </c>
      <c r="AF113" s="90">
        <f t="shared" si="55"/>
        <v>0</v>
      </c>
      <c r="AG113" s="90">
        <f t="shared" si="55"/>
        <v>0</v>
      </c>
      <c r="AH113" s="90">
        <f t="shared" si="55"/>
        <v>0</v>
      </c>
      <c r="AI113" s="90">
        <f t="shared" si="55"/>
        <v>0</v>
      </c>
      <c r="AJ113" s="90">
        <f t="shared" si="55"/>
        <v>0</v>
      </c>
      <c r="AK113" s="90">
        <f t="shared" ref="AK113:BB113" si="56">AK37-AK71</f>
        <v>0</v>
      </c>
      <c r="AL113" s="90">
        <f t="shared" si="56"/>
        <v>0</v>
      </c>
      <c r="AM113" s="90">
        <f t="shared" si="56"/>
        <v>0</v>
      </c>
      <c r="AN113" s="90">
        <f t="shared" si="56"/>
        <v>0</v>
      </c>
      <c r="AO113" s="90">
        <f t="shared" si="56"/>
        <v>0</v>
      </c>
      <c r="AP113" s="90">
        <f t="shared" si="56"/>
        <v>0</v>
      </c>
      <c r="AQ113" s="90">
        <f t="shared" si="56"/>
        <v>0</v>
      </c>
      <c r="AR113" s="90">
        <f t="shared" si="56"/>
        <v>0</v>
      </c>
      <c r="AS113" s="90">
        <f t="shared" si="56"/>
        <v>0</v>
      </c>
      <c r="AT113" s="90">
        <f t="shared" si="56"/>
        <v>0</v>
      </c>
      <c r="AU113" s="90">
        <f t="shared" si="56"/>
        <v>0</v>
      </c>
      <c r="AV113" s="90">
        <f t="shared" si="56"/>
        <v>0</v>
      </c>
      <c r="AW113" s="90">
        <f t="shared" si="56"/>
        <v>0</v>
      </c>
      <c r="AX113" s="90">
        <f t="shared" si="56"/>
        <v>0</v>
      </c>
      <c r="AY113" s="90">
        <f t="shared" si="56"/>
        <v>0</v>
      </c>
      <c r="AZ113" s="90">
        <f t="shared" si="56"/>
        <v>0</v>
      </c>
      <c r="BA113" s="90">
        <f t="shared" si="56"/>
        <v>0</v>
      </c>
      <c r="BB113" s="90">
        <f t="shared" si="56"/>
        <v>0</v>
      </c>
    </row>
    <row r="114" spans="1:54" s="22" customFormat="1" ht="14.25" customHeight="1" x14ac:dyDescent="0.2">
      <c r="A114" s="6"/>
      <c r="B114" s="91" t="s">
        <v>23</v>
      </c>
      <c r="C114" s="92" t="s">
        <v>4</v>
      </c>
      <c r="D114" s="92"/>
      <c r="E114" s="93">
        <f t="shared" ref="E114:AJ114" si="57">IF(E80-HE_CY&gt;=(Health_JahrPCap),IF(E37&gt;E71/Health_CR,E71/Health_CR,E37),E37)</f>
        <v>0</v>
      </c>
      <c r="F114" s="93">
        <f t="shared" si="57"/>
        <v>0</v>
      </c>
      <c r="G114" s="93">
        <f t="shared" si="57"/>
        <v>0</v>
      </c>
      <c r="H114" s="93">
        <f t="shared" si="57"/>
        <v>0</v>
      </c>
      <c r="I114" s="93">
        <f t="shared" si="57"/>
        <v>0</v>
      </c>
      <c r="J114" s="93">
        <f t="shared" si="57"/>
        <v>0</v>
      </c>
      <c r="K114" s="93">
        <f t="shared" si="57"/>
        <v>0</v>
      </c>
      <c r="L114" s="93">
        <f t="shared" si="57"/>
        <v>0</v>
      </c>
      <c r="M114" s="93">
        <f t="shared" si="57"/>
        <v>0</v>
      </c>
      <c r="N114" s="93">
        <f t="shared" si="57"/>
        <v>0</v>
      </c>
      <c r="O114" s="93">
        <f t="shared" si="57"/>
        <v>0</v>
      </c>
      <c r="P114" s="93">
        <f t="shared" si="57"/>
        <v>0</v>
      </c>
      <c r="Q114" s="93">
        <f t="shared" si="57"/>
        <v>0</v>
      </c>
      <c r="R114" s="93">
        <f t="shared" si="57"/>
        <v>0</v>
      </c>
      <c r="S114" s="93">
        <f t="shared" si="57"/>
        <v>0</v>
      </c>
      <c r="T114" s="93">
        <f t="shared" si="57"/>
        <v>0</v>
      </c>
      <c r="U114" s="93">
        <f t="shared" si="57"/>
        <v>0</v>
      </c>
      <c r="V114" s="93">
        <f t="shared" si="57"/>
        <v>0</v>
      </c>
      <c r="W114" s="93">
        <f t="shared" si="57"/>
        <v>0</v>
      </c>
      <c r="X114" s="93">
        <f t="shared" si="57"/>
        <v>0</v>
      </c>
      <c r="Y114" s="93">
        <f t="shared" si="57"/>
        <v>0</v>
      </c>
      <c r="Z114" s="93">
        <f t="shared" si="57"/>
        <v>0</v>
      </c>
      <c r="AA114" s="93">
        <f t="shared" si="57"/>
        <v>0</v>
      </c>
      <c r="AB114" s="93">
        <f t="shared" si="57"/>
        <v>0</v>
      </c>
      <c r="AC114" s="93">
        <f t="shared" si="57"/>
        <v>0</v>
      </c>
      <c r="AD114" s="93">
        <f t="shared" si="57"/>
        <v>0</v>
      </c>
      <c r="AE114" s="93">
        <f t="shared" si="57"/>
        <v>0</v>
      </c>
      <c r="AF114" s="93">
        <f t="shared" si="57"/>
        <v>0</v>
      </c>
      <c r="AG114" s="93">
        <f t="shared" si="57"/>
        <v>0</v>
      </c>
      <c r="AH114" s="93">
        <f t="shared" si="57"/>
        <v>0</v>
      </c>
      <c r="AI114" s="93">
        <f t="shared" si="57"/>
        <v>0</v>
      </c>
      <c r="AJ114" s="93">
        <f t="shared" si="57"/>
        <v>0</v>
      </c>
      <c r="AK114" s="93">
        <f t="shared" ref="AK114:BB114" si="58">IF(AK80-HE_CY&gt;=(Health_JahrPCap),IF(AK37&gt;AK71/Health_CR,AK71/Health_CR,AK37),AK37)</f>
        <v>0</v>
      </c>
      <c r="AL114" s="93">
        <f t="shared" si="58"/>
        <v>0</v>
      </c>
      <c r="AM114" s="93">
        <f t="shared" si="58"/>
        <v>0</v>
      </c>
      <c r="AN114" s="93">
        <f t="shared" si="58"/>
        <v>0</v>
      </c>
      <c r="AO114" s="93">
        <f t="shared" si="58"/>
        <v>0</v>
      </c>
      <c r="AP114" s="93">
        <f t="shared" si="58"/>
        <v>0</v>
      </c>
      <c r="AQ114" s="93">
        <f t="shared" si="58"/>
        <v>0</v>
      </c>
      <c r="AR114" s="93">
        <f t="shared" si="58"/>
        <v>0</v>
      </c>
      <c r="AS114" s="93">
        <f t="shared" si="58"/>
        <v>0</v>
      </c>
      <c r="AT114" s="93">
        <f t="shared" si="58"/>
        <v>0</v>
      </c>
      <c r="AU114" s="93">
        <f t="shared" si="58"/>
        <v>0</v>
      </c>
      <c r="AV114" s="93">
        <f t="shared" si="58"/>
        <v>0</v>
      </c>
      <c r="AW114" s="93">
        <f t="shared" si="58"/>
        <v>0</v>
      </c>
      <c r="AX114" s="93">
        <f t="shared" si="58"/>
        <v>0</v>
      </c>
      <c r="AY114" s="93">
        <f t="shared" si="58"/>
        <v>0</v>
      </c>
      <c r="AZ114" s="93">
        <f t="shared" si="58"/>
        <v>0</v>
      </c>
      <c r="BA114" s="93">
        <f t="shared" si="58"/>
        <v>0</v>
      </c>
      <c r="BB114" s="93">
        <f t="shared" si="58"/>
        <v>0</v>
      </c>
    </row>
    <row r="115" spans="1:54" s="22" customFormat="1" ht="14.25" customHeight="1" x14ac:dyDescent="0.2">
      <c r="A115" s="6"/>
      <c r="B115" s="94" t="s">
        <v>24</v>
      </c>
      <c r="C115" s="92" t="s">
        <v>4</v>
      </c>
      <c r="D115" s="168"/>
      <c r="E115" s="93">
        <f t="shared" ref="E115:AJ115" si="59">E114-E71</f>
        <v>0</v>
      </c>
      <c r="F115" s="93">
        <f t="shared" si="59"/>
        <v>0</v>
      </c>
      <c r="G115" s="93">
        <f t="shared" si="59"/>
        <v>0</v>
      </c>
      <c r="H115" s="93">
        <f t="shared" si="59"/>
        <v>0</v>
      </c>
      <c r="I115" s="93">
        <f t="shared" si="59"/>
        <v>0</v>
      </c>
      <c r="J115" s="93">
        <f t="shared" si="59"/>
        <v>0</v>
      </c>
      <c r="K115" s="93">
        <f t="shared" si="59"/>
        <v>0</v>
      </c>
      <c r="L115" s="93">
        <f t="shared" si="59"/>
        <v>0</v>
      </c>
      <c r="M115" s="93">
        <f t="shared" si="59"/>
        <v>0</v>
      </c>
      <c r="N115" s="93">
        <f t="shared" si="59"/>
        <v>0</v>
      </c>
      <c r="O115" s="93">
        <f t="shared" si="59"/>
        <v>0</v>
      </c>
      <c r="P115" s="93">
        <f t="shared" si="59"/>
        <v>0</v>
      </c>
      <c r="Q115" s="93">
        <f t="shared" si="59"/>
        <v>0</v>
      </c>
      <c r="R115" s="93">
        <f t="shared" si="59"/>
        <v>0</v>
      </c>
      <c r="S115" s="93">
        <f t="shared" si="59"/>
        <v>0</v>
      </c>
      <c r="T115" s="93">
        <f t="shared" si="59"/>
        <v>0</v>
      </c>
      <c r="U115" s="93">
        <f t="shared" si="59"/>
        <v>0</v>
      </c>
      <c r="V115" s="93">
        <f t="shared" si="59"/>
        <v>0</v>
      </c>
      <c r="W115" s="93">
        <f t="shared" si="59"/>
        <v>0</v>
      </c>
      <c r="X115" s="93">
        <f t="shared" si="59"/>
        <v>0</v>
      </c>
      <c r="Y115" s="93">
        <f t="shared" si="59"/>
        <v>0</v>
      </c>
      <c r="Z115" s="93">
        <f t="shared" si="59"/>
        <v>0</v>
      </c>
      <c r="AA115" s="93">
        <f t="shared" si="59"/>
        <v>0</v>
      </c>
      <c r="AB115" s="93">
        <f t="shared" si="59"/>
        <v>0</v>
      </c>
      <c r="AC115" s="93">
        <f t="shared" si="59"/>
        <v>0</v>
      </c>
      <c r="AD115" s="93">
        <f t="shared" si="59"/>
        <v>0</v>
      </c>
      <c r="AE115" s="93">
        <f t="shared" si="59"/>
        <v>0</v>
      </c>
      <c r="AF115" s="93">
        <f t="shared" si="59"/>
        <v>0</v>
      </c>
      <c r="AG115" s="93">
        <f t="shared" si="59"/>
        <v>0</v>
      </c>
      <c r="AH115" s="93">
        <f t="shared" si="59"/>
        <v>0</v>
      </c>
      <c r="AI115" s="93">
        <f t="shared" si="59"/>
        <v>0</v>
      </c>
      <c r="AJ115" s="93">
        <f t="shared" si="59"/>
        <v>0</v>
      </c>
      <c r="AK115" s="93">
        <f t="shared" ref="AK115:BB115" si="60">AK114-AK71</f>
        <v>0</v>
      </c>
      <c r="AL115" s="93">
        <f t="shared" si="60"/>
        <v>0</v>
      </c>
      <c r="AM115" s="93">
        <f t="shared" si="60"/>
        <v>0</v>
      </c>
      <c r="AN115" s="93">
        <f t="shared" si="60"/>
        <v>0</v>
      </c>
      <c r="AO115" s="93">
        <f t="shared" si="60"/>
        <v>0</v>
      </c>
      <c r="AP115" s="93">
        <f t="shared" si="60"/>
        <v>0</v>
      </c>
      <c r="AQ115" s="93">
        <f t="shared" si="60"/>
        <v>0</v>
      </c>
      <c r="AR115" s="93">
        <f t="shared" si="60"/>
        <v>0</v>
      </c>
      <c r="AS115" s="93">
        <f t="shared" si="60"/>
        <v>0</v>
      </c>
      <c r="AT115" s="93">
        <f t="shared" si="60"/>
        <v>0</v>
      </c>
      <c r="AU115" s="93">
        <f t="shared" si="60"/>
        <v>0</v>
      </c>
      <c r="AV115" s="93">
        <f t="shared" si="60"/>
        <v>0</v>
      </c>
      <c r="AW115" s="93">
        <f t="shared" si="60"/>
        <v>0</v>
      </c>
      <c r="AX115" s="93">
        <f t="shared" si="60"/>
        <v>0</v>
      </c>
      <c r="AY115" s="93">
        <f t="shared" si="60"/>
        <v>0</v>
      </c>
      <c r="AZ115" s="93">
        <f t="shared" si="60"/>
        <v>0</v>
      </c>
      <c r="BA115" s="93">
        <f t="shared" si="60"/>
        <v>0</v>
      </c>
      <c r="BB115" s="93">
        <f t="shared" si="60"/>
        <v>0</v>
      </c>
    </row>
    <row r="116" spans="1:54" s="22" customFormat="1" ht="14.25" customHeight="1" x14ac:dyDescent="0.2">
      <c r="A116" s="6"/>
      <c r="B116" s="94" t="s">
        <v>24</v>
      </c>
      <c r="C116" s="92" t="s">
        <v>7</v>
      </c>
      <c r="D116" s="92"/>
      <c r="E116" s="93">
        <f>E115</f>
        <v>0</v>
      </c>
      <c r="F116" s="93">
        <f>F115*HE_prescribed_parameters!C$13</f>
        <v>0</v>
      </c>
      <c r="G116" s="93">
        <f>G115*HE_prescribed_parameters!D$13</f>
        <v>0</v>
      </c>
      <c r="H116" s="93">
        <f>H115*HE_prescribed_parameters!E$13</f>
        <v>0</v>
      </c>
      <c r="I116" s="93">
        <f>I115*HE_prescribed_parameters!F$13</f>
        <v>0</v>
      </c>
      <c r="J116" s="93">
        <f>J115*HE_prescribed_parameters!G$13</f>
        <v>0</v>
      </c>
      <c r="K116" s="93">
        <f>K115*HE_prescribed_parameters!H$13</f>
        <v>0</v>
      </c>
      <c r="L116" s="93">
        <f>L115*HE_prescribed_parameters!I$13</f>
        <v>0</v>
      </c>
      <c r="M116" s="93">
        <f>M115*HE_prescribed_parameters!J$13</f>
        <v>0</v>
      </c>
      <c r="N116" s="93">
        <f>N115*HE_prescribed_parameters!K$13</f>
        <v>0</v>
      </c>
      <c r="O116" s="93">
        <f>O115*HE_prescribed_parameters!L$13</f>
        <v>0</v>
      </c>
      <c r="P116" s="93">
        <f>P115*HE_prescribed_parameters!M$13</f>
        <v>0</v>
      </c>
      <c r="Q116" s="93">
        <f>Q115*HE_prescribed_parameters!N$13</f>
        <v>0</v>
      </c>
      <c r="R116" s="93">
        <f>R115*HE_prescribed_parameters!O$13</f>
        <v>0</v>
      </c>
      <c r="S116" s="93">
        <f>S115*HE_prescribed_parameters!P$13</f>
        <v>0</v>
      </c>
      <c r="T116" s="93">
        <f>T115*HE_prescribed_parameters!Q$13</f>
        <v>0</v>
      </c>
      <c r="U116" s="93">
        <f>U115*HE_prescribed_parameters!R$13</f>
        <v>0</v>
      </c>
      <c r="V116" s="93">
        <f>V115*HE_prescribed_parameters!S$13</f>
        <v>0</v>
      </c>
      <c r="W116" s="93">
        <f>W115*HE_prescribed_parameters!T$13</f>
        <v>0</v>
      </c>
      <c r="X116" s="93">
        <f>X115*HE_prescribed_parameters!U$13</f>
        <v>0</v>
      </c>
      <c r="Y116" s="93">
        <f>Y115*HE_prescribed_parameters!V$13</f>
        <v>0</v>
      </c>
      <c r="Z116" s="93">
        <f>Z115*HE_prescribed_parameters!W$13</f>
        <v>0</v>
      </c>
      <c r="AA116" s="93">
        <f>AA115*HE_prescribed_parameters!X$13</f>
        <v>0</v>
      </c>
      <c r="AB116" s="93">
        <f>AB115*HE_prescribed_parameters!Y$13</f>
        <v>0</v>
      </c>
      <c r="AC116" s="93">
        <f>AC115*HE_prescribed_parameters!Z$13</f>
        <v>0</v>
      </c>
      <c r="AD116" s="93">
        <f>AD115*HE_prescribed_parameters!AA$13</f>
        <v>0</v>
      </c>
      <c r="AE116" s="93">
        <f>AE115*HE_prescribed_parameters!AB$13</f>
        <v>0</v>
      </c>
      <c r="AF116" s="93">
        <f>AF115*HE_prescribed_parameters!AC$13</f>
        <v>0</v>
      </c>
      <c r="AG116" s="93">
        <f>AG115*HE_prescribed_parameters!AD$13</f>
        <v>0</v>
      </c>
      <c r="AH116" s="93">
        <f>AH115*HE_prescribed_parameters!AE$13</f>
        <v>0</v>
      </c>
      <c r="AI116" s="93">
        <f>AI115*HE_prescribed_parameters!AF$13</f>
        <v>0</v>
      </c>
      <c r="AJ116" s="93">
        <f>AJ115*HE_prescribed_parameters!AG$13</f>
        <v>0</v>
      </c>
      <c r="AK116" s="93">
        <f>AK115*HE_prescribed_parameters!AH$13</f>
        <v>0</v>
      </c>
      <c r="AL116" s="93">
        <f>AL115*HE_prescribed_parameters!AI$13</f>
        <v>0</v>
      </c>
      <c r="AM116" s="93">
        <f>AM115*HE_prescribed_parameters!AJ$13</f>
        <v>0</v>
      </c>
      <c r="AN116" s="93">
        <f>AN115*HE_prescribed_parameters!AK$13</f>
        <v>0</v>
      </c>
      <c r="AO116" s="93">
        <f>AO115*HE_prescribed_parameters!AL$13</f>
        <v>0</v>
      </c>
      <c r="AP116" s="93">
        <f>AP115*HE_prescribed_parameters!AM$13</f>
        <v>0</v>
      </c>
      <c r="AQ116" s="93">
        <f>AQ115*HE_prescribed_parameters!AN$13</f>
        <v>0</v>
      </c>
      <c r="AR116" s="93">
        <f>AR115*HE_prescribed_parameters!AO$13</f>
        <v>0</v>
      </c>
      <c r="AS116" s="93">
        <f>AS115*HE_prescribed_parameters!AP$13</f>
        <v>0</v>
      </c>
      <c r="AT116" s="93">
        <f>AT115*HE_prescribed_parameters!AQ$13</f>
        <v>0</v>
      </c>
      <c r="AU116" s="93">
        <f>AU115*HE_prescribed_parameters!AR$13</f>
        <v>0</v>
      </c>
      <c r="AV116" s="93">
        <f>AV115*HE_prescribed_parameters!AS$13</f>
        <v>0</v>
      </c>
      <c r="AW116" s="93">
        <f>AW115*HE_prescribed_parameters!AT$13</f>
        <v>0</v>
      </c>
      <c r="AX116" s="93">
        <f>AX115*HE_prescribed_parameters!AU$13</f>
        <v>0</v>
      </c>
      <c r="AY116" s="93">
        <f>AY115*HE_prescribed_parameters!AV$13</f>
        <v>0</v>
      </c>
      <c r="AZ116" s="93">
        <f>AZ115*HE_prescribed_parameters!AW$13</f>
        <v>0</v>
      </c>
      <c r="BA116" s="93">
        <f>BA115*HE_prescribed_parameters!AX$13</f>
        <v>0</v>
      </c>
      <c r="BB116" s="93">
        <f>BB115*HE_prescribed_parameters!AY$13</f>
        <v>0</v>
      </c>
    </row>
    <row r="117" spans="1:54" s="22" customFormat="1" ht="14.25" customHeight="1" x14ac:dyDescent="0.2">
      <c r="A117" s="6"/>
      <c r="B117" s="95" t="s">
        <v>35</v>
      </c>
      <c r="C117" s="79">
        <f>-SUM(E116:BB116)</f>
        <v>0</v>
      </c>
      <c r="D117" s="79"/>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s="22" customFormat="1" ht="14.25" customHeight="1" x14ac:dyDescent="0.2">
      <c r="A118" s="6"/>
      <c r="B118" s="154"/>
      <c r="C118" s="77"/>
      <c r="D118" s="7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s="6" customFormat="1" ht="14.25" customHeight="1" x14ac:dyDescent="0.2">
      <c r="D119" s="12"/>
      <c r="E119" s="145" t="s">
        <v>2</v>
      </c>
      <c r="F119" s="108"/>
      <c r="G119" s="108"/>
      <c r="H119" s="108"/>
      <c r="I119" s="108"/>
      <c r="J119" s="108"/>
      <c r="K119" s="108"/>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row>
    <row r="120" spans="1:54" s="6" customFormat="1" ht="20.100000000000001" customHeight="1" x14ac:dyDescent="0.25">
      <c r="B120" s="86" t="s">
        <v>29</v>
      </c>
      <c r="C120" s="87"/>
      <c r="D120" s="816"/>
      <c r="E120" s="146">
        <f>HE_CY</f>
        <v>2025</v>
      </c>
      <c r="F120" s="147">
        <f>E120+1</f>
        <v>2026</v>
      </c>
      <c r="G120" s="147">
        <f>F120+1</f>
        <v>2027</v>
      </c>
      <c r="H120" s="147">
        <f t="shared" ref="H120:BB120" si="61">G120+1</f>
        <v>2028</v>
      </c>
      <c r="I120" s="147">
        <f t="shared" si="61"/>
        <v>2029</v>
      </c>
      <c r="J120" s="147">
        <f t="shared" si="61"/>
        <v>2030</v>
      </c>
      <c r="K120" s="147">
        <f t="shared" si="61"/>
        <v>2031</v>
      </c>
      <c r="L120" s="147">
        <f t="shared" si="61"/>
        <v>2032</v>
      </c>
      <c r="M120" s="147">
        <f t="shared" si="61"/>
        <v>2033</v>
      </c>
      <c r="N120" s="147">
        <f t="shared" si="61"/>
        <v>2034</v>
      </c>
      <c r="O120" s="147">
        <f t="shared" si="61"/>
        <v>2035</v>
      </c>
      <c r="P120" s="147">
        <f t="shared" si="61"/>
        <v>2036</v>
      </c>
      <c r="Q120" s="147">
        <f t="shared" si="61"/>
        <v>2037</v>
      </c>
      <c r="R120" s="147">
        <f t="shared" si="61"/>
        <v>2038</v>
      </c>
      <c r="S120" s="147">
        <f t="shared" si="61"/>
        <v>2039</v>
      </c>
      <c r="T120" s="147">
        <f t="shared" si="61"/>
        <v>2040</v>
      </c>
      <c r="U120" s="147">
        <f t="shared" si="61"/>
        <v>2041</v>
      </c>
      <c r="V120" s="147">
        <f t="shared" si="61"/>
        <v>2042</v>
      </c>
      <c r="W120" s="147">
        <f t="shared" si="61"/>
        <v>2043</v>
      </c>
      <c r="X120" s="147">
        <f t="shared" si="61"/>
        <v>2044</v>
      </c>
      <c r="Y120" s="147">
        <f t="shared" si="61"/>
        <v>2045</v>
      </c>
      <c r="Z120" s="147">
        <f t="shared" si="61"/>
        <v>2046</v>
      </c>
      <c r="AA120" s="147">
        <f t="shared" si="61"/>
        <v>2047</v>
      </c>
      <c r="AB120" s="147">
        <f t="shared" si="61"/>
        <v>2048</v>
      </c>
      <c r="AC120" s="147">
        <f t="shared" si="61"/>
        <v>2049</v>
      </c>
      <c r="AD120" s="147">
        <f t="shared" si="61"/>
        <v>2050</v>
      </c>
      <c r="AE120" s="147">
        <f t="shared" si="61"/>
        <v>2051</v>
      </c>
      <c r="AF120" s="147">
        <f t="shared" si="61"/>
        <v>2052</v>
      </c>
      <c r="AG120" s="147">
        <f t="shared" si="61"/>
        <v>2053</v>
      </c>
      <c r="AH120" s="147">
        <f t="shared" si="61"/>
        <v>2054</v>
      </c>
      <c r="AI120" s="147">
        <f t="shared" si="61"/>
        <v>2055</v>
      </c>
      <c r="AJ120" s="147">
        <f t="shared" si="61"/>
        <v>2056</v>
      </c>
      <c r="AK120" s="147">
        <f t="shared" si="61"/>
        <v>2057</v>
      </c>
      <c r="AL120" s="147">
        <f t="shared" si="61"/>
        <v>2058</v>
      </c>
      <c r="AM120" s="147">
        <f t="shared" si="61"/>
        <v>2059</v>
      </c>
      <c r="AN120" s="147">
        <f t="shared" si="61"/>
        <v>2060</v>
      </c>
      <c r="AO120" s="147">
        <f t="shared" si="61"/>
        <v>2061</v>
      </c>
      <c r="AP120" s="147">
        <f t="shared" si="61"/>
        <v>2062</v>
      </c>
      <c r="AQ120" s="147">
        <f t="shared" si="61"/>
        <v>2063</v>
      </c>
      <c r="AR120" s="147">
        <f t="shared" si="61"/>
        <v>2064</v>
      </c>
      <c r="AS120" s="147">
        <f t="shared" si="61"/>
        <v>2065</v>
      </c>
      <c r="AT120" s="147">
        <f t="shared" si="61"/>
        <v>2066</v>
      </c>
      <c r="AU120" s="147">
        <f t="shared" si="61"/>
        <v>2067</v>
      </c>
      <c r="AV120" s="147">
        <f t="shared" si="61"/>
        <v>2068</v>
      </c>
      <c r="AW120" s="147">
        <f t="shared" si="61"/>
        <v>2069</v>
      </c>
      <c r="AX120" s="147">
        <f t="shared" si="61"/>
        <v>2070</v>
      </c>
      <c r="AY120" s="147">
        <f t="shared" si="61"/>
        <v>2071</v>
      </c>
      <c r="AZ120" s="147">
        <f t="shared" si="61"/>
        <v>2072</v>
      </c>
      <c r="BA120" s="147">
        <f t="shared" si="61"/>
        <v>2073</v>
      </c>
      <c r="BB120" s="147">
        <f t="shared" si="61"/>
        <v>2074</v>
      </c>
    </row>
    <row r="121" spans="1:54" s="6" customFormat="1" ht="14.25" customHeight="1" x14ac:dyDescent="0.2">
      <c r="B121" s="88" t="s">
        <v>22</v>
      </c>
      <c r="C121" s="89" t="s">
        <v>4</v>
      </c>
      <c r="D121" s="89"/>
      <c r="E121" s="90">
        <f t="shared" ref="E121:AJ121" si="62">E39-E73</f>
        <v>0</v>
      </c>
      <c r="F121" s="90">
        <f t="shared" si="62"/>
        <v>0</v>
      </c>
      <c r="G121" s="90">
        <f t="shared" si="62"/>
        <v>0</v>
      </c>
      <c r="H121" s="90">
        <f t="shared" si="62"/>
        <v>0</v>
      </c>
      <c r="I121" s="90">
        <f t="shared" si="62"/>
        <v>0</v>
      </c>
      <c r="J121" s="90">
        <f t="shared" si="62"/>
        <v>0</v>
      </c>
      <c r="K121" s="90">
        <f t="shared" si="62"/>
        <v>0</v>
      </c>
      <c r="L121" s="90">
        <f t="shared" si="62"/>
        <v>0</v>
      </c>
      <c r="M121" s="90">
        <f t="shared" si="62"/>
        <v>0</v>
      </c>
      <c r="N121" s="90">
        <f t="shared" si="62"/>
        <v>0</v>
      </c>
      <c r="O121" s="90">
        <f t="shared" si="62"/>
        <v>0</v>
      </c>
      <c r="P121" s="90">
        <f t="shared" si="62"/>
        <v>0</v>
      </c>
      <c r="Q121" s="90">
        <f t="shared" si="62"/>
        <v>0</v>
      </c>
      <c r="R121" s="90">
        <f t="shared" si="62"/>
        <v>0</v>
      </c>
      <c r="S121" s="90">
        <f t="shared" si="62"/>
        <v>0</v>
      </c>
      <c r="T121" s="90">
        <f t="shared" si="62"/>
        <v>0</v>
      </c>
      <c r="U121" s="90">
        <f t="shared" si="62"/>
        <v>0</v>
      </c>
      <c r="V121" s="90">
        <f t="shared" si="62"/>
        <v>0</v>
      </c>
      <c r="W121" s="90">
        <f t="shared" si="62"/>
        <v>0</v>
      </c>
      <c r="X121" s="90">
        <f t="shared" si="62"/>
        <v>0</v>
      </c>
      <c r="Y121" s="90">
        <f t="shared" si="62"/>
        <v>0</v>
      </c>
      <c r="Z121" s="90">
        <f t="shared" si="62"/>
        <v>0</v>
      </c>
      <c r="AA121" s="90">
        <f t="shared" si="62"/>
        <v>0</v>
      </c>
      <c r="AB121" s="90">
        <f t="shared" si="62"/>
        <v>0</v>
      </c>
      <c r="AC121" s="90">
        <f t="shared" si="62"/>
        <v>0</v>
      </c>
      <c r="AD121" s="90">
        <f t="shared" si="62"/>
        <v>0</v>
      </c>
      <c r="AE121" s="90">
        <f t="shared" si="62"/>
        <v>0</v>
      </c>
      <c r="AF121" s="90">
        <f t="shared" si="62"/>
        <v>0</v>
      </c>
      <c r="AG121" s="90">
        <f t="shared" si="62"/>
        <v>0</v>
      </c>
      <c r="AH121" s="90">
        <f t="shared" si="62"/>
        <v>0</v>
      </c>
      <c r="AI121" s="90">
        <f t="shared" si="62"/>
        <v>0</v>
      </c>
      <c r="AJ121" s="90">
        <f t="shared" si="62"/>
        <v>0</v>
      </c>
      <c r="AK121" s="90">
        <f t="shared" ref="AK121:BB121" si="63">AK39-AK73</f>
        <v>0</v>
      </c>
      <c r="AL121" s="90">
        <f t="shared" si="63"/>
        <v>0</v>
      </c>
      <c r="AM121" s="90">
        <f t="shared" si="63"/>
        <v>0</v>
      </c>
      <c r="AN121" s="90">
        <f t="shared" si="63"/>
        <v>0</v>
      </c>
      <c r="AO121" s="90">
        <f t="shared" si="63"/>
        <v>0</v>
      </c>
      <c r="AP121" s="90">
        <f t="shared" si="63"/>
        <v>0</v>
      </c>
      <c r="AQ121" s="90">
        <f t="shared" si="63"/>
        <v>0</v>
      </c>
      <c r="AR121" s="90">
        <f t="shared" si="63"/>
        <v>0</v>
      </c>
      <c r="AS121" s="90">
        <f t="shared" si="63"/>
        <v>0</v>
      </c>
      <c r="AT121" s="90">
        <f t="shared" si="63"/>
        <v>0</v>
      </c>
      <c r="AU121" s="90">
        <f t="shared" si="63"/>
        <v>0</v>
      </c>
      <c r="AV121" s="90">
        <f t="shared" si="63"/>
        <v>0</v>
      </c>
      <c r="AW121" s="90">
        <f t="shared" si="63"/>
        <v>0</v>
      </c>
      <c r="AX121" s="90">
        <f t="shared" si="63"/>
        <v>0</v>
      </c>
      <c r="AY121" s="90">
        <f t="shared" si="63"/>
        <v>0</v>
      </c>
      <c r="AZ121" s="90">
        <f t="shared" si="63"/>
        <v>0</v>
      </c>
      <c r="BA121" s="90">
        <f t="shared" si="63"/>
        <v>0</v>
      </c>
      <c r="BB121" s="90">
        <f t="shared" si="63"/>
        <v>0</v>
      </c>
    </row>
    <row r="122" spans="1:54" s="22" customFormat="1" ht="14.25" customHeight="1" x14ac:dyDescent="0.2">
      <c r="A122" s="6"/>
      <c r="B122" s="91" t="s">
        <v>22</v>
      </c>
      <c r="C122" s="92" t="s">
        <v>7</v>
      </c>
      <c r="D122" s="92"/>
      <c r="E122" s="93">
        <f>E121</f>
        <v>0</v>
      </c>
      <c r="F122" s="93">
        <f>F121*HE_prescribed_parameters!C$13</f>
        <v>0</v>
      </c>
      <c r="G122" s="93">
        <f>G121*HE_prescribed_parameters!D$13</f>
        <v>0</v>
      </c>
      <c r="H122" s="93">
        <f>H121*HE_prescribed_parameters!E$13</f>
        <v>0</v>
      </c>
      <c r="I122" s="93">
        <f>I121*HE_prescribed_parameters!F$13</f>
        <v>0</v>
      </c>
      <c r="J122" s="93">
        <f>J121*HE_prescribed_parameters!G$13</f>
        <v>0</v>
      </c>
      <c r="K122" s="93">
        <f>K121*HE_prescribed_parameters!H$13</f>
        <v>0</v>
      </c>
      <c r="L122" s="93">
        <f>L121*HE_prescribed_parameters!I$13</f>
        <v>0</v>
      </c>
      <c r="M122" s="93">
        <f>M121*HE_prescribed_parameters!J$13</f>
        <v>0</v>
      </c>
      <c r="N122" s="93">
        <f>N121*HE_prescribed_parameters!K$13</f>
        <v>0</v>
      </c>
      <c r="O122" s="93">
        <f>O121*HE_prescribed_parameters!L$13</f>
        <v>0</v>
      </c>
      <c r="P122" s="93">
        <f>P121*HE_prescribed_parameters!M$13</f>
        <v>0</v>
      </c>
      <c r="Q122" s="93">
        <f>Q121*HE_prescribed_parameters!N$13</f>
        <v>0</v>
      </c>
      <c r="R122" s="93">
        <f>R121*HE_prescribed_parameters!O$13</f>
        <v>0</v>
      </c>
      <c r="S122" s="93">
        <f>S121*HE_prescribed_parameters!P$13</f>
        <v>0</v>
      </c>
      <c r="T122" s="93">
        <f>T121*HE_prescribed_parameters!Q$13</f>
        <v>0</v>
      </c>
      <c r="U122" s="93">
        <f>U121*HE_prescribed_parameters!R$13</f>
        <v>0</v>
      </c>
      <c r="V122" s="93">
        <f>V121*HE_prescribed_parameters!S$13</f>
        <v>0</v>
      </c>
      <c r="W122" s="93">
        <f>W121*HE_prescribed_parameters!T$13</f>
        <v>0</v>
      </c>
      <c r="X122" s="93">
        <f>X121*HE_prescribed_parameters!U$13</f>
        <v>0</v>
      </c>
      <c r="Y122" s="93">
        <f>Y121*HE_prescribed_parameters!V$13</f>
        <v>0</v>
      </c>
      <c r="Z122" s="93">
        <f>Z121*HE_prescribed_parameters!W$13</f>
        <v>0</v>
      </c>
      <c r="AA122" s="93">
        <f>AA121*HE_prescribed_parameters!X$13</f>
        <v>0</v>
      </c>
      <c r="AB122" s="93">
        <f>AB121*HE_prescribed_parameters!Y$13</f>
        <v>0</v>
      </c>
      <c r="AC122" s="93">
        <f>AC121*HE_prescribed_parameters!Z$13</f>
        <v>0</v>
      </c>
      <c r="AD122" s="93">
        <f>AD121*HE_prescribed_parameters!AA$13</f>
        <v>0</v>
      </c>
      <c r="AE122" s="93">
        <f>AE121*HE_prescribed_parameters!AB$13</f>
        <v>0</v>
      </c>
      <c r="AF122" s="93">
        <f>AF121*HE_prescribed_parameters!AC$13</f>
        <v>0</v>
      </c>
      <c r="AG122" s="93">
        <f>AG121*HE_prescribed_parameters!AD$13</f>
        <v>0</v>
      </c>
      <c r="AH122" s="93">
        <f>AH121*HE_prescribed_parameters!AE$13</f>
        <v>0</v>
      </c>
      <c r="AI122" s="93">
        <f>AI121*HE_prescribed_parameters!AF$13</f>
        <v>0</v>
      </c>
      <c r="AJ122" s="93">
        <f>AJ121*HE_prescribed_parameters!AG$13</f>
        <v>0</v>
      </c>
      <c r="AK122" s="93">
        <f>AK121*HE_prescribed_parameters!AH$13</f>
        <v>0</v>
      </c>
      <c r="AL122" s="93">
        <f>AL121*HE_prescribed_parameters!AI$13</f>
        <v>0</v>
      </c>
      <c r="AM122" s="93">
        <f>AM121*HE_prescribed_parameters!AJ$13</f>
        <v>0</v>
      </c>
      <c r="AN122" s="93">
        <f>AN121*HE_prescribed_parameters!AK$13</f>
        <v>0</v>
      </c>
      <c r="AO122" s="93">
        <f>AO121*HE_prescribed_parameters!AL$13</f>
        <v>0</v>
      </c>
      <c r="AP122" s="93">
        <f>AP121*HE_prescribed_parameters!AM$13</f>
        <v>0</v>
      </c>
      <c r="AQ122" s="93">
        <f>AQ121*HE_prescribed_parameters!AN$13</f>
        <v>0</v>
      </c>
      <c r="AR122" s="93">
        <f>AR121*HE_prescribed_parameters!AO$13</f>
        <v>0</v>
      </c>
      <c r="AS122" s="93">
        <f>AS121*HE_prescribed_parameters!AP$13</f>
        <v>0</v>
      </c>
      <c r="AT122" s="93">
        <f>AT121*HE_prescribed_parameters!AQ$13</f>
        <v>0</v>
      </c>
      <c r="AU122" s="93">
        <f>AU121*HE_prescribed_parameters!AR$13</f>
        <v>0</v>
      </c>
      <c r="AV122" s="93">
        <f>AV121*HE_prescribed_parameters!AS$13</f>
        <v>0</v>
      </c>
      <c r="AW122" s="93">
        <f>AW121*HE_prescribed_parameters!AT$13</f>
        <v>0</v>
      </c>
      <c r="AX122" s="93">
        <f>AX121*HE_prescribed_parameters!AU$13</f>
        <v>0</v>
      </c>
      <c r="AY122" s="93">
        <f>AY121*HE_prescribed_parameters!AV$13</f>
        <v>0</v>
      </c>
      <c r="AZ122" s="93">
        <f>AZ121*HE_prescribed_parameters!AW$13</f>
        <v>0</v>
      </c>
      <c r="BA122" s="93">
        <f>BA121*HE_prescribed_parameters!AX$13</f>
        <v>0</v>
      </c>
      <c r="BB122" s="93">
        <f>BB121*HE_prescribed_parameters!AY$13</f>
        <v>0</v>
      </c>
    </row>
    <row r="123" spans="1:54" s="22" customFormat="1" ht="14.25" customHeight="1" x14ac:dyDescent="0.2">
      <c r="A123" s="6"/>
      <c r="B123" s="166" t="s">
        <v>37</v>
      </c>
      <c r="C123" s="168">
        <f>-SUM(E122:BB122)</f>
        <v>0</v>
      </c>
      <c r="D123" s="92"/>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row>
    <row r="124" spans="1:54" s="22" customFormat="1" ht="14.25" customHeight="1" x14ac:dyDescent="0.2">
      <c r="A124" s="6"/>
      <c r="B124" s="94" t="s">
        <v>24</v>
      </c>
      <c r="C124" s="92" t="s">
        <v>4</v>
      </c>
      <c r="D124" s="168"/>
      <c r="E124" s="93">
        <f t="shared" ref="E124:AJ124" si="64">E83+E91+E99+E107+E115</f>
        <v>0</v>
      </c>
      <c r="F124" s="93">
        <f t="shared" si="64"/>
        <v>0</v>
      </c>
      <c r="G124" s="93">
        <f t="shared" si="64"/>
        <v>0</v>
      </c>
      <c r="H124" s="93">
        <f t="shared" si="64"/>
        <v>0</v>
      </c>
      <c r="I124" s="93">
        <f>I83+I91+I99+I107+I115</f>
        <v>0</v>
      </c>
      <c r="J124" s="93">
        <f t="shared" si="64"/>
        <v>0</v>
      </c>
      <c r="K124" s="93">
        <f t="shared" si="64"/>
        <v>0</v>
      </c>
      <c r="L124" s="93">
        <f t="shared" si="64"/>
        <v>0</v>
      </c>
      <c r="M124" s="93">
        <f t="shared" si="64"/>
        <v>0</v>
      </c>
      <c r="N124" s="93">
        <f t="shared" si="64"/>
        <v>0</v>
      </c>
      <c r="O124" s="93">
        <f t="shared" si="64"/>
        <v>0</v>
      </c>
      <c r="P124" s="93">
        <f t="shared" si="64"/>
        <v>0</v>
      </c>
      <c r="Q124" s="93">
        <f t="shared" si="64"/>
        <v>0</v>
      </c>
      <c r="R124" s="93">
        <f t="shared" si="64"/>
        <v>0</v>
      </c>
      <c r="S124" s="93">
        <f t="shared" si="64"/>
        <v>0</v>
      </c>
      <c r="T124" s="93">
        <f t="shared" si="64"/>
        <v>0</v>
      </c>
      <c r="U124" s="93">
        <f t="shared" si="64"/>
        <v>0</v>
      </c>
      <c r="V124" s="93">
        <f t="shared" si="64"/>
        <v>0</v>
      </c>
      <c r="W124" s="93">
        <f t="shared" si="64"/>
        <v>0</v>
      </c>
      <c r="X124" s="93">
        <f t="shared" si="64"/>
        <v>0</v>
      </c>
      <c r="Y124" s="93">
        <f t="shared" si="64"/>
        <v>0</v>
      </c>
      <c r="Z124" s="93">
        <f t="shared" si="64"/>
        <v>0</v>
      </c>
      <c r="AA124" s="93">
        <f t="shared" si="64"/>
        <v>0</v>
      </c>
      <c r="AB124" s="93">
        <f t="shared" si="64"/>
        <v>0</v>
      </c>
      <c r="AC124" s="93">
        <f t="shared" si="64"/>
        <v>0</v>
      </c>
      <c r="AD124" s="93">
        <f t="shared" si="64"/>
        <v>0</v>
      </c>
      <c r="AE124" s="93">
        <f t="shared" si="64"/>
        <v>0</v>
      </c>
      <c r="AF124" s="93">
        <f t="shared" si="64"/>
        <v>0</v>
      </c>
      <c r="AG124" s="93">
        <f t="shared" si="64"/>
        <v>0</v>
      </c>
      <c r="AH124" s="93">
        <f t="shared" si="64"/>
        <v>0</v>
      </c>
      <c r="AI124" s="93">
        <f t="shared" si="64"/>
        <v>0</v>
      </c>
      <c r="AJ124" s="93">
        <f t="shared" si="64"/>
        <v>0</v>
      </c>
      <c r="AK124" s="93">
        <f t="shared" ref="AK124:BB124" si="65">AK83+AK91+AK99+AK107+AK115</f>
        <v>0</v>
      </c>
      <c r="AL124" s="93">
        <f t="shared" si="65"/>
        <v>0</v>
      </c>
      <c r="AM124" s="93">
        <f t="shared" si="65"/>
        <v>0</v>
      </c>
      <c r="AN124" s="93">
        <f t="shared" si="65"/>
        <v>0</v>
      </c>
      <c r="AO124" s="93">
        <f t="shared" si="65"/>
        <v>0</v>
      </c>
      <c r="AP124" s="93">
        <f t="shared" si="65"/>
        <v>0</v>
      </c>
      <c r="AQ124" s="93">
        <f t="shared" si="65"/>
        <v>0</v>
      </c>
      <c r="AR124" s="93">
        <f t="shared" si="65"/>
        <v>0</v>
      </c>
      <c r="AS124" s="93">
        <f t="shared" si="65"/>
        <v>0</v>
      </c>
      <c r="AT124" s="93">
        <f t="shared" si="65"/>
        <v>0</v>
      </c>
      <c r="AU124" s="93">
        <f t="shared" si="65"/>
        <v>0</v>
      </c>
      <c r="AV124" s="93">
        <f t="shared" si="65"/>
        <v>0</v>
      </c>
      <c r="AW124" s="93">
        <f t="shared" si="65"/>
        <v>0</v>
      </c>
      <c r="AX124" s="93">
        <f t="shared" si="65"/>
        <v>0</v>
      </c>
      <c r="AY124" s="93">
        <f t="shared" si="65"/>
        <v>0</v>
      </c>
      <c r="AZ124" s="93">
        <f t="shared" si="65"/>
        <v>0</v>
      </c>
      <c r="BA124" s="93">
        <f t="shared" si="65"/>
        <v>0</v>
      </c>
      <c r="BB124" s="93">
        <f t="shared" si="65"/>
        <v>0</v>
      </c>
    </row>
    <row r="125" spans="1:54" s="22" customFormat="1" ht="14.25" customHeight="1" x14ac:dyDescent="0.2">
      <c r="A125" s="6"/>
      <c r="B125" s="96" t="s">
        <v>24</v>
      </c>
      <c r="C125" s="167" t="s">
        <v>7</v>
      </c>
      <c r="D125" s="78"/>
      <c r="E125" s="177">
        <f>E124</f>
        <v>0</v>
      </c>
      <c r="F125" s="177">
        <f>F124*HE_prescribed_parameters!C$13</f>
        <v>0</v>
      </c>
      <c r="G125" s="177">
        <f>G124*HE_prescribed_parameters!D$13</f>
        <v>0</v>
      </c>
      <c r="H125" s="177">
        <f>H124*HE_prescribed_parameters!E$13</f>
        <v>0</v>
      </c>
      <c r="I125" s="177">
        <f>I124*HE_prescribed_parameters!F$13</f>
        <v>0</v>
      </c>
      <c r="J125" s="177">
        <f>J124*HE_prescribed_parameters!G$13</f>
        <v>0</v>
      </c>
      <c r="K125" s="177">
        <f>K124*HE_prescribed_parameters!H$13</f>
        <v>0</v>
      </c>
      <c r="L125" s="177">
        <f>L124*HE_prescribed_parameters!I$13</f>
        <v>0</v>
      </c>
      <c r="M125" s="177">
        <f>M124*HE_prescribed_parameters!J$13</f>
        <v>0</v>
      </c>
      <c r="N125" s="177">
        <f>N124*HE_prescribed_parameters!K$13</f>
        <v>0</v>
      </c>
      <c r="O125" s="177">
        <f>O124*HE_prescribed_parameters!L$13</f>
        <v>0</v>
      </c>
      <c r="P125" s="177">
        <f>P124*HE_prescribed_parameters!M$13</f>
        <v>0</v>
      </c>
      <c r="Q125" s="177">
        <f>Q124*HE_prescribed_parameters!N$13</f>
        <v>0</v>
      </c>
      <c r="R125" s="177">
        <f>R124*HE_prescribed_parameters!O$13</f>
        <v>0</v>
      </c>
      <c r="S125" s="177">
        <f>S124*HE_prescribed_parameters!P$13</f>
        <v>0</v>
      </c>
      <c r="T125" s="177">
        <f>T124*HE_prescribed_parameters!Q$13</f>
        <v>0</v>
      </c>
      <c r="U125" s="177">
        <f>U124*HE_prescribed_parameters!R$13</f>
        <v>0</v>
      </c>
      <c r="V125" s="177">
        <f>V124*HE_prescribed_parameters!S$13</f>
        <v>0</v>
      </c>
      <c r="W125" s="177">
        <f>W124*HE_prescribed_parameters!T$13</f>
        <v>0</v>
      </c>
      <c r="X125" s="177">
        <f>X124*HE_prescribed_parameters!U$13</f>
        <v>0</v>
      </c>
      <c r="Y125" s="177">
        <f>Y124*HE_prescribed_parameters!V$13</f>
        <v>0</v>
      </c>
      <c r="Z125" s="177">
        <f>Z124*HE_prescribed_parameters!W$13</f>
        <v>0</v>
      </c>
      <c r="AA125" s="177">
        <f>AA124*HE_prescribed_parameters!X$13</f>
        <v>0</v>
      </c>
      <c r="AB125" s="177">
        <f>AB124*HE_prescribed_parameters!Y$13</f>
        <v>0</v>
      </c>
      <c r="AC125" s="177">
        <f>AC124*HE_prescribed_parameters!Z$13</f>
        <v>0</v>
      </c>
      <c r="AD125" s="177">
        <f>AD124*HE_prescribed_parameters!AA$13</f>
        <v>0</v>
      </c>
      <c r="AE125" s="177">
        <f>AE124*HE_prescribed_parameters!AB$13</f>
        <v>0</v>
      </c>
      <c r="AF125" s="177">
        <f>AF124*HE_prescribed_parameters!AC$13</f>
        <v>0</v>
      </c>
      <c r="AG125" s="177">
        <f>AG124*HE_prescribed_parameters!AD$13</f>
        <v>0</v>
      </c>
      <c r="AH125" s="177">
        <f>AH124*HE_prescribed_parameters!AE$13</f>
        <v>0</v>
      </c>
      <c r="AI125" s="177">
        <f>AI124*HE_prescribed_parameters!AF$13</f>
        <v>0</v>
      </c>
      <c r="AJ125" s="177">
        <f>AJ124*HE_prescribed_parameters!AG$13</f>
        <v>0</v>
      </c>
      <c r="AK125" s="177">
        <f>AK124*HE_prescribed_parameters!AH$13</f>
        <v>0</v>
      </c>
      <c r="AL125" s="177">
        <f>AL124*HE_prescribed_parameters!AI$13</f>
        <v>0</v>
      </c>
      <c r="AM125" s="177">
        <f>AM124*HE_prescribed_parameters!AJ$13</f>
        <v>0</v>
      </c>
      <c r="AN125" s="177">
        <f>AN124*HE_prescribed_parameters!AK$13</f>
        <v>0</v>
      </c>
      <c r="AO125" s="177">
        <f>AO124*HE_prescribed_parameters!AL$13</f>
        <v>0</v>
      </c>
      <c r="AP125" s="177">
        <f>AP124*HE_prescribed_parameters!AM$13</f>
        <v>0</v>
      </c>
      <c r="AQ125" s="177">
        <f>AQ124*HE_prescribed_parameters!AN$13</f>
        <v>0</v>
      </c>
      <c r="AR125" s="177">
        <f>AR124*HE_prescribed_parameters!AO$13</f>
        <v>0</v>
      </c>
      <c r="AS125" s="177">
        <f>AS124*HE_prescribed_parameters!AP$13</f>
        <v>0</v>
      </c>
      <c r="AT125" s="177">
        <f>AT124*HE_prescribed_parameters!AQ$13</f>
        <v>0</v>
      </c>
      <c r="AU125" s="177">
        <f>AU124*HE_prescribed_parameters!AR$13</f>
        <v>0</v>
      </c>
      <c r="AV125" s="177">
        <f>AV124*HE_prescribed_parameters!AS$13</f>
        <v>0</v>
      </c>
      <c r="AW125" s="177">
        <f>AW124*HE_prescribed_parameters!AT$13</f>
        <v>0</v>
      </c>
      <c r="AX125" s="177">
        <f>AX124*HE_prescribed_parameters!AU$13</f>
        <v>0</v>
      </c>
      <c r="AY125" s="177">
        <f>AY124*HE_prescribed_parameters!AV$13</f>
        <v>0</v>
      </c>
      <c r="AZ125" s="177">
        <f>AZ124*HE_prescribed_parameters!AW$13</f>
        <v>0</v>
      </c>
      <c r="BA125" s="177">
        <f>BA124*HE_prescribed_parameters!AX$13</f>
        <v>0</v>
      </c>
      <c r="BB125" s="177">
        <f>BB124*HE_prescribed_parameters!AY$13</f>
        <v>0</v>
      </c>
    </row>
    <row r="126" spans="1:54" s="22" customFormat="1" ht="14.25" customHeight="1" x14ac:dyDescent="0.25">
      <c r="A126" s="6"/>
      <c r="B126" s="172" t="s">
        <v>36</v>
      </c>
      <c r="C126" s="186">
        <f>-SUM(E125:BB125)</f>
        <v>0</v>
      </c>
      <c r="D126" s="817"/>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row>
    <row r="128" spans="1:54" s="30" customFormat="1" ht="12.75" customHeight="1" x14ac:dyDescent="0.2">
      <c r="A128" s="21"/>
      <c r="B128" s="6"/>
      <c r="C128" s="1160"/>
      <c r="D128" s="1160"/>
      <c r="E128" s="1161"/>
      <c r="F128" s="25"/>
      <c r="G128" s="1161"/>
      <c r="H128" s="1161"/>
      <c r="I128" s="1160"/>
      <c r="J128" s="21"/>
    </row>
    <row r="129" spans="1:54" s="1164" customFormat="1" ht="12.75" customHeight="1" x14ac:dyDescent="0.25">
      <c r="A129" s="1196"/>
      <c r="B129" s="1162"/>
      <c r="C129" s="1162"/>
      <c r="D129" s="1162"/>
      <c r="E129" s="1163"/>
      <c r="F129" s="1163"/>
      <c r="G129" s="1163"/>
      <c r="H129" s="1163"/>
      <c r="I129" s="1163"/>
      <c r="J129" s="1163"/>
      <c r="K129" s="1163"/>
      <c r="L129" s="1163"/>
      <c r="M129" s="1163"/>
      <c r="N129" s="1163"/>
      <c r="O129" s="1163"/>
      <c r="P129" s="1163"/>
      <c r="Q129" s="1163"/>
      <c r="R129" s="1163"/>
      <c r="S129" s="1163"/>
      <c r="T129" s="1163"/>
      <c r="U129" s="1163"/>
      <c r="V129" s="1163"/>
      <c r="W129" s="1163"/>
      <c r="X129" s="1163"/>
      <c r="Y129" s="1163"/>
      <c r="Z129" s="1163"/>
      <c r="AA129" s="1163"/>
      <c r="AB129" s="1163"/>
      <c r="AC129" s="1163"/>
      <c r="AD129" s="1163"/>
      <c r="AE129" s="1163"/>
      <c r="AF129" s="1163"/>
      <c r="AG129" s="1163"/>
      <c r="AH129" s="1163"/>
      <c r="AI129" s="1163"/>
      <c r="AJ129" s="1163"/>
      <c r="AK129" s="1163"/>
      <c r="AL129" s="1163"/>
      <c r="AM129" s="1163"/>
      <c r="AN129" s="1163"/>
      <c r="AO129" s="1163"/>
      <c r="AP129" s="1163"/>
      <c r="AQ129" s="1163"/>
      <c r="AR129" s="1163"/>
      <c r="AS129" s="1163"/>
      <c r="AT129" s="1163"/>
      <c r="AU129" s="1163"/>
      <c r="AV129" s="1163"/>
      <c r="AW129" s="1163"/>
      <c r="AX129" s="1163"/>
      <c r="AY129" s="1163"/>
      <c r="AZ129" s="1163"/>
      <c r="BA129" s="1163"/>
      <c r="BB129" s="1163"/>
    </row>
    <row r="130" spans="1:54" s="801" customFormat="1" ht="12.75" customHeight="1" x14ac:dyDescent="0.25">
      <c r="A130" s="853"/>
      <c r="B130" s="812" t="s">
        <v>1554</v>
      </c>
      <c r="C130" s="798"/>
      <c r="D130" s="798"/>
      <c r="E130" s="798"/>
      <c r="F130" s="799"/>
      <c r="G130" s="800"/>
      <c r="H130" s="800"/>
      <c r="I130" s="797"/>
      <c r="J130" s="797"/>
    </row>
    <row r="131" spans="1:54" s="18" customFormat="1" ht="12.75" customHeight="1" x14ac:dyDescent="0.2">
      <c r="A131" s="15"/>
      <c r="B131"/>
      <c r="C131"/>
      <c r="D131"/>
      <c r="E131"/>
      <c r="F131" s="27"/>
      <c r="G131" s="19"/>
      <c r="H131" s="19"/>
      <c r="I131" s="19"/>
      <c r="J131" s="19"/>
      <c r="K131" s="19"/>
      <c r="L131" s="19"/>
      <c r="M131" s="19"/>
      <c r="N131" s="19"/>
    </row>
    <row r="132" spans="1:54" s="18" customFormat="1" ht="12.75" customHeight="1" x14ac:dyDescent="0.2">
      <c r="A132" s="15"/>
      <c r="B132" s="1325" t="s">
        <v>4</v>
      </c>
      <c r="C132" s="1324" t="s">
        <v>142</v>
      </c>
      <c r="D132" s="1323" t="s">
        <v>355</v>
      </c>
      <c r="E132" s="795" t="s">
        <v>2</v>
      </c>
      <c r="F132" s="796"/>
      <c r="G132" s="796"/>
      <c r="H132" s="796"/>
      <c r="I132" s="796"/>
      <c r="J132" s="796"/>
      <c r="K132" s="796"/>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row>
    <row r="133" spans="1:54" s="18" customFormat="1" ht="12.75" customHeight="1" x14ac:dyDescent="0.2">
      <c r="A133" s="15"/>
      <c r="B133" s="1325"/>
      <c r="C133" s="1324"/>
      <c r="D133" s="1323"/>
      <c r="E133" s="285">
        <f>HE_CY</f>
        <v>2025</v>
      </c>
      <c r="F133" s="285">
        <f>E133+1</f>
        <v>2026</v>
      </c>
      <c r="G133" s="285">
        <f t="shared" ref="G133:BB133" si="66">F133+1</f>
        <v>2027</v>
      </c>
      <c r="H133" s="285">
        <f t="shared" si="66"/>
        <v>2028</v>
      </c>
      <c r="I133" s="285">
        <f t="shared" si="66"/>
        <v>2029</v>
      </c>
      <c r="J133" s="285">
        <f t="shared" si="66"/>
        <v>2030</v>
      </c>
      <c r="K133" s="285">
        <f t="shared" si="66"/>
        <v>2031</v>
      </c>
      <c r="L133" s="285">
        <f t="shared" si="66"/>
        <v>2032</v>
      </c>
      <c r="M133" s="285">
        <f t="shared" si="66"/>
        <v>2033</v>
      </c>
      <c r="N133" s="285">
        <f t="shared" si="66"/>
        <v>2034</v>
      </c>
      <c r="O133" s="285">
        <f t="shared" si="66"/>
        <v>2035</v>
      </c>
      <c r="P133" s="285">
        <f t="shared" si="66"/>
        <v>2036</v>
      </c>
      <c r="Q133" s="285">
        <f t="shared" si="66"/>
        <v>2037</v>
      </c>
      <c r="R133" s="285">
        <f t="shared" si="66"/>
        <v>2038</v>
      </c>
      <c r="S133" s="285">
        <f t="shared" si="66"/>
        <v>2039</v>
      </c>
      <c r="T133" s="285">
        <f t="shared" si="66"/>
        <v>2040</v>
      </c>
      <c r="U133" s="285">
        <f t="shared" si="66"/>
        <v>2041</v>
      </c>
      <c r="V133" s="285">
        <f t="shared" si="66"/>
        <v>2042</v>
      </c>
      <c r="W133" s="285">
        <f t="shared" si="66"/>
        <v>2043</v>
      </c>
      <c r="X133" s="285">
        <f t="shared" si="66"/>
        <v>2044</v>
      </c>
      <c r="Y133" s="285">
        <f t="shared" si="66"/>
        <v>2045</v>
      </c>
      <c r="Z133" s="285">
        <f t="shared" si="66"/>
        <v>2046</v>
      </c>
      <c r="AA133" s="285">
        <f t="shared" si="66"/>
        <v>2047</v>
      </c>
      <c r="AB133" s="285">
        <f t="shared" si="66"/>
        <v>2048</v>
      </c>
      <c r="AC133" s="285">
        <f t="shared" si="66"/>
        <v>2049</v>
      </c>
      <c r="AD133" s="285">
        <f t="shared" si="66"/>
        <v>2050</v>
      </c>
      <c r="AE133" s="285">
        <f t="shared" si="66"/>
        <v>2051</v>
      </c>
      <c r="AF133" s="285">
        <f t="shared" si="66"/>
        <v>2052</v>
      </c>
      <c r="AG133" s="285">
        <f t="shared" si="66"/>
        <v>2053</v>
      </c>
      <c r="AH133" s="285">
        <f t="shared" si="66"/>
        <v>2054</v>
      </c>
      <c r="AI133" s="285">
        <f t="shared" si="66"/>
        <v>2055</v>
      </c>
      <c r="AJ133" s="285">
        <f t="shared" si="66"/>
        <v>2056</v>
      </c>
      <c r="AK133" s="285">
        <f t="shared" si="66"/>
        <v>2057</v>
      </c>
      <c r="AL133" s="285">
        <f t="shared" si="66"/>
        <v>2058</v>
      </c>
      <c r="AM133" s="285">
        <f t="shared" si="66"/>
        <v>2059</v>
      </c>
      <c r="AN133" s="285">
        <f t="shared" si="66"/>
        <v>2060</v>
      </c>
      <c r="AO133" s="285">
        <f t="shared" si="66"/>
        <v>2061</v>
      </c>
      <c r="AP133" s="285">
        <f t="shared" si="66"/>
        <v>2062</v>
      </c>
      <c r="AQ133" s="285">
        <f t="shared" si="66"/>
        <v>2063</v>
      </c>
      <c r="AR133" s="285">
        <f t="shared" si="66"/>
        <v>2064</v>
      </c>
      <c r="AS133" s="285">
        <f t="shared" si="66"/>
        <v>2065</v>
      </c>
      <c r="AT133" s="285">
        <f t="shared" si="66"/>
        <v>2066</v>
      </c>
      <c r="AU133" s="285">
        <f t="shared" si="66"/>
        <v>2067</v>
      </c>
      <c r="AV133" s="285">
        <f t="shared" si="66"/>
        <v>2068</v>
      </c>
      <c r="AW133" s="285">
        <f t="shared" si="66"/>
        <v>2069</v>
      </c>
      <c r="AX133" s="285">
        <f t="shared" si="66"/>
        <v>2070</v>
      </c>
      <c r="AY133" s="285">
        <f t="shared" si="66"/>
        <v>2071</v>
      </c>
      <c r="AZ133" s="285">
        <f t="shared" si="66"/>
        <v>2072</v>
      </c>
      <c r="BA133" s="285">
        <f t="shared" si="66"/>
        <v>2073</v>
      </c>
      <c r="BB133" s="431">
        <f t="shared" si="66"/>
        <v>2074</v>
      </c>
    </row>
    <row r="134" spans="1:54" s="18" customFormat="1" ht="12.75" customHeight="1" x14ac:dyDescent="0.2">
      <c r="A134" s="15"/>
      <c r="B134" s="1325"/>
      <c r="C134" s="1324"/>
      <c r="D134" s="1323"/>
      <c r="E134" s="285">
        <v>1</v>
      </c>
      <c r="F134" s="285">
        <v>2</v>
      </c>
      <c r="G134" s="285">
        <v>3</v>
      </c>
      <c r="H134" s="285">
        <v>4</v>
      </c>
      <c r="I134" s="285">
        <v>5</v>
      </c>
      <c r="J134" s="285">
        <v>6</v>
      </c>
      <c r="K134" s="285">
        <v>7</v>
      </c>
      <c r="L134" s="285">
        <v>8</v>
      </c>
      <c r="M134" s="285">
        <v>9</v>
      </c>
      <c r="N134" s="285">
        <v>10</v>
      </c>
      <c r="O134" s="285">
        <v>11</v>
      </c>
      <c r="P134" s="285">
        <v>12</v>
      </c>
      <c r="Q134" s="285">
        <v>13</v>
      </c>
      <c r="R134" s="285">
        <v>14</v>
      </c>
      <c r="S134" s="285">
        <v>15</v>
      </c>
      <c r="T134" s="285">
        <v>16</v>
      </c>
      <c r="U134" s="285">
        <v>17</v>
      </c>
      <c r="V134" s="285">
        <v>18</v>
      </c>
      <c r="W134" s="285">
        <v>19</v>
      </c>
      <c r="X134" s="285">
        <v>20</v>
      </c>
      <c r="Y134" s="285">
        <v>21</v>
      </c>
      <c r="Z134" s="285">
        <v>22</v>
      </c>
      <c r="AA134" s="285">
        <v>23</v>
      </c>
      <c r="AB134" s="285">
        <v>24</v>
      </c>
      <c r="AC134" s="285">
        <v>25</v>
      </c>
      <c r="AD134" s="285">
        <v>26</v>
      </c>
      <c r="AE134" s="285">
        <v>27</v>
      </c>
      <c r="AF134" s="285">
        <v>28</v>
      </c>
      <c r="AG134" s="285">
        <v>29</v>
      </c>
      <c r="AH134" s="285">
        <v>30</v>
      </c>
      <c r="AI134" s="285">
        <v>31</v>
      </c>
      <c r="AJ134" s="285">
        <v>32</v>
      </c>
      <c r="AK134" s="285">
        <v>33</v>
      </c>
      <c r="AL134" s="285">
        <v>34</v>
      </c>
      <c r="AM134" s="285">
        <v>35</v>
      </c>
      <c r="AN134" s="285">
        <v>36</v>
      </c>
      <c r="AO134" s="285">
        <v>37</v>
      </c>
      <c r="AP134" s="285">
        <v>38</v>
      </c>
      <c r="AQ134" s="285">
        <v>39</v>
      </c>
      <c r="AR134" s="285">
        <v>40</v>
      </c>
      <c r="AS134" s="285">
        <v>41</v>
      </c>
      <c r="AT134" s="285">
        <v>42</v>
      </c>
      <c r="AU134" s="285">
        <v>43</v>
      </c>
      <c r="AV134" s="285">
        <v>44</v>
      </c>
      <c r="AW134" s="285">
        <v>45</v>
      </c>
      <c r="AX134" s="285">
        <v>46</v>
      </c>
      <c r="AY134" s="285">
        <v>47</v>
      </c>
      <c r="AZ134" s="285">
        <v>48</v>
      </c>
      <c r="BA134" s="285">
        <v>49</v>
      </c>
      <c r="BB134" s="431">
        <v>50</v>
      </c>
    </row>
    <row r="135" spans="1:54" s="41" customFormat="1" ht="12.75" customHeight="1" x14ac:dyDescent="0.2">
      <c r="A135" s="1197"/>
      <c r="B135" s="802" t="str">
        <f>B39</f>
        <v>Prämien - Alle Produktegruppen</v>
      </c>
      <c r="C135" s="807">
        <f>SUM(E135:BB135)</f>
        <v>0</v>
      </c>
      <c r="D135" s="1198" t="s">
        <v>356</v>
      </c>
      <c r="E135" s="804">
        <f t="shared" ref="E135:BB135" si="67">E39</f>
        <v>0</v>
      </c>
      <c r="F135" s="805">
        <f t="shared" si="67"/>
        <v>0</v>
      </c>
      <c r="G135" s="806">
        <f t="shared" si="67"/>
        <v>0</v>
      </c>
      <c r="H135" s="807">
        <f t="shared" si="67"/>
        <v>0</v>
      </c>
      <c r="I135" s="807">
        <f t="shared" si="67"/>
        <v>0</v>
      </c>
      <c r="J135" s="807">
        <f t="shared" si="67"/>
        <v>0</v>
      </c>
      <c r="K135" s="807">
        <f t="shared" si="67"/>
        <v>0</v>
      </c>
      <c r="L135" s="807">
        <f t="shared" si="67"/>
        <v>0</v>
      </c>
      <c r="M135" s="807">
        <f t="shared" si="67"/>
        <v>0</v>
      </c>
      <c r="N135" s="807">
        <f t="shared" si="67"/>
        <v>0</v>
      </c>
      <c r="O135" s="807">
        <f t="shared" si="67"/>
        <v>0</v>
      </c>
      <c r="P135" s="807">
        <f t="shared" si="67"/>
        <v>0</v>
      </c>
      <c r="Q135" s="807">
        <f t="shared" si="67"/>
        <v>0</v>
      </c>
      <c r="R135" s="807">
        <f t="shared" si="67"/>
        <v>0</v>
      </c>
      <c r="S135" s="807">
        <f t="shared" si="67"/>
        <v>0</v>
      </c>
      <c r="T135" s="807">
        <f t="shared" si="67"/>
        <v>0</v>
      </c>
      <c r="U135" s="807">
        <f t="shared" si="67"/>
        <v>0</v>
      </c>
      <c r="V135" s="807">
        <f t="shared" si="67"/>
        <v>0</v>
      </c>
      <c r="W135" s="807">
        <f t="shared" si="67"/>
        <v>0</v>
      </c>
      <c r="X135" s="807">
        <f t="shared" si="67"/>
        <v>0</v>
      </c>
      <c r="Y135" s="807">
        <f t="shared" si="67"/>
        <v>0</v>
      </c>
      <c r="Z135" s="807">
        <f t="shared" si="67"/>
        <v>0</v>
      </c>
      <c r="AA135" s="807">
        <f t="shared" si="67"/>
        <v>0</v>
      </c>
      <c r="AB135" s="807">
        <f t="shared" si="67"/>
        <v>0</v>
      </c>
      <c r="AC135" s="807">
        <f t="shared" si="67"/>
        <v>0</v>
      </c>
      <c r="AD135" s="807">
        <f t="shared" si="67"/>
        <v>0</v>
      </c>
      <c r="AE135" s="807">
        <f t="shared" si="67"/>
        <v>0</v>
      </c>
      <c r="AF135" s="807">
        <f t="shared" si="67"/>
        <v>0</v>
      </c>
      <c r="AG135" s="807">
        <f t="shared" si="67"/>
        <v>0</v>
      </c>
      <c r="AH135" s="807">
        <f t="shared" si="67"/>
        <v>0</v>
      </c>
      <c r="AI135" s="807">
        <f t="shared" si="67"/>
        <v>0</v>
      </c>
      <c r="AJ135" s="807">
        <f t="shared" si="67"/>
        <v>0</v>
      </c>
      <c r="AK135" s="807">
        <f t="shared" si="67"/>
        <v>0</v>
      </c>
      <c r="AL135" s="807">
        <f t="shared" si="67"/>
        <v>0</v>
      </c>
      <c r="AM135" s="807">
        <f t="shared" si="67"/>
        <v>0</v>
      </c>
      <c r="AN135" s="807">
        <f t="shared" si="67"/>
        <v>0</v>
      </c>
      <c r="AO135" s="807">
        <f t="shared" si="67"/>
        <v>0</v>
      </c>
      <c r="AP135" s="807">
        <f t="shared" si="67"/>
        <v>0</v>
      </c>
      <c r="AQ135" s="807">
        <f t="shared" si="67"/>
        <v>0</v>
      </c>
      <c r="AR135" s="807">
        <f t="shared" si="67"/>
        <v>0</v>
      </c>
      <c r="AS135" s="807">
        <f t="shared" si="67"/>
        <v>0</v>
      </c>
      <c r="AT135" s="807">
        <f t="shared" si="67"/>
        <v>0</v>
      </c>
      <c r="AU135" s="807">
        <f t="shared" si="67"/>
        <v>0</v>
      </c>
      <c r="AV135" s="807">
        <f t="shared" si="67"/>
        <v>0</v>
      </c>
      <c r="AW135" s="807">
        <f t="shared" si="67"/>
        <v>0</v>
      </c>
      <c r="AX135" s="807">
        <f t="shared" si="67"/>
        <v>0</v>
      </c>
      <c r="AY135" s="807">
        <f t="shared" si="67"/>
        <v>0</v>
      </c>
      <c r="AZ135" s="807">
        <f t="shared" si="67"/>
        <v>0</v>
      </c>
      <c r="BA135" s="807">
        <f t="shared" si="67"/>
        <v>0</v>
      </c>
      <c r="BB135" s="807">
        <f t="shared" si="67"/>
        <v>0</v>
      </c>
    </row>
    <row r="136" spans="1:54" s="41" customFormat="1" ht="12.75" customHeight="1" x14ac:dyDescent="0.2">
      <c r="A136" s="1197"/>
      <c r="B136" s="803" t="str">
        <f>B73</f>
        <v>Leistungen + Verwaltungskosten - Alle Produktegruppen</v>
      </c>
      <c r="C136" s="810">
        <f t="shared" ref="C136:C161" si="68">SUM(E136:BB136)</f>
        <v>0</v>
      </c>
      <c r="D136" s="1198" t="s">
        <v>357</v>
      </c>
      <c r="E136" s="808">
        <f t="shared" ref="E136:BB136" si="69">E73</f>
        <v>0</v>
      </c>
      <c r="F136" s="809">
        <f t="shared" si="69"/>
        <v>0</v>
      </c>
      <c r="G136" s="810">
        <f t="shared" si="69"/>
        <v>0</v>
      </c>
      <c r="H136" s="810">
        <f t="shared" si="69"/>
        <v>0</v>
      </c>
      <c r="I136" s="810">
        <f t="shared" si="69"/>
        <v>0</v>
      </c>
      <c r="J136" s="810">
        <f t="shared" si="69"/>
        <v>0</v>
      </c>
      <c r="K136" s="810">
        <f t="shared" si="69"/>
        <v>0</v>
      </c>
      <c r="L136" s="810">
        <f t="shared" si="69"/>
        <v>0</v>
      </c>
      <c r="M136" s="810">
        <f t="shared" si="69"/>
        <v>0</v>
      </c>
      <c r="N136" s="810">
        <f t="shared" si="69"/>
        <v>0</v>
      </c>
      <c r="O136" s="810">
        <f t="shared" si="69"/>
        <v>0</v>
      </c>
      <c r="P136" s="810">
        <f t="shared" si="69"/>
        <v>0</v>
      </c>
      <c r="Q136" s="810">
        <f t="shared" si="69"/>
        <v>0</v>
      </c>
      <c r="R136" s="810">
        <f t="shared" si="69"/>
        <v>0</v>
      </c>
      <c r="S136" s="810">
        <f t="shared" si="69"/>
        <v>0</v>
      </c>
      <c r="T136" s="810">
        <f t="shared" si="69"/>
        <v>0</v>
      </c>
      <c r="U136" s="810">
        <f t="shared" si="69"/>
        <v>0</v>
      </c>
      <c r="V136" s="810">
        <f t="shared" si="69"/>
        <v>0</v>
      </c>
      <c r="W136" s="810">
        <f t="shared" si="69"/>
        <v>0</v>
      </c>
      <c r="X136" s="810">
        <f t="shared" si="69"/>
        <v>0</v>
      </c>
      <c r="Y136" s="810">
        <f t="shared" si="69"/>
        <v>0</v>
      </c>
      <c r="Z136" s="810">
        <f t="shared" si="69"/>
        <v>0</v>
      </c>
      <c r="AA136" s="810">
        <f t="shared" si="69"/>
        <v>0</v>
      </c>
      <c r="AB136" s="810">
        <f t="shared" si="69"/>
        <v>0</v>
      </c>
      <c r="AC136" s="810">
        <f t="shared" si="69"/>
        <v>0</v>
      </c>
      <c r="AD136" s="810">
        <f t="shared" si="69"/>
        <v>0</v>
      </c>
      <c r="AE136" s="810">
        <f t="shared" si="69"/>
        <v>0</v>
      </c>
      <c r="AF136" s="810">
        <f t="shared" si="69"/>
        <v>0</v>
      </c>
      <c r="AG136" s="810">
        <f t="shared" si="69"/>
        <v>0</v>
      </c>
      <c r="AH136" s="810">
        <f t="shared" si="69"/>
        <v>0</v>
      </c>
      <c r="AI136" s="810">
        <f t="shared" si="69"/>
        <v>0</v>
      </c>
      <c r="AJ136" s="810">
        <f t="shared" si="69"/>
        <v>0</v>
      </c>
      <c r="AK136" s="810">
        <f t="shared" si="69"/>
        <v>0</v>
      </c>
      <c r="AL136" s="810">
        <f t="shared" si="69"/>
        <v>0</v>
      </c>
      <c r="AM136" s="810">
        <f t="shared" si="69"/>
        <v>0</v>
      </c>
      <c r="AN136" s="810">
        <f t="shared" si="69"/>
        <v>0</v>
      </c>
      <c r="AO136" s="810">
        <f t="shared" si="69"/>
        <v>0</v>
      </c>
      <c r="AP136" s="810">
        <f t="shared" si="69"/>
        <v>0</v>
      </c>
      <c r="AQ136" s="810">
        <f t="shared" si="69"/>
        <v>0</v>
      </c>
      <c r="AR136" s="810">
        <f t="shared" si="69"/>
        <v>0</v>
      </c>
      <c r="AS136" s="810">
        <f t="shared" si="69"/>
        <v>0</v>
      </c>
      <c r="AT136" s="810">
        <f t="shared" si="69"/>
        <v>0</v>
      </c>
      <c r="AU136" s="810">
        <f t="shared" si="69"/>
        <v>0</v>
      </c>
      <c r="AV136" s="810">
        <f t="shared" si="69"/>
        <v>0</v>
      </c>
      <c r="AW136" s="810">
        <f t="shared" si="69"/>
        <v>0</v>
      </c>
      <c r="AX136" s="810">
        <f t="shared" si="69"/>
        <v>0</v>
      </c>
      <c r="AY136" s="810">
        <f t="shared" si="69"/>
        <v>0</v>
      </c>
      <c r="AZ136" s="810">
        <f t="shared" si="69"/>
        <v>0</v>
      </c>
      <c r="BA136" s="810">
        <f t="shared" si="69"/>
        <v>0</v>
      </c>
      <c r="BB136" s="810">
        <f t="shared" si="69"/>
        <v>0</v>
      </c>
    </row>
    <row r="137" spans="1:54" s="41" customFormat="1" ht="12.75" customHeight="1" x14ac:dyDescent="0.2">
      <c r="A137" s="1197"/>
      <c r="B137" s="820" t="s">
        <v>148</v>
      </c>
      <c r="C137" s="823">
        <f t="shared" si="68"/>
        <v>0</v>
      </c>
      <c r="D137" s="1199" t="s">
        <v>358</v>
      </c>
      <c r="E137" s="821">
        <v>0</v>
      </c>
      <c r="F137" s="822">
        <v>0</v>
      </c>
      <c r="G137" s="823">
        <v>0</v>
      </c>
      <c r="H137" s="823">
        <v>0</v>
      </c>
      <c r="I137" s="823">
        <v>0</v>
      </c>
      <c r="J137" s="823">
        <v>0</v>
      </c>
      <c r="K137" s="823">
        <v>0</v>
      </c>
      <c r="L137" s="823">
        <v>0</v>
      </c>
      <c r="M137" s="823">
        <v>0</v>
      </c>
      <c r="N137" s="823">
        <v>0</v>
      </c>
      <c r="O137" s="823">
        <v>0</v>
      </c>
      <c r="P137" s="823">
        <v>0</v>
      </c>
      <c r="Q137" s="823">
        <v>0</v>
      </c>
      <c r="R137" s="823">
        <v>0</v>
      </c>
      <c r="S137" s="823">
        <v>0</v>
      </c>
      <c r="T137" s="823">
        <v>0</v>
      </c>
      <c r="U137" s="823">
        <v>0</v>
      </c>
      <c r="V137" s="823">
        <v>0</v>
      </c>
      <c r="W137" s="823">
        <v>0</v>
      </c>
      <c r="X137" s="823">
        <v>0</v>
      </c>
      <c r="Y137" s="823">
        <v>0</v>
      </c>
      <c r="Z137" s="823">
        <v>0</v>
      </c>
      <c r="AA137" s="823">
        <v>0</v>
      </c>
      <c r="AB137" s="823">
        <v>0</v>
      </c>
      <c r="AC137" s="823">
        <v>0</v>
      </c>
      <c r="AD137" s="823">
        <v>0</v>
      </c>
      <c r="AE137" s="823">
        <v>0</v>
      </c>
      <c r="AF137" s="823">
        <v>0</v>
      </c>
      <c r="AG137" s="823">
        <v>0</v>
      </c>
      <c r="AH137" s="823">
        <v>0</v>
      </c>
      <c r="AI137" s="823">
        <v>0</v>
      </c>
      <c r="AJ137" s="823">
        <v>0</v>
      </c>
      <c r="AK137" s="823">
        <v>0</v>
      </c>
      <c r="AL137" s="823">
        <v>0</v>
      </c>
      <c r="AM137" s="823">
        <v>0</v>
      </c>
      <c r="AN137" s="823">
        <v>0</v>
      </c>
      <c r="AO137" s="823">
        <v>0</v>
      </c>
      <c r="AP137" s="823">
        <v>0</v>
      </c>
      <c r="AQ137" s="823">
        <v>0</v>
      </c>
      <c r="AR137" s="823">
        <v>0</v>
      </c>
      <c r="AS137" s="823">
        <v>0</v>
      </c>
      <c r="AT137" s="823">
        <v>0</v>
      </c>
      <c r="AU137" s="823">
        <v>0</v>
      </c>
      <c r="AV137" s="823">
        <v>0</v>
      </c>
      <c r="AW137" s="823">
        <v>0</v>
      </c>
      <c r="AX137" s="823">
        <v>0</v>
      </c>
      <c r="AY137" s="823">
        <v>0</v>
      </c>
      <c r="AZ137" s="823">
        <v>0</v>
      </c>
      <c r="BA137" s="823">
        <v>0</v>
      </c>
      <c r="BB137" s="823">
        <v>0</v>
      </c>
    </row>
    <row r="138" spans="1:54" s="30" customFormat="1" ht="12.75" customHeight="1" x14ac:dyDescent="0.2">
      <c r="A138" s="1160"/>
      <c r="B138" s="818" t="str">
        <f>B$80&amp;" - "&amp;B81</f>
        <v>PG 1: Stationäre Produkte: Halbprivat, Privat, Flex - Gesamt ohne Prämien-Cap</v>
      </c>
      <c r="C138" s="819">
        <f t="shared" si="68"/>
        <v>0</v>
      </c>
      <c r="D138" s="1200" t="s">
        <v>359</v>
      </c>
      <c r="E138" s="824">
        <f>E81</f>
        <v>0</v>
      </c>
      <c r="F138" s="824">
        <f t="shared" ref="F138:BB138" si="70">F81</f>
        <v>0</v>
      </c>
      <c r="G138" s="824">
        <f t="shared" si="70"/>
        <v>0</v>
      </c>
      <c r="H138" s="824">
        <f t="shared" si="70"/>
        <v>0</v>
      </c>
      <c r="I138" s="824">
        <f t="shared" si="70"/>
        <v>0</v>
      </c>
      <c r="J138" s="824">
        <f t="shared" si="70"/>
        <v>0</v>
      </c>
      <c r="K138" s="824">
        <f t="shared" si="70"/>
        <v>0</v>
      </c>
      <c r="L138" s="824">
        <f t="shared" si="70"/>
        <v>0</v>
      </c>
      <c r="M138" s="824">
        <f t="shared" si="70"/>
        <v>0</v>
      </c>
      <c r="N138" s="824">
        <f t="shared" si="70"/>
        <v>0</v>
      </c>
      <c r="O138" s="824">
        <f t="shared" si="70"/>
        <v>0</v>
      </c>
      <c r="P138" s="824">
        <f t="shared" si="70"/>
        <v>0</v>
      </c>
      <c r="Q138" s="824">
        <f t="shared" si="70"/>
        <v>0</v>
      </c>
      <c r="R138" s="824">
        <f t="shared" si="70"/>
        <v>0</v>
      </c>
      <c r="S138" s="824">
        <f t="shared" si="70"/>
        <v>0</v>
      </c>
      <c r="T138" s="824">
        <f t="shared" si="70"/>
        <v>0</v>
      </c>
      <c r="U138" s="824">
        <f t="shared" si="70"/>
        <v>0</v>
      </c>
      <c r="V138" s="824">
        <f t="shared" si="70"/>
        <v>0</v>
      </c>
      <c r="W138" s="824">
        <f t="shared" si="70"/>
        <v>0</v>
      </c>
      <c r="X138" s="824">
        <f t="shared" si="70"/>
        <v>0</v>
      </c>
      <c r="Y138" s="824">
        <f t="shared" si="70"/>
        <v>0</v>
      </c>
      <c r="Z138" s="824">
        <f t="shared" si="70"/>
        <v>0</v>
      </c>
      <c r="AA138" s="824">
        <f t="shared" si="70"/>
        <v>0</v>
      </c>
      <c r="AB138" s="824">
        <f t="shared" si="70"/>
        <v>0</v>
      </c>
      <c r="AC138" s="824">
        <f t="shared" si="70"/>
        <v>0</v>
      </c>
      <c r="AD138" s="824">
        <f t="shared" si="70"/>
        <v>0</v>
      </c>
      <c r="AE138" s="824">
        <f t="shared" si="70"/>
        <v>0</v>
      </c>
      <c r="AF138" s="824">
        <f t="shared" si="70"/>
        <v>0</v>
      </c>
      <c r="AG138" s="824">
        <f t="shared" si="70"/>
        <v>0</v>
      </c>
      <c r="AH138" s="824">
        <f t="shared" si="70"/>
        <v>0</v>
      </c>
      <c r="AI138" s="824">
        <f t="shared" si="70"/>
        <v>0</v>
      </c>
      <c r="AJ138" s="824">
        <f t="shared" si="70"/>
        <v>0</v>
      </c>
      <c r="AK138" s="824">
        <f t="shared" si="70"/>
        <v>0</v>
      </c>
      <c r="AL138" s="824">
        <f t="shared" si="70"/>
        <v>0</v>
      </c>
      <c r="AM138" s="824">
        <f t="shared" si="70"/>
        <v>0</v>
      </c>
      <c r="AN138" s="824">
        <f t="shared" si="70"/>
        <v>0</v>
      </c>
      <c r="AO138" s="824">
        <f t="shared" si="70"/>
        <v>0</v>
      </c>
      <c r="AP138" s="824">
        <f t="shared" si="70"/>
        <v>0</v>
      </c>
      <c r="AQ138" s="824">
        <f t="shared" si="70"/>
        <v>0</v>
      </c>
      <c r="AR138" s="824">
        <f t="shared" si="70"/>
        <v>0</v>
      </c>
      <c r="AS138" s="824">
        <f t="shared" si="70"/>
        <v>0</v>
      </c>
      <c r="AT138" s="824">
        <f t="shared" si="70"/>
        <v>0</v>
      </c>
      <c r="AU138" s="824">
        <f t="shared" si="70"/>
        <v>0</v>
      </c>
      <c r="AV138" s="824">
        <f t="shared" si="70"/>
        <v>0</v>
      </c>
      <c r="AW138" s="824">
        <f t="shared" si="70"/>
        <v>0</v>
      </c>
      <c r="AX138" s="824">
        <f t="shared" si="70"/>
        <v>0</v>
      </c>
      <c r="AY138" s="824">
        <f t="shared" si="70"/>
        <v>0</v>
      </c>
      <c r="AZ138" s="824">
        <f t="shared" si="70"/>
        <v>0</v>
      </c>
      <c r="BA138" s="824">
        <f t="shared" si="70"/>
        <v>0</v>
      </c>
      <c r="BB138" s="824">
        <f t="shared" si="70"/>
        <v>0</v>
      </c>
    </row>
    <row r="139" spans="1:54" s="30" customFormat="1" ht="12.75" customHeight="1" x14ac:dyDescent="0.2">
      <c r="A139" s="1160"/>
      <c r="B139" s="73" t="str">
        <f>B$88&amp;" - "&amp;B89</f>
        <v>PG 2: Übrige Stationäre Produkte: Allgemein, Spitaltaggeld, etc. - Gesamt ohne Prämien-Cap</v>
      </c>
      <c r="C139" s="811">
        <f t="shared" si="68"/>
        <v>0</v>
      </c>
      <c r="D139" s="1203" t="s">
        <v>360</v>
      </c>
      <c r="E139" s="828">
        <f>E89</f>
        <v>0</v>
      </c>
      <c r="F139" s="828">
        <f t="shared" ref="F139:BB139" si="71">F89</f>
        <v>0</v>
      </c>
      <c r="G139" s="828">
        <f t="shared" si="71"/>
        <v>0</v>
      </c>
      <c r="H139" s="828">
        <f t="shared" si="71"/>
        <v>0</v>
      </c>
      <c r="I139" s="828">
        <f t="shared" si="71"/>
        <v>0</v>
      </c>
      <c r="J139" s="828">
        <f t="shared" si="71"/>
        <v>0</v>
      </c>
      <c r="K139" s="828">
        <f t="shared" si="71"/>
        <v>0</v>
      </c>
      <c r="L139" s="828">
        <f t="shared" si="71"/>
        <v>0</v>
      </c>
      <c r="M139" s="828">
        <f t="shared" si="71"/>
        <v>0</v>
      </c>
      <c r="N139" s="828">
        <f t="shared" si="71"/>
        <v>0</v>
      </c>
      <c r="O139" s="828">
        <f t="shared" si="71"/>
        <v>0</v>
      </c>
      <c r="P139" s="828">
        <f t="shared" si="71"/>
        <v>0</v>
      </c>
      <c r="Q139" s="828">
        <f t="shared" si="71"/>
        <v>0</v>
      </c>
      <c r="R139" s="828">
        <f t="shared" si="71"/>
        <v>0</v>
      </c>
      <c r="S139" s="828">
        <f t="shared" si="71"/>
        <v>0</v>
      </c>
      <c r="T139" s="828">
        <f t="shared" si="71"/>
        <v>0</v>
      </c>
      <c r="U139" s="828">
        <f t="shared" si="71"/>
        <v>0</v>
      </c>
      <c r="V139" s="828">
        <f t="shared" si="71"/>
        <v>0</v>
      </c>
      <c r="W139" s="828">
        <f t="shared" si="71"/>
        <v>0</v>
      </c>
      <c r="X139" s="828">
        <f t="shared" si="71"/>
        <v>0</v>
      </c>
      <c r="Y139" s="828">
        <f t="shared" si="71"/>
        <v>0</v>
      </c>
      <c r="Z139" s="828">
        <f t="shared" si="71"/>
        <v>0</v>
      </c>
      <c r="AA139" s="828">
        <f t="shared" si="71"/>
        <v>0</v>
      </c>
      <c r="AB139" s="828">
        <f t="shared" si="71"/>
        <v>0</v>
      </c>
      <c r="AC139" s="828">
        <f t="shared" si="71"/>
        <v>0</v>
      </c>
      <c r="AD139" s="828">
        <f t="shared" si="71"/>
        <v>0</v>
      </c>
      <c r="AE139" s="828">
        <f t="shared" si="71"/>
        <v>0</v>
      </c>
      <c r="AF139" s="828">
        <f t="shared" si="71"/>
        <v>0</v>
      </c>
      <c r="AG139" s="828">
        <f t="shared" si="71"/>
        <v>0</v>
      </c>
      <c r="AH139" s="828">
        <f t="shared" si="71"/>
        <v>0</v>
      </c>
      <c r="AI139" s="828">
        <f t="shared" si="71"/>
        <v>0</v>
      </c>
      <c r="AJ139" s="828">
        <f t="shared" si="71"/>
        <v>0</v>
      </c>
      <c r="AK139" s="828">
        <f t="shared" si="71"/>
        <v>0</v>
      </c>
      <c r="AL139" s="828">
        <f t="shared" si="71"/>
        <v>0</v>
      </c>
      <c r="AM139" s="828">
        <f t="shared" si="71"/>
        <v>0</v>
      </c>
      <c r="AN139" s="828">
        <f t="shared" si="71"/>
        <v>0</v>
      </c>
      <c r="AO139" s="828">
        <f t="shared" si="71"/>
        <v>0</v>
      </c>
      <c r="AP139" s="828">
        <f t="shared" si="71"/>
        <v>0</v>
      </c>
      <c r="AQ139" s="828">
        <f t="shared" si="71"/>
        <v>0</v>
      </c>
      <c r="AR139" s="828">
        <f t="shared" si="71"/>
        <v>0</v>
      </c>
      <c r="AS139" s="828">
        <f t="shared" si="71"/>
        <v>0</v>
      </c>
      <c r="AT139" s="828">
        <f t="shared" si="71"/>
        <v>0</v>
      </c>
      <c r="AU139" s="828">
        <f t="shared" si="71"/>
        <v>0</v>
      </c>
      <c r="AV139" s="828">
        <f t="shared" si="71"/>
        <v>0</v>
      </c>
      <c r="AW139" s="828">
        <f t="shared" si="71"/>
        <v>0</v>
      </c>
      <c r="AX139" s="828">
        <f t="shared" si="71"/>
        <v>0</v>
      </c>
      <c r="AY139" s="828">
        <f t="shared" si="71"/>
        <v>0</v>
      </c>
      <c r="AZ139" s="828">
        <f t="shared" si="71"/>
        <v>0</v>
      </c>
      <c r="BA139" s="828">
        <f t="shared" si="71"/>
        <v>0</v>
      </c>
      <c r="BB139" s="828">
        <f t="shared" si="71"/>
        <v>0</v>
      </c>
    </row>
    <row r="140" spans="1:54" s="30" customFormat="1" ht="12.75" customHeight="1" x14ac:dyDescent="0.2">
      <c r="A140" s="1160"/>
      <c r="B140" s="73" t="str">
        <f>B$96&amp;" - "&amp;B97</f>
        <v>PG 3: Ambulante Produkte - Gesamt ohne Prämien-Cap</v>
      </c>
      <c r="C140" s="811">
        <f t="shared" ref="C140" si="72">SUM(E140:BB140)</f>
        <v>0</v>
      </c>
      <c r="D140" s="1203" t="s">
        <v>361</v>
      </c>
      <c r="E140" s="828">
        <f>E97</f>
        <v>0</v>
      </c>
      <c r="F140" s="828">
        <f t="shared" ref="F140:BB140" si="73">F97</f>
        <v>0</v>
      </c>
      <c r="G140" s="828">
        <f t="shared" si="73"/>
        <v>0</v>
      </c>
      <c r="H140" s="828">
        <f t="shared" si="73"/>
        <v>0</v>
      </c>
      <c r="I140" s="828">
        <f t="shared" si="73"/>
        <v>0</v>
      </c>
      <c r="J140" s="828">
        <f t="shared" si="73"/>
        <v>0</v>
      </c>
      <c r="K140" s="828">
        <f t="shared" si="73"/>
        <v>0</v>
      </c>
      <c r="L140" s="828">
        <f t="shared" si="73"/>
        <v>0</v>
      </c>
      <c r="M140" s="828">
        <f t="shared" si="73"/>
        <v>0</v>
      </c>
      <c r="N140" s="828">
        <f t="shared" si="73"/>
        <v>0</v>
      </c>
      <c r="O140" s="828">
        <f t="shared" si="73"/>
        <v>0</v>
      </c>
      <c r="P140" s="828">
        <f t="shared" si="73"/>
        <v>0</v>
      </c>
      <c r="Q140" s="828">
        <f t="shared" si="73"/>
        <v>0</v>
      </c>
      <c r="R140" s="828">
        <f t="shared" si="73"/>
        <v>0</v>
      </c>
      <c r="S140" s="828">
        <f t="shared" si="73"/>
        <v>0</v>
      </c>
      <c r="T140" s="828">
        <f t="shared" si="73"/>
        <v>0</v>
      </c>
      <c r="U140" s="828">
        <f t="shared" si="73"/>
        <v>0</v>
      </c>
      <c r="V140" s="828">
        <f t="shared" si="73"/>
        <v>0</v>
      </c>
      <c r="W140" s="828">
        <f t="shared" si="73"/>
        <v>0</v>
      </c>
      <c r="X140" s="828">
        <f t="shared" si="73"/>
        <v>0</v>
      </c>
      <c r="Y140" s="828">
        <f t="shared" si="73"/>
        <v>0</v>
      </c>
      <c r="Z140" s="828">
        <f t="shared" si="73"/>
        <v>0</v>
      </c>
      <c r="AA140" s="828">
        <f t="shared" si="73"/>
        <v>0</v>
      </c>
      <c r="AB140" s="828">
        <f t="shared" si="73"/>
        <v>0</v>
      </c>
      <c r="AC140" s="828">
        <f t="shared" si="73"/>
        <v>0</v>
      </c>
      <c r="AD140" s="828">
        <f t="shared" si="73"/>
        <v>0</v>
      </c>
      <c r="AE140" s="828">
        <f t="shared" si="73"/>
        <v>0</v>
      </c>
      <c r="AF140" s="828">
        <f t="shared" si="73"/>
        <v>0</v>
      </c>
      <c r="AG140" s="828">
        <f t="shared" si="73"/>
        <v>0</v>
      </c>
      <c r="AH140" s="828">
        <f t="shared" si="73"/>
        <v>0</v>
      </c>
      <c r="AI140" s="828">
        <f t="shared" si="73"/>
        <v>0</v>
      </c>
      <c r="AJ140" s="828">
        <f t="shared" si="73"/>
        <v>0</v>
      </c>
      <c r="AK140" s="828">
        <f t="shared" si="73"/>
        <v>0</v>
      </c>
      <c r="AL140" s="828">
        <f t="shared" si="73"/>
        <v>0</v>
      </c>
      <c r="AM140" s="828">
        <f t="shared" si="73"/>
        <v>0</v>
      </c>
      <c r="AN140" s="828">
        <f t="shared" si="73"/>
        <v>0</v>
      </c>
      <c r="AO140" s="828">
        <f t="shared" si="73"/>
        <v>0</v>
      </c>
      <c r="AP140" s="828">
        <f t="shared" si="73"/>
        <v>0</v>
      </c>
      <c r="AQ140" s="828">
        <f t="shared" si="73"/>
        <v>0</v>
      </c>
      <c r="AR140" s="828">
        <f t="shared" si="73"/>
        <v>0</v>
      </c>
      <c r="AS140" s="828">
        <f t="shared" si="73"/>
        <v>0</v>
      </c>
      <c r="AT140" s="828">
        <f t="shared" si="73"/>
        <v>0</v>
      </c>
      <c r="AU140" s="828">
        <f t="shared" si="73"/>
        <v>0</v>
      </c>
      <c r="AV140" s="828">
        <f t="shared" si="73"/>
        <v>0</v>
      </c>
      <c r="AW140" s="828">
        <f t="shared" si="73"/>
        <v>0</v>
      </c>
      <c r="AX140" s="828">
        <f t="shared" si="73"/>
        <v>0</v>
      </c>
      <c r="AY140" s="828">
        <f t="shared" si="73"/>
        <v>0</v>
      </c>
      <c r="AZ140" s="828">
        <f t="shared" si="73"/>
        <v>0</v>
      </c>
      <c r="BA140" s="828">
        <f t="shared" si="73"/>
        <v>0</v>
      </c>
      <c r="BB140" s="828">
        <f t="shared" si="73"/>
        <v>0</v>
      </c>
    </row>
    <row r="141" spans="1:54" s="30" customFormat="1" ht="12.75" customHeight="1" x14ac:dyDescent="0.2">
      <c r="A141" s="1160"/>
      <c r="B141" s="73" t="str">
        <f>B$104&amp;" - "&amp;B105</f>
        <v>PG 4: Langzeitpflege - Gesamt ohne Prämien-Cap</v>
      </c>
      <c r="C141" s="811">
        <f t="shared" ref="C141" si="74">SUM(E141:BB141)</f>
        <v>0</v>
      </c>
      <c r="D141" s="1203" t="s">
        <v>362</v>
      </c>
      <c r="E141" s="828">
        <f>E105</f>
        <v>0</v>
      </c>
      <c r="F141" s="828">
        <f t="shared" ref="F141:BB141" si="75">F105</f>
        <v>0</v>
      </c>
      <c r="G141" s="828">
        <f t="shared" si="75"/>
        <v>0</v>
      </c>
      <c r="H141" s="828">
        <f t="shared" si="75"/>
        <v>0</v>
      </c>
      <c r="I141" s="828">
        <f t="shared" si="75"/>
        <v>0</v>
      </c>
      <c r="J141" s="828">
        <f t="shared" si="75"/>
        <v>0</v>
      </c>
      <c r="K141" s="828">
        <f t="shared" si="75"/>
        <v>0</v>
      </c>
      <c r="L141" s="828">
        <f t="shared" si="75"/>
        <v>0</v>
      </c>
      <c r="M141" s="828">
        <f t="shared" si="75"/>
        <v>0</v>
      </c>
      <c r="N141" s="828">
        <f t="shared" si="75"/>
        <v>0</v>
      </c>
      <c r="O141" s="828">
        <f t="shared" si="75"/>
        <v>0</v>
      </c>
      <c r="P141" s="828">
        <f t="shared" si="75"/>
        <v>0</v>
      </c>
      <c r="Q141" s="828">
        <f t="shared" si="75"/>
        <v>0</v>
      </c>
      <c r="R141" s="828">
        <f t="shared" si="75"/>
        <v>0</v>
      </c>
      <c r="S141" s="828">
        <f t="shared" si="75"/>
        <v>0</v>
      </c>
      <c r="T141" s="828">
        <f t="shared" si="75"/>
        <v>0</v>
      </c>
      <c r="U141" s="828">
        <f t="shared" si="75"/>
        <v>0</v>
      </c>
      <c r="V141" s="828">
        <f t="shared" si="75"/>
        <v>0</v>
      </c>
      <c r="W141" s="828">
        <f t="shared" si="75"/>
        <v>0</v>
      </c>
      <c r="X141" s="828">
        <f t="shared" si="75"/>
        <v>0</v>
      </c>
      <c r="Y141" s="828">
        <f t="shared" si="75"/>
        <v>0</v>
      </c>
      <c r="Z141" s="828">
        <f t="shared" si="75"/>
        <v>0</v>
      </c>
      <c r="AA141" s="828">
        <f t="shared" si="75"/>
        <v>0</v>
      </c>
      <c r="AB141" s="828">
        <f t="shared" si="75"/>
        <v>0</v>
      </c>
      <c r="AC141" s="828">
        <f t="shared" si="75"/>
        <v>0</v>
      </c>
      <c r="AD141" s="828">
        <f t="shared" si="75"/>
        <v>0</v>
      </c>
      <c r="AE141" s="828">
        <f t="shared" si="75"/>
        <v>0</v>
      </c>
      <c r="AF141" s="828">
        <f t="shared" si="75"/>
        <v>0</v>
      </c>
      <c r="AG141" s="828">
        <f t="shared" si="75"/>
        <v>0</v>
      </c>
      <c r="AH141" s="828">
        <f t="shared" si="75"/>
        <v>0</v>
      </c>
      <c r="AI141" s="828">
        <f t="shared" si="75"/>
        <v>0</v>
      </c>
      <c r="AJ141" s="828">
        <f t="shared" si="75"/>
        <v>0</v>
      </c>
      <c r="AK141" s="828">
        <f t="shared" si="75"/>
        <v>0</v>
      </c>
      <c r="AL141" s="828">
        <f t="shared" si="75"/>
        <v>0</v>
      </c>
      <c r="AM141" s="828">
        <f t="shared" si="75"/>
        <v>0</v>
      </c>
      <c r="AN141" s="828">
        <f t="shared" si="75"/>
        <v>0</v>
      </c>
      <c r="AO141" s="828">
        <f t="shared" si="75"/>
        <v>0</v>
      </c>
      <c r="AP141" s="828">
        <f t="shared" si="75"/>
        <v>0</v>
      </c>
      <c r="AQ141" s="828">
        <f t="shared" si="75"/>
        <v>0</v>
      </c>
      <c r="AR141" s="828">
        <f t="shared" si="75"/>
        <v>0</v>
      </c>
      <c r="AS141" s="828">
        <f t="shared" si="75"/>
        <v>0</v>
      </c>
      <c r="AT141" s="828">
        <f t="shared" si="75"/>
        <v>0</v>
      </c>
      <c r="AU141" s="828">
        <f t="shared" si="75"/>
        <v>0</v>
      </c>
      <c r="AV141" s="828">
        <f t="shared" si="75"/>
        <v>0</v>
      </c>
      <c r="AW141" s="828">
        <f t="shared" si="75"/>
        <v>0</v>
      </c>
      <c r="AX141" s="828">
        <f t="shared" si="75"/>
        <v>0</v>
      </c>
      <c r="AY141" s="828">
        <f t="shared" si="75"/>
        <v>0</v>
      </c>
      <c r="AZ141" s="828">
        <f t="shared" si="75"/>
        <v>0</v>
      </c>
      <c r="BA141" s="828">
        <f t="shared" si="75"/>
        <v>0</v>
      </c>
      <c r="BB141" s="828">
        <f t="shared" si="75"/>
        <v>0</v>
      </c>
    </row>
    <row r="142" spans="1:54" s="30" customFormat="1" ht="12.75" customHeight="1" x14ac:dyDescent="0.2">
      <c r="A142" s="1160"/>
      <c r="B142" s="829" t="str">
        <f>B$112&amp;" - "&amp;B113</f>
        <v>PG 5: Einzeltagegeld - Gesamt ohne Prämien-Cap</v>
      </c>
      <c r="C142" s="830">
        <f t="shared" ref="C142:C146" si="76">SUM(E142:BB142)</f>
        <v>0</v>
      </c>
      <c r="D142" s="1199" t="s">
        <v>363</v>
      </c>
      <c r="E142" s="831">
        <f>E113</f>
        <v>0</v>
      </c>
      <c r="F142" s="831">
        <f t="shared" ref="F142:BB142" si="77">F113</f>
        <v>0</v>
      </c>
      <c r="G142" s="831">
        <f t="shared" si="77"/>
        <v>0</v>
      </c>
      <c r="H142" s="831">
        <f t="shared" si="77"/>
        <v>0</v>
      </c>
      <c r="I142" s="831">
        <f t="shared" si="77"/>
        <v>0</v>
      </c>
      <c r="J142" s="831">
        <f t="shared" si="77"/>
        <v>0</v>
      </c>
      <c r="K142" s="831">
        <f t="shared" si="77"/>
        <v>0</v>
      </c>
      <c r="L142" s="831">
        <f t="shared" si="77"/>
        <v>0</v>
      </c>
      <c r="M142" s="831">
        <f t="shared" si="77"/>
        <v>0</v>
      </c>
      <c r="N142" s="831">
        <f t="shared" si="77"/>
        <v>0</v>
      </c>
      <c r="O142" s="831">
        <f t="shared" si="77"/>
        <v>0</v>
      </c>
      <c r="P142" s="831">
        <f t="shared" si="77"/>
        <v>0</v>
      </c>
      <c r="Q142" s="831">
        <f t="shared" si="77"/>
        <v>0</v>
      </c>
      <c r="R142" s="831">
        <f t="shared" si="77"/>
        <v>0</v>
      </c>
      <c r="S142" s="831">
        <f t="shared" si="77"/>
        <v>0</v>
      </c>
      <c r="T142" s="831">
        <f t="shared" si="77"/>
        <v>0</v>
      </c>
      <c r="U142" s="831">
        <f t="shared" si="77"/>
        <v>0</v>
      </c>
      <c r="V142" s="831">
        <f t="shared" si="77"/>
        <v>0</v>
      </c>
      <c r="W142" s="831">
        <f t="shared" si="77"/>
        <v>0</v>
      </c>
      <c r="X142" s="831">
        <f t="shared" si="77"/>
        <v>0</v>
      </c>
      <c r="Y142" s="831">
        <f t="shared" si="77"/>
        <v>0</v>
      </c>
      <c r="Z142" s="831">
        <f t="shared" si="77"/>
        <v>0</v>
      </c>
      <c r="AA142" s="831">
        <f t="shared" si="77"/>
        <v>0</v>
      </c>
      <c r="AB142" s="831">
        <f t="shared" si="77"/>
        <v>0</v>
      </c>
      <c r="AC142" s="831">
        <f t="shared" si="77"/>
        <v>0</v>
      </c>
      <c r="AD142" s="831">
        <f t="shared" si="77"/>
        <v>0</v>
      </c>
      <c r="AE142" s="831">
        <f t="shared" si="77"/>
        <v>0</v>
      </c>
      <c r="AF142" s="831">
        <f t="shared" si="77"/>
        <v>0</v>
      </c>
      <c r="AG142" s="831">
        <f t="shared" si="77"/>
        <v>0</v>
      </c>
      <c r="AH142" s="831">
        <f t="shared" si="77"/>
        <v>0</v>
      </c>
      <c r="AI142" s="831">
        <f t="shared" si="77"/>
        <v>0</v>
      </c>
      <c r="AJ142" s="831">
        <f t="shared" si="77"/>
        <v>0</v>
      </c>
      <c r="AK142" s="831">
        <f t="shared" si="77"/>
        <v>0</v>
      </c>
      <c r="AL142" s="831">
        <f t="shared" si="77"/>
        <v>0</v>
      </c>
      <c r="AM142" s="831">
        <f t="shared" si="77"/>
        <v>0</v>
      </c>
      <c r="AN142" s="831">
        <f t="shared" si="77"/>
        <v>0</v>
      </c>
      <c r="AO142" s="831">
        <f t="shared" si="77"/>
        <v>0</v>
      </c>
      <c r="AP142" s="831">
        <f t="shared" si="77"/>
        <v>0</v>
      </c>
      <c r="AQ142" s="831">
        <f t="shared" si="77"/>
        <v>0</v>
      </c>
      <c r="AR142" s="831">
        <f t="shared" si="77"/>
        <v>0</v>
      </c>
      <c r="AS142" s="831">
        <f t="shared" si="77"/>
        <v>0</v>
      </c>
      <c r="AT142" s="831">
        <f t="shared" si="77"/>
        <v>0</v>
      </c>
      <c r="AU142" s="831">
        <f t="shared" si="77"/>
        <v>0</v>
      </c>
      <c r="AV142" s="831">
        <f t="shared" si="77"/>
        <v>0</v>
      </c>
      <c r="AW142" s="831">
        <f t="shared" si="77"/>
        <v>0</v>
      </c>
      <c r="AX142" s="831">
        <f t="shared" si="77"/>
        <v>0</v>
      </c>
      <c r="AY142" s="831">
        <f t="shared" si="77"/>
        <v>0</v>
      </c>
      <c r="AZ142" s="831">
        <f t="shared" si="77"/>
        <v>0</v>
      </c>
      <c r="BA142" s="831">
        <f t="shared" si="77"/>
        <v>0</v>
      </c>
      <c r="BB142" s="831">
        <f t="shared" si="77"/>
        <v>0</v>
      </c>
    </row>
    <row r="143" spans="1:54" s="30" customFormat="1" ht="12.75" customHeight="1" x14ac:dyDescent="0.2">
      <c r="A143" s="1160"/>
      <c r="B143" s="818" t="str">
        <f>B$80&amp;" - "&amp;B83</f>
        <v>PG 1: Stationäre Produkte: Halbprivat, Privat, Flex - Gesamt inkl. Prämien-Cap</v>
      </c>
      <c r="C143" s="819">
        <f t="shared" si="76"/>
        <v>0</v>
      </c>
      <c r="D143" s="1200" t="s">
        <v>364</v>
      </c>
      <c r="E143" s="824">
        <f>E83</f>
        <v>0</v>
      </c>
      <c r="F143" s="824">
        <f t="shared" ref="F143:BB143" si="78">F83</f>
        <v>0</v>
      </c>
      <c r="G143" s="824">
        <f t="shared" si="78"/>
        <v>0</v>
      </c>
      <c r="H143" s="824">
        <f t="shared" si="78"/>
        <v>0</v>
      </c>
      <c r="I143" s="824">
        <f t="shared" si="78"/>
        <v>0</v>
      </c>
      <c r="J143" s="824">
        <f t="shared" si="78"/>
        <v>0</v>
      </c>
      <c r="K143" s="824">
        <f t="shared" si="78"/>
        <v>0</v>
      </c>
      <c r="L143" s="824">
        <f t="shared" si="78"/>
        <v>0</v>
      </c>
      <c r="M143" s="824">
        <f t="shared" si="78"/>
        <v>0</v>
      </c>
      <c r="N143" s="824">
        <f t="shared" si="78"/>
        <v>0</v>
      </c>
      <c r="O143" s="824">
        <f t="shared" si="78"/>
        <v>0</v>
      </c>
      <c r="P143" s="824">
        <f t="shared" si="78"/>
        <v>0</v>
      </c>
      <c r="Q143" s="824">
        <f t="shared" si="78"/>
        <v>0</v>
      </c>
      <c r="R143" s="824">
        <f t="shared" si="78"/>
        <v>0</v>
      </c>
      <c r="S143" s="824">
        <f t="shared" si="78"/>
        <v>0</v>
      </c>
      <c r="T143" s="824">
        <f t="shared" si="78"/>
        <v>0</v>
      </c>
      <c r="U143" s="824">
        <f t="shared" si="78"/>
        <v>0</v>
      </c>
      <c r="V143" s="824">
        <f t="shared" si="78"/>
        <v>0</v>
      </c>
      <c r="W143" s="824">
        <f t="shared" si="78"/>
        <v>0</v>
      </c>
      <c r="X143" s="824">
        <f t="shared" si="78"/>
        <v>0</v>
      </c>
      <c r="Y143" s="824">
        <f t="shared" si="78"/>
        <v>0</v>
      </c>
      <c r="Z143" s="824">
        <f t="shared" si="78"/>
        <v>0</v>
      </c>
      <c r="AA143" s="824">
        <f t="shared" si="78"/>
        <v>0</v>
      </c>
      <c r="AB143" s="824">
        <f t="shared" si="78"/>
        <v>0</v>
      </c>
      <c r="AC143" s="824">
        <f t="shared" si="78"/>
        <v>0</v>
      </c>
      <c r="AD143" s="824">
        <f t="shared" si="78"/>
        <v>0</v>
      </c>
      <c r="AE143" s="824">
        <f t="shared" si="78"/>
        <v>0</v>
      </c>
      <c r="AF143" s="824">
        <f t="shared" si="78"/>
        <v>0</v>
      </c>
      <c r="AG143" s="824">
        <f t="shared" si="78"/>
        <v>0</v>
      </c>
      <c r="AH143" s="824">
        <f t="shared" si="78"/>
        <v>0</v>
      </c>
      <c r="AI143" s="824">
        <f t="shared" si="78"/>
        <v>0</v>
      </c>
      <c r="AJ143" s="824">
        <f t="shared" si="78"/>
        <v>0</v>
      </c>
      <c r="AK143" s="824">
        <f t="shared" si="78"/>
        <v>0</v>
      </c>
      <c r="AL143" s="824">
        <f t="shared" si="78"/>
        <v>0</v>
      </c>
      <c r="AM143" s="824">
        <f t="shared" si="78"/>
        <v>0</v>
      </c>
      <c r="AN143" s="824">
        <f t="shared" si="78"/>
        <v>0</v>
      </c>
      <c r="AO143" s="824">
        <f t="shared" si="78"/>
        <v>0</v>
      </c>
      <c r="AP143" s="824">
        <f t="shared" si="78"/>
        <v>0</v>
      </c>
      <c r="AQ143" s="824">
        <f t="shared" si="78"/>
        <v>0</v>
      </c>
      <c r="AR143" s="824">
        <f t="shared" si="78"/>
        <v>0</v>
      </c>
      <c r="AS143" s="824">
        <f t="shared" si="78"/>
        <v>0</v>
      </c>
      <c r="AT143" s="824">
        <f t="shared" si="78"/>
        <v>0</v>
      </c>
      <c r="AU143" s="824">
        <f t="shared" si="78"/>
        <v>0</v>
      </c>
      <c r="AV143" s="824">
        <f t="shared" si="78"/>
        <v>0</v>
      </c>
      <c r="AW143" s="824">
        <f t="shared" si="78"/>
        <v>0</v>
      </c>
      <c r="AX143" s="824">
        <f t="shared" si="78"/>
        <v>0</v>
      </c>
      <c r="AY143" s="824">
        <f t="shared" si="78"/>
        <v>0</v>
      </c>
      <c r="AZ143" s="824">
        <f t="shared" si="78"/>
        <v>0</v>
      </c>
      <c r="BA143" s="824">
        <f t="shared" si="78"/>
        <v>0</v>
      </c>
      <c r="BB143" s="824">
        <f t="shared" si="78"/>
        <v>0</v>
      </c>
    </row>
    <row r="144" spans="1:54" s="30" customFormat="1" ht="12.75" customHeight="1" x14ac:dyDescent="0.2">
      <c r="A144" s="1160"/>
      <c r="B144" s="73" t="str">
        <f>B$88&amp;" - "&amp;B91</f>
        <v>PG 2: Übrige Stationäre Produkte: Allgemein, Spitaltaggeld, etc. - Gesamt inkl. Prämien-Cap</v>
      </c>
      <c r="C144" s="811">
        <f t="shared" si="76"/>
        <v>0</v>
      </c>
      <c r="D144" s="1203" t="s">
        <v>365</v>
      </c>
      <c r="E144" s="828">
        <f>E91</f>
        <v>0</v>
      </c>
      <c r="F144" s="828">
        <f t="shared" ref="F144:BB144" si="79">F91</f>
        <v>0</v>
      </c>
      <c r="G144" s="828">
        <f t="shared" si="79"/>
        <v>0</v>
      </c>
      <c r="H144" s="828">
        <f t="shared" si="79"/>
        <v>0</v>
      </c>
      <c r="I144" s="828">
        <f t="shared" si="79"/>
        <v>0</v>
      </c>
      <c r="J144" s="828">
        <f t="shared" si="79"/>
        <v>0</v>
      </c>
      <c r="K144" s="828">
        <f t="shared" si="79"/>
        <v>0</v>
      </c>
      <c r="L144" s="828">
        <f t="shared" si="79"/>
        <v>0</v>
      </c>
      <c r="M144" s="828">
        <f t="shared" si="79"/>
        <v>0</v>
      </c>
      <c r="N144" s="828">
        <f t="shared" si="79"/>
        <v>0</v>
      </c>
      <c r="O144" s="828">
        <f t="shared" si="79"/>
        <v>0</v>
      </c>
      <c r="P144" s="828">
        <f t="shared" si="79"/>
        <v>0</v>
      </c>
      <c r="Q144" s="828">
        <f t="shared" si="79"/>
        <v>0</v>
      </c>
      <c r="R144" s="828">
        <f t="shared" si="79"/>
        <v>0</v>
      </c>
      <c r="S144" s="828">
        <f t="shared" si="79"/>
        <v>0</v>
      </c>
      <c r="T144" s="828">
        <f t="shared" si="79"/>
        <v>0</v>
      </c>
      <c r="U144" s="828">
        <f t="shared" si="79"/>
        <v>0</v>
      </c>
      <c r="V144" s="828">
        <f t="shared" si="79"/>
        <v>0</v>
      </c>
      <c r="W144" s="828">
        <f t="shared" si="79"/>
        <v>0</v>
      </c>
      <c r="X144" s="828">
        <f t="shared" si="79"/>
        <v>0</v>
      </c>
      <c r="Y144" s="828">
        <f t="shared" si="79"/>
        <v>0</v>
      </c>
      <c r="Z144" s="828">
        <f t="shared" si="79"/>
        <v>0</v>
      </c>
      <c r="AA144" s="828">
        <f t="shared" si="79"/>
        <v>0</v>
      </c>
      <c r="AB144" s="828">
        <f t="shared" si="79"/>
        <v>0</v>
      </c>
      <c r="AC144" s="828">
        <f t="shared" si="79"/>
        <v>0</v>
      </c>
      <c r="AD144" s="828">
        <f t="shared" si="79"/>
        <v>0</v>
      </c>
      <c r="AE144" s="828">
        <f t="shared" si="79"/>
        <v>0</v>
      </c>
      <c r="AF144" s="828">
        <f t="shared" si="79"/>
        <v>0</v>
      </c>
      <c r="AG144" s="828">
        <f t="shared" si="79"/>
        <v>0</v>
      </c>
      <c r="AH144" s="828">
        <f t="shared" si="79"/>
        <v>0</v>
      </c>
      <c r="AI144" s="828">
        <f t="shared" si="79"/>
        <v>0</v>
      </c>
      <c r="AJ144" s="828">
        <f t="shared" si="79"/>
        <v>0</v>
      </c>
      <c r="AK144" s="828">
        <f t="shared" si="79"/>
        <v>0</v>
      </c>
      <c r="AL144" s="828">
        <f t="shared" si="79"/>
        <v>0</v>
      </c>
      <c r="AM144" s="828">
        <f t="shared" si="79"/>
        <v>0</v>
      </c>
      <c r="AN144" s="828">
        <f t="shared" si="79"/>
        <v>0</v>
      </c>
      <c r="AO144" s="828">
        <f t="shared" si="79"/>
        <v>0</v>
      </c>
      <c r="AP144" s="828">
        <f t="shared" si="79"/>
        <v>0</v>
      </c>
      <c r="AQ144" s="828">
        <f t="shared" si="79"/>
        <v>0</v>
      </c>
      <c r="AR144" s="828">
        <f t="shared" si="79"/>
        <v>0</v>
      </c>
      <c r="AS144" s="828">
        <f t="shared" si="79"/>
        <v>0</v>
      </c>
      <c r="AT144" s="828">
        <f t="shared" si="79"/>
        <v>0</v>
      </c>
      <c r="AU144" s="828">
        <f t="shared" si="79"/>
        <v>0</v>
      </c>
      <c r="AV144" s="828">
        <f t="shared" si="79"/>
        <v>0</v>
      </c>
      <c r="AW144" s="828">
        <f t="shared" si="79"/>
        <v>0</v>
      </c>
      <c r="AX144" s="828">
        <f t="shared" si="79"/>
        <v>0</v>
      </c>
      <c r="AY144" s="828">
        <f t="shared" si="79"/>
        <v>0</v>
      </c>
      <c r="AZ144" s="828">
        <f t="shared" si="79"/>
        <v>0</v>
      </c>
      <c r="BA144" s="828">
        <f t="shared" si="79"/>
        <v>0</v>
      </c>
      <c r="BB144" s="828">
        <f t="shared" si="79"/>
        <v>0</v>
      </c>
    </row>
    <row r="145" spans="1:54" s="30" customFormat="1" ht="12.75" customHeight="1" x14ac:dyDescent="0.2">
      <c r="A145" s="1160"/>
      <c r="B145" s="73" t="str">
        <f>B$96&amp;" - "&amp;B99</f>
        <v>PG 3: Ambulante Produkte - Gesamt inkl. Prämien-Cap</v>
      </c>
      <c r="C145" s="811">
        <f t="shared" si="76"/>
        <v>0</v>
      </c>
      <c r="D145" s="1203" t="s">
        <v>366</v>
      </c>
      <c r="E145" s="828">
        <f>E99</f>
        <v>0</v>
      </c>
      <c r="F145" s="828">
        <f t="shared" ref="F145:BB145" si="80">F99</f>
        <v>0</v>
      </c>
      <c r="G145" s="828">
        <f t="shared" si="80"/>
        <v>0</v>
      </c>
      <c r="H145" s="828">
        <f t="shared" si="80"/>
        <v>0</v>
      </c>
      <c r="I145" s="828">
        <f t="shared" si="80"/>
        <v>0</v>
      </c>
      <c r="J145" s="828">
        <f t="shared" si="80"/>
        <v>0</v>
      </c>
      <c r="K145" s="828">
        <f t="shared" si="80"/>
        <v>0</v>
      </c>
      <c r="L145" s="828">
        <f t="shared" si="80"/>
        <v>0</v>
      </c>
      <c r="M145" s="828">
        <f t="shared" si="80"/>
        <v>0</v>
      </c>
      <c r="N145" s="828">
        <f t="shared" si="80"/>
        <v>0</v>
      </c>
      <c r="O145" s="828">
        <f t="shared" si="80"/>
        <v>0</v>
      </c>
      <c r="P145" s="828">
        <f t="shared" si="80"/>
        <v>0</v>
      </c>
      <c r="Q145" s="828">
        <f t="shared" si="80"/>
        <v>0</v>
      </c>
      <c r="R145" s="828">
        <f t="shared" si="80"/>
        <v>0</v>
      </c>
      <c r="S145" s="828">
        <f t="shared" si="80"/>
        <v>0</v>
      </c>
      <c r="T145" s="828">
        <f t="shared" si="80"/>
        <v>0</v>
      </c>
      <c r="U145" s="828">
        <f t="shared" si="80"/>
        <v>0</v>
      </c>
      <c r="V145" s="828">
        <f t="shared" si="80"/>
        <v>0</v>
      </c>
      <c r="W145" s="828">
        <f t="shared" si="80"/>
        <v>0</v>
      </c>
      <c r="X145" s="828">
        <f t="shared" si="80"/>
        <v>0</v>
      </c>
      <c r="Y145" s="828">
        <f t="shared" si="80"/>
        <v>0</v>
      </c>
      <c r="Z145" s="828">
        <f t="shared" si="80"/>
        <v>0</v>
      </c>
      <c r="AA145" s="828">
        <f t="shared" si="80"/>
        <v>0</v>
      </c>
      <c r="AB145" s="828">
        <f t="shared" si="80"/>
        <v>0</v>
      </c>
      <c r="AC145" s="828">
        <f t="shared" si="80"/>
        <v>0</v>
      </c>
      <c r="AD145" s="828">
        <f t="shared" si="80"/>
        <v>0</v>
      </c>
      <c r="AE145" s="828">
        <f t="shared" si="80"/>
        <v>0</v>
      </c>
      <c r="AF145" s="828">
        <f t="shared" si="80"/>
        <v>0</v>
      </c>
      <c r="AG145" s="828">
        <f t="shared" si="80"/>
        <v>0</v>
      </c>
      <c r="AH145" s="828">
        <f t="shared" si="80"/>
        <v>0</v>
      </c>
      <c r="AI145" s="828">
        <f t="shared" si="80"/>
        <v>0</v>
      </c>
      <c r="AJ145" s="828">
        <f t="shared" si="80"/>
        <v>0</v>
      </c>
      <c r="AK145" s="828">
        <f t="shared" si="80"/>
        <v>0</v>
      </c>
      <c r="AL145" s="828">
        <f t="shared" si="80"/>
        <v>0</v>
      </c>
      <c r="AM145" s="828">
        <f t="shared" si="80"/>
        <v>0</v>
      </c>
      <c r="AN145" s="828">
        <f t="shared" si="80"/>
        <v>0</v>
      </c>
      <c r="AO145" s="828">
        <f t="shared" si="80"/>
        <v>0</v>
      </c>
      <c r="AP145" s="828">
        <f t="shared" si="80"/>
        <v>0</v>
      </c>
      <c r="AQ145" s="828">
        <f t="shared" si="80"/>
        <v>0</v>
      </c>
      <c r="AR145" s="828">
        <f t="shared" si="80"/>
        <v>0</v>
      </c>
      <c r="AS145" s="828">
        <f t="shared" si="80"/>
        <v>0</v>
      </c>
      <c r="AT145" s="828">
        <f t="shared" si="80"/>
        <v>0</v>
      </c>
      <c r="AU145" s="828">
        <f t="shared" si="80"/>
        <v>0</v>
      </c>
      <c r="AV145" s="828">
        <f t="shared" si="80"/>
        <v>0</v>
      </c>
      <c r="AW145" s="828">
        <f t="shared" si="80"/>
        <v>0</v>
      </c>
      <c r="AX145" s="828">
        <f t="shared" si="80"/>
        <v>0</v>
      </c>
      <c r="AY145" s="828">
        <f t="shared" si="80"/>
        <v>0</v>
      </c>
      <c r="AZ145" s="828">
        <f t="shared" si="80"/>
        <v>0</v>
      </c>
      <c r="BA145" s="828">
        <f t="shared" si="80"/>
        <v>0</v>
      </c>
      <c r="BB145" s="828">
        <f t="shared" si="80"/>
        <v>0</v>
      </c>
    </row>
    <row r="146" spans="1:54" s="30" customFormat="1" ht="12.75" customHeight="1" x14ac:dyDescent="0.2">
      <c r="A146" s="1160"/>
      <c r="B146" s="73" t="str">
        <f>B$104&amp;" - "&amp;B107</f>
        <v>PG 4: Langzeitpflege - Gesamt inkl. Prämien-Cap</v>
      </c>
      <c r="C146" s="811">
        <f t="shared" si="76"/>
        <v>0</v>
      </c>
      <c r="D146" s="1203" t="s">
        <v>367</v>
      </c>
      <c r="E146" s="828">
        <f>E107</f>
        <v>0</v>
      </c>
      <c r="F146" s="828">
        <f t="shared" ref="F146:BB146" si="81">F107</f>
        <v>0</v>
      </c>
      <c r="G146" s="828">
        <f t="shared" si="81"/>
        <v>0</v>
      </c>
      <c r="H146" s="828">
        <f t="shared" si="81"/>
        <v>0</v>
      </c>
      <c r="I146" s="828">
        <f t="shared" si="81"/>
        <v>0</v>
      </c>
      <c r="J146" s="828">
        <f t="shared" si="81"/>
        <v>0</v>
      </c>
      <c r="K146" s="828">
        <f t="shared" si="81"/>
        <v>0</v>
      </c>
      <c r="L146" s="828">
        <f t="shared" si="81"/>
        <v>0</v>
      </c>
      <c r="M146" s="828">
        <f t="shared" si="81"/>
        <v>0</v>
      </c>
      <c r="N146" s="828">
        <f t="shared" si="81"/>
        <v>0</v>
      </c>
      <c r="O146" s="828">
        <f t="shared" si="81"/>
        <v>0</v>
      </c>
      <c r="P146" s="828">
        <f t="shared" si="81"/>
        <v>0</v>
      </c>
      <c r="Q146" s="828">
        <f t="shared" si="81"/>
        <v>0</v>
      </c>
      <c r="R146" s="828">
        <f t="shared" si="81"/>
        <v>0</v>
      </c>
      <c r="S146" s="828">
        <f t="shared" si="81"/>
        <v>0</v>
      </c>
      <c r="T146" s="828">
        <f t="shared" si="81"/>
        <v>0</v>
      </c>
      <c r="U146" s="828">
        <f t="shared" si="81"/>
        <v>0</v>
      </c>
      <c r="V146" s="828">
        <f t="shared" si="81"/>
        <v>0</v>
      </c>
      <c r="W146" s="828">
        <f t="shared" si="81"/>
        <v>0</v>
      </c>
      <c r="X146" s="828">
        <f t="shared" si="81"/>
        <v>0</v>
      </c>
      <c r="Y146" s="828">
        <f t="shared" si="81"/>
        <v>0</v>
      </c>
      <c r="Z146" s="828">
        <f t="shared" si="81"/>
        <v>0</v>
      </c>
      <c r="AA146" s="828">
        <f t="shared" si="81"/>
        <v>0</v>
      </c>
      <c r="AB146" s="828">
        <f t="shared" si="81"/>
        <v>0</v>
      </c>
      <c r="AC146" s="828">
        <f t="shared" si="81"/>
        <v>0</v>
      </c>
      <c r="AD146" s="828">
        <f t="shared" si="81"/>
        <v>0</v>
      </c>
      <c r="AE146" s="828">
        <f t="shared" si="81"/>
        <v>0</v>
      </c>
      <c r="AF146" s="828">
        <f t="shared" si="81"/>
        <v>0</v>
      </c>
      <c r="AG146" s="828">
        <f t="shared" si="81"/>
        <v>0</v>
      </c>
      <c r="AH146" s="828">
        <f t="shared" si="81"/>
        <v>0</v>
      </c>
      <c r="AI146" s="828">
        <f t="shared" si="81"/>
        <v>0</v>
      </c>
      <c r="AJ146" s="828">
        <f t="shared" si="81"/>
        <v>0</v>
      </c>
      <c r="AK146" s="828">
        <f t="shared" si="81"/>
        <v>0</v>
      </c>
      <c r="AL146" s="828">
        <f t="shared" si="81"/>
        <v>0</v>
      </c>
      <c r="AM146" s="828">
        <f t="shared" si="81"/>
        <v>0</v>
      </c>
      <c r="AN146" s="828">
        <f t="shared" si="81"/>
        <v>0</v>
      </c>
      <c r="AO146" s="828">
        <f t="shared" si="81"/>
        <v>0</v>
      </c>
      <c r="AP146" s="828">
        <f t="shared" si="81"/>
        <v>0</v>
      </c>
      <c r="AQ146" s="828">
        <f t="shared" si="81"/>
        <v>0</v>
      </c>
      <c r="AR146" s="828">
        <f t="shared" si="81"/>
        <v>0</v>
      </c>
      <c r="AS146" s="828">
        <f t="shared" si="81"/>
        <v>0</v>
      </c>
      <c r="AT146" s="828">
        <f t="shared" si="81"/>
        <v>0</v>
      </c>
      <c r="AU146" s="828">
        <f t="shared" si="81"/>
        <v>0</v>
      </c>
      <c r="AV146" s="828">
        <f t="shared" si="81"/>
        <v>0</v>
      </c>
      <c r="AW146" s="828">
        <f t="shared" si="81"/>
        <v>0</v>
      </c>
      <c r="AX146" s="828">
        <f t="shared" si="81"/>
        <v>0</v>
      </c>
      <c r="AY146" s="828">
        <f t="shared" si="81"/>
        <v>0</v>
      </c>
      <c r="AZ146" s="828">
        <f t="shared" si="81"/>
        <v>0</v>
      </c>
      <c r="BA146" s="828">
        <f t="shared" si="81"/>
        <v>0</v>
      </c>
      <c r="BB146" s="828">
        <f t="shared" si="81"/>
        <v>0</v>
      </c>
    </row>
    <row r="147" spans="1:54" s="30" customFormat="1" ht="12.75" customHeight="1" x14ac:dyDescent="0.2">
      <c r="A147" s="1160"/>
      <c r="B147" s="829" t="str">
        <f>B$112&amp;" - "&amp;B115</f>
        <v>PG 5: Einzeltagegeld - Gesamt inkl. Prämien-Cap</v>
      </c>
      <c r="C147" s="830">
        <f t="shared" ref="C147" si="82">SUM(E147:BB147)</f>
        <v>0</v>
      </c>
      <c r="D147" s="1199" t="s">
        <v>368</v>
      </c>
      <c r="E147" s="831">
        <f>E115</f>
        <v>0</v>
      </c>
      <c r="F147" s="831">
        <f t="shared" ref="F147:BB147" si="83">F115</f>
        <v>0</v>
      </c>
      <c r="G147" s="831">
        <f t="shared" si="83"/>
        <v>0</v>
      </c>
      <c r="H147" s="831">
        <f t="shared" si="83"/>
        <v>0</v>
      </c>
      <c r="I147" s="831">
        <f t="shared" si="83"/>
        <v>0</v>
      </c>
      <c r="J147" s="831">
        <f t="shared" si="83"/>
        <v>0</v>
      </c>
      <c r="K147" s="831">
        <f t="shared" si="83"/>
        <v>0</v>
      </c>
      <c r="L147" s="831">
        <f t="shared" si="83"/>
        <v>0</v>
      </c>
      <c r="M147" s="831">
        <f t="shared" si="83"/>
        <v>0</v>
      </c>
      <c r="N147" s="831">
        <f t="shared" si="83"/>
        <v>0</v>
      </c>
      <c r="O147" s="831">
        <f t="shared" si="83"/>
        <v>0</v>
      </c>
      <c r="P147" s="831">
        <f t="shared" si="83"/>
        <v>0</v>
      </c>
      <c r="Q147" s="831">
        <f t="shared" si="83"/>
        <v>0</v>
      </c>
      <c r="R147" s="831">
        <f t="shared" si="83"/>
        <v>0</v>
      </c>
      <c r="S147" s="831">
        <f t="shared" si="83"/>
        <v>0</v>
      </c>
      <c r="T147" s="831">
        <f t="shared" si="83"/>
        <v>0</v>
      </c>
      <c r="U147" s="831">
        <f t="shared" si="83"/>
        <v>0</v>
      </c>
      <c r="V147" s="831">
        <f t="shared" si="83"/>
        <v>0</v>
      </c>
      <c r="W147" s="831">
        <f t="shared" si="83"/>
        <v>0</v>
      </c>
      <c r="X147" s="831">
        <f t="shared" si="83"/>
        <v>0</v>
      </c>
      <c r="Y147" s="831">
        <f t="shared" si="83"/>
        <v>0</v>
      </c>
      <c r="Z147" s="831">
        <f t="shared" si="83"/>
        <v>0</v>
      </c>
      <c r="AA147" s="831">
        <f t="shared" si="83"/>
        <v>0</v>
      </c>
      <c r="AB147" s="831">
        <f t="shared" si="83"/>
        <v>0</v>
      </c>
      <c r="AC147" s="831">
        <f t="shared" si="83"/>
        <v>0</v>
      </c>
      <c r="AD147" s="831">
        <f t="shared" si="83"/>
        <v>0</v>
      </c>
      <c r="AE147" s="831">
        <f t="shared" si="83"/>
        <v>0</v>
      </c>
      <c r="AF147" s="831">
        <f t="shared" si="83"/>
        <v>0</v>
      </c>
      <c r="AG147" s="831">
        <f t="shared" si="83"/>
        <v>0</v>
      </c>
      <c r="AH147" s="831">
        <f t="shared" si="83"/>
        <v>0</v>
      </c>
      <c r="AI147" s="831">
        <f t="shared" si="83"/>
        <v>0</v>
      </c>
      <c r="AJ147" s="831">
        <f t="shared" si="83"/>
        <v>0</v>
      </c>
      <c r="AK147" s="831">
        <f t="shared" si="83"/>
        <v>0</v>
      </c>
      <c r="AL147" s="831">
        <f t="shared" si="83"/>
        <v>0</v>
      </c>
      <c r="AM147" s="831">
        <f t="shared" si="83"/>
        <v>0</v>
      </c>
      <c r="AN147" s="831">
        <f t="shared" si="83"/>
        <v>0</v>
      </c>
      <c r="AO147" s="831">
        <f t="shared" si="83"/>
        <v>0</v>
      </c>
      <c r="AP147" s="831">
        <f t="shared" si="83"/>
        <v>0</v>
      </c>
      <c r="AQ147" s="831">
        <f t="shared" si="83"/>
        <v>0</v>
      </c>
      <c r="AR147" s="831">
        <f t="shared" si="83"/>
        <v>0</v>
      </c>
      <c r="AS147" s="831">
        <f t="shared" si="83"/>
        <v>0</v>
      </c>
      <c r="AT147" s="831">
        <f t="shared" si="83"/>
        <v>0</v>
      </c>
      <c r="AU147" s="831">
        <f t="shared" si="83"/>
        <v>0</v>
      </c>
      <c r="AV147" s="831">
        <f t="shared" si="83"/>
        <v>0</v>
      </c>
      <c r="AW147" s="831">
        <f t="shared" si="83"/>
        <v>0</v>
      </c>
      <c r="AX147" s="831">
        <f t="shared" si="83"/>
        <v>0</v>
      </c>
      <c r="AY147" s="831">
        <f t="shared" si="83"/>
        <v>0</v>
      </c>
      <c r="AZ147" s="831">
        <f t="shared" si="83"/>
        <v>0</v>
      </c>
      <c r="BA147" s="831">
        <f t="shared" si="83"/>
        <v>0</v>
      </c>
      <c r="BB147" s="831">
        <f t="shared" si="83"/>
        <v>0</v>
      </c>
    </row>
    <row r="148" spans="1:54" s="30" customFormat="1" ht="25.5" customHeight="1" x14ac:dyDescent="0.2">
      <c r="A148" s="1160"/>
      <c r="B148" s="818" t="str">
        <f>B$80&amp;" - Risikobestand am 01.01."&amp;HE_CY</f>
        <v>PG 1: Stationäre Produkte: Halbprivat, Privat, Flex - Risikobestand am 01.01.2025</v>
      </c>
      <c r="C148" s="811">
        <f>SUM(E148:BB148)</f>
        <v>0</v>
      </c>
      <c r="D148" s="1204" t="s">
        <v>687</v>
      </c>
      <c r="E148" s="832"/>
      <c r="F148" s="845"/>
      <c r="G148" s="846"/>
      <c r="H148" s="846"/>
      <c r="I148" s="847"/>
      <c r="J148" s="848"/>
      <c r="K148" s="847"/>
      <c r="L148" s="847"/>
      <c r="M148" s="847"/>
      <c r="N148" s="847"/>
      <c r="O148" s="847"/>
      <c r="P148" s="847"/>
      <c r="Q148" s="847"/>
      <c r="R148" s="847"/>
      <c r="S148" s="847"/>
      <c r="T148" s="847"/>
      <c r="U148" s="847"/>
      <c r="V148" s="847"/>
      <c r="W148" s="847"/>
      <c r="X148" s="847"/>
      <c r="Y148" s="847"/>
      <c r="Z148" s="847"/>
      <c r="AA148" s="847"/>
      <c r="AB148" s="847"/>
      <c r="AC148" s="847"/>
      <c r="AD148" s="847"/>
      <c r="AE148" s="847"/>
      <c r="AF148" s="847"/>
      <c r="AG148" s="847"/>
      <c r="AH148" s="847"/>
      <c r="AI148" s="847"/>
      <c r="AJ148" s="847"/>
      <c r="AK148" s="847"/>
      <c r="AL148" s="847"/>
      <c r="AM148" s="847"/>
      <c r="AN148" s="847"/>
      <c r="AO148" s="847"/>
      <c r="AP148" s="847"/>
      <c r="AQ148" s="847"/>
      <c r="AR148" s="847"/>
      <c r="AS148" s="847"/>
      <c r="AT148" s="847"/>
      <c r="AU148" s="847"/>
      <c r="AV148" s="847"/>
      <c r="AW148" s="847"/>
      <c r="AX148" s="847"/>
      <c r="AY148" s="847"/>
      <c r="AZ148" s="847"/>
      <c r="BA148" s="847"/>
      <c r="BB148" s="847"/>
    </row>
    <row r="149" spans="1:54" s="30" customFormat="1" ht="12.75" customHeight="1" x14ac:dyDescent="0.2">
      <c r="A149" s="1160"/>
      <c r="B149" s="73" t="str">
        <f>B$88&amp;" - Risikobestand am 01.01."&amp;HE_CY</f>
        <v>PG 2: Übrige Stationäre Produkte: Allgemein, Spitaltaggeld, etc. - Risikobestand am 01.01.2025</v>
      </c>
      <c r="C149" s="811">
        <f>SUM(E149:BB149)</f>
        <v>0</v>
      </c>
      <c r="D149" s="1203" t="s">
        <v>688</v>
      </c>
      <c r="E149" s="833"/>
      <c r="F149" s="849"/>
      <c r="G149" s="850"/>
      <c r="H149" s="850"/>
      <c r="I149" s="851"/>
      <c r="J149" s="852"/>
      <c r="K149" s="851"/>
      <c r="L149" s="851"/>
      <c r="M149" s="851"/>
      <c r="N149" s="851"/>
      <c r="O149" s="851"/>
      <c r="P149" s="851"/>
      <c r="Q149" s="851"/>
      <c r="R149" s="851"/>
      <c r="S149" s="851"/>
      <c r="T149" s="851"/>
      <c r="U149" s="851"/>
      <c r="V149" s="851"/>
      <c r="W149" s="851"/>
      <c r="X149" s="851"/>
      <c r="Y149" s="851"/>
      <c r="Z149" s="851"/>
      <c r="AA149" s="851"/>
      <c r="AB149" s="851"/>
      <c r="AC149" s="851"/>
      <c r="AD149" s="851"/>
      <c r="AE149" s="851"/>
      <c r="AF149" s="851"/>
      <c r="AG149" s="851"/>
      <c r="AH149" s="851"/>
      <c r="AI149" s="851"/>
      <c r="AJ149" s="851"/>
      <c r="AK149" s="851"/>
      <c r="AL149" s="851"/>
      <c r="AM149" s="851"/>
      <c r="AN149" s="851"/>
      <c r="AO149" s="851"/>
      <c r="AP149" s="851"/>
      <c r="AQ149" s="851"/>
      <c r="AR149" s="851"/>
      <c r="AS149" s="851"/>
      <c r="AT149" s="851"/>
      <c r="AU149" s="851"/>
      <c r="AV149" s="851"/>
      <c r="AW149" s="851"/>
      <c r="AX149" s="851"/>
      <c r="AY149" s="851"/>
      <c r="AZ149" s="851"/>
      <c r="BA149" s="851"/>
      <c r="BB149" s="851"/>
    </row>
    <row r="150" spans="1:54" s="30" customFormat="1" ht="12.75" customHeight="1" x14ac:dyDescent="0.2">
      <c r="A150" s="1160"/>
      <c r="B150" s="73" t="str">
        <f>B$96&amp;" - Risikobestand am 01.01."&amp;HE_CY</f>
        <v>PG 3: Ambulante Produkte - Risikobestand am 01.01.2025</v>
      </c>
      <c r="C150" s="811">
        <f t="shared" si="68"/>
        <v>0</v>
      </c>
      <c r="D150" s="1203" t="s">
        <v>689</v>
      </c>
      <c r="E150" s="833"/>
      <c r="F150" s="849"/>
      <c r="G150" s="850"/>
      <c r="H150" s="850"/>
      <c r="I150" s="851"/>
      <c r="J150" s="852"/>
      <c r="K150" s="851"/>
      <c r="L150" s="851"/>
      <c r="M150" s="851"/>
      <c r="N150" s="851"/>
      <c r="O150" s="851"/>
      <c r="P150" s="851"/>
      <c r="Q150" s="851"/>
      <c r="R150" s="851"/>
      <c r="S150" s="851"/>
      <c r="T150" s="851"/>
      <c r="U150" s="851"/>
      <c r="V150" s="851"/>
      <c r="W150" s="851"/>
      <c r="X150" s="851"/>
      <c r="Y150" s="851"/>
      <c r="Z150" s="851"/>
      <c r="AA150" s="851"/>
      <c r="AB150" s="851"/>
      <c r="AC150" s="851"/>
      <c r="AD150" s="851"/>
      <c r="AE150" s="851"/>
      <c r="AF150" s="851"/>
      <c r="AG150" s="851"/>
      <c r="AH150" s="851"/>
      <c r="AI150" s="851"/>
      <c r="AJ150" s="851"/>
      <c r="AK150" s="851"/>
      <c r="AL150" s="851"/>
      <c r="AM150" s="851"/>
      <c r="AN150" s="851"/>
      <c r="AO150" s="851"/>
      <c r="AP150" s="851"/>
      <c r="AQ150" s="851"/>
      <c r="AR150" s="851"/>
      <c r="AS150" s="851"/>
      <c r="AT150" s="851"/>
      <c r="AU150" s="851"/>
      <c r="AV150" s="851"/>
      <c r="AW150" s="851"/>
      <c r="AX150" s="851"/>
      <c r="AY150" s="851"/>
      <c r="AZ150" s="851"/>
      <c r="BA150" s="851"/>
      <c r="BB150" s="851"/>
    </row>
    <row r="151" spans="1:54" s="30" customFormat="1" ht="12.75" customHeight="1" x14ac:dyDescent="0.2">
      <c r="A151" s="1160"/>
      <c r="B151" s="73" t="str">
        <f>B$104&amp;" - Risikobestand am 01.01."&amp;HE_CY</f>
        <v>PG 4: Langzeitpflege - Risikobestand am 01.01.2025</v>
      </c>
      <c r="C151" s="811">
        <f t="shared" si="68"/>
        <v>0</v>
      </c>
      <c r="D151" s="1203" t="s">
        <v>690</v>
      </c>
      <c r="E151" s="833"/>
      <c r="F151" s="849"/>
      <c r="G151" s="850"/>
      <c r="H151" s="850"/>
      <c r="I151" s="851"/>
      <c r="J151" s="852"/>
      <c r="K151" s="851"/>
      <c r="L151" s="851"/>
      <c r="M151" s="851"/>
      <c r="N151" s="851"/>
      <c r="O151" s="851"/>
      <c r="P151" s="851"/>
      <c r="Q151" s="851"/>
      <c r="R151" s="851"/>
      <c r="S151" s="851"/>
      <c r="T151" s="851"/>
      <c r="U151" s="851"/>
      <c r="V151" s="851"/>
      <c r="W151" s="851"/>
      <c r="X151" s="851"/>
      <c r="Y151" s="851"/>
      <c r="Z151" s="851"/>
      <c r="AA151" s="851"/>
      <c r="AB151" s="851"/>
      <c r="AC151" s="851"/>
      <c r="AD151" s="851"/>
      <c r="AE151" s="851"/>
      <c r="AF151" s="851"/>
      <c r="AG151" s="851"/>
      <c r="AH151" s="851"/>
      <c r="AI151" s="851"/>
      <c r="AJ151" s="851"/>
      <c r="AK151" s="851"/>
      <c r="AL151" s="851"/>
      <c r="AM151" s="851"/>
      <c r="AN151" s="851"/>
      <c r="AO151" s="851"/>
      <c r="AP151" s="851"/>
      <c r="AQ151" s="851"/>
      <c r="AR151" s="851"/>
      <c r="AS151" s="851"/>
      <c r="AT151" s="851"/>
      <c r="AU151" s="851"/>
      <c r="AV151" s="851"/>
      <c r="AW151" s="851"/>
      <c r="AX151" s="851"/>
      <c r="AY151" s="851"/>
      <c r="AZ151" s="851"/>
      <c r="BA151" s="851"/>
      <c r="BB151" s="851"/>
    </row>
    <row r="152" spans="1:54" s="30" customFormat="1" ht="12.75" customHeight="1" x14ac:dyDescent="0.2">
      <c r="A152" s="1160"/>
      <c r="B152" s="829" t="str">
        <f>B$112&amp;" - Risikobestand am 01.01."&amp;HE_CY</f>
        <v>PG 5: Einzeltagegeld - Risikobestand am 01.01.2025</v>
      </c>
      <c r="C152" s="830">
        <f t="shared" si="68"/>
        <v>0</v>
      </c>
      <c r="D152" s="1199" t="s">
        <v>691</v>
      </c>
      <c r="E152" s="834"/>
      <c r="F152" s="825"/>
      <c r="G152" s="824"/>
      <c r="H152" s="824"/>
      <c r="I152" s="826"/>
      <c r="J152" s="827"/>
      <c r="K152" s="826"/>
      <c r="L152" s="826"/>
      <c r="M152" s="826"/>
      <c r="N152" s="826"/>
      <c r="O152" s="826"/>
      <c r="P152" s="826"/>
      <c r="Q152" s="826"/>
      <c r="R152" s="826"/>
      <c r="S152" s="826"/>
      <c r="T152" s="826"/>
      <c r="U152" s="826"/>
      <c r="V152" s="826"/>
      <c r="W152" s="826"/>
      <c r="X152" s="826"/>
      <c r="Y152" s="826"/>
      <c r="Z152" s="826"/>
      <c r="AA152" s="826"/>
      <c r="AB152" s="826"/>
      <c r="AC152" s="826"/>
      <c r="AD152" s="826"/>
      <c r="AE152" s="826"/>
      <c r="AF152" s="826"/>
      <c r="AG152" s="826"/>
      <c r="AH152" s="826"/>
      <c r="AI152" s="826"/>
      <c r="AJ152" s="826"/>
      <c r="AK152" s="826"/>
      <c r="AL152" s="826"/>
      <c r="AM152" s="826"/>
      <c r="AN152" s="826"/>
      <c r="AO152" s="826"/>
      <c r="AP152" s="826"/>
      <c r="AQ152" s="826"/>
      <c r="AR152" s="826"/>
      <c r="AS152" s="826"/>
      <c r="AT152" s="826"/>
      <c r="AU152" s="826"/>
      <c r="AV152" s="826"/>
      <c r="AW152" s="826"/>
      <c r="AX152" s="826"/>
      <c r="AY152" s="826"/>
      <c r="AZ152" s="826"/>
      <c r="BA152" s="826"/>
      <c r="BB152" s="826"/>
    </row>
    <row r="153" spans="1:54" s="30" customFormat="1" ht="12.75" customHeight="1" x14ac:dyDescent="0.2">
      <c r="A153" s="1160"/>
      <c r="B153" s="73" t="s">
        <v>369</v>
      </c>
      <c r="C153" s="819">
        <f t="shared" si="68"/>
        <v>0</v>
      </c>
      <c r="D153" s="1205" t="s">
        <v>1123</v>
      </c>
      <c r="E153" s="835"/>
      <c r="F153" s="835"/>
      <c r="G153" s="835"/>
      <c r="H153" s="835"/>
      <c r="I153" s="836"/>
      <c r="J153" s="836"/>
      <c r="K153" s="836"/>
      <c r="L153" s="836"/>
      <c r="M153" s="836"/>
      <c r="N153" s="836"/>
      <c r="O153" s="836"/>
      <c r="P153" s="836"/>
      <c r="Q153" s="836"/>
      <c r="R153" s="836"/>
      <c r="S153" s="836"/>
      <c r="T153" s="836"/>
      <c r="U153" s="836"/>
      <c r="V153" s="836"/>
      <c r="W153" s="836"/>
      <c r="X153" s="836"/>
      <c r="Y153" s="836"/>
      <c r="Z153" s="836"/>
      <c r="AA153" s="836"/>
      <c r="AB153" s="836"/>
      <c r="AC153" s="836"/>
      <c r="AD153" s="836"/>
      <c r="AE153" s="836"/>
      <c r="AF153" s="836"/>
      <c r="AG153" s="836"/>
      <c r="AH153" s="836"/>
      <c r="AI153" s="836"/>
      <c r="AJ153" s="836"/>
      <c r="AK153" s="836"/>
      <c r="AL153" s="836"/>
      <c r="AM153" s="836"/>
      <c r="AN153" s="836"/>
      <c r="AO153" s="836"/>
      <c r="AP153" s="836"/>
      <c r="AQ153" s="836"/>
      <c r="AR153" s="836"/>
      <c r="AS153" s="836"/>
      <c r="AT153" s="836"/>
      <c r="AU153" s="836"/>
      <c r="AV153" s="836"/>
      <c r="AW153" s="836"/>
      <c r="AX153" s="836"/>
      <c r="AY153" s="836"/>
      <c r="AZ153" s="836"/>
      <c r="BA153" s="836"/>
      <c r="BB153" s="836"/>
    </row>
    <row r="154" spans="1:54" s="30" customFormat="1" ht="12.75" customHeight="1" x14ac:dyDescent="0.2">
      <c r="A154" s="1160"/>
      <c r="B154" s="73" t="s">
        <v>370</v>
      </c>
      <c r="C154" s="811">
        <f>SUM(E154:BB154)</f>
        <v>0</v>
      </c>
      <c r="D154" s="1205" t="s">
        <v>1124</v>
      </c>
      <c r="E154" s="833"/>
      <c r="F154" s="833"/>
      <c r="G154" s="833"/>
      <c r="H154" s="833"/>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row>
    <row r="155" spans="1:54" s="30" customFormat="1" ht="12.75" customHeight="1" x14ac:dyDescent="0.2">
      <c r="A155" s="1160"/>
      <c r="B155" s="73" t="s">
        <v>371</v>
      </c>
      <c r="C155" s="811">
        <f>SUM(E155:BB155)</f>
        <v>0</v>
      </c>
      <c r="D155" s="1205" t="s">
        <v>1125</v>
      </c>
      <c r="E155" s="833"/>
      <c r="F155" s="833"/>
      <c r="G155" s="833"/>
      <c r="H155" s="833"/>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37"/>
      <c r="AV155" s="837"/>
      <c r="AW155" s="837"/>
      <c r="AX155" s="837"/>
      <c r="AY155" s="837"/>
      <c r="AZ155" s="837"/>
      <c r="BA155" s="837"/>
      <c r="BB155" s="837"/>
    </row>
    <row r="156" spans="1:54" s="30" customFormat="1" ht="12.75" customHeight="1" x14ac:dyDescent="0.2">
      <c r="A156" s="1160"/>
      <c r="B156" s="73" t="s">
        <v>372</v>
      </c>
      <c r="C156" s="811">
        <f t="shared" si="68"/>
        <v>0</v>
      </c>
      <c r="D156" s="1205" t="s">
        <v>1126</v>
      </c>
      <c r="E156" s="833"/>
      <c r="F156" s="833"/>
      <c r="G156" s="833"/>
      <c r="H156" s="833"/>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37"/>
      <c r="AV156" s="837"/>
      <c r="AW156" s="837"/>
      <c r="AX156" s="837"/>
      <c r="AY156" s="837"/>
      <c r="AZ156" s="837"/>
      <c r="BA156" s="837"/>
      <c r="BB156" s="837"/>
    </row>
    <row r="157" spans="1:54" s="30" customFormat="1" ht="12.75" customHeight="1" x14ac:dyDescent="0.2">
      <c r="A157" s="1160"/>
      <c r="B157" s="73" t="s">
        <v>373</v>
      </c>
      <c r="C157" s="811">
        <f>SUM(E157:BB157)</f>
        <v>0</v>
      </c>
      <c r="D157" s="1205" t="s">
        <v>1127</v>
      </c>
      <c r="E157" s="833"/>
      <c r="F157" s="833"/>
      <c r="G157" s="833"/>
      <c r="H157" s="833"/>
      <c r="I157" s="837"/>
      <c r="J157" s="837"/>
      <c r="K157" s="837"/>
      <c r="L157" s="837"/>
      <c r="M157" s="837"/>
      <c r="N157" s="83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c r="AJ157" s="837"/>
      <c r="AK157" s="837"/>
      <c r="AL157" s="837"/>
      <c r="AM157" s="837"/>
      <c r="AN157" s="837"/>
      <c r="AO157" s="837"/>
      <c r="AP157" s="837"/>
      <c r="AQ157" s="837"/>
      <c r="AR157" s="837"/>
      <c r="AS157" s="837"/>
      <c r="AT157" s="837"/>
      <c r="AU157" s="837"/>
      <c r="AV157" s="837"/>
      <c r="AW157" s="837"/>
      <c r="AX157" s="837"/>
      <c r="AY157" s="837"/>
      <c r="AZ157" s="837"/>
      <c r="BA157" s="837"/>
      <c r="BB157" s="837"/>
    </row>
    <row r="158" spans="1:54" s="30" customFormat="1" ht="12.75" customHeight="1" x14ac:dyDescent="0.2">
      <c r="A158" s="1160"/>
      <c r="B158" s="73" t="s">
        <v>374</v>
      </c>
      <c r="C158" s="811">
        <f t="shared" si="68"/>
        <v>0</v>
      </c>
      <c r="D158" s="1205" t="s">
        <v>1128</v>
      </c>
      <c r="E158" s="833"/>
      <c r="F158" s="833"/>
      <c r="G158" s="833"/>
      <c r="H158" s="833"/>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37"/>
      <c r="AR158" s="837"/>
      <c r="AS158" s="837"/>
      <c r="AT158" s="837"/>
      <c r="AU158" s="837"/>
      <c r="AV158" s="837"/>
      <c r="AW158" s="837"/>
      <c r="AX158" s="837"/>
      <c r="AY158" s="837"/>
      <c r="AZ158" s="837"/>
      <c r="BA158" s="837"/>
      <c r="BB158" s="837"/>
    </row>
    <row r="159" spans="1:54" s="30" customFormat="1" ht="12.75" customHeight="1" x14ac:dyDescent="0.2">
      <c r="A159" s="1160"/>
      <c r="B159" s="73" t="s">
        <v>375</v>
      </c>
      <c r="C159" s="811">
        <f t="shared" si="68"/>
        <v>0</v>
      </c>
      <c r="D159" s="1205" t="s">
        <v>1129</v>
      </c>
      <c r="E159" s="838"/>
      <c r="F159" s="838"/>
      <c r="G159" s="838"/>
      <c r="H159" s="838"/>
      <c r="I159" s="839"/>
      <c r="J159" s="839"/>
      <c r="K159" s="839"/>
      <c r="L159" s="839"/>
      <c r="M159" s="839"/>
      <c r="N159" s="839"/>
      <c r="O159" s="839"/>
      <c r="P159" s="839"/>
      <c r="Q159" s="839"/>
      <c r="R159" s="839"/>
      <c r="S159" s="839"/>
      <c r="T159" s="839"/>
      <c r="U159" s="839"/>
      <c r="V159" s="839"/>
      <c r="W159" s="839"/>
      <c r="X159" s="839"/>
      <c r="Y159" s="839"/>
      <c r="Z159" s="839"/>
      <c r="AA159" s="839"/>
      <c r="AB159" s="839"/>
      <c r="AC159" s="839"/>
      <c r="AD159" s="839"/>
      <c r="AE159" s="839"/>
      <c r="AF159" s="839"/>
      <c r="AG159" s="839"/>
      <c r="AH159" s="839"/>
      <c r="AI159" s="839"/>
      <c r="AJ159" s="839"/>
      <c r="AK159" s="839"/>
      <c r="AL159" s="839"/>
      <c r="AM159" s="839"/>
      <c r="AN159" s="839"/>
      <c r="AO159" s="839"/>
      <c r="AP159" s="839"/>
      <c r="AQ159" s="839"/>
      <c r="AR159" s="839"/>
      <c r="AS159" s="839"/>
      <c r="AT159" s="839"/>
      <c r="AU159" s="839"/>
      <c r="AV159" s="839"/>
      <c r="AW159" s="839"/>
      <c r="AX159" s="839"/>
      <c r="AY159" s="839"/>
      <c r="AZ159" s="839"/>
      <c r="BA159" s="839"/>
      <c r="BB159" s="839"/>
    </row>
    <row r="160" spans="1:54" s="30" customFormat="1" ht="12.75" customHeight="1" x14ac:dyDescent="0.2">
      <c r="A160" s="1160"/>
      <c r="B160" s="829" t="s">
        <v>376</v>
      </c>
      <c r="C160" s="830">
        <f t="shared" si="68"/>
        <v>0</v>
      </c>
      <c r="D160" s="1207" t="s">
        <v>1130</v>
      </c>
      <c r="E160" s="831">
        <f>E124</f>
        <v>0</v>
      </c>
      <c r="F160" s="831">
        <f t="shared" ref="F160:BB160" si="84">F124</f>
        <v>0</v>
      </c>
      <c r="G160" s="831">
        <f t="shared" si="84"/>
        <v>0</v>
      </c>
      <c r="H160" s="831">
        <f t="shared" si="84"/>
        <v>0</v>
      </c>
      <c r="I160" s="840">
        <f t="shared" si="84"/>
        <v>0</v>
      </c>
      <c r="J160" s="841">
        <f t="shared" si="84"/>
        <v>0</v>
      </c>
      <c r="K160" s="840">
        <f t="shared" si="84"/>
        <v>0</v>
      </c>
      <c r="L160" s="840">
        <f t="shared" si="84"/>
        <v>0</v>
      </c>
      <c r="M160" s="840">
        <f t="shared" si="84"/>
        <v>0</v>
      </c>
      <c r="N160" s="840">
        <f t="shared" si="84"/>
        <v>0</v>
      </c>
      <c r="O160" s="840">
        <f t="shared" si="84"/>
        <v>0</v>
      </c>
      <c r="P160" s="840">
        <f t="shared" si="84"/>
        <v>0</v>
      </c>
      <c r="Q160" s="840">
        <f t="shared" si="84"/>
        <v>0</v>
      </c>
      <c r="R160" s="840">
        <f t="shared" si="84"/>
        <v>0</v>
      </c>
      <c r="S160" s="840">
        <f t="shared" si="84"/>
        <v>0</v>
      </c>
      <c r="T160" s="840">
        <f t="shared" si="84"/>
        <v>0</v>
      </c>
      <c r="U160" s="840">
        <f t="shared" si="84"/>
        <v>0</v>
      </c>
      <c r="V160" s="840">
        <f t="shared" si="84"/>
        <v>0</v>
      </c>
      <c r="W160" s="840">
        <f t="shared" si="84"/>
        <v>0</v>
      </c>
      <c r="X160" s="840">
        <f t="shared" si="84"/>
        <v>0</v>
      </c>
      <c r="Y160" s="840">
        <f t="shared" si="84"/>
        <v>0</v>
      </c>
      <c r="Z160" s="840">
        <f t="shared" si="84"/>
        <v>0</v>
      </c>
      <c r="AA160" s="840">
        <f t="shared" si="84"/>
        <v>0</v>
      </c>
      <c r="AB160" s="840">
        <f t="shared" si="84"/>
        <v>0</v>
      </c>
      <c r="AC160" s="840">
        <f t="shared" si="84"/>
        <v>0</v>
      </c>
      <c r="AD160" s="840">
        <f t="shared" si="84"/>
        <v>0</v>
      </c>
      <c r="AE160" s="840">
        <f t="shared" si="84"/>
        <v>0</v>
      </c>
      <c r="AF160" s="840">
        <f t="shared" si="84"/>
        <v>0</v>
      </c>
      <c r="AG160" s="840">
        <f t="shared" si="84"/>
        <v>0</v>
      </c>
      <c r="AH160" s="840">
        <f t="shared" si="84"/>
        <v>0</v>
      </c>
      <c r="AI160" s="840">
        <f t="shared" si="84"/>
        <v>0</v>
      </c>
      <c r="AJ160" s="840">
        <f t="shared" si="84"/>
        <v>0</v>
      </c>
      <c r="AK160" s="840">
        <f t="shared" si="84"/>
        <v>0</v>
      </c>
      <c r="AL160" s="840">
        <f t="shared" si="84"/>
        <v>0</v>
      </c>
      <c r="AM160" s="840">
        <f t="shared" si="84"/>
        <v>0</v>
      </c>
      <c r="AN160" s="840">
        <f t="shared" si="84"/>
        <v>0</v>
      </c>
      <c r="AO160" s="840">
        <f t="shared" si="84"/>
        <v>0</v>
      </c>
      <c r="AP160" s="840">
        <f t="shared" si="84"/>
        <v>0</v>
      </c>
      <c r="AQ160" s="840">
        <f t="shared" si="84"/>
        <v>0</v>
      </c>
      <c r="AR160" s="840">
        <f t="shared" si="84"/>
        <v>0</v>
      </c>
      <c r="AS160" s="840">
        <f t="shared" si="84"/>
        <v>0</v>
      </c>
      <c r="AT160" s="840">
        <f t="shared" si="84"/>
        <v>0</v>
      </c>
      <c r="AU160" s="840">
        <f t="shared" si="84"/>
        <v>0</v>
      </c>
      <c r="AV160" s="840">
        <f t="shared" si="84"/>
        <v>0</v>
      </c>
      <c r="AW160" s="840">
        <f t="shared" si="84"/>
        <v>0</v>
      </c>
      <c r="AX160" s="840">
        <f t="shared" si="84"/>
        <v>0</v>
      </c>
      <c r="AY160" s="840">
        <f t="shared" si="84"/>
        <v>0</v>
      </c>
      <c r="AZ160" s="840">
        <f t="shared" si="84"/>
        <v>0</v>
      </c>
      <c r="BA160" s="840">
        <f t="shared" si="84"/>
        <v>0</v>
      </c>
      <c r="BB160" s="840">
        <f t="shared" si="84"/>
        <v>0</v>
      </c>
    </row>
    <row r="161" spans="1:54" s="30" customFormat="1" ht="12.75" customHeight="1" x14ac:dyDescent="0.2">
      <c r="A161" s="1160"/>
      <c r="B161" s="842" t="s">
        <v>377</v>
      </c>
      <c r="C161" s="843">
        <f t="shared" si="68"/>
        <v>0</v>
      </c>
      <c r="D161" s="1206" t="s">
        <v>692</v>
      </c>
      <c r="E161" s="844"/>
      <c r="F161" s="846"/>
      <c r="G161" s="846"/>
      <c r="H161" s="846"/>
      <c r="I161" s="847"/>
      <c r="J161" s="848"/>
      <c r="K161" s="847"/>
      <c r="L161" s="847"/>
      <c r="M161" s="847"/>
      <c r="N161" s="847"/>
      <c r="O161" s="847"/>
      <c r="P161" s="847"/>
      <c r="Q161" s="847"/>
      <c r="R161" s="847"/>
      <c r="S161" s="847"/>
      <c r="T161" s="847"/>
      <c r="U161" s="847"/>
      <c r="V161" s="847"/>
      <c r="W161" s="847"/>
      <c r="X161" s="847"/>
      <c r="Y161" s="847"/>
      <c r="Z161" s="847"/>
      <c r="AA161" s="847"/>
      <c r="AB161" s="847"/>
      <c r="AC161" s="847"/>
      <c r="AD161" s="847"/>
      <c r="AE161" s="847"/>
      <c r="AF161" s="847"/>
      <c r="AG161" s="847"/>
      <c r="AH161" s="847"/>
      <c r="AI161" s="847"/>
      <c r="AJ161" s="847"/>
      <c r="AK161" s="847"/>
      <c r="AL161" s="847"/>
      <c r="AM161" s="847"/>
      <c r="AN161" s="847"/>
      <c r="AO161" s="847"/>
      <c r="AP161" s="847"/>
      <c r="AQ161" s="847"/>
      <c r="AR161" s="847"/>
      <c r="AS161" s="847"/>
      <c r="AT161" s="847"/>
      <c r="AU161" s="847"/>
      <c r="AV161" s="847"/>
      <c r="AW161" s="847"/>
      <c r="AX161" s="847"/>
      <c r="AY161" s="847"/>
      <c r="AZ161" s="847"/>
      <c r="BA161" s="847"/>
      <c r="BB161" s="847"/>
    </row>
  </sheetData>
  <mergeCells count="7">
    <mergeCell ref="B9:B10"/>
    <mergeCell ref="C9:C10"/>
    <mergeCell ref="B43:B44"/>
    <mergeCell ref="C43:C44"/>
    <mergeCell ref="D132:D134"/>
    <mergeCell ref="C132:C134"/>
    <mergeCell ref="B132:B134"/>
  </mergeCells>
  <hyperlinks>
    <hyperlink ref="D135" location="HE_LZV_CF!H19" display="H19:BE19" xr:uid="{B8134FEE-4989-4EA9-8525-1E402A8CCDDF}"/>
    <hyperlink ref="D136" location="HE_LZV_CF!H20" display="H20:BE20" xr:uid="{C7C8B9DF-D07F-41DC-A41C-C2DA0AFC35CC}"/>
    <hyperlink ref="D137" location="HE_LZV_CF!H21" display="H21:BE21" xr:uid="{B884187E-F209-40B5-A6C8-E18A44234F6A}"/>
    <hyperlink ref="D138" location="HE_LZV_CF!H39" display="H39:BE39" xr:uid="{6BAD5C5F-06E2-42B7-9B2E-FD27B05D861B}"/>
    <hyperlink ref="D139" location="HE_LZV_CF!H40" display="H40:BE40" xr:uid="{E929B35D-8107-46A6-88E7-629BD40F9BAE}"/>
    <hyperlink ref="D140" location="HE_LZV_CF!H41" display="H41:BE41" xr:uid="{87D758CC-63E7-4E96-9BD9-7AA63D6321E1}"/>
    <hyperlink ref="D141" location="HE_LZV_CF!H42" display="H42:BE42" xr:uid="{D7DB8A21-E47A-4971-B1E2-D3949C220538}"/>
    <hyperlink ref="D142" location="HE_LZV_CF!H43" display="H43:BE43" xr:uid="{38CF1ACB-1809-4D74-AF8C-6B032E1F5150}"/>
    <hyperlink ref="D143" location="HE_LZV_CF!H63" display="H63:BE63" xr:uid="{143F4232-B356-4505-8D5F-AB69ED846FD2}"/>
    <hyperlink ref="D144" location="HE_LZV_CF!H64" display="H64:BE64" xr:uid="{54056BDD-5C6F-4680-9EE4-3C75BA1F7070}"/>
    <hyperlink ref="D145" location="HE_LZV_CF!H65" display="H65:BE65" xr:uid="{7E2941BB-6970-4429-A517-C9A339A40A02}"/>
    <hyperlink ref="D146" location="HE_LZV_CF!H66" display="H66:BE66" xr:uid="{9CD6A74B-7B0D-4B0E-B7C1-3E77428AFFEC}"/>
    <hyperlink ref="D147" location="HE_LZV_CF!H67" display="H67:BE67" xr:uid="{D5AC8E95-482B-48F4-908F-E1AEFAC27496}"/>
    <hyperlink ref="D148" location="HE_LZV_CF!G87" display="G87 (Quelle: Blätter HE_Input1, HE_Input2 und HE_Input 3, jeweiligen Zellen C16 und D16)" xr:uid="{42FC7241-4B72-4D1D-A1EF-4AC4F6D820C8}"/>
    <hyperlink ref="D149" location="HE_LZV_CF!G88" display="G88 (Quelle: Blatt HE_Input4, Zellen C16 und D16)" xr:uid="{2F5AB24B-555C-4E9F-A602-2723D4380805}"/>
    <hyperlink ref="D150" location="HE_LZV_CF!G89" display="G89 (Quelle: Blatt HE_Input5, Zellen C16 und D16)" xr:uid="{5CB122D6-7C2D-45E7-B8B5-83725E70DB3E}"/>
    <hyperlink ref="D151" location="HE_LZV_CF!G90" display="G90 (Quelle: Blatt HE_Input6, Zellen C16 und D16)" xr:uid="{931E4612-C99D-4F90-BB05-9812F3DC3B30}"/>
    <hyperlink ref="D152" location="HE_LZV_CF!G91" display="G91 (Quelle: Blatt HE_Input47 Zellen C16 und D16)" xr:uid="{C02D9868-6022-4BFD-B401-5319570AE613}"/>
    <hyperlink ref="D153" location="HE_LZV_CF!H116" display="H116:BE116 (Quelle: Blatt HE_Cashflow_Auslenkung_1o, Zeile 147)" xr:uid="{6F5AB221-5DAF-495F-9D7F-BE3ABAA64893}"/>
    <hyperlink ref="D154" location="HE_LZV_CF!H117" display="H117:BE117 (Quelle: Blatt HE_Cashflow_Auslenkung_1u, Zeile 147)" xr:uid="{642CE61F-E474-4A22-ABC8-70B67130A0A9}"/>
    <hyperlink ref="D155" location="HE_LZV_CF!H118" display="H118:BE118 (Quelle: Blatt HE_Cashflow_Auslenkung_2o, Zeile 147)" xr:uid="{32FB6C9F-9694-48DD-83B6-BA16684EB799}"/>
    <hyperlink ref="D156" location="HE_LZV_CF!H119" display="H119:BE119 (Quelle: Blatt HE_Cashflow_Auslenkung_2u, Zeile 147)" xr:uid="{EF74D393-C008-4F28-BBA8-F8890B71DFE2}"/>
    <hyperlink ref="D157" location="HE_LZV_CF!H120" display="H120:BE120 (Quelle: Blatt HE_Cashflow_Auslenkung_3o, Zeile 147)" xr:uid="{3865BD07-FCF5-4954-B9F9-8EA51536A4A1}"/>
    <hyperlink ref="D158" location="HE_LZV_CF!H121" display="H121:BE121 (Quelle: Blatt HE_Cashflow_Auslenkung_3u, Zeile 147)" xr:uid="{A3CE674F-74F1-40D7-A03D-E98553EA7C76}"/>
    <hyperlink ref="D159" location="HE_LZV_CF!H122" display="H122:BE122 (Quelle: Blatt HE_Cashflow_Auslenkung_4o, Zeile 147)" xr:uid="{A04D46D2-400A-4B28-852C-E139FE50134D}"/>
    <hyperlink ref="D160" location="HE_LZV_CF!H123" display="H123:BE123 (Quelle: Blatt HE_Cashflow_Auslenkung_4u, Zeile 147)" xr:uid="{58D48E2F-BD7A-4022-BB71-D9C63EC1420C}"/>
    <hyperlink ref="D161" location="HE_LZV_CF!H146" display="H146" xr:uid="{BFF4629B-9371-4B48-A764-83D18582841E}"/>
  </hyperlinks>
  <pageMargins left="0.47244094488188981" right="0.47244094488188981" top="0.59055118110236227" bottom="0.59055118110236227" header="0.35433070866141736" footer="0.35433070866141736"/>
  <pageSetup paperSize="9" scale="10" fitToHeight="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4788-3260-43D5-BB5C-A3E741AAB928}">
  <sheetPr codeName="Sheet7">
    <tabColor rgb="FFA2D3EE"/>
  </sheetPr>
  <dimension ref="A1:BF156"/>
  <sheetViews>
    <sheetView showGridLines="0" zoomScale="90" zoomScaleNormal="90" workbookViewId="0"/>
  </sheetViews>
  <sheetFormatPr defaultColWidth="8.7109375" defaultRowHeight="12.75" x14ac:dyDescent="0.2"/>
  <cols>
    <col min="1" max="1" width="7" customWidth="1"/>
    <col min="2" max="2" width="15.42578125" customWidth="1"/>
    <col min="3" max="3" width="46.5703125" customWidth="1"/>
    <col min="4" max="5" width="15.7109375" customWidth="1"/>
    <col min="6" max="6" width="16.5703125" customWidth="1"/>
    <col min="7" max="57" width="15.7109375" style="693" customWidth="1"/>
    <col min="58" max="58" width="12.5703125" bestFit="1" customWidth="1"/>
  </cols>
  <sheetData>
    <row r="1" spans="1:57" s="14" customFormat="1" ht="19.5" customHeight="1" x14ac:dyDescent="0.2">
      <c r="A1" s="566">
        <v>8.1999999999999993</v>
      </c>
      <c r="B1" s="184" t="str">
        <f>VLOOKUP("T.08.01",HE_label,2,FALSE)</f>
        <v>Kranken VVG: Cashflows für die Ermittlung der Langzeitverpflichtungen</v>
      </c>
      <c r="C1" s="59"/>
      <c r="D1" s="59"/>
      <c r="E1" s="59"/>
      <c r="F1" s="59"/>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2"/>
      <c r="BB1" s="692"/>
      <c r="BC1" s="692"/>
      <c r="BD1" s="692"/>
      <c r="BE1" s="692"/>
    </row>
    <row r="2" spans="1:57" x14ac:dyDescent="0.2">
      <c r="B2" s="228" t="str" cm="1">
        <f t="array" ref="B2">HE_company_name&amp;" - SST "&amp;HE_CY&amp;HE_suffix</f>
        <v xml:space="preserve"> - SST 2025</v>
      </c>
    </row>
    <row r="4" spans="1:57" s="51" customFormat="1" x14ac:dyDescent="0.2">
      <c r="B4" s="690" t="str">
        <f>VLOOKUP("T.08.02",HE_label,2,FALSE)&amp;Intro_SM_Health!B52&amp;";  "&amp;Intro_SM_Health!C52</f>
        <v>Dieses Tabellenblatt enthält Cashflows Prämien - Leistungen - Kosten;  Positives Vorzeichen wenn Gewinn, negatives Vorzeichen wenn Verlust</v>
      </c>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row>
    <row r="5" spans="1:57" s="51" customFormat="1" x14ac:dyDescent="0.2">
      <c r="B5" s="690" t="str">
        <f>VLOOKUP("T.08.03",HE_label,2,FALSE)</f>
        <v xml:space="preserve">Die hellgrünen Eingabefelder sind Eingaben, die gegebenenfalls vom Output des LZV-Tools zu kopieren sind. </v>
      </c>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c r="AT5" s="694"/>
      <c r="AU5" s="694"/>
      <c r="AV5" s="694"/>
      <c r="AW5" s="694"/>
      <c r="AX5" s="694"/>
      <c r="AY5" s="694"/>
      <c r="AZ5" s="694"/>
      <c r="BA5" s="694"/>
      <c r="BB5" s="694"/>
      <c r="BC5" s="694"/>
      <c r="BD5" s="694"/>
      <c r="BE5" s="694"/>
    </row>
    <row r="6" spans="1:57" s="51" customFormat="1" x14ac:dyDescent="0.2">
      <c r="B6" s="690" t="str">
        <f>VLOOKUP("T.08.04",HE_label,2,FALSE)</f>
        <v>Falls Cashflows nicht durch das LZV-Tool berechnet werden (Verwendung eines eigenen Tools), sind sie in den hellorangen Eingabefeldern einzugeben.</v>
      </c>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row>
    <row r="7" spans="1:57" x14ac:dyDescent="0.2">
      <c r="B7" s="228"/>
    </row>
    <row r="8" spans="1:57" ht="15.75" x14ac:dyDescent="0.2">
      <c r="B8" s="222" t="str">
        <f>VLOOKUP("T.08.05",HE_label,2,FALSE)&amp;HE_CY-1</f>
        <v>Cashflows für die LZV in der SST-Bilanz per 31.12.2024</v>
      </c>
    </row>
    <row r="9" spans="1:57" x14ac:dyDescent="0.2">
      <c r="B9" s="228"/>
    </row>
    <row r="10" spans="1:57" s="554" customFormat="1" x14ac:dyDescent="0.2">
      <c r="B10" s="229" t="str">
        <f>VLOOKUP("T.08.06",HE_label,2,FALSE)</f>
        <v>Cashflows vor Prämien-Cap, pro Cashflowtyp</v>
      </c>
      <c r="G10" s="864"/>
      <c r="H10" s="864"/>
      <c r="I10" s="864"/>
      <c r="J10" s="864"/>
      <c r="K10" s="864"/>
      <c r="L10" s="864"/>
      <c r="M10" s="864"/>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row>
    <row r="11" spans="1:57" ht="14.25" customHeight="1" thickBot="1" x14ac:dyDescent="0.25">
      <c r="B11" s="267"/>
      <c r="C11" s="699"/>
      <c r="D11" s="768" t="str">
        <f>VLOOKUP("T.08.07",HE_label,2,FALSE)</f>
        <v xml:space="preserve">Diskontierte Totale </v>
      </c>
      <c r="E11" s="696"/>
      <c r="F11" s="697"/>
      <c r="G11" s="769" t="str">
        <f>VLOOKUP("T.08.08",HE_label,2,FALSE)</f>
        <v>Undiskontierte Cashflows pro Abwicklungsjahr, in CHF</v>
      </c>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row>
    <row r="12" spans="1:57" s="225" customFormat="1" ht="12.75" customHeight="1" thickTop="1" x14ac:dyDescent="0.2">
      <c r="B12" s="725"/>
      <c r="C12" s="726"/>
      <c r="D12" s="1328" t="str">
        <f>VLOOKUP("T.08.07a",HE_label,2,FALSE)</f>
        <v>Total, in CHF</v>
      </c>
      <c r="E12" s="1330" t="str">
        <f>VLOOKUP("T.08.07b",HE_label,2,FALSE)</f>
        <v>Anteil am Total, mit Vorzeichen</v>
      </c>
      <c r="F12" s="1332" t="str">
        <f>VLOOKUP("T.08.07c",HE_label,2,FALSE)</f>
        <v>Diskontierungsfaktor</v>
      </c>
      <c r="G12" s="1326" t="str">
        <f>VLOOKUP("T.08.08a",HE_label,2,FALSE)</f>
        <v>Total</v>
      </c>
      <c r="H12" s="285">
        <f>HE_CY</f>
        <v>2025</v>
      </c>
      <c r="I12" s="285">
        <f>H12+1</f>
        <v>2026</v>
      </c>
      <c r="J12" s="285">
        <f t="shared" ref="J12:BE12" si="0">I12+1</f>
        <v>2027</v>
      </c>
      <c r="K12" s="285">
        <f t="shared" si="0"/>
        <v>2028</v>
      </c>
      <c r="L12" s="285">
        <f t="shared" si="0"/>
        <v>2029</v>
      </c>
      <c r="M12" s="285">
        <f t="shared" si="0"/>
        <v>2030</v>
      </c>
      <c r="N12" s="285">
        <f t="shared" si="0"/>
        <v>2031</v>
      </c>
      <c r="O12" s="285">
        <f t="shared" si="0"/>
        <v>2032</v>
      </c>
      <c r="P12" s="285">
        <f t="shared" si="0"/>
        <v>2033</v>
      </c>
      <c r="Q12" s="285">
        <f t="shared" si="0"/>
        <v>2034</v>
      </c>
      <c r="R12" s="285">
        <f t="shared" si="0"/>
        <v>2035</v>
      </c>
      <c r="S12" s="285">
        <f t="shared" si="0"/>
        <v>2036</v>
      </c>
      <c r="T12" s="285">
        <f t="shared" si="0"/>
        <v>2037</v>
      </c>
      <c r="U12" s="285">
        <f t="shared" si="0"/>
        <v>2038</v>
      </c>
      <c r="V12" s="285">
        <f t="shared" si="0"/>
        <v>2039</v>
      </c>
      <c r="W12" s="285">
        <f t="shared" si="0"/>
        <v>2040</v>
      </c>
      <c r="X12" s="285">
        <f t="shared" si="0"/>
        <v>2041</v>
      </c>
      <c r="Y12" s="285">
        <f t="shared" si="0"/>
        <v>2042</v>
      </c>
      <c r="Z12" s="285">
        <f t="shared" si="0"/>
        <v>2043</v>
      </c>
      <c r="AA12" s="285">
        <f t="shared" si="0"/>
        <v>2044</v>
      </c>
      <c r="AB12" s="285">
        <f t="shared" si="0"/>
        <v>2045</v>
      </c>
      <c r="AC12" s="285">
        <f t="shared" si="0"/>
        <v>2046</v>
      </c>
      <c r="AD12" s="285">
        <f t="shared" si="0"/>
        <v>2047</v>
      </c>
      <c r="AE12" s="285">
        <f t="shared" si="0"/>
        <v>2048</v>
      </c>
      <c r="AF12" s="285">
        <f t="shared" si="0"/>
        <v>2049</v>
      </c>
      <c r="AG12" s="285">
        <f t="shared" si="0"/>
        <v>2050</v>
      </c>
      <c r="AH12" s="285">
        <f t="shared" si="0"/>
        <v>2051</v>
      </c>
      <c r="AI12" s="285">
        <f t="shared" si="0"/>
        <v>2052</v>
      </c>
      <c r="AJ12" s="285">
        <f t="shared" si="0"/>
        <v>2053</v>
      </c>
      <c r="AK12" s="285">
        <f t="shared" si="0"/>
        <v>2054</v>
      </c>
      <c r="AL12" s="285">
        <f t="shared" si="0"/>
        <v>2055</v>
      </c>
      <c r="AM12" s="285">
        <f t="shared" si="0"/>
        <v>2056</v>
      </c>
      <c r="AN12" s="285">
        <f t="shared" si="0"/>
        <v>2057</v>
      </c>
      <c r="AO12" s="285">
        <f t="shared" si="0"/>
        <v>2058</v>
      </c>
      <c r="AP12" s="285">
        <f t="shared" si="0"/>
        <v>2059</v>
      </c>
      <c r="AQ12" s="285">
        <f t="shared" si="0"/>
        <v>2060</v>
      </c>
      <c r="AR12" s="285">
        <f t="shared" si="0"/>
        <v>2061</v>
      </c>
      <c r="AS12" s="285">
        <f t="shared" si="0"/>
        <v>2062</v>
      </c>
      <c r="AT12" s="285">
        <f t="shared" si="0"/>
        <v>2063</v>
      </c>
      <c r="AU12" s="285">
        <f t="shared" si="0"/>
        <v>2064</v>
      </c>
      <c r="AV12" s="285">
        <f t="shared" si="0"/>
        <v>2065</v>
      </c>
      <c r="AW12" s="285">
        <f t="shared" si="0"/>
        <v>2066</v>
      </c>
      <c r="AX12" s="285">
        <f t="shared" si="0"/>
        <v>2067</v>
      </c>
      <c r="AY12" s="285">
        <f t="shared" si="0"/>
        <v>2068</v>
      </c>
      <c r="AZ12" s="285">
        <f t="shared" si="0"/>
        <v>2069</v>
      </c>
      <c r="BA12" s="285">
        <f t="shared" si="0"/>
        <v>2070</v>
      </c>
      <c r="BB12" s="285">
        <f t="shared" si="0"/>
        <v>2071</v>
      </c>
      <c r="BC12" s="285">
        <f t="shared" si="0"/>
        <v>2072</v>
      </c>
      <c r="BD12" s="285">
        <f t="shared" si="0"/>
        <v>2073</v>
      </c>
      <c r="BE12" s="431">
        <f t="shared" si="0"/>
        <v>2074</v>
      </c>
    </row>
    <row r="13" spans="1:57" s="225" customFormat="1" ht="12.75" customHeight="1" x14ac:dyDescent="0.2">
      <c r="B13" s="725"/>
      <c r="C13" s="698"/>
      <c r="D13" s="1329" t="str">
        <f>VLOOKUP("T.08.07",HE_label,2,FALSE)</f>
        <v xml:space="preserve">Diskontierte Totale </v>
      </c>
      <c r="E13" s="1331" t="str">
        <f>VLOOKUP("T.08.07",HE_label,2,FALSE)</f>
        <v xml:space="preserve">Diskontierte Totale </v>
      </c>
      <c r="F13" s="1333" t="str">
        <f>VLOOKUP("T.08.07",HE_label,2,FALSE)</f>
        <v xml:space="preserve">Diskontierte Totale </v>
      </c>
      <c r="G13" s="1327" t="str">
        <f>VLOOKUP("T.08.08",HE_label,2,FALSE)</f>
        <v>Undiskontierte Cashflows pro Abwicklungsjahr, in CHF</v>
      </c>
      <c r="H13" s="285">
        <v>1</v>
      </c>
      <c r="I13" s="285">
        <v>2</v>
      </c>
      <c r="J13" s="285">
        <v>3</v>
      </c>
      <c r="K13" s="285">
        <v>4</v>
      </c>
      <c r="L13" s="285">
        <v>5</v>
      </c>
      <c r="M13" s="285">
        <v>6</v>
      </c>
      <c r="N13" s="285">
        <v>7</v>
      </c>
      <c r="O13" s="285">
        <v>8</v>
      </c>
      <c r="P13" s="285">
        <v>9</v>
      </c>
      <c r="Q13" s="285">
        <v>10</v>
      </c>
      <c r="R13" s="285">
        <v>11</v>
      </c>
      <c r="S13" s="285">
        <v>12</v>
      </c>
      <c r="T13" s="285">
        <v>13</v>
      </c>
      <c r="U13" s="285">
        <v>14</v>
      </c>
      <c r="V13" s="285">
        <v>15</v>
      </c>
      <c r="W13" s="285">
        <v>16</v>
      </c>
      <c r="X13" s="285">
        <v>17</v>
      </c>
      <c r="Y13" s="285">
        <v>18</v>
      </c>
      <c r="Z13" s="285">
        <v>19</v>
      </c>
      <c r="AA13" s="285">
        <v>20</v>
      </c>
      <c r="AB13" s="285">
        <v>21</v>
      </c>
      <c r="AC13" s="285">
        <v>22</v>
      </c>
      <c r="AD13" s="285">
        <v>23</v>
      </c>
      <c r="AE13" s="285">
        <v>24</v>
      </c>
      <c r="AF13" s="285">
        <v>25</v>
      </c>
      <c r="AG13" s="285">
        <v>26</v>
      </c>
      <c r="AH13" s="285">
        <v>27</v>
      </c>
      <c r="AI13" s="285">
        <v>28</v>
      </c>
      <c r="AJ13" s="285">
        <v>29</v>
      </c>
      <c r="AK13" s="285">
        <v>30</v>
      </c>
      <c r="AL13" s="285">
        <v>31</v>
      </c>
      <c r="AM13" s="285">
        <v>32</v>
      </c>
      <c r="AN13" s="285">
        <v>33</v>
      </c>
      <c r="AO13" s="285">
        <v>34</v>
      </c>
      <c r="AP13" s="285">
        <v>35</v>
      </c>
      <c r="AQ13" s="285">
        <v>36</v>
      </c>
      <c r="AR13" s="285">
        <v>37</v>
      </c>
      <c r="AS13" s="285">
        <v>38</v>
      </c>
      <c r="AT13" s="285">
        <v>39</v>
      </c>
      <c r="AU13" s="285">
        <v>40</v>
      </c>
      <c r="AV13" s="285">
        <v>41</v>
      </c>
      <c r="AW13" s="285">
        <v>42</v>
      </c>
      <c r="AX13" s="285">
        <v>43</v>
      </c>
      <c r="AY13" s="285">
        <v>44</v>
      </c>
      <c r="AZ13" s="285">
        <v>45</v>
      </c>
      <c r="BA13" s="285">
        <v>46</v>
      </c>
      <c r="BB13" s="285">
        <v>47</v>
      </c>
      <c r="BC13" s="285">
        <v>48</v>
      </c>
      <c r="BD13" s="285">
        <v>49</v>
      </c>
      <c r="BE13" s="431">
        <v>50</v>
      </c>
    </row>
    <row r="14" spans="1:57" x14ac:dyDescent="0.2">
      <c r="B14" s="1334" t="s">
        <v>335</v>
      </c>
      <c r="C14" s="700" t="str">
        <f>HE_CF_label</f>
        <v>Prämien - Leistungen - Kosten</v>
      </c>
      <c r="D14" s="717">
        <f t="shared" ref="D14:D25" si="1">IFERROR(SUMPRODUCT(HE_disc_curve,H14:BE14),0)</f>
        <v>0</v>
      </c>
      <c r="E14" s="737">
        <f>IFERROR(D14/ABS(D14),0)</f>
        <v>0</v>
      </c>
      <c r="F14" s="741">
        <f t="shared" ref="F14:F25" si="2">IFERROR(D14/G14,1)</f>
        <v>1</v>
      </c>
      <c r="G14" s="729">
        <f>IFERROR(SUM(H14:BE14),0)</f>
        <v>0</v>
      </c>
      <c r="H14" s="721">
        <f>IFERROR(H15-H16-H17,0)</f>
        <v>0</v>
      </c>
      <c r="I14" s="707">
        <f t="shared" ref="I14" si="3">IFERROR(I15-I16-I17,0)</f>
        <v>0</v>
      </c>
      <c r="J14" s="707">
        <f t="shared" ref="J14" si="4">IFERROR(J15-J16-J17,0)</f>
        <v>0</v>
      </c>
      <c r="K14" s="707">
        <f t="shared" ref="K14" si="5">IFERROR(K15-K16-K17,0)</f>
        <v>0</v>
      </c>
      <c r="L14" s="707">
        <f t="shared" ref="L14" si="6">IFERROR(L15-L16-L17,0)</f>
        <v>0</v>
      </c>
      <c r="M14" s="707">
        <f t="shared" ref="M14" si="7">IFERROR(M15-M16-M17,0)</f>
        <v>0</v>
      </c>
      <c r="N14" s="707">
        <f t="shared" ref="N14" si="8">IFERROR(N15-N16-N17,0)</f>
        <v>0</v>
      </c>
      <c r="O14" s="707">
        <f t="shared" ref="O14" si="9">IFERROR(O15-O16-O17,0)</f>
        <v>0</v>
      </c>
      <c r="P14" s="707">
        <f t="shared" ref="P14" si="10">IFERROR(P15-P16-P17,0)</f>
        <v>0</v>
      </c>
      <c r="Q14" s="707">
        <f t="shared" ref="Q14" si="11">IFERROR(Q15-Q16-Q17,0)</f>
        <v>0</v>
      </c>
      <c r="R14" s="707">
        <f t="shared" ref="R14" si="12">IFERROR(R15-R16-R17,0)</f>
        <v>0</v>
      </c>
      <c r="S14" s="707">
        <f t="shared" ref="S14" si="13">IFERROR(S15-S16-S17,0)</f>
        <v>0</v>
      </c>
      <c r="T14" s="707">
        <f t="shared" ref="T14" si="14">IFERROR(T15-T16-T17,0)</f>
        <v>0</v>
      </c>
      <c r="U14" s="707">
        <f t="shared" ref="U14" si="15">IFERROR(U15-U16-U17,0)</f>
        <v>0</v>
      </c>
      <c r="V14" s="707">
        <f t="shared" ref="V14" si="16">IFERROR(V15-V16-V17,0)</f>
        <v>0</v>
      </c>
      <c r="W14" s="707">
        <f t="shared" ref="W14" si="17">IFERROR(W15-W16-W17,0)</f>
        <v>0</v>
      </c>
      <c r="X14" s="707">
        <f t="shared" ref="X14" si="18">IFERROR(X15-X16-X17,0)</f>
        <v>0</v>
      </c>
      <c r="Y14" s="707">
        <f t="shared" ref="Y14" si="19">IFERROR(Y15-Y16-Y17,0)</f>
        <v>0</v>
      </c>
      <c r="Z14" s="707">
        <f t="shared" ref="Z14" si="20">IFERROR(Z15-Z16-Z17,0)</f>
        <v>0</v>
      </c>
      <c r="AA14" s="707">
        <f t="shared" ref="AA14" si="21">IFERROR(AA15-AA16-AA17,0)</f>
        <v>0</v>
      </c>
      <c r="AB14" s="707">
        <f t="shared" ref="AB14" si="22">IFERROR(AB15-AB16-AB17,0)</f>
        <v>0</v>
      </c>
      <c r="AC14" s="707">
        <f t="shared" ref="AC14" si="23">IFERROR(AC15-AC16-AC17,0)</f>
        <v>0</v>
      </c>
      <c r="AD14" s="707">
        <f t="shared" ref="AD14" si="24">IFERROR(AD15-AD16-AD17,0)</f>
        <v>0</v>
      </c>
      <c r="AE14" s="707">
        <f t="shared" ref="AE14" si="25">IFERROR(AE15-AE16-AE17,0)</f>
        <v>0</v>
      </c>
      <c r="AF14" s="707">
        <f t="shared" ref="AF14" si="26">IFERROR(AF15-AF16-AF17,0)</f>
        <v>0</v>
      </c>
      <c r="AG14" s="707">
        <f t="shared" ref="AG14" si="27">IFERROR(AG15-AG16-AG17,0)</f>
        <v>0</v>
      </c>
      <c r="AH14" s="707">
        <f t="shared" ref="AH14" si="28">IFERROR(AH15-AH16-AH17,0)</f>
        <v>0</v>
      </c>
      <c r="AI14" s="707">
        <f t="shared" ref="AI14" si="29">IFERROR(AI15-AI16-AI17,0)</f>
        <v>0</v>
      </c>
      <c r="AJ14" s="707">
        <f t="shared" ref="AJ14" si="30">IFERROR(AJ15-AJ16-AJ17,0)</f>
        <v>0</v>
      </c>
      <c r="AK14" s="707">
        <f t="shared" ref="AK14" si="31">IFERROR(AK15-AK16-AK17,0)</f>
        <v>0</v>
      </c>
      <c r="AL14" s="707">
        <f t="shared" ref="AL14" si="32">IFERROR(AL15-AL16-AL17,0)</f>
        <v>0</v>
      </c>
      <c r="AM14" s="707">
        <f t="shared" ref="AM14" si="33">IFERROR(AM15-AM16-AM17,0)</f>
        <v>0</v>
      </c>
      <c r="AN14" s="707">
        <f t="shared" ref="AN14" si="34">IFERROR(AN15-AN16-AN17,0)</f>
        <v>0</v>
      </c>
      <c r="AO14" s="707">
        <f t="shared" ref="AO14" si="35">IFERROR(AO15-AO16-AO17,0)</f>
        <v>0</v>
      </c>
      <c r="AP14" s="707">
        <f t="shared" ref="AP14" si="36">IFERROR(AP15-AP16-AP17,0)</f>
        <v>0</v>
      </c>
      <c r="AQ14" s="707">
        <f t="shared" ref="AQ14" si="37">IFERROR(AQ15-AQ16-AQ17,0)</f>
        <v>0</v>
      </c>
      <c r="AR14" s="707">
        <f t="shared" ref="AR14" si="38">IFERROR(AR15-AR16-AR17,0)</f>
        <v>0</v>
      </c>
      <c r="AS14" s="707">
        <f t="shared" ref="AS14" si="39">IFERROR(AS15-AS16-AS17,0)</f>
        <v>0</v>
      </c>
      <c r="AT14" s="707">
        <f t="shared" ref="AT14" si="40">IFERROR(AT15-AT16-AT17,0)</f>
        <v>0</v>
      </c>
      <c r="AU14" s="707">
        <f t="shared" ref="AU14" si="41">IFERROR(AU15-AU16-AU17,0)</f>
        <v>0</v>
      </c>
      <c r="AV14" s="707">
        <f t="shared" ref="AV14" si="42">IFERROR(AV15-AV16-AV17,0)</f>
        <v>0</v>
      </c>
      <c r="AW14" s="707">
        <f t="shared" ref="AW14" si="43">IFERROR(AW15-AW16-AW17,0)</f>
        <v>0</v>
      </c>
      <c r="AX14" s="707">
        <f t="shared" ref="AX14" si="44">IFERROR(AX15-AX16-AX17,0)</f>
        <v>0</v>
      </c>
      <c r="AY14" s="707">
        <f t="shared" ref="AY14" si="45">IFERROR(AY15-AY16-AY17,0)</f>
        <v>0</v>
      </c>
      <c r="AZ14" s="707">
        <f t="shared" ref="AZ14" si="46">IFERROR(AZ15-AZ16-AZ17,0)</f>
        <v>0</v>
      </c>
      <c r="BA14" s="707">
        <f t="shared" ref="BA14" si="47">IFERROR(BA15-BA16-BA17,0)</f>
        <v>0</v>
      </c>
      <c r="BB14" s="707">
        <f t="shared" ref="BB14" si="48">IFERROR(BB15-BB16-BB17,0)</f>
        <v>0</v>
      </c>
      <c r="BC14" s="707">
        <f t="shared" ref="BC14" si="49">IFERROR(BC15-BC16-BC17,0)</f>
        <v>0</v>
      </c>
      <c r="BD14" s="707">
        <f t="shared" ref="BD14" si="50">IFERROR(BD15-BD16-BD17,0)</f>
        <v>0</v>
      </c>
      <c r="BE14" s="708">
        <f t="shared" ref="BE14" si="51">IFERROR(BE15-BE16-BE17,0)</f>
        <v>0</v>
      </c>
    </row>
    <row r="15" spans="1:57" x14ac:dyDescent="0.2">
      <c r="B15" s="1335"/>
      <c r="C15" s="700" t="str">
        <f>HE_Praemium_label</f>
        <v>Prämien</v>
      </c>
      <c r="D15" s="718">
        <f t="shared" si="1"/>
        <v>0</v>
      </c>
      <c r="E15" s="738">
        <f>IFERROR(D15/ABS(D14),0)</f>
        <v>0</v>
      </c>
      <c r="F15" s="742">
        <f t="shared" si="2"/>
        <v>1</v>
      </c>
      <c r="G15" s="730">
        <f t="shared" ref="G15:G17" si="52">IFERROR(SUM(H15:BE15),0)</f>
        <v>0</v>
      </c>
      <c r="H15" s="727"/>
      <c r="I15" s="703"/>
      <c r="J15" s="703"/>
      <c r="K15" s="703"/>
      <c r="L15" s="703"/>
      <c r="M15" s="703"/>
      <c r="N15" s="703"/>
      <c r="O15" s="703"/>
      <c r="P15" s="703"/>
      <c r="Q15" s="703"/>
      <c r="R15" s="703"/>
      <c r="S15" s="703"/>
      <c r="T15" s="703"/>
      <c r="U15" s="703"/>
      <c r="V15" s="703"/>
      <c r="W15" s="703"/>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3"/>
      <c r="BE15" s="703"/>
    </row>
    <row r="16" spans="1:57" x14ac:dyDescent="0.2">
      <c r="B16" s="1335"/>
      <c r="C16" s="700" t="str">
        <f>HE_Leistungen_label</f>
        <v>Leistungen</v>
      </c>
      <c r="D16" s="718">
        <f t="shared" si="1"/>
        <v>0</v>
      </c>
      <c r="E16" s="738">
        <f>IFERROR(-D16/ABS(D14),0)</f>
        <v>0</v>
      </c>
      <c r="F16" s="742">
        <f t="shared" si="2"/>
        <v>1</v>
      </c>
      <c r="G16" s="730">
        <f t="shared" si="52"/>
        <v>0</v>
      </c>
      <c r="H16" s="727"/>
      <c r="I16" s="703"/>
      <c r="J16" s="703"/>
      <c r="K16" s="703"/>
      <c r="L16" s="703"/>
      <c r="M16" s="703"/>
      <c r="N16" s="703"/>
      <c r="O16" s="703"/>
      <c r="P16" s="703"/>
      <c r="Q16" s="703"/>
      <c r="R16" s="703"/>
      <c r="S16" s="703"/>
      <c r="T16" s="703"/>
      <c r="U16" s="703"/>
      <c r="V16" s="703"/>
      <c r="W16" s="703"/>
      <c r="X16" s="703"/>
      <c r="Y16" s="703"/>
      <c r="Z16" s="703"/>
      <c r="AA16" s="703"/>
      <c r="AB16" s="703"/>
      <c r="AC16" s="703"/>
      <c r="AD16" s="703"/>
      <c r="AE16" s="703"/>
      <c r="AF16" s="703"/>
      <c r="AG16" s="703"/>
      <c r="AH16" s="703"/>
      <c r="AI16" s="703"/>
      <c r="AJ16" s="703"/>
      <c r="AK16" s="703"/>
      <c r="AL16" s="703"/>
      <c r="AM16" s="703"/>
      <c r="AN16" s="703"/>
      <c r="AO16" s="703"/>
      <c r="AP16" s="703"/>
      <c r="AQ16" s="703"/>
      <c r="AR16" s="703"/>
      <c r="AS16" s="703"/>
      <c r="AT16" s="703"/>
      <c r="AU16" s="703"/>
      <c r="AV16" s="703"/>
      <c r="AW16" s="703"/>
      <c r="AX16" s="703"/>
      <c r="AY16" s="703"/>
      <c r="AZ16" s="703"/>
      <c r="BA16" s="703"/>
      <c r="BB16" s="703"/>
      <c r="BC16" s="703"/>
      <c r="BD16" s="703"/>
      <c r="BE16" s="703"/>
    </row>
    <row r="17" spans="2:57" x14ac:dyDescent="0.2">
      <c r="B17" s="1336"/>
      <c r="C17" s="702" t="str">
        <f>HE_Kosten_label</f>
        <v>Kosten</v>
      </c>
      <c r="D17" s="719">
        <f t="shared" si="1"/>
        <v>0</v>
      </c>
      <c r="E17" s="739">
        <f>IFERROR(-D17/ABS(D14),0)</f>
        <v>0</v>
      </c>
      <c r="F17" s="743">
        <f t="shared" si="2"/>
        <v>1</v>
      </c>
      <c r="G17" s="731">
        <f t="shared" si="52"/>
        <v>0</v>
      </c>
      <c r="H17" s="728"/>
      <c r="I17" s="704"/>
      <c r="J17" s="704"/>
      <c r="K17" s="704"/>
      <c r="L17" s="704"/>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row>
    <row r="18" spans="2:57" x14ac:dyDescent="0.2">
      <c r="B18" s="1337" t="str">
        <f>VLOOKUP("T.08.09",HE_label,2,FALSE)</f>
        <v>Alternative Berechnung</v>
      </c>
      <c r="C18" s="701" t="str">
        <f>C14</f>
        <v>Prämien - Leistungen - Kosten</v>
      </c>
      <c r="D18" s="720">
        <f t="shared" si="1"/>
        <v>0</v>
      </c>
      <c r="E18" s="740">
        <f>IFERROR(D18/ABS(D18),0)</f>
        <v>0</v>
      </c>
      <c r="F18" s="744">
        <f t="shared" si="2"/>
        <v>1</v>
      </c>
      <c r="G18" s="732">
        <f>IFERROR(SUM(H18:BE18),0)</f>
        <v>0</v>
      </c>
      <c r="H18" s="724">
        <f>IFERROR(H19-H20-H21,0)</f>
        <v>0</v>
      </c>
      <c r="I18" s="709">
        <f t="shared" ref="I18:BE18" si="53">IFERROR(I19-I20-I21,0)</f>
        <v>0</v>
      </c>
      <c r="J18" s="709">
        <f t="shared" si="53"/>
        <v>0</v>
      </c>
      <c r="K18" s="709">
        <f t="shared" si="53"/>
        <v>0</v>
      </c>
      <c r="L18" s="709">
        <f t="shared" si="53"/>
        <v>0</v>
      </c>
      <c r="M18" s="709">
        <f t="shared" si="53"/>
        <v>0</v>
      </c>
      <c r="N18" s="709">
        <f t="shared" si="53"/>
        <v>0</v>
      </c>
      <c r="O18" s="709">
        <f t="shared" si="53"/>
        <v>0</v>
      </c>
      <c r="P18" s="709">
        <f t="shared" si="53"/>
        <v>0</v>
      </c>
      <c r="Q18" s="709">
        <f t="shared" si="53"/>
        <v>0</v>
      </c>
      <c r="R18" s="709">
        <f t="shared" si="53"/>
        <v>0</v>
      </c>
      <c r="S18" s="709">
        <f t="shared" si="53"/>
        <v>0</v>
      </c>
      <c r="T18" s="709">
        <f t="shared" si="53"/>
        <v>0</v>
      </c>
      <c r="U18" s="709">
        <f t="shared" si="53"/>
        <v>0</v>
      </c>
      <c r="V18" s="709">
        <f t="shared" si="53"/>
        <v>0</v>
      </c>
      <c r="W18" s="709">
        <f t="shared" si="53"/>
        <v>0</v>
      </c>
      <c r="X18" s="709">
        <f t="shared" si="53"/>
        <v>0</v>
      </c>
      <c r="Y18" s="709">
        <f t="shared" si="53"/>
        <v>0</v>
      </c>
      <c r="Z18" s="709">
        <f t="shared" si="53"/>
        <v>0</v>
      </c>
      <c r="AA18" s="709">
        <f t="shared" si="53"/>
        <v>0</v>
      </c>
      <c r="AB18" s="709">
        <f t="shared" si="53"/>
        <v>0</v>
      </c>
      <c r="AC18" s="709">
        <f t="shared" si="53"/>
        <v>0</v>
      </c>
      <c r="AD18" s="709">
        <f t="shared" si="53"/>
        <v>0</v>
      </c>
      <c r="AE18" s="709">
        <f t="shared" si="53"/>
        <v>0</v>
      </c>
      <c r="AF18" s="709">
        <f t="shared" si="53"/>
        <v>0</v>
      </c>
      <c r="AG18" s="709">
        <f t="shared" si="53"/>
        <v>0</v>
      </c>
      <c r="AH18" s="709">
        <f t="shared" si="53"/>
        <v>0</v>
      </c>
      <c r="AI18" s="709">
        <f t="shared" si="53"/>
        <v>0</v>
      </c>
      <c r="AJ18" s="709">
        <f t="shared" si="53"/>
        <v>0</v>
      </c>
      <c r="AK18" s="709">
        <f t="shared" si="53"/>
        <v>0</v>
      </c>
      <c r="AL18" s="709">
        <f t="shared" si="53"/>
        <v>0</v>
      </c>
      <c r="AM18" s="709">
        <f t="shared" si="53"/>
        <v>0</v>
      </c>
      <c r="AN18" s="709">
        <f t="shared" si="53"/>
        <v>0</v>
      </c>
      <c r="AO18" s="709">
        <f t="shared" si="53"/>
        <v>0</v>
      </c>
      <c r="AP18" s="709">
        <f t="shared" si="53"/>
        <v>0</v>
      </c>
      <c r="AQ18" s="709">
        <f t="shared" si="53"/>
        <v>0</v>
      </c>
      <c r="AR18" s="709">
        <f t="shared" si="53"/>
        <v>0</v>
      </c>
      <c r="AS18" s="709">
        <f t="shared" si="53"/>
        <v>0</v>
      </c>
      <c r="AT18" s="709">
        <f t="shared" si="53"/>
        <v>0</v>
      </c>
      <c r="AU18" s="709">
        <f t="shared" si="53"/>
        <v>0</v>
      </c>
      <c r="AV18" s="709">
        <f t="shared" si="53"/>
        <v>0</v>
      </c>
      <c r="AW18" s="709">
        <f t="shared" si="53"/>
        <v>0</v>
      </c>
      <c r="AX18" s="709">
        <f t="shared" si="53"/>
        <v>0</v>
      </c>
      <c r="AY18" s="709">
        <f t="shared" si="53"/>
        <v>0</v>
      </c>
      <c r="AZ18" s="709">
        <f t="shared" si="53"/>
        <v>0</v>
      </c>
      <c r="BA18" s="709">
        <f t="shared" si="53"/>
        <v>0</v>
      </c>
      <c r="BB18" s="709">
        <f t="shared" si="53"/>
        <v>0</v>
      </c>
      <c r="BC18" s="709">
        <f t="shared" si="53"/>
        <v>0</v>
      </c>
      <c r="BD18" s="709">
        <f t="shared" si="53"/>
        <v>0</v>
      </c>
      <c r="BE18" s="710">
        <f t="shared" si="53"/>
        <v>0</v>
      </c>
    </row>
    <row r="19" spans="2:57" x14ac:dyDescent="0.2">
      <c r="B19" s="1338" t="str">
        <f>VLOOKUP("T.08.06",HE_label,2,FALSE)</f>
        <v>Cashflows vor Prämien-Cap, pro Cashflowtyp</v>
      </c>
      <c r="C19" s="700" t="str">
        <f>C15</f>
        <v>Prämien</v>
      </c>
      <c r="D19" s="718">
        <f t="shared" si="1"/>
        <v>0</v>
      </c>
      <c r="E19" s="738">
        <f>IFERROR(D19/ABS(D18),0)</f>
        <v>0</v>
      </c>
      <c r="F19" s="742">
        <f t="shared" si="2"/>
        <v>1</v>
      </c>
      <c r="G19" s="730">
        <f t="shared" ref="G19:G21" si="54">IFERROR(SUM(H19:BE19),0)</f>
        <v>0</v>
      </c>
      <c r="H19" s="337"/>
      <c r="I19" s="705"/>
      <c r="J19" s="705"/>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c r="AY19" s="705"/>
      <c r="AZ19" s="705"/>
      <c r="BA19" s="705"/>
      <c r="BB19" s="705"/>
      <c r="BC19" s="705"/>
      <c r="BD19" s="705"/>
      <c r="BE19" s="705"/>
    </row>
    <row r="20" spans="2:57" x14ac:dyDescent="0.2">
      <c r="B20" s="1338" t="str">
        <f>VLOOKUP("T.08.06",HE_label,2,FALSE)</f>
        <v>Cashflows vor Prämien-Cap, pro Cashflowtyp</v>
      </c>
      <c r="C20" s="700" t="str">
        <f>C16</f>
        <v>Leistungen</v>
      </c>
      <c r="D20" s="718">
        <f t="shared" si="1"/>
        <v>0</v>
      </c>
      <c r="E20" s="738">
        <f>IFERROR(-D20/ABS(D18),0)</f>
        <v>0</v>
      </c>
      <c r="F20" s="742">
        <f t="shared" si="2"/>
        <v>1</v>
      </c>
      <c r="G20" s="730">
        <f t="shared" si="54"/>
        <v>0</v>
      </c>
      <c r="H20" s="337"/>
      <c r="I20" s="705"/>
      <c r="J20" s="705"/>
      <c r="K20" s="705"/>
      <c r="L20" s="705"/>
      <c r="M20" s="705"/>
      <c r="N20" s="705"/>
      <c r="O20" s="705"/>
      <c r="P20" s="705"/>
      <c r="Q20" s="705"/>
      <c r="R20" s="705"/>
      <c r="S20" s="705"/>
      <c r="T20" s="705"/>
      <c r="U20" s="705"/>
      <c r="V20" s="705"/>
      <c r="W20" s="705"/>
      <c r="X20" s="705"/>
      <c r="Y20" s="705"/>
      <c r="Z20" s="705"/>
      <c r="AA20" s="705"/>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c r="AX20" s="705"/>
      <c r="AY20" s="705"/>
      <c r="AZ20" s="705"/>
      <c r="BA20" s="705"/>
      <c r="BB20" s="705"/>
      <c r="BC20" s="705"/>
      <c r="BD20" s="705"/>
      <c r="BE20" s="705"/>
    </row>
    <row r="21" spans="2:57" x14ac:dyDescent="0.2">
      <c r="B21" s="1339" t="str">
        <f>VLOOKUP("T.08.06",HE_label,2,FALSE)</f>
        <v>Cashflows vor Prämien-Cap, pro Cashflowtyp</v>
      </c>
      <c r="C21" s="702" t="str">
        <f>C17</f>
        <v>Kosten</v>
      </c>
      <c r="D21" s="719">
        <f t="shared" si="1"/>
        <v>0</v>
      </c>
      <c r="E21" s="739">
        <f>IFERROR(-D21/ABS(D18),0)</f>
        <v>0</v>
      </c>
      <c r="F21" s="743">
        <f t="shared" si="2"/>
        <v>1</v>
      </c>
      <c r="G21" s="731">
        <f t="shared" si="54"/>
        <v>0</v>
      </c>
      <c r="H21" s="420"/>
      <c r="I21" s="706"/>
      <c r="J21" s="706"/>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row>
    <row r="22" spans="2:57" s="51" customFormat="1" x14ac:dyDescent="0.2">
      <c r="B22" s="1351" t="str">
        <f>VLOOKUP("T.08.10",HE_label,2,FALSE)</f>
        <v>Zusammenzug</v>
      </c>
      <c r="C22" s="749" t="str">
        <f>C14</f>
        <v>Prämien - Leistungen - Kosten</v>
      </c>
      <c r="D22" s="750">
        <f t="shared" si="1"/>
        <v>0</v>
      </c>
      <c r="E22" s="751">
        <f>IFERROR(D22/ABS(D22),0)</f>
        <v>0</v>
      </c>
      <c r="F22" s="752">
        <f t="shared" si="2"/>
        <v>1</v>
      </c>
      <c r="G22" s="753">
        <f>G14+G18</f>
        <v>0</v>
      </c>
      <c r="H22" s="754">
        <f t="shared" ref="H22:BE22" si="55">H14+H18</f>
        <v>0</v>
      </c>
      <c r="I22" s="755">
        <f t="shared" si="55"/>
        <v>0</v>
      </c>
      <c r="J22" s="755">
        <f t="shared" si="55"/>
        <v>0</v>
      </c>
      <c r="K22" s="755">
        <f t="shared" si="55"/>
        <v>0</v>
      </c>
      <c r="L22" s="755">
        <f t="shared" si="55"/>
        <v>0</v>
      </c>
      <c r="M22" s="755">
        <f t="shared" si="55"/>
        <v>0</v>
      </c>
      <c r="N22" s="755">
        <f t="shared" si="55"/>
        <v>0</v>
      </c>
      <c r="O22" s="755">
        <f t="shared" si="55"/>
        <v>0</v>
      </c>
      <c r="P22" s="755">
        <f t="shared" si="55"/>
        <v>0</v>
      </c>
      <c r="Q22" s="755">
        <f t="shared" si="55"/>
        <v>0</v>
      </c>
      <c r="R22" s="755">
        <f t="shared" si="55"/>
        <v>0</v>
      </c>
      <c r="S22" s="755">
        <f t="shared" si="55"/>
        <v>0</v>
      </c>
      <c r="T22" s="755">
        <f t="shared" si="55"/>
        <v>0</v>
      </c>
      <c r="U22" s="755">
        <f t="shared" si="55"/>
        <v>0</v>
      </c>
      <c r="V22" s="755">
        <f t="shared" si="55"/>
        <v>0</v>
      </c>
      <c r="W22" s="755">
        <f t="shared" si="55"/>
        <v>0</v>
      </c>
      <c r="X22" s="755">
        <f t="shared" si="55"/>
        <v>0</v>
      </c>
      <c r="Y22" s="755">
        <f t="shared" si="55"/>
        <v>0</v>
      </c>
      <c r="Z22" s="755">
        <f t="shared" si="55"/>
        <v>0</v>
      </c>
      <c r="AA22" s="755">
        <f t="shared" si="55"/>
        <v>0</v>
      </c>
      <c r="AB22" s="755">
        <f t="shared" si="55"/>
        <v>0</v>
      </c>
      <c r="AC22" s="755">
        <f t="shared" si="55"/>
        <v>0</v>
      </c>
      <c r="AD22" s="755">
        <f t="shared" si="55"/>
        <v>0</v>
      </c>
      <c r="AE22" s="755">
        <f t="shared" si="55"/>
        <v>0</v>
      </c>
      <c r="AF22" s="755">
        <f t="shared" si="55"/>
        <v>0</v>
      </c>
      <c r="AG22" s="755">
        <f t="shared" si="55"/>
        <v>0</v>
      </c>
      <c r="AH22" s="755">
        <f t="shared" si="55"/>
        <v>0</v>
      </c>
      <c r="AI22" s="755">
        <f t="shared" si="55"/>
        <v>0</v>
      </c>
      <c r="AJ22" s="755">
        <f t="shared" si="55"/>
        <v>0</v>
      </c>
      <c r="AK22" s="755">
        <f t="shared" si="55"/>
        <v>0</v>
      </c>
      <c r="AL22" s="755">
        <f t="shared" si="55"/>
        <v>0</v>
      </c>
      <c r="AM22" s="755">
        <f t="shared" si="55"/>
        <v>0</v>
      </c>
      <c r="AN22" s="755">
        <f t="shared" si="55"/>
        <v>0</v>
      </c>
      <c r="AO22" s="755">
        <f t="shared" si="55"/>
        <v>0</v>
      </c>
      <c r="AP22" s="755">
        <f t="shared" si="55"/>
        <v>0</v>
      </c>
      <c r="AQ22" s="755">
        <f t="shared" si="55"/>
        <v>0</v>
      </c>
      <c r="AR22" s="755">
        <f t="shared" si="55"/>
        <v>0</v>
      </c>
      <c r="AS22" s="755">
        <f t="shared" si="55"/>
        <v>0</v>
      </c>
      <c r="AT22" s="755">
        <f t="shared" si="55"/>
        <v>0</v>
      </c>
      <c r="AU22" s="755">
        <f t="shared" si="55"/>
        <v>0</v>
      </c>
      <c r="AV22" s="755">
        <f t="shared" si="55"/>
        <v>0</v>
      </c>
      <c r="AW22" s="755">
        <f t="shared" si="55"/>
        <v>0</v>
      </c>
      <c r="AX22" s="755">
        <f t="shared" si="55"/>
        <v>0</v>
      </c>
      <c r="AY22" s="755">
        <f t="shared" si="55"/>
        <v>0</v>
      </c>
      <c r="AZ22" s="755">
        <f t="shared" si="55"/>
        <v>0</v>
      </c>
      <c r="BA22" s="755">
        <f t="shared" si="55"/>
        <v>0</v>
      </c>
      <c r="BB22" s="755">
        <f t="shared" si="55"/>
        <v>0</v>
      </c>
      <c r="BC22" s="755">
        <f t="shared" si="55"/>
        <v>0</v>
      </c>
      <c r="BD22" s="755">
        <f t="shared" si="55"/>
        <v>0</v>
      </c>
      <c r="BE22" s="756">
        <f t="shared" si="55"/>
        <v>0</v>
      </c>
    </row>
    <row r="23" spans="2:57" x14ac:dyDescent="0.2">
      <c r="B23" s="1352" t="str">
        <f>VLOOKUP("T.08.06",HE_label,2,FALSE)</f>
        <v>Cashflows vor Prämien-Cap, pro Cashflowtyp</v>
      </c>
      <c r="C23" s="700" t="str">
        <f t="shared" ref="C23:C25" si="56">C15</f>
        <v>Prämien</v>
      </c>
      <c r="D23" s="718">
        <f t="shared" si="1"/>
        <v>0</v>
      </c>
      <c r="E23" s="738">
        <f>IFERROR(D23/ABS(D22),0)</f>
        <v>0</v>
      </c>
      <c r="F23" s="742">
        <f t="shared" si="2"/>
        <v>1</v>
      </c>
      <c r="G23" s="730">
        <f t="shared" ref="G23:BE23" si="57">G15+G19</f>
        <v>0</v>
      </c>
      <c r="H23" s="722">
        <f t="shared" si="57"/>
        <v>0</v>
      </c>
      <c r="I23" s="711">
        <f t="shared" si="57"/>
        <v>0</v>
      </c>
      <c r="J23" s="711">
        <f t="shared" si="57"/>
        <v>0</v>
      </c>
      <c r="K23" s="711">
        <f t="shared" si="57"/>
        <v>0</v>
      </c>
      <c r="L23" s="711">
        <f t="shared" si="57"/>
        <v>0</v>
      </c>
      <c r="M23" s="711">
        <f t="shared" si="57"/>
        <v>0</v>
      </c>
      <c r="N23" s="711">
        <f t="shared" si="57"/>
        <v>0</v>
      </c>
      <c r="O23" s="711">
        <f t="shared" si="57"/>
        <v>0</v>
      </c>
      <c r="P23" s="711">
        <f t="shared" si="57"/>
        <v>0</v>
      </c>
      <c r="Q23" s="711">
        <f t="shared" si="57"/>
        <v>0</v>
      </c>
      <c r="R23" s="711">
        <f t="shared" si="57"/>
        <v>0</v>
      </c>
      <c r="S23" s="711">
        <f t="shared" si="57"/>
        <v>0</v>
      </c>
      <c r="T23" s="711">
        <f t="shared" si="57"/>
        <v>0</v>
      </c>
      <c r="U23" s="711">
        <f t="shared" si="57"/>
        <v>0</v>
      </c>
      <c r="V23" s="711">
        <f t="shared" si="57"/>
        <v>0</v>
      </c>
      <c r="W23" s="711">
        <f t="shared" si="57"/>
        <v>0</v>
      </c>
      <c r="X23" s="711">
        <f t="shared" si="57"/>
        <v>0</v>
      </c>
      <c r="Y23" s="711">
        <f t="shared" si="57"/>
        <v>0</v>
      </c>
      <c r="Z23" s="711">
        <f t="shared" si="57"/>
        <v>0</v>
      </c>
      <c r="AA23" s="711">
        <f t="shared" si="57"/>
        <v>0</v>
      </c>
      <c r="AB23" s="711">
        <f t="shared" si="57"/>
        <v>0</v>
      </c>
      <c r="AC23" s="711">
        <f t="shared" si="57"/>
        <v>0</v>
      </c>
      <c r="AD23" s="711">
        <f t="shared" si="57"/>
        <v>0</v>
      </c>
      <c r="AE23" s="711">
        <f t="shared" si="57"/>
        <v>0</v>
      </c>
      <c r="AF23" s="711">
        <f t="shared" si="57"/>
        <v>0</v>
      </c>
      <c r="AG23" s="711">
        <f t="shared" si="57"/>
        <v>0</v>
      </c>
      <c r="AH23" s="711">
        <f t="shared" si="57"/>
        <v>0</v>
      </c>
      <c r="AI23" s="711">
        <f t="shared" si="57"/>
        <v>0</v>
      </c>
      <c r="AJ23" s="711">
        <f t="shared" si="57"/>
        <v>0</v>
      </c>
      <c r="AK23" s="711">
        <f t="shared" si="57"/>
        <v>0</v>
      </c>
      <c r="AL23" s="711">
        <f t="shared" si="57"/>
        <v>0</v>
      </c>
      <c r="AM23" s="711">
        <f t="shared" si="57"/>
        <v>0</v>
      </c>
      <c r="AN23" s="711">
        <f t="shared" si="57"/>
        <v>0</v>
      </c>
      <c r="AO23" s="711">
        <f t="shared" si="57"/>
        <v>0</v>
      </c>
      <c r="AP23" s="711">
        <f t="shared" si="57"/>
        <v>0</v>
      </c>
      <c r="AQ23" s="711">
        <f t="shared" si="57"/>
        <v>0</v>
      </c>
      <c r="AR23" s="711">
        <f t="shared" si="57"/>
        <v>0</v>
      </c>
      <c r="AS23" s="711">
        <f t="shared" si="57"/>
        <v>0</v>
      </c>
      <c r="AT23" s="711">
        <f t="shared" si="57"/>
        <v>0</v>
      </c>
      <c r="AU23" s="711">
        <f t="shared" si="57"/>
        <v>0</v>
      </c>
      <c r="AV23" s="711">
        <f t="shared" si="57"/>
        <v>0</v>
      </c>
      <c r="AW23" s="711">
        <f t="shared" si="57"/>
        <v>0</v>
      </c>
      <c r="AX23" s="711">
        <f t="shared" si="57"/>
        <v>0</v>
      </c>
      <c r="AY23" s="711">
        <f t="shared" si="57"/>
        <v>0</v>
      </c>
      <c r="AZ23" s="711">
        <f t="shared" si="57"/>
        <v>0</v>
      </c>
      <c r="BA23" s="711">
        <f t="shared" si="57"/>
        <v>0</v>
      </c>
      <c r="BB23" s="711">
        <f t="shared" si="57"/>
        <v>0</v>
      </c>
      <c r="BC23" s="711">
        <f t="shared" si="57"/>
        <v>0</v>
      </c>
      <c r="BD23" s="711">
        <f t="shared" si="57"/>
        <v>0</v>
      </c>
      <c r="BE23" s="712">
        <f t="shared" si="57"/>
        <v>0</v>
      </c>
    </row>
    <row r="24" spans="2:57" x14ac:dyDescent="0.2">
      <c r="B24" s="1352" t="str">
        <f>VLOOKUP("T.08.06",HE_label,2,FALSE)</f>
        <v>Cashflows vor Prämien-Cap, pro Cashflowtyp</v>
      </c>
      <c r="C24" s="700" t="str">
        <f t="shared" si="56"/>
        <v>Leistungen</v>
      </c>
      <c r="D24" s="718">
        <f t="shared" si="1"/>
        <v>0</v>
      </c>
      <c r="E24" s="738">
        <f>IFERROR(-D24/ABS(D22),0)</f>
        <v>0</v>
      </c>
      <c r="F24" s="742">
        <f t="shared" si="2"/>
        <v>1</v>
      </c>
      <c r="G24" s="730">
        <f t="shared" ref="G24:BE24" si="58">G16+G20</f>
        <v>0</v>
      </c>
      <c r="H24" s="722">
        <f t="shared" si="58"/>
        <v>0</v>
      </c>
      <c r="I24" s="711">
        <f t="shared" si="58"/>
        <v>0</v>
      </c>
      <c r="J24" s="711">
        <f t="shared" si="58"/>
        <v>0</v>
      </c>
      <c r="K24" s="711">
        <f t="shared" si="58"/>
        <v>0</v>
      </c>
      <c r="L24" s="711">
        <f t="shared" si="58"/>
        <v>0</v>
      </c>
      <c r="M24" s="711">
        <f t="shared" si="58"/>
        <v>0</v>
      </c>
      <c r="N24" s="711">
        <f t="shared" si="58"/>
        <v>0</v>
      </c>
      <c r="O24" s="711">
        <f t="shared" si="58"/>
        <v>0</v>
      </c>
      <c r="P24" s="711">
        <f t="shared" si="58"/>
        <v>0</v>
      </c>
      <c r="Q24" s="711">
        <f t="shared" si="58"/>
        <v>0</v>
      </c>
      <c r="R24" s="711">
        <f t="shared" si="58"/>
        <v>0</v>
      </c>
      <c r="S24" s="711">
        <f t="shared" si="58"/>
        <v>0</v>
      </c>
      <c r="T24" s="711">
        <f t="shared" si="58"/>
        <v>0</v>
      </c>
      <c r="U24" s="711">
        <f t="shared" si="58"/>
        <v>0</v>
      </c>
      <c r="V24" s="711">
        <f t="shared" si="58"/>
        <v>0</v>
      </c>
      <c r="W24" s="711">
        <f t="shared" si="58"/>
        <v>0</v>
      </c>
      <c r="X24" s="711">
        <f t="shared" si="58"/>
        <v>0</v>
      </c>
      <c r="Y24" s="711">
        <f t="shared" si="58"/>
        <v>0</v>
      </c>
      <c r="Z24" s="711">
        <f t="shared" si="58"/>
        <v>0</v>
      </c>
      <c r="AA24" s="711">
        <f t="shared" si="58"/>
        <v>0</v>
      </c>
      <c r="AB24" s="711">
        <f t="shared" si="58"/>
        <v>0</v>
      </c>
      <c r="AC24" s="711">
        <f t="shared" si="58"/>
        <v>0</v>
      </c>
      <c r="AD24" s="711">
        <f t="shared" si="58"/>
        <v>0</v>
      </c>
      <c r="AE24" s="711">
        <f t="shared" si="58"/>
        <v>0</v>
      </c>
      <c r="AF24" s="711">
        <f t="shared" si="58"/>
        <v>0</v>
      </c>
      <c r="AG24" s="711">
        <f t="shared" si="58"/>
        <v>0</v>
      </c>
      <c r="AH24" s="711">
        <f t="shared" si="58"/>
        <v>0</v>
      </c>
      <c r="AI24" s="711">
        <f t="shared" si="58"/>
        <v>0</v>
      </c>
      <c r="AJ24" s="711">
        <f t="shared" si="58"/>
        <v>0</v>
      </c>
      <c r="AK24" s="711">
        <f t="shared" si="58"/>
        <v>0</v>
      </c>
      <c r="AL24" s="711">
        <f t="shared" si="58"/>
        <v>0</v>
      </c>
      <c r="AM24" s="711">
        <f t="shared" si="58"/>
        <v>0</v>
      </c>
      <c r="AN24" s="711">
        <f t="shared" si="58"/>
        <v>0</v>
      </c>
      <c r="AO24" s="711">
        <f t="shared" si="58"/>
        <v>0</v>
      </c>
      <c r="AP24" s="711">
        <f t="shared" si="58"/>
        <v>0</v>
      </c>
      <c r="AQ24" s="711">
        <f t="shared" si="58"/>
        <v>0</v>
      </c>
      <c r="AR24" s="711">
        <f t="shared" si="58"/>
        <v>0</v>
      </c>
      <c r="AS24" s="711">
        <f t="shared" si="58"/>
        <v>0</v>
      </c>
      <c r="AT24" s="711">
        <f t="shared" si="58"/>
        <v>0</v>
      </c>
      <c r="AU24" s="711">
        <f t="shared" si="58"/>
        <v>0</v>
      </c>
      <c r="AV24" s="711">
        <f t="shared" si="58"/>
        <v>0</v>
      </c>
      <c r="AW24" s="711">
        <f t="shared" si="58"/>
        <v>0</v>
      </c>
      <c r="AX24" s="711">
        <f t="shared" si="58"/>
        <v>0</v>
      </c>
      <c r="AY24" s="711">
        <f t="shared" si="58"/>
        <v>0</v>
      </c>
      <c r="AZ24" s="711">
        <f t="shared" si="58"/>
        <v>0</v>
      </c>
      <c r="BA24" s="711">
        <f t="shared" si="58"/>
        <v>0</v>
      </c>
      <c r="BB24" s="711">
        <f t="shared" si="58"/>
        <v>0</v>
      </c>
      <c r="BC24" s="711">
        <f t="shared" si="58"/>
        <v>0</v>
      </c>
      <c r="BD24" s="711">
        <f t="shared" si="58"/>
        <v>0</v>
      </c>
      <c r="BE24" s="712">
        <f t="shared" si="58"/>
        <v>0</v>
      </c>
    </row>
    <row r="25" spans="2:57" x14ac:dyDescent="0.2">
      <c r="B25" s="1353" t="str">
        <f>VLOOKUP("T.08.06",HE_label,2,FALSE)</f>
        <v>Cashflows vor Prämien-Cap, pro Cashflowtyp</v>
      </c>
      <c r="C25" s="702" t="str">
        <f t="shared" si="56"/>
        <v>Kosten</v>
      </c>
      <c r="D25" s="719">
        <f t="shared" si="1"/>
        <v>0</v>
      </c>
      <c r="E25" s="739">
        <f>IFERROR(-D25/ABS(D22),0)</f>
        <v>0</v>
      </c>
      <c r="F25" s="743">
        <f t="shared" si="2"/>
        <v>1</v>
      </c>
      <c r="G25" s="731">
        <f t="shared" ref="G25:BE25" si="59">G17+G21</f>
        <v>0</v>
      </c>
      <c r="H25" s="723">
        <f t="shared" si="59"/>
        <v>0</v>
      </c>
      <c r="I25" s="713">
        <f t="shared" si="59"/>
        <v>0</v>
      </c>
      <c r="J25" s="713">
        <f t="shared" si="59"/>
        <v>0</v>
      </c>
      <c r="K25" s="713">
        <f t="shared" si="59"/>
        <v>0</v>
      </c>
      <c r="L25" s="713">
        <f t="shared" si="59"/>
        <v>0</v>
      </c>
      <c r="M25" s="713">
        <f t="shared" si="59"/>
        <v>0</v>
      </c>
      <c r="N25" s="713">
        <f t="shared" si="59"/>
        <v>0</v>
      </c>
      <c r="O25" s="713">
        <f t="shared" si="59"/>
        <v>0</v>
      </c>
      <c r="P25" s="713">
        <f t="shared" si="59"/>
        <v>0</v>
      </c>
      <c r="Q25" s="713">
        <f t="shared" si="59"/>
        <v>0</v>
      </c>
      <c r="R25" s="713">
        <f t="shared" si="59"/>
        <v>0</v>
      </c>
      <c r="S25" s="713">
        <f t="shared" si="59"/>
        <v>0</v>
      </c>
      <c r="T25" s="713">
        <f t="shared" si="59"/>
        <v>0</v>
      </c>
      <c r="U25" s="713">
        <f t="shared" si="59"/>
        <v>0</v>
      </c>
      <c r="V25" s="713">
        <f t="shared" si="59"/>
        <v>0</v>
      </c>
      <c r="W25" s="713">
        <f t="shared" si="59"/>
        <v>0</v>
      </c>
      <c r="X25" s="713">
        <f t="shared" si="59"/>
        <v>0</v>
      </c>
      <c r="Y25" s="713">
        <f t="shared" si="59"/>
        <v>0</v>
      </c>
      <c r="Z25" s="713">
        <f t="shared" si="59"/>
        <v>0</v>
      </c>
      <c r="AA25" s="713">
        <f t="shared" si="59"/>
        <v>0</v>
      </c>
      <c r="AB25" s="713">
        <f t="shared" si="59"/>
        <v>0</v>
      </c>
      <c r="AC25" s="713">
        <f t="shared" si="59"/>
        <v>0</v>
      </c>
      <c r="AD25" s="713">
        <f t="shared" si="59"/>
        <v>0</v>
      </c>
      <c r="AE25" s="713">
        <f t="shared" si="59"/>
        <v>0</v>
      </c>
      <c r="AF25" s="713">
        <f t="shared" si="59"/>
        <v>0</v>
      </c>
      <c r="AG25" s="713">
        <f t="shared" si="59"/>
        <v>0</v>
      </c>
      <c r="AH25" s="713">
        <f t="shared" si="59"/>
        <v>0</v>
      </c>
      <c r="AI25" s="713">
        <f t="shared" si="59"/>
        <v>0</v>
      </c>
      <c r="AJ25" s="713">
        <f t="shared" si="59"/>
        <v>0</v>
      </c>
      <c r="AK25" s="713">
        <f t="shared" si="59"/>
        <v>0</v>
      </c>
      <c r="AL25" s="713">
        <f t="shared" si="59"/>
        <v>0</v>
      </c>
      <c r="AM25" s="713">
        <f t="shared" si="59"/>
        <v>0</v>
      </c>
      <c r="AN25" s="713">
        <f t="shared" si="59"/>
        <v>0</v>
      </c>
      <c r="AO25" s="713">
        <f t="shared" si="59"/>
        <v>0</v>
      </c>
      <c r="AP25" s="713">
        <f t="shared" si="59"/>
        <v>0</v>
      </c>
      <c r="AQ25" s="713">
        <f t="shared" si="59"/>
        <v>0</v>
      </c>
      <c r="AR25" s="713">
        <f t="shared" si="59"/>
        <v>0</v>
      </c>
      <c r="AS25" s="713">
        <f t="shared" si="59"/>
        <v>0</v>
      </c>
      <c r="AT25" s="713">
        <f t="shared" si="59"/>
        <v>0</v>
      </c>
      <c r="AU25" s="713">
        <f t="shared" si="59"/>
        <v>0</v>
      </c>
      <c r="AV25" s="713">
        <f t="shared" si="59"/>
        <v>0</v>
      </c>
      <c r="AW25" s="713">
        <f t="shared" si="59"/>
        <v>0</v>
      </c>
      <c r="AX25" s="713">
        <f t="shared" si="59"/>
        <v>0</v>
      </c>
      <c r="AY25" s="713">
        <f t="shared" si="59"/>
        <v>0</v>
      </c>
      <c r="AZ25" s="713">
        <f t="shared" si="59"/>
        <v>0</v>
      </c>
      <c r="BA25" s="713">
        <f t="shared" si="59"/>
        <v>0</v>
      </c>
      <c r="BB25" s="713">
        <f t="shared" si="59"/>
        <v>0</v>
      </c>
      <c r="BC25" s="713">
        <f t="shared" si="59"/>
        <v>0</v>
      </c>
      <c r="BD25" s="713">
        <f t="shared" si="59"/>
        <v>0</v>
      </c>
      <c r="BE25" s="714">
        <f t="shared" si="59"/>
        <v>0</v>
      </c>
    </row>
    <row r="28" spans="2:57" x14ac:dyDescent="0.2">
      <c r="B28" s="229" t="str">
        <f>VLOOKUP("T.08.11",HE_label,2,FALSE)</f>
        <v>Cashflows vor Prämien-Cap, pro Produktegruppe</v>
      </c>
    </row>
    <row r="29" spans="2:57" ht="14.25" customHeight="1" thickBot="1" x14ac:dyDescent="0.25">
      <c r="B29" s="267"/>
      <c r="C29" s="716"/>
      <c r="D29" s="768" t="str">
        <f>D11</f>
        <v xml:space="preserve">Diskontierte Totale </v>
      </c>
      <c r="E29" s="696"/>
      <c r="F29" s="697"/>
      <c r="G29" s="769" t="str">
        <f>G11</f>
        <v>Undiskontierte Cashflows pro Abwicklungsjahr, in CHF</v>
      </c>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T29" s="695"/>
      <c r="AU29" s="695"/>
      <c r="AV29" s="695"/>
      <c r="AW29" s="695"/>
      <c r="AX29" s="695"/>
      <c r="AY29" s="695"/>
      <c r="AZ29" s="695"/>
      <c r="BA29" s="695"/>
      <c r="BB29" s="695"/>
      <c r="BC29" s="695"/>
      <c r="BD29" s="695"/>
      <c r="BE29" s="695"/>
    </row>
    <row r="30" spans="2:57" s="225" customFormat="1" ht="12.75" customHeight="1" thickTop="1" x14ac:dyDescent="0.2">
      <c r="B30" s="725"/>
      <c r="C30" s="748" t="str">
        <f>HE_CF_label</f>
        <v>Prämien - Leistungen - Kosten</v>
      </c>
      <c r="D30" s="1328" t="str">
        <f>D12</f>
        <v>Total, in CHF</v>
      </c>
      <c r="E30" s="1330" t="str">
        <f>E12</f>
        <v>Anteil am Total, mit Vorzeichen</v>
      </c>
      <c r="F30" s="1332" t="str">
        <f>F12</f>
        <v>Diskontierungsfaktor</v>
      </c>
      <c r="G30" s="1326" t="str">
        <f>G12</f>
        <v>Total</v>
      </c>
      <c r="H30" s="285">
        <f>HE_CY</f>
        <v>2025</v>
      </c>
      <c r="I30" s="285">
        <f>H30+1</f>
        <v>2026</v>
      </c>
      <c r="J30" s="285">
        <f t="shared" ref="J30:BE30" si="60">I30+1</f>
        <v>2027</v>
      </c>
      <c r="K30" s="285">
        <f t="shared" si="60"/>
        <v>2028</v>
      </c>
      <c r="L30" s="285">
        <f t="shared" si="60"/>
        <v>2029</v>
      </c>
      <c r="M30" s="285">
        <f t="shared" si="60"/>
        <v>2030</v>
      </c>
      <c r="N30" s="285">
        <f t="shared" si="60"/>
        <v>2031</v>
      </c>
      <c r="O30" s="285">
        <f t="shared" si="60"/>
        <v>2032</v>
      </c>
      <c r="P30" s="285">
        <f t="shared" si="60"/>
        <v>2033</v>
      </c>
      <c r="Q30" s="285">
        <f t="shared" si="60"/>
        <v>2034</v>
      </c>
      <c r="R30" s="285">
        <f t="shared" si="60"/>
        <v>2035</v>
      </c>
      <c r="S30" s="285">
        <f t="shared" si="60"/>
        <v>2036</v>
      </c>
      <c r="T30" s="285">
        <f t="shared" si="60"/>
        <v>2037</v>
      </c>
      <c r="U30" s="285">
        <f t="shared" si="60"/>
        <v>2038</v>
      </c>
      <c r="V30" s="285">
        <f t="shared" si="60"/>
        <v>2039</v>
      </c>
      <c r="W30" s="285">
        <f t="shared" si="60"/>
        <v>2040</v>
      </c>
      <c r="X30" s="285">
        <f t="shared" si="60"/>
        <v>2041</v>
      </c>
      <c r="Y30" s="285">
        <f t="shared" si="60"/>
        <v>2042</v>
      </c>
      <c r="Z30" s="285">
        <f t="shared" si="60"/>
        <v>2043</v>
      </c>
      <c r="AA30" s="285">
        <f t="shared" si="60"/>
        <v>2044</v>
      </c>
      <c r="AB30" s="285">
        <f t="shared" si="60"/>
        <v>2045</v>
      </c>
      <c r="AC30" s="285">
        <f t="shared" si="60"/>
        <v>2046</v>
      </c>
      <c r="AD30" s="285">
        <f t="shared" si="60"/>
        <v>2047</v>
      </c>
      <c r="AE30" s="285">
        <f t="shared" si="60"/>
        <v>2048</v>
      </c>
      <c r="AF30" s="285">
        <f t="shared" si="60"/>
        <v>2049</v>
      </c>
      <c r="AG30" s="285">
        <f t="shared" si="60"/>
        <v>2050</v>
      </c>
      <c r="AH30" s="285">
        <f t="shared" si="60"/>
        <v>2051</v>
      </c>
      <c r="AI30" s="285">
        <f t="shared" si="60"/>
        <v>2052</v>
      </c>
      <c r="AJ30" s="285">
        <f t="shared" si="60"/>
        <v>2053</v>
      </c>
      <c r="AK30" s="285">
        <f t="shared" si="60"/>
        <v>2054</v>
      </c>
      <c r="AL30" s="285">
        <f t="shared" si="60"/>
        <v>2055</v>
      </c>
      <c r="AM30" s="285">
        <f t="shared" si="60"/>
        <v>2056</v>
      </c>
      <c r="AN30" s="285">
        <f t="shared" si="60"/>
        <v>2057</v>
      </c>
      <c r="AO30" s="285">
        <f t="shared" si="60"/>
        <v>2058</v>
      </c>
      <c r="AP30" s="285">
        <f t="shared" si="60"/>
        <v>2059</v>
      </c>
      <c r="AQ30" s="285">
        <f t="shared" si="60"/>
        <v>2060</v>
      </c>
      <c r="AR30" s="285">
        <f t="shared" si="60"/>
        <v>2061</v>
      </c>
      <c r="AS30" s="285">
        <f t="shared" si="60"/>
        <v>2062</v>
      </c>
      <c r="AT30" s="285">
        <f t="shared" si="60"/>
        <v>2063</v>
      </c>
      <c r="AU30" s="285">
        <f t="shared" si="60"/>
        <v>2064</v>
      </c>
      <c r="AV30" s="285">
        <f t="shared" si="60"/>
        <v>2065</v>
      </c>
      <c r="AW30" s="285">
        <f t="shared" si="60"/>
        <v>2066</v>
      </c>
      <c r="AX30" s="285">
        <f t="shared" si="60"/>
        <v>2067</v>
      </c>
      <c r="AY30" s="285">
        <f t="shared" si="60"/>
        <v>2068</v>
      </c>
      <c r="AZ30" s="285">
        <f t="shared" si="60"/>
        <v>2069</v>
      </c>
      <c r="BA30" s="285">
        <f t="shared" si="60"/>
        <v>2070</v>
      </c>
      <c r="BB30" s="285">
        <f t="shared" si="60"/>
        <v>2071</v>
      </c>
      <c r="BC30" s="285">
        <f t="shared" si="60"/>
        <v>2072</v>
      </c>
      <c r="BD30" s="285">
        <f t="shared" si="60"/>
        <v>2073</v>
      </c>
      <c r="BE30" s="431">
        <f t="shared" si="60"/>
        <v>2074</v>
      </c>
    </row>
    <row r="31" spans="2:57" s="225" customFormat="1" ht="12.75" customHeight="1" x14ac:dyDescent="0.2">
      <c r="B31" s="725"/>
      <c r="C31" s="698"/>
      <c r="D31" s="1329"/>
      <c r="E31" s="1331"/>
      <c r="F31" s="1333"/>
      <c r="G31" s="1327"/>
      <c r="H31" s="285">
        <v>1</v>
      </c>
      <c r="I31" s="285">
        <v>2</v>
      </c>
      <c r="J31" s="285">
        <v>3</v>
      </c>
      <c r="K31" s="285">
        <v>4</v>
      </c>
      <c r="L31" s="285">
        <v>5</v>
      </c>
      <c r="M31" s="285">
        <v>6</v>
      </c>
      <c r="N31" s="285">
        <v>7</v>
      </c>
      <c r="O31" s="285">
        <v>8</v>
      </c>
      <c r="P31" s="285">
        <v>9</v>
      </c>
      <c r="Q31" s="285">
        <v>10</v>
      </c>
      <c r="R31" s="285">
        <v>11</v>
      </c>
      <c r="S31" s="285">
        <v>12</v>
      </c>
      <c r="T31" s="285">
        <v>13</v>
      </c>
      <c r="U31" s="285">
        <v>14</v>
      </c>
      <c r="V31" s="285">
        <v>15</v>
      </c>
      <c r="W31" s="285">
        <v>16</v>
      </c>
      <c r="X31" s="285">
        <v>17</v>
      </c>
      <c r="Y31" s="285">
        <v>18</v>
      </c>
      <c r="Z31" s="285">
        <v>19</v>
      </c>
      <c r="AA31" s="285">
        <v>20</v>
      </c>
      <c r="AB31" s="285">
        <v>21</v>
      </c>
      <c r="AC31" s="285">
        <v>22</v>
      </c>
      <c r="AD31" s="285">
        <v>23</v>
      </c>
      <c r="AE31" s="285">
        <v>24</v>
      </c>
      <c r="AF31" s="285">
        <v>25</v>
      </c>
      <c r="AG31" s="285">
        <v>26</v>
      </c>
      <c r="AH31" s="285">
        <v>27</v>
      </c>
      <c r="AI31" s="285">
        <v>28</v>
      </c>
      <c r="AJ31" s="285">
        <v>29</v>
      </c>
      <c r="AK31" s="285">
        <v>30</v>
      </c>
      <c r="AL31" s="285">
        <v>31</v>
      </c>
      <c r="AM31" s="285">
        <v>32</v>
      </c>
      <c r="AN31" s="285">
        <v>33</v>
      </c>
      <c r="AO31" s="285">
        <v>34</v>
      </c>
      <c r="AP31" s="285">
        <v>35</v>
      </c>
      <c r="AQ31" s="285">
        <v>36</v>
      </c>
      <c r="AR31" s="285">
        <v>37</v>
      </c>
      <c r="AS31" s="285">
        <v>38</v>
      </c>
      <c r="AT31" s="285">
        <v>39</v>
      </c>
      <c r="AU31" s="285">
        <v>40</v>
      </c>
      <c r="AV31" s="285">
        <v>41</v>
      </c>
      <c r="AW31" s="285">
        <v>42</v>
      </c>
      <c r="AX31" s="285">
        <v>43</v>
      </c>
      <c r="AY31" s="285">
        <v>44</v>
      </c>
      <c r="AZ31" s="285">
        <v>45</v>
      </c>
      <c r="BA31" s="285">
        <v>46</v>
      </c>
      <c r="BB31" s="285">
        <v>47</v>
      </c>
      <c r="BC31" s="285">
        <v>48</v>
      </c>
      <c r="BD31" s="285">
        <v>49</v>
      </c>
      <c r="BE31" s="431">
        <v>50</v>
      </c>
    </row>
    <row r="32" spans="2:57" x14ac:dyDescent="0.2">
      <c r="B32" s="1334" t="str">
        <f>B14</f>
        <v>LZV-R-Tool</v>
      </c>
      <c r="C32" s="700" t="str">
        <f>HE_PGTot_label</f>
        <v>Total fünf Produktegruppen</v>
      </c>
      <c r="D32" s="717">
        <f t="shared" ref="D32:D49" si="61">IFERROR(SUMPRODUCT(HE_disc_curve,H32:BE32),0)</f>
        <v>0</v>
      </c>
      <c r="E32" s="737">
        <f>IFERROR(D32/ABS(D32),0)</f>
        <v>0</v>
      </c>
      <c r="F32" s="733">
        <f t="shared" ref="F32:F49" si="62">IFERROR(D32/G32,1)</f>
        <v>1</v>
      </c>
      <c r="G32" s="729">
        <f>IFERROR(SUM(H32:BE32),0)</f>
        <v>0</v>
      </c>
      <c r="H32" s="721">
        <f>IFERROR(SUM(H33:H37),0)</f>
        <v>0</v>
      </c>
      <c r="I32" s="707">
        <f t="shared" ref="I32:BE32" si="63">IFERROR(SUM(I33:I37),0)</f>
        <v>0</v>
      </c>
      <c r="J32" s="707">
        <f t="shared" si="63"/>
        <v>0</v>
      </c>
      <c r="K32" s="707">
        <f t="shared" si="63"/>
        <v>0</v>
      </c>
      <c r="L32" s="707">
        <f t="shared" si="63"/>
        <v>0</v>
      </c>
      <c r="M32" s="707">
        <f t="shared" si="63"/>
        <v>0</v>
      </c>
      <c r="N32" s="707">
        <f t="shared" si="63"/>
        <v>0</v>
      </c>
      <c r="O32" s="707">
        <f t="shared" si="63"/>
        <v>0</v>
      </c>
      <c r="P32" s="707">
        <f t="shared" si="63"/>
        <v>0</v>
      </c>
      <c r="Q32" s="707">
        <f t="shared" si="63"/>
        <v>0</v>
      </c>
      <c r="R32" s="707">
        <f t="shared" si="63"/>
        <v>0</v>
      </c>
      <c r="S32" s="707">
        <f t="shared" si="63"/>
        <v>0</v>
      </c>
      <c r="T32" s="707">
        <f t="shared" si="63"/>
        <v>0</v>
      </c>
      <c r="U32" s="707">
        <f t="shared" si="63"/>
        <v>0</v>
      </c>
      <c r="V32" s="707">
        <f t="shared" si="63"/>
        <v>0</v>
      </c>
      <c r="W32" s="707">
        <f t="shared" si="63"/>
        <v>0</v>
      </c>
      <c r="X32" s="707">
        <f t="shared" si="63"/>
        <v>0</v>
      </c>
      <c r="Y32" s="707">
        <f t="shared" si="63"/>
        <v>0</v>
      </c>
      <c r="Z32" s="707">
        <f t="shared" si="63"/>
        <v>0</v>
      </c>
      <c r="AA32" s="707">
        <f t="shared" si="63"/>
        <v>0</v>
      </c>
      <c r="AB32" s="707">
        <f t="shared" si="63"/>
        <v>0</v>
      </c>
      <c r="AC32" s="707">
        <f t="shared" si="63"/>
        <v>0</v>
      </c>
      <c r="AD32" s="707">
        <f t="shared" si="63"/>
        <v>0</v>
      </c>
      <c r="AE32" s="707">
        <f t="shared" si="63"/>
        <v>0</v>
      </c>
      <c r="AF32" s="707">
        <f t="shared" si="63"/>
        <v>0</v>
      </c>
      <c r="AG32" s="707">
        <f t="shared" si="63"/>
        <v>0</v>
      </c>
      <c r="AH32" s="707">
        <f t="shared" si="63"/>
        <v>0</v>
      </c>
      <c r="AI32" s="707">
        <f t="shared" si="63"/>
        <v>0</v>
      </c>
      <c r="AJ32" s="707">
        <f t="shared" si="63"/>
        <v>0</v>
      </c>
      <c r="AK32" s="707">
        <f t="shared" si="63"/>
        <v>0</v>
      </c>
      <c r="AL32" s="707">
        <f t="shared" si="63"/>
        <v>0</v>
      </c>
      <c r="AM32" s="707">
        <f t="shared" si="63"/>
        <v>0</v>
      </c>
      <c r="AN32" s="707">
        <f t="shared" si="63"/>
        <v>0</v>
      </c>
      <c r="AO32" s="707">
        <f t="shared" si="63"/>
        <v>0</v>
      </c>
      <c r="AP32" s="707">
        <f t="shared" si="63"/>
        <v>0</v>
      </c>
      <c r="AQ32" s="707">
        <f t="shared" si="63"/>
        <v>0</v>
      </c>
      <c r="AR32" s="707">
        <f t="shared" si="63"/>
        <v>0</v>
      </c>
      <c r="AS32" s="707">
        <f t="shared" si="63"/>
        <v>0</v>
      </c>
      <c r="AT32" s="707">
        <f t="shared" si="63"/>
        <v>0</v>
      </c>
      <c r="AU32" s="707">
        <f t="shared" si="63"/>
        <v>0</v>
      </c>
      <c r="AV32" s="707">
        <f t="shared" si="63"/>
        <v>0</v>
      </c>
      <c r="AW32" s="707">
        <f t="shared" si="63"/>
        <v>0</v>
      </c>
      <c r="AX32" s="707">
        <f t="shared" si="63"/>
        <v>0</v>
      </c>
      <c r="AY32" s="707">
        <f t="shared" si="63"/>
        <v>0</v>
      </c>
      <c r="AZ32" s="707">
        <f t="shared" si="63"/>
        <v>0</v>
      </c>
      <c r="BA32" s="707">
        <f t="shared" si="63"/>
        <v>0</v>
      </c>
      <c r="BB32" s="707">
        <f t="shared" si="63"/>
        <v>0</v>
      </c>
      <c r="BC32" s="707">
        <f t="shared" si="63"/>
        <v>0</v>
      </c>
      <c r="BD32" s="707">
        <f t="shared" si="63"/>
        <v>0</v>
      </c>
      <c r="BE32" s="708">
        <f t="shared" si="63"/>
        <v>0</v>
      </c>
    </row>
    <row r="33" spans="2:57" x14ac:dyDescent="0.2">
      <c r="B33" s="1335"/>
      <c r="C33" s="700" t="str">
        <f>HE_PG1_label</f>
        <v>PG1 - Stationäre Produkte Halbprivat, Privat und Flex</v>
      </c>
      <c r="D33" s="718">
        <f t="shared" si="61"/>
        <v>0</v>
      </c>
      <c r="E33" s="738">
        <f>IFERROR(D33/ABS(D32),0)</f>
        <v>0</v>
      </c>
      <c r="F33" s="734">
        <f t="shared" si="62"/>
        <v>1</v>
      </c>
      <c r="G33" s="730">
        <f t="shared" ref="G33:G37" si="64">IFERROR(SUM(H33:BE33),0)</f>
        <v>0</v>
      </c>
      <c r="H33" s="727"/>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3"/>
      <c r="AW33" s="703"/>
      <c r="AX33" s="703"/>
      <c r="AY33" s="703"/>
      <c r="AZ33" s="703"/>
      <c r="BA33" s="703"/>
      <c r="BB33" s="703"/>
      <c r="BC33" s="703"/>
      <c r="BD33" s="703"/>
      <c r="BE33" s="703"/>
    </row>
    <row r="34" spans="2:57" x14ac:dyDescent="0.2">
      <c r="B34" s="1335"/>
      <c r="C34" s="700" t="str">
        <f>HE_PG2_label</f>
        <v>PG2 - Übrige stationäre Produkte</v>
      </c>
      <c r="D34" s="718">
        <f t="shared" si="61"/>
        <v>0</v>
      </c>
      <c r="E34" s="738">
        <f>IFERROR(D34/ABS(D32),0)</f>
        <v>0</v>
      </c>
      <c r="F34" s="734">
        <f t="shared" si="62"/>
        <v>1</v>
      </c>
      <c r="G34" s="730">
        <f t="shared" si="64"/>
        <v>0</v>
      </c>
      <c r="H34" s="727"/>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703"/>
      <c r="AN34" s="703"/>
      <c r="AO34" s="703"/>
      <c r="AP34" s="703"/>
      <c r="AQ34" s="703"/>
      <c r="AR34" s="703"/>
      <c r="AS34" s="703"/>
      <c r="AT34" s="703"/>
      <c r="AU34" s="703"/>
      <c r="AV34" s="703"/>
      <c r="AW34" s="703"/>
      <c r="AX34" s="703"/>
      <c r="AY34" s="703"/>
      <c r="AZ34" s="703"/>
      <c r="BA34" s="703"/>
      <c r="BB34" s="703"/>
      <c r="BC34" s="703"/>
      <c r="BD34" s="703"/>
      <c r="BE34" s="703"/>
    </row>
    <row r="35" spans="2:57" x14ac:dyDescent="0.2">
      <c r="B35" s="1335"/>
      <c r="C35" s="700" t="str">
        <f>HE_PG3_label</f>
        <v>PG3 - Ambulante Produkte</v>
      </c>
      <c r="D35" s="718">
        <f t="shared" si="61"/>
        <v>0</v>
      </c>
      <c r="E35" s="738">
        <f>IFERROR(D35/ABS(D32),0)</f>
        <v>0</v>
      </c>
      <c r="F35" s="734">
        <f t="shared" si="62"/>
        <v>1</v>
      </c>
      <c r="G35" s="730">
        <f t="shared" si="64"/>
        <v>0</v>
      </c>
      <c r="H35" s="727"/>
      <c r="I35" s="703"/>
      <c r="J35" s="703"/>
      <c r="K35" s="703"/>
      <c r="L35" s="703"/>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703"/>
      <c r="BB35" s="703"/>
      <c r="BC35" s="703"/>
      <c r="BD35" s="703"/>
      <c r="BE35" s="703"/>
    </row>
    <row r="36" spans="2:57" x14ac:dyDescent="0.2">
      <c r="B36" s="1335"/>
      <c r="C36" s="700" t="str">
        <f>HE_PG4_label</f>
        <v>PG4 - Langzeitpflege</v>
      </c>
      <c r="D36" s="718">
        <f t="shared" si="61"/>
        <v>0</v>
      </c>
      <c r="E36" s="738">
        <f>IFERROR(D36/ABS(D32),0)</f>
        <v>0</v>
      </c>
      <c r="F36" s="734">
        <f t="shared" si="62"/>
        <v>1</v>
      </c>
      <c r="G36" s="730">
        <f t="shared" si="64"/>
        <v>0</v>
      </c>
      <c r="H36" s="727"/>
      <c r="I36" s="703"/>
      <c r="J36" s="703"/>
      <c r="K36" s="703"/>
      <c r="L36" s="703"/>
      <c r="M36" s="703"/>
      <c r="N36" s="703"/>
      <c r="O36" s="703"/>
      <c r="P36" s="703"/>
      <c r="Q36" s="703"/>
      <c r="R36" s="703"/>
      <c r="S36" s="703"/>
      <c r="T36" s="703"/>
      <c r="U36" s="703"/>
      <c r="V36" s="703"/>
      <c r="W36" s="703"/>
      <c r="X36" s="703"/>
      <c r="Y36" s="703"/>
      <c r="Z36" s="703"/>
      <c r="AA36" s="703"/>
      <c r="AB36" s="703"/>
      <c r="AC36" s="703"/>
      <c r="AD36" s="703"/>
      <c r="AE36" s="703"/>
      <c r="AF36" s="703"/>
      <c r="AG36" s="703"/>
      <c r="AH36" s="703"/>
      <c r="AI36" s="703"/>
      <c r="AJ36" s="703"/>
      <c r="AK36" s="703"/>
      <c r="AL36" s="703"/>
      <c r="AM36" s="703"/>
      <c r="AN36" s="703"/>
      <c r="AO36" s="703"/>
      <c r="AP36" s="703"/>
      <c r="AQ36" s="703"/>
      <c r="AR36" s="703"/>
      <c r="AS36" s="703"/>
      <c r="AT36" s="703"/>
      <c r="AU36" s="703"/>
      <c r="AV36" s="703"/>
      <c r="AW36" s="703"/>
      <c r="AX36" s="703"/>
      <c r="AY36" s="703"/>
      <c r="AZ36" s="703"/>
      <c r="BA36" s="703"/>
      <c r="BB36" s="703"/>
      <c r="BC36" s="703"/>
      <c r="BD36" s="703"/>
      <c r="BE36" s="703"/>
    </row>
    <row r="37" spans="2:57" x14ac:dyDescent="0.2">
      <c r="B37" s="1336"/>
      <c r="C37" s="702" t="str">
        <f>HE_PG5_label</f>
        <v>PG5 - Einzeltaggeldversicherung</v>
      </c>
      <c r="D37" s="719">
        <f t="shared" si="61"/>
        <v>0</v>
      </c>
      <c r="E37" s="739">
        <f>IFERROR(D37/ABS(D32),0)</f>
        <v>0</v>
      </c>
      <c r="F37" s="735">
        <f t="shared" si="62"/>
        <v>1</v>
      </c>
      <c r="G37" s="731">
        <f t="shared" si="64"/>
        <v>0</v>
      </c>
      <c r="H37" s="728"/>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c r="AY37" s="704"/>
      <c r="AZ37" s="704"/>
      <c r="BA37" s="704"/>
      <c r="BB37" s="704"/>
      <c r="BC37" s="704"/>
      <c r="BD37" s="704"/>
      <c r="BE37" s="704"/>
    </row>
    <row r="38" spans="2:57" x14ac:dyDescent="0.2">
      <c r="B38" s="1337" t="str">
        <f>B18</f>
        <v>Alternative Berechnung</v>
      </c>
      <c r="C38" s="701" t="str">
        <f t="shared" ref="C38:C43" si="65">C32</f>
        <v>Total fünf Produktegruppen</v>
      </c>
      <c r="D38" s="720">
        <f t="shared" si="61"/>
        <v>0</v>
      </c>
      <c r="E38" s="740">
        <f>IFERROR(D38/ABS(D38),0)</f>
        <v>0</v>
      </c>
      <c r="F38" s="736">
        <f t="shared" si="62"/>
        <v>1</v>
      </c>
      <c r="G38" s="732">
        <f>IFERROR(SUM(H38:BE38),0)</f>
        <v>0</v>
      </c>
      <c r="H38" s="724">
        <f>IFERROR(SUM(H39:H43),0)</f>
        <v>0</v>
      </c>
      <c r="I38" s="709">
        <f t="shared" ref="I38:BE38" si="66">IFERROR(SUM(I39:I43),0)</f>
        <v>0</v>
      </c>
      <c r="J38" s="709">
        <f t="shared" si="66"/>
        <v>0</v>
      </c>
      <c r="K38" s="709">
        <f t="shared" si="66"/>
        <v>0</v>
      </c>
      <c r="L38" s="709">
        <f t="shared" si="66"/>
        <v>0</v>
      </c>
      <c r="M38" s="709">
        <f t="shared" si="66"/>
        <v>0</v>
      </c>
      <c r="N38" s="709">
        <f t="shared" si="66"/>
        <v>0</v>
      </c>
      <c r="O38" s="709">
        <f t="shared" si="66"/>
        <v>0</v>
      </c>
      <c r="P38" s="709">
        <f t="shared" si="66"/>
        <v>0</v>
      </c>
      <c r="Q38" s="709">
        <f t="shared" si="66"/>
        <v>0</v>
      </c>
      <c r="R38" s="709">
        <f t="shared" si="66"/>
        <v>0</v>
      </c>
      <c r="S38" s="709">
        <f t="shared" si="66"/>
        <v>0</v>
      </c>
      <c r="T38" s="709">
        <f t="shared" si="66"/>
        <v>0</v>
      </c>
      <c r="U38" s="709">
        <f t="shared" si="66"/>
        <v>0</v>
      </c>
      <c r="V38" s="709">
        <f t="shared" si="66"/>
        <v>0</v>
      </c>
      <c r="W38" s="709">
        <f t="shared" si="66"/>
        <v>0</v>
      </c>
      <c r="X38" s="709">
        <f t="shared" si="66"/>
        <v>0</v>
      </c>
      <c r="Y38" s="709">
        <f t="shared" si="66"/>
        <v>0</v>
      </c>
      <c r="Z38" s="709">
        <f t="shared" si="66"/>
        <v>0</v>
      </c>
      <c r="AA38" s="709">
        <f t="shared" si="66"/>
        <v>0</v>
      </c>
      <c r="AB38" s="709">
        <f t="shared" si="66"/>
        <v>0</v>
      </c>
      <c r="AC38" s="709">
        <f t="shared" si="66"/>
        <v>0</v>
      </c>
      <c r="AD38" s="709">
        <f t="shared" si="66"/>
        <v>0</v>
      </c>
      <c r="AE38" s="709">
        <f t="shared" si="66"/>
        <v>0</v>
      </c>
      <c r="AF38" s="709">
        <f t="shared" si="66"/>
        <v>0</v>
      </c>
      <c r="AG38" s="709">
        <f t="shared" si="66"/>
        <v>0</v>
      </c>
      <c r="AH38" s="709">
        <f t="shared" si="66"/>
        <v>0</v>
      </c>
      <c r="AI38" s="709">
        <f t="shared" si="66"/>
        <v>0</v>
      </c>
      <c r="AJ38" s="709">
        <f t="shared" si="66"/>
        <v>0</v>
      </c>
      <c r="AK38" s="709">
        <f t="shared" si="66"/>
        <v>0</v>
      </c>
      <c r="AL38" s="709">
        <f t="shared" si="66"/>
        <v>0</v>
      </c>
      <c r="AM38" s="709">
        <f t="shared" si="66"/>
        <v>0</v>
      </c>
      <c r="AN38" s="709">
        <f t="shared" si="66"/>
        <v>0</v>
      </c>
      <c r="AO38" s="709">
        <f t="shared" si="66"/>
        <v>0</v>
      </c>
      <c r="AP38" s="709">
        <f t="shared" si="66"/>
        <v>0</v>
      </c>
      <c r="AQ38" s="709">
        <f t="shared" si="66"/>
        <v>0</v>
      </c>
      <c r="AR38" s="709">
        <f t="shared" si="66"/>
        <v>0</v>
      </c>
      <c r="AS38" s="709">
        <f t="shared" si="66"/>
        <v>0</v>
      </c>
      <c r="AT38" s="709">
        <f t="shared" si="66"/>
        <v>0</v>
      </c>
      <c r="AU38" s="709">
        <f t="shared" si="66"/>
        <v>0</v>
      </c>
      <c r="AV38" s="709">
        <f t="shared" si="66"/>
        <v>0</v>
      </c>
      <c r="AW38" s="709">
        <f t="shared" si="66"/>
        <v>0</v>
      </c>
      <c r="AX38" s="709">
        <f t="shared" si="66"/>
        <v>0</v>
      </c>
      <c r="AY38" s="709">
        <f t="shared" si="66"/>
        <v>0</v>
      </c>
      <c r="AZ38" s="709">
        <f t="shared" si="66"/>
        <v>0</v>
      </c>
      <c r="BA38" s="709">
        <f t="shared" si="66"/>
        <v>0</v>
      </c>
      <c r="BB38" s="709">
        <f t="shared" si="66"/>
        <v>0</v>
      </c>
      <c r="BC38" s="709">
        <f t="shared" si="66"/>
        <v>0</v>
      </c>
      <c r="BD38" s="709">
        <f t="shared" si="66"/>
        <v>0</v>
      </c>
      <c r="BE38" s="710">
        <f t="shared" si="66"/>
        <v>0</v>
      </c>
    </row>
    <row r="39" spans="2:57" x14ac:dyDescent="0.2">
      <c r="B39" s="1338"/>
      <c r="C39" s="701" t="str">
        <f t="shared" si="65"/>
        <v>PG1 - Stationäre Produkte Halbprivat, Privat und Flex</v>
      </c>
      <c r="D39" s="745">
        <f t="shared" si="61"/>
        <v>0</v>
      </c>
      <c r="E39" s="747">
        <f>IFERROR(D39/ABS(D38),0)</f>
        <v>0</v>
      </c>
      <c r="F39" s="746">
        <f t="shared" si="62"/>
        <v>1</v>
      </c>
      <c r="G39" s="730">
        <f t="shared" ref="G39:G43" si="67">IFERROR(SUM(H39:BE39),0)</f>
        <v>0</v>
      </c>
      <c r="H39" s="337"/>
      <c r="I39" s="705"/>
      <c r="J39" s="705"/>
      <c r="K39" s="705"/>
      <c r="L39" s="705"/>
      <c r="M39" s="705"/>
      <c r="N39" s="705"/>
      <c r="O39" s="705"/>
      <c r="P39" s="705"/>
      <c r="Q39" s="705"/>
      <c r="R39" s="705"/>
      <c r="S39" s="705"/>
      <c r="T39" s="705"/>
      <c r="U39" s="705"/>
      <c r="V39" s="705"/>
      <c r="W39" s="705"/>
      <c r="X39" s="705"/>
      <c r="Y39" s="705"/>
      <c r="Z39" s="705"/>
      <c r="AA39" s="705"/>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c r="AY39" s="705"/>
      <c r="AZ39" s="705"/>
      <c r="BA39" s="705"/>
      <c r="BB39" s="705"/>
      <c r="BC39" s="705"/>
      <c r="BD39" s="705"/>
      <c r="BE39" s="705"/>
    </row>
    <row r="40" spans="2:57" x14ac:dyDescent="0.2">
      <c r="B40" s="1338"/>
      <c r="C40" s="700" t="str">
        <f t="shared" si="65"/>
        <v>PG2 - Übrige stationäre Produkte</v>
      </c>
      <c r="D40" s="718">
        <f t="shared" si="61"/>
        <v>0</v>
      </c>
      <c r="E40" s="738">
        <f>IFERROR(D40/ABS(D38),0)</f>
        <v>0</v>
      </c>
      <c r="F40" s="734">
        <f t="shared" si="62"/>
        <v>1</v>
      </c>
      <c r="G40" s="730">
        <f t="shared" si="67"/>
        <v>0</v>
      </c>
      <c r="H40" s="337"/>
      <c r="I40" s="705"/>
      <c r="J40" s="705"/>
      <c r="K40" s="705"/>
      <c r="L40" s="705"/>
      <c r="M40" s="705"/>
      <c r="N40" s="705"/>
      <c r="O40" s="705"/>
      <c r="P40" s="705"/>
      <c r="Q40" s="705"/>
      <c r="R40" s="705"/>
      <c r="S40" s="705"/>
      <c r="T40" s="705"/>
      <c r="U40" s="705"/>
      <c r="V40" s="705"/>
      <c r="W40" s="705"/>
      <c r="X40" s="705"/>
      <c r="Y40" s="705"/>
      <c r="Z40" s="705"/>
      <c r="AA40" s="705"/>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c r="AX40" s="705"/>
      <c r="AY40" s="705"/>
      <c r="AZ40" s="705"/>
      <c r="BA40" s="705"/>
      <c r="BB40" s="705"/>
      <c r="BC40" s="705"/>
      <c r="BD40" s="705"/>
      <c r="BE40" s="705"/>
    </row>
    <row r="41" spans="2:57" x14ac:dyDescent="0.2">
      <c r="B41" s="1338"/>
      <c r="C41" s="700" t="str">
        <f t="shared" si="65"/>
        <v>PG3 - Ambulante Produkte</v>
      </c>
      <c r="D41" s="718">
        <f t="shared" si="61"/>
        <v>0</v>
      </c>
      <c r="E41" s="738">
        <f>IFERROR(D41/ABS(D38),0)</f>
        <v>0</v>
      </c>
      <c r="F41" s="734">
        <f t="shared" si="62"/>
        <v>1</v>
      </c>
      <c r="G41" s="730">
        <f t="shared" si="67"/>
        <v>0</v>
      </c>
      <c r="H41" s="337"/>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705"/>
      <c r="BE41" s="705"/>
    </row>
    <row r="42" spans="2:57" x14ac:dyDescent="0.2">
      <c r="B42" s="1338"/>
      <c r="C42" s="700" t="str">
        <f t="shared" si="65"/>
        <v>PG4 - Langzeitpflege</v>
      </c>
      <c r="D42" s="718">
        <f t="shared" si="61"/>
        <v>0</v>
      </c>
      <c r="E42" s="738">
        <f>IFERROR(D42/ABS(D38),0)</f>
        <v>0</v>
      </c>
      <c r="F42" s="734">
        <f t="shared" si="62"/>
        <v>1</v>
      </c>
      <c r="G42" s="730">
        <f t="shared" si="67"/>
        <v>0</v>
      </c>
      <c r="H42" s="337"/>
      <c r="I42" s="705"/>
      <c r="J42" s="705"/>
      <c r="K42" s="705"/>
      <c r="L42" s="705"/>
      <c r="M42" s="705"/>
      <c r="N42" s="705"/>
      <c r="O42" s="705"/>
      <c r="P42" s="705"/>
      <c r="Q42" s="705"/>
      <c r="R42" s="705"/>
      <c r="S42" s="705"/>
      <c r="T42" s="705"/>
      <c r="U42" s="705"/>
      <c r="V42" s="705"/>
      <c r="W42" s="705"/>
      <c r="X42" s="705"/>
      <c r="Y42" s="705"/>
      <c r="Z42" s="705"/>
      <c r="AA42" s="705"/>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c r="AY42" s="705"/>
      <c r="AZ42" s="705"/>
      <c r="BA42" s="705"/>
      <c r="BB42" s="705"/>
      <c r="BC42" s="705"/>
      <c r="BD42" s="705"/>
      <c r="BE42" s="705"/>
    </row>
    <row r="43" spans="2:57" x14ac:dyDescent="0.2">
      <c r="B43" s="1339"/>
      <c r="C43" s="702" t="str">
        <f t="shared" si="65"/>
        <v>PG5 - Einzeltaggeldversicherung</v>
      </c>
      <c r="D43" s="719">
        <f t="shared" si="61"/>
        <v>0</v>
      </c>
      <c r="E43" s="739">
        <f>IFERROR(D43/ABS(D38),0)</f>
        <v>0</v>
      </c>
      <c r="F43" s="735">
        <f t="shared" si="62"/>
        <v>1</v>
      </c>
      <c r="G43" s="731">
        <f t="shared" si="67"/>
        <v>0</v>
      </c>
      <c r="H43" s="420"/>
      <c r="I43" s="706"/>
      <c r="J43" s="706"/>
      <c r="K43" s="706"/>
      <c r="L43" s="706"/>
      <c r="M43" s="706"/>
      <c r="N43" s="706"/>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706"/>
      <c r="AP43" s="706"/>
      <c r="AQ43" s="706"/>
      <c r="AR43" s="706"/>
      <c r="AS43" s="706"/>
      <c r="AT43" s="706"/>
      <c r="AU43" s="706"/>
      <c r="AV43" s="706"/>
      <c r="AW43" s="706"/>
      <c r="AX43" s="706"/>
      <c r="AY43" s="706"/>
      <c r="AZ43" s="706"/>
      <c r="BA43" s="706"/>
      <c r="BB43" s="706"/>
      <c r="BC43" s="706"/>
      <c r="BD43" s="706"/>
      <c r="BE43" s="706"/>
    </row>
    <row r="44" spans="2:57" s="51" customFormat="1" x14ac:dyDescent="0.2">
      <c r="B44" s="1346" t="str">
        <f>B22</f>
        <v>Zusammenzug</v>
      </c>
      <c r="C44" s="749" t="str">
        <f t="shared" ref="C44:C49" si="68">C32</f>
        <v>Total fünf Produktegruppen</v>
      </c>
      <c r="D44" s="750">
        <f t="shared" si="61"/>
        <v>0</v>
      </c>
      <c r="E44" s="751">
        <f>IFERROR(D44/ABS(D44),0)</f>
        <v>0</v>
      </c>
      <c r="F44" s="761">
        <f t="shared" si="62"/>
        <v>1</v>
      </c>
      <c r="G44" s="753">
        <f>G32+G38</f>
        <v>0</v>
      </c>
      <c r="H44" s="754">
        <f>H32+H38</f>
        <v>0</v>
      </c>
      <c r="I44" s="755">
        <f t="shared" ref="I44:BE49" si="69">I32+I38</f>
        <v>0</v>
      </c>
      <c r="J44" s="755">
        <f t="shared" si="69"/>
        <v>0</v>
      </c>
      <c r="K44" s="755">
        <f t="shared" si="69"/>
        <v>0</v>
      </c>
      <c r="L44" s="755">
        <f t="shared" si="69"/>
        <v>0</v>
      </c>
      <c r="M44" s="755">
        <f t="shared" si="69"/>
        <v>0</v>
      </c>
      <c r="N44" s="755">
        <f t="shared" si="69"/>
        <v>0</v>
      </c>
      <c r="O44" s="755">
        <f t="shared" si="69"/>
        <v>0</v>
      </c>
      <c r="P44" s="755">
        <f t="shared" si="69"/>
        <v>0</v>
      </c>
      <c r="Q44" s="755">
        <f t="shared" si="69"/>
        <v>0</v>
      </c>
      <c r="R44" s="755">
        <f t="shared" si="69"/>
        <v>0</v>
      </c>
      <c r="S44" s="755">
        <f t="shared" si="69"/>
        <v>0</v>
      </c>
      <c r="T44" s="755">
        <f t="shared" si="69"/>
        <v>0</v>
      </c>
      <c r="U44" s="755">
        <f t="shared" si="69"/>
        <v>0</v>
      </c>
      <c r="V44" s="755">
        <f t="shared" si="69"/>
        <v>0</v>
      </c>
      <c r="W44" s="755">
        <f t="shared" si="69"/>
        <v>0</v>
      </c>
      <c r="X44" s="755">
        <f t="shared" si="69"/>
        <v>0</v>
      </c>
      <c r="Y44" s="755">
        <f t="shared" si="69"/>
        <v>0</v>
      </c>
      <c r="Z44" s="755">
        <f t="shared" si="69"/>
        <v>0</v>
      </c>
      <c r="AA44" s="755">
        <f t="shared" si="69"/>
        <v>0</v>
      </c>
      <c r="AB44" s="755">
        <f t="shared" si="69"/>
        <v>0</v>
      </c>
      <c r="AC44" s="755">
        <f t="shared" si="69"/>
        <v>0</v>
      </c>
      <c r="AD44" s="755">
        <f t="shared" si="69"/>
        <v>0</v>
      </c>
      <c r="AE44" s="755">
        <f t="shared" si="69"/>
        <v>0</v>
      </c>
      <c r="AF44" s="755">
        <f t="shared" si="69"/>
        <v>0</v>
      </c>
      <c r="AG44" s="755">
        <f t="shared" si="69"/>
        <v>0</v>
      </c>
      <c r="AH44" s="755">
        <f t="shared" si="69"/>
        <v>0</v>
      </c>
      <c r="AI44" s="755">
        <f t="shared" si="69"/>
        <v>0</v>
      </c>
      <c r="AJ44" s="755">
        <f t="shared" si="69"/>
        <v>0</v>
      </c>
      <c r="AK44" s="755">
        <f t="shared" si="69"/>
        <v>0</v>
      </c>
      <c r="AL44" s="755">
        <f t="shared" si="69"/>
        <v>0</v>
      </c>
      <c r="AM44" s="755">
        <f t="shared" si="69"/>
        <v>0</v>
      </c>
      <c r="AN44" s="755">
        <f t="shared" si="69"/>
        <v>0</v>
      </c>
      <c r="AO44" s="755">
        <f t="shared" si="69"/>
        <v>0</v>
      </c>
      <c r="AP44" s="755">
        <f t="shared" si="69"/>
        <v>0</v>
      </c>
      <c r="AQ44" s="755">
        <f t="shared" si="69"/>
        <v>0</v>
      </c>
      <c r="AR44" s="755">
        <f t="shared" si="69"/>
        <v>0</v>
      </c>
      <c r="AS44" s="755">
        <f t="shared" si="69"/>
        <v>0</v>
      </c>
      <c r="AT44" s="755">
        <f t="shared" si="69"/>
        <v>0</v>
      </c>
      <c r="AU44" s="755">
        <f t="shared" si="69"/>
        <v>0</v>
      </c>
      <c r="AV44" s="755">
        <f t="shared" si="69"/>
        <v>0</v>
      </c>
      <c r="AW44" s="755">
        <f t="shared" si="69"/>
        <v>0</v>
      </c>
      <c r="AX44" s="755">
        <f t="shared" si="69"/>
        <v>0</v>
      </c>
      <c r="AY44" s="755">
        <f t="shared" si="69"/>
        <v>0</v>
      </c>
      <c r="AZ44" s="755">
        <f t="shared" si="69"/>
        <v>0</v>
      </c>
      <c r="BA44" s="755">
        <f t="shared" si="69"/>
        <v>0</v>
      </c>
      <c r="BB44" s="755">
        <f t="shared" si="69"/>
        <v>0</v>
      </c>
      <c r="BC44" s="755">
        <f t="shared" si="69"/>
        <v>0</v>
      </c>
      <c r="BD44" s="755">
        <f t="shared" si="69"/>
        <v>0</v>
      </c>
      <c r="BE44" s="756">
        <f t="shared" si="69"/>
        <v>0</v>
      </c>
    </row>
    <row r="45" spans="2:57" x14ac:dyDescent="0.2">
      <c r="B45" s="1347"/>
      <c r="C45" s="700" t="str">
        <f t="shared" si="68"/>
        <v>PG1 - Stationäre Produkte Halbprivat, Privat und Flex</v>
      </c>
      <c r="D45" s="718">
        <f t="shared" si="61"/>
        <v>0</v>
      </c>
      <c r="E45" s="738">
        <f>IFERROR(D45/ABS(D44),0)</f>
        <v>0</v>
      </c>
      <c r="F45" s="734">
        <f t="shared" si="62"/>
        <v>1</v>
      </c>
      <c r="G45" s="730">
        <f t="shared" ref="G45" si="70">G33+G39</f>
        <v>0</v>
      </c>
      <c r="H45" s="722">
        <f t="shared" ref="H45:W49" si="71">H33+H39</f>
        <v>0</v>
      </c>
      <c r="I45" s="711">
        <f t="shared" si="71"/>
        <v>0</v>
      </c>
      <c r="J45" s="711">
        <f t="shared" si="71"/>
        <v>0</v>
      </c>
      <c r="K45" s="711">
        <f t="shared" si="71"/>
        <v>0</v>
      </c>
      <c r="L45" s="711">
        <f t="shared" si="71"/>
        <v>0</v>
      </c>
      <c r="M45" s="711">
        <f t="shared" si="71"/>
        <v>0</v>
      </c>
      <c r="N45" s="711">
        <f t="shared" si="71"/>
        <v>0</v>
      </c>
      <c r="O45" s="711">
        <f t="shared" si="71"/>
        <v>0</v>
      </c>
      <c r="P45" s="711">
        <f t="shared" si="71"/>
        <v>0</v>
      </c>
      <c r="Q45" s="711">
        <f t="shared" si="71"/>
        <v>0</v>
      </c>
      <c r="R45" s="711">
        <f t="shared" si="71"/>
        <v>0</v>
      </c>
      <c r="S45" s="711">
        <f t="shared" si="71"/>
        <v>0</v>
      </c>
      <c r="T45" s="711">
        <f t="shared" si="71"/>
        <v>0</v>
      </c>
      <c r="U45" s="711">
        <f t="shared" si="71"/>
        <v>0</v>
      </c>
      <c r="V45" s="711">
        <f t="shared" si="71"/>
        <v>0</v>
      </c>
      <c r="W45" s="711">
        <f t="shared" si="71"/>
        <v>0</v>
      </c>
      <c r="X45" s="711">
        <f t="shared" si="69"/>
        <v>0</v>
      </c>
      <c r="Y45" s="711">
        <f t="shared" si="69"/>
        <v>0</v>
      </c>
      <c r="Z45" s="711">
        <f t="shared" si="69"/>
        <v>0</v>
      </c>
      <c r="AA45" s="711">
        <f t="shared" si="69"/>
        <v>0</v>
      </c>
      <c r="AB45" s="711">
        <f t="shared" si="69"/>
        <v>0</v>
      </c>
      <c r="AC45" s="711">
        <f t="shared" si="69"/>
        <v>0</v>
      </c>
      <c r="AD45" s="711">
        <f t="shared" si="69"/>
        <v>0</v>
      </c>
      <c r="AE45" s="711">
        <f t="shared" si="69"/>
        <v>0</v>
      </c>
      <c r="AF45" s="711">
        <f t="shared" si="69"/>
        <v>0</v>
      </c>
      <c r="AG45" s="711">
        <f t="shared" si="69"/>
        <v>0</v>
      </c>
      <c r="AH45" s="711">
        <f t="shared" si="69"/>
        <v>0</v>
      </c>
      <c r="AI45" s="711">
        <f t="shared" si="69"/>
        <v>0</v>
      </c>
      <c r="AJ45" s="711">
        <f t="shared" si="69"/>
        <v>0</v>
      </c>
      <c r="AK45" s="711">
        <f t="shared" si="69"/>
        <v>0</v>
      </c>
      <c r="AL45" s="711">
        <f t="shared" si="69"/>
        <v>0</v>
      </c>
      <c r="AM45" s="711">
        <f t="shared" si="69"/>
        <v>0</v>
      </c>
      <c r="AN45" s="711">
        <f t="shared" si="69"/>
        <v>0</v>
      </c>
      <c r="AO45" s="711">
        <f t="shared" si="69"/>
        <v>0</v>
      </c>
      <c r="AP45" s="711">
        <f t="shared" si="69"/>
        <v>0</v>
      </c>
      <c r="AQ45" s="711">
        <f t="shared" si="69"/>
        <v>0</v>
      </c>
      <c r="AR45" s="711">
        <f t="shared" si="69"/>
        <v>0</v>
      </c>
      <c r="AS45" s="711">
        <f t="shared" si="69"/>
        <v>0</v>
      </c>
      <c r="AT45" s="711">
        <f t="shared" si="69"/>
        <v>0</v>
      </c>
      <c r="AU45" s="711">
        <f t="shared" si="69"/>
        <v>0</v>
      </c>
      <c r="AV45" s="711">
        <f t="shared" si="69"/>
        <v>0</v>
      </c>
      <c r="AW45" s="711">
        <f t="shared" si="69"/>
        <v>0</v>
      </c>
      <c r="AX45" s="711">
        <f t="shared" si="69"/>
        <v>0</v>
      </c>
      <c r="AY45" s="711">
        <f t="shared" si="69"/>
        <v>0</v>
      </c>
      <c r="AZ45" s="711">
        <f t="shared" si="69"/>
        <v>0</v>
      </c>
      <c r="BA45" s="711">
        <f t="shared" si="69"/>
        <v>0</v>
      </c>
      <c r="BB45" s="711">
        <f t="shared" si="69"/>
        <v>0</v>
      </c>
      <c r="BC45" s="711">
        <f t="shared" si="69"/>
        <v>0</v>
      </c>
      <c r="BD45" s="711">
        <f t="shared" si="69"/>
        <v>0</v>
      </c>
      <c r="BE45" s="712">
        <f t="shared" si="69"/>
        <v>0</v>
      </c>
    </row>
    <row r="46" spans="2:57" x14ac:dyDescent="0.2">
      <c r="B46" s="1347"/>
      <c r="C46" s="700" t="str">
        <f t="shared" si="68"/>
        <v>PG2 - Übrige stationäre Produkte</v>
      </c>
      <c r="D46" s="718">
        <f t="shared" si="61"/>
        <v>0</v>
      </c>
      <c r="E46" s="738">
        <f>IFERROR(D46/ABS(D44),0)</f>
        <v>0</v>
      </c>
      <c r="F46" s="734">
        <f t="shared" si="62"/>
        <v>1</v>
      </c>
      <c r="G46" s="730">
        <f t="shared" ref="G46" si="72">G34+G40</f>
        <v>0</v>
      </c>
      <c r="H46" s="722">
        <f t="shared" si="71"/>
        <v>0</v>
      </c>
      <c r="I46" s="711">
        <f t="shared" si="69"/>
        <v>0</v>
      </c>
      <c r="J46" s="711">
        <f t="shared" si="69"/>
        <v>0</v>
      </c>
      <c r="K46" s="711">
        <f t="shared" si="69"/>
        <v>0</v>
      </c>
      <c r="L46" s="711">
        <f t="shared" si="69"/>
        <v>0</v>
      </c>
      <c r="M46" s="711">
        <f t="shared" si="69"/>
        <v>0</v>
      </c>
      <c r="N46" s="711">
        <f t="shared" si="69"/>
        <v>0</v>
      </c>
      <c r="O46" s="711">
        <f t="shared" si="69"/>
        <v>0</v>
      </c>
      <c r="P46" s="711">
        <f t="shared" si="69"/>
        <v>0</v>
      </c>
      <c r="Q46" s="711">
        <f t="shared" si="69"/>
        <v>0</v>
      </c>
      <c r="R46" s="711">
        <f t="shared" si="69"/>
        <v>0</v>
      </c>
      <c r="S46" s="711">
        <f t="shared" si="69"/>
        <v>0</v>
      </c>
      <c r="T46" s="711">
        <f t="shared" si="69"/>
        <v>0</v>
      </c>
      <c r="U46" s="711">
        <f t="shared" si="69"/>
        <v>0</v>
      </c>
      <c r="V46" s="711">
        <f t="shared" si="69"/>
        <v>0</v>
      </c>
      <c r="W46" s="711">
        <f t="shared" si="69"/>
        <v>0</v>
      </c>
      <c r="X46" s="711">
        <f t="shared" si="69"/>
        <v>0</v>
      </c>
      <c r="Y46" s="711">
        <f t="shared" si="69"/>
        <v>0</v>
      </c>
      <c r="Z46" s="711">
        <f t="shared" si="69"/>
        <v>0</v>
      </c>
      <c r="AA46" s="711">
        <f t="shared" si="69"/>
        <v>0</v>
      </c>
      <c r="AB46" s="711">
        <f t="shared" si="69"/>
        <v>0</v>
      </c>
      <c r="AC46" s="711">
        <f t="shared" si="69"/>
        <v>0</v>
      </c>
      <c r="AD46" s="711">
        <f t="shared" si="69"/>
        <v>0</v>
      </c>
      <c r="AE46" s="711">
        <f t="shared" si="69"/>
        <v>0</v>
      </c>
      <c r="AF46" s="711">
        <f t="shared" si="69"/>
        <v>0</v>
      </c>
      <c r="AG46" s="711">
        <f t="shared" si="69"/>
        <v>0</v>
      </c>
      <c r="AH46" s="711">
        <f t="shared" si="69"/>
        <v>0</v>
      </c>
      <c r="AI46" s="711">
        <f t="shared" si="69"/>
        <v>0</v>
      </c>
      <c r="AJ46" s="711">
        <f t="shared" si="69"/>
        <v>0</v>
      </c>
      <c r="AK46" s="711">
        <f t="shared" si="69"/>
        <v>0</v>
      </c>
      <c r="AL46" s="711">
        <f t="shared" si="69"/>
        <v>0</v>
      </c>
      <c r="AM46" s="711">
        <f t="shared" si="69"/>
        <v>0</v>
      </c>
      <c r="AN46" s="711">
        <f t="shared" si="69"/>
        <v>0</v>
      </c>
      <c r="AO46" s="711">
        <f t="shared" si="69"/>
        <v>0</v>
      </c>
      <c r="AP46" s="711">
        <f t="shared" si="69"/>
        <v>0</v>
      </c>
      <c r="AQ46" s="711">
        <f t="shared" si="69"/>
        <v>0</v>
      </c>
      <c r="AR46" s="711">
        <f t="shared" si="69"/>
        <v>0</v>
      </c>
      <c r="AS46" s="711">
        <f t="shared" si="69"/>
        <v>0</v>
      </c>
      <c r="AT46" s="711">
        <f t="shared" si="69"/>
        <v>0</v>
      </c>
      <c r="AU46" s="711">
        <f t="shared" si="69"/>
        <v>0</v>
      </c>
      <c r="AV46" s="711">
        <f t="shared" si="69"/>
        <v>0</v>
      </c>
      <c r="AW46" s="711">
        <f t="shared" si="69"/>
        <v>0</v>
      </c>
      <c r="AX46" s="711">
        <f t="shared" si="69"/>
        <v>0</v>
      </c>
      <c r="AY46" s="711">
        <f t="shared" si="69"/>
        <v>0</v>
      </c>
      <c r="AZ46" s="711">
        <f t="shared" si="69"/>
        <v>0</v>
      </c>
      <c r="BA46" s="711">
        <f t="shared" si="69"/>
        <v>0</v>
      </c>
      <c r="BB46" s="711">
        <f t="shared" si="69"/>
        <v>0</v>
      </c>
      <c r="BC46" s="711">
        <f t="shared" si="69"/>
        <v>0</v>
      </c>
      <c r="BD46" s="711">
        <f t="shared" si="69"/>
        <v>0</v>
      </c>
      <c r="BE46" s="712">
        <f t="shared" si="69"/>
        <v>0</v>
      </c>
    </row>
    <row r="47" spans="2:57" x14ac:dyDescent="0.2">
      <c r="B47" s="1347"/>
      <c r="C47" s="700" t="str">
        <f t="shared" si="68"/>
        <v>PG3 - Ambulante Produkte</v>
      </c>
      <c r="D47" s="718">
        <f t="shared" si="61"/>
        <v>0</v>
      </c>
      <c r="E47" s="738">
        <f>IFERROR(D47/ABS(D44),0)</f>
        <v>0</v>
      </c>
      <c r="F47" s="734">
        <f t="shared" si="62"/>
        <v>1</v>
      </c>
      <c r="G47" s="730">
        <f t="shared" ref="G47" si="73">G35+G41</f>
        <v>0</v>
      </c>
      <c r="H47" s="722">
        <f t="shared" si="71"/>
        <v>0</v>
      </c>
      <c r="I47" s="711">
        <f t="shared" si="69"/>
        <v>0</v>
      </c>
      <c r="J47" s="711">
        <f t="shared" si="69"/>
        <v>0</v>
      </c>
      <c r="K47" s="711">
        <f t="shared" si="69"/>
        <v>0</v>
      </c>
      <c r="L47" s="711">
        <f t="shared" si="69"/>
        <v>0</v>
      </c>
      <c r="M47" s="711">
        <f t="shared" si="69"/>
        <v>0</v>
      </c>
      <c r="N47" s="711">
        <f t="shared" si="69"/>
        <v>0</v>
      </c>
      <c r="O47" s="711">
        <f t="shared" si="69"/>
        <v>0</v>
      </c>
      <c r="P47" s="711">
        <f t="shared" si="69"/>
        <v>0</v>
      </c>
      <c r="Q47" s="711">
        <f t="shared" si="69"/>
        <v>0</v>
      </c>
      <c r="R47" s="711">
        <f t="shared" si="69"/>
        <v>0</v>
      </c>
      <c r="S47" s="711">
        <f t="shared" si="69"/>
        <v>0</v>
      </c>
      <c r="T47" s="711">
        <f t="shared" si="69"/>
        <v>0</v>
      </c>
      <c r="U47" s="711">
        <f t="shared" si="69"/>
        <v>0</v>
      </c>
      <c r="V47" s="711">
        <f t="shared" si="69"/>
        <v>0</v>
      </c>
      <c r="W47" s="711">
        <f t="shared" si="69"/>
        <v>0</v>
      </c>
      <c r="X47" s="711">
        <f t="shared" si="69"/>
        <v>0</v>
      </c>
      <c r="Y47" s="711">
        <f t="shared" si="69"/>
        <v>0</v>
      </c>
      <c r="Z47" s="711">
        <f t="shared" si="69"/>
        <v>0</v>
      </c>
      <c r="AA47" s="711">
        <f t="shared" si="69"/>
        <v>0</v>
      </c>
      <c r="AB47" s="711">
        <f t="shared" si="69"/>
        <v>0</v>
      </c>
      <c r="AC47" s="711">
        <f t="shared" si="69"/>
        <v>0</v>
      </c>
      <c r="AD47" s="711">
        <f t="shared" si="69"/>
        <v>0</v>
      </c>
      <c r="AE47" s="711">
        <f t="shared" si="69"/>
        <v>0</v>
      </c>
      <c r="AF47" s="711">
        <f t="shared" si="69"/>
        <v>0</v>
      </c>
      <c r="AG47" s="711">
        <f t="shared" si="69"/>
        <v>0</v>
      </c>
      <c r="AH47" s="711">
        <f t="shared" si="69"/>
        <v>0</v>
      </c>
      <c r="AI47" s="711">
        <f t="shared" si="69"/>
        <v>0</v>
      </c>
      <c r="AJ47" s="711">
        <f t="shared" si="69"/>
        <v>0</v>
      </c>
      <c r="AK47" s="711">
        <f t="shared" si="69"/>
        <v>0</v>
      </c>
      <c r="AL47" s="711">
        <f t="shared" si="69"/>
        <v>0</v>
      </c>
      <c r="AM47" s="711">
        <f t="shared" si="69"/>
        <v>0</v>
      </c>
      <c r="AN47" s="711">
        <f t="shared" si="69"/>
        <v>0</v>
      </c>
      <c r="AO47" s="711">
        <f t="shared" si="69"/>
        <v>0</v>
      </c>
      <c r="AP47" s="711">
        <f t="shared" si="69"/>
        <v>0</v>
      </c>
      <c r="AQ47" s="711">
        <f t="shared" si="69"/>
        <v>0</v>
      </c>
      <c r="AR47" s="711">
        <f t="shared" si="69"/>
        <v>0</v>
      </c>
      <c r="AS47" s="711">
        <f t="shared" si="69"/>
        <v>0</v>
      </c>
      <c r="AT47" s="711">
        <f t="shared" si="69"/>
        <v>0</v>
      </c>
      <c r="AU47" s="711">
        <f t="shared" si="69"/>
        <v>0</v>
      </c>
      <c r="AV47" s="711">
        <f t="shared" si="69"/>
        <v>0</v>
      </c>
      <c r="AW47" s="711">
        <f t="shared" si="69"/>
        <v>0</v>
      </c>
      <c r="AX47" s="711">
        <f t="shared" si="69"/>
        <v>0</v>
      </c>
      <c r="AY47" s="711">
        <f t="shared" si="69"/>
        <v>0</v>
      </c>
      <c r="AZ47" s="711">
        <f t="shared" si="69"/>
        <v>0</v>
      </c>
      <c r="BA47" s="711">
        <f t="shared" si="69"/>
        <v>0</v>
      </c>
      <c r="BB47" s="711">
        <f t="shared" si="69"/>
        <v>0</v>
      </c>
      <c r="BC47" s="711">
        <f t="shared" si="69"/>
        <v>0</v>
      </c>
      <c r="BD47" s="711">
        <f t="shared" si="69"/>
        <v>0</v>
      </c>
      <c r="BE47" s="712">
        <f t="shared" si="69"/>
        <v>0</v>
      </c>
    </row>
    <row r="48" spans="2:57" x14ac:dyDescent="0.2">
      <c r="B48" s="1347"/>
      <c r="C48" s="700" t="str">
        <f t="shared" si="68"/>
        <v>PG4 - Langzeitpflege</v>
      </c>
      <c r="D48" s="718">
        <f t="shared" si="61"/>
        <v>0</v>
      </c>
      <c r="E48" s="738">
        <f>IFERROR(D48/ABS(D44),0)</f>
        <v>0</v>
      </c>
      <c r="F48" s="734">
        <f t="shared" si="62"/>
        <v>1</v>
      </c>
      <c r="G48" s="730">
        <f t="shared" ref="G48" si="74">G36+G42</f>
        <v>0</v>
      </c>
      <c r="H48" s="722">
        <f t="shared" si="71"/>
        <v>0</v>
      </c>
      <c r="I48" s="711">
        <f t="shared" si="69"/>
        <v>0</v>
      </c>
      <c r="J48" s="711">
        <f t="shared" si="69"/>
        <v>0</v>
      </c>
      <c r="K48" s="711">
        <f t="shared" si="69"/>
        <v>0</v>
      </c>
      <c r="L48" s="711">
        <f t="shared" si="69"/>
        <v>0</v>
      </c>
      <c r="M48" s="711">
        <f t="shared" si="69"/>
        <v>0</v>
      </c>
      <c r="N48" s="711">
        <f t="shared" si="69"/>
        <v>0</v>
      </c>
      <c r="O48" s="711">
        <f t="shared" si="69"/>
        <v>0</v>
      </c>
      <c r="P48" s="711">
        <f t="shared" si="69"/>
        <v>0</v>
      </c>
      <c r="Q48" s="711">
        <f t="shared" si="69"/>
        <v>0</v>
      </c>
      <c r="R48" s="711">
        <f t="shared" si="69"/>
        <v>0</v>
      </c>
      <c r="S48" s="711">
        <f t="shared" si="69"/>
        <v>0</v>
      </c>
      <c r="T48" s="711">
        <f t="shared" si="69"/>
        <v>0</v>
      </c>
      <c r="U48" s="711">
        <f t="shared" si="69"/>
        <v>0</v>
      </c>
      <c r="V48" s="711">
        <f t="shared" si="69"/>
        <v>0</v>
      </c>
      <c r="W48" s="711">
        <f t="shared" si="69"/>
        <v>0</v>
      </c>
      <c r="X48" s="711">
        <f t="shared" si="69"/>
        <v>0</v>
      </c>
      <c r="Y48" s="711">
        <f t="shared" si="69"/>
        <v>0</v>
      </c>
      <c r="Z48" s="711">
        <f t="shared" si="69"/>
        <v>0</v>
      </c>
      <c r="AA48" s="711">
        <f t="shared" si="69"/>
        <v>0</v>
      </c>
      <c r="AB48" s="711">
        <f t="shared" si="69"/>
        <v>0</v>
      </c>
      <c r="AC48" s="711">
        <f t="shared" si="69"/>
        <v>0</v>
      </c>
      <c r="AD48" s="711">
        <f t="shared" si="69"/>
        <v>0</v>
      </c>
      <c r="AE48" s="711">
        <f t="shared" si="69"/>
        <v>0</v>
      </c>
      <c r="AF48" s="711">
        <f t="shared" si="69"/>
        <v>0</v>
      </c>
      <c r="AG48" s="711">
        <f t="shared" si="69"/>
        <v>0</v>
      </c>
      <c r="AH48" s="711">
        <f t="shared" si="69"/>
        <v>0</v>
      </c>
      <c r="AI48" s="711">
        <f t="shared" si="69"/>
        <v>0</v>
      </c>
      <c r="AJ48" s="711">
        <f t="shared" si="69"/>
        <v>0</v>
      </c>
      <c r="AK48" s="711">
        <f t="shared" si="69"/>
        <v>0</v>
      </c>
      <c r="AL48" s="711">
        <f t="shared" si="69"/>
        <v>0</v>
      </c>
      <c r="AM48" s="711">
        <f t="shared" si="69"/>
        <v>0</v>
      </c>
      <c r="AN48" s="711">
        <f t="shared" si="69"/>
        <v>0</v>
      </c>
      <c r="AO48" s="711">
        <f t="shared" si="69"/>
        <v>0</v>
      </c>
      <c r="AP48" s="711">
        <f t="shared" si="69"/>
        <v>0</v>
      </c>
      <c r="AQ48" s="711">
        <f t="shared" si="69"/>
        <v>0</v>
      </c>
      <c r="AR48" s="711">
        <f t="shared" si="69"/>
        <v>0</v>
      </c>
      <c r="AS48" s="711">
        <f t="shared" si="69"/>
        <v>0</v>
      </c>
      <c r="AT48" s="711">
        <f t="shared" si="69"/>
        <v>0</v>
      </c>
      <c r="AU48" s="711">
        <f t="shared" si="69"/>
        <v>0</v>
      </c>
      <c r="AV48" s="711">
        <f t="shared" si="69"/>
        <v>0</v>
      </c>
      <c r="AW48" s="711">
        <f t="shared" si="69"/>
        <v>0</v>
      </c>
      <c r="AX48" s="711">
        <f t="shared" si="69"/>
        <v>0</v>
      </c>
      <c r="AY48" s="711">
        <f t="shared" si="69"/>
        <v>0</v>
      </c>
      <c r="AZ48" s="711">
        <f t="shared" si="69"/>
        <v>0</v>
      </c>
      <c r="BA48" s="711">
        <f t="shared" si="69"/>
        <v>0</v>
      </c>
      <c r="BB48" s="711">
        <f t="shared" si="69"/>
        <v>0</v>
      </c>
      <c r="BC48" s="711">
        <f t="shared" si="69"/>
        <v>0</v>
      </c>
      <c r="BD48" s="711">
        <f t="shared" si="69"/>
        <v>0</v>
      </c>
      <c r="BE48" s="712">
        <f t="shared" si="69"/>
        <v>0</v>
      </c>
    </row>
    <row r="49" spans="2:57" x14ac:dyDescent="0.2">
      <c r="B49" s="1348"/>
      <c r="C49" s="702" t="str">
        <f t="shared" si="68"/>
        <v>PG5 - Einzeltaggeldversicherung</v>
      </c>
      <c r="D49" s="719">
        <f t="shared" si="61"/>
        <v>0</v>
      </c>
      <c r="E49" s="739">
        <f>IFERROR(D49/ABS(D44),0)</f>
        <v>0</v>
      </c>
      <c r="F49" s="735">
        <f t="shared" si="62"/>
        <v>1</v>
      </c>
      <c r="G49" s="731">
        <f t="shared" ref="G49" si="75">G37+G43</f>
        <v>0</v>
      </c>
      <c r="H49" s="723">
        <f t="shared" si="71"/>
        <v>0</v>
      </c>
      <c r="I49" s="713">
        <f t="shared" si="69"/>
        <v>0</v>
      </c>
      <c r="J49" s="713">
        <f t="shared" si="69"/>
        <v>0</v>
      </c>
      <c r="K49" s="713">
        <f t="shared" si="69"/>
        <v>0</v>
      </c>
      <c r="L49" s="713">
        <f t="shared" si="69"/>
        <v>0</v>
      </c>
      <c r="M49" s="713">
        <f t="shared" si="69"/>
        <v>0</v>
      </c>
      <c r="N49" s="713">
        <f t="shared" si="69"/>
        <v>0</v>
      </c>
      <c r="O49" s="713">
        <f t="shared" si="69"/>
        <v>0</v>
      </c>
      <c r="P49" s="713">
        <f t="shared" si="69"/>
        <v>0</v>
      </c>
      <c r="Q49" s="713">
        <f t="shared" si="69"/>
        <v>0</v>
      </c>
      <c r="R49" s="713">
        <f t="shared" si="69"/>
        <v>0</v>
      </c>
      <c r="S49" s="713">
        <f t="shared" si="69"/>
        <v>0</v>
      </c>
      <c r="T49" s="713">
        <f t="shared" si="69"/>
        <v>0</v>
      </c>
      <c r="U49" s="713">
        <f t="shared" si="69"/>
        <v>0</v>
      </c>
      <c r="V49" s="713">
        <f t="shared" si="69"/>
        <v>0</v>
      </c>
      <c r="W49" s="713">
        <f t="shared" si="69"/>
        <v>0</v>
      </c>
      <c r="X49" s="713">
        <f t="shared" si="69"/>
        <v>0</v>
      </c>
      <c r="Y49" s="713">
        <f t="shared" si="69"/>
        <v>0</v>
      </c>
      <c r="Z49" s="713">
        <f t="shared" si="69"/>
        <v>0</v>
      </c>
      <c r="AA49" s="713">
        <f t="shared" si="69"/>
        <v>0</v>
      </c>
      <c r="AB49" s="713">
        <f t="shared" si="69"/>
        <v>0</v>
      </c>
      <c r="AC49" s="713">
        <f t="shared" si="69"/>
        <v>0</v>
      </c>
      <c r="AD49" s="713">
        <f t="shared" si="69"/>
        <v>0</v>
      </c>
      <c r="AE49" s="713">
        <f t="shared" si="69"/>
        <v>0</v>
      </c>
      <c r="AF49" s="713">
        <f t="shared" si="69"/>
        <v>0</v>
      </c>
      <c r="AG49" s="713">
        <f t="shared" si="69"/>
        <v>0</v>
      </c>
      <c r="AH49" s="713">
        <f t="shared" ref="AH49:BE49" si="76">AH37+AH43</f>
        <v>0</v>
      </c>
      <c r="AI49" s="713">
        <f t="shared" si="76"/>
        <v>0</v>
      </c>
      <c r="AJ49" s="713">
        <f t="shared" si="76"/>
        <v>0</v>
      </c>
      <c r="AK49" s="713">
        <f t="shared" si="76"/>
        <v>0</v>
      </c>
      <c r="AL49" s="713">
        <f t="shared" si="76"/>
        <v>0</v>
      </c>
      <c r="AM49" s="713">
        <f t="shared" si="76"/>
        <v>0</v>
      </c>
      <c r="AN49" s="713">
        <f t="shared" si="76"/>
        <v>0</v>
      </c>
      <c r="AO49" s="713">
        <f t="shared" si="76"/>
        <v>0</v>
      </c>
      <c r="AP49" s="713">
        <f t="shared" si="76"/>
        <v>0</v>
      </c>
      <c r="AQ49" s="713">
        <f t="shared" si="76"/>
        <v>0</v>
      </c>
      <c r="AR49" s="713">
        <f t="shared" si="76"/>
        <v>0</v>
      </c>
      <c r="AS49" s="713">
        <f t="shared" si="76"/>
        <v>0</v>
      </c>
      <c r="AT49" s="713">
        <f t="shared" si="76"/>
        <v>0</v>
      </c>
      <c r="AU49" s="713">
        <f t="shared" si="76"/>
        <v>0</v>
      </c>
      <c r="AV49" s="713">
        <f t="shared" si="76"/>
        <v>0</v>
      </c>
      <c r="AW49" s="713">
        <f t="shared" si="76"/>
        <v>0</v>
      </c>
      <c r="AX49" s="713">
        <f t="shared" si="76"/>
        <v>0</v>
      </c>
      <c r="AY49" s="713">
        <f t="shared" si="76"/>
        <v>0</v>
      </c>
      <c r="AZ49" s="713">
        <f t="shared" si="76"/>
        <v>0</v>
      </c>
      <c r="BA49" s="713">
        <f t="shared" si="76"/>
        <v>0</v>
      </c>
      <c r="BB49" s="713">
        <f t="shared" si="76"/>
        <v>0</v>
      </c>
      <c r="BC49" s="713">
        <f t="shared" si="76"/>
        <v>0</v>
      </c>
      <c r="BD49" s="713">
        <f t="shared" si="76"/>
        <v>0</v>
      </c>
      <c r="BE49" s="714">
        <f t="shared" si="76"/>
        <v>0</v>
      </c>
    </row>
    <row r="50" spans="2:57" x14ac:dyDescent="0.2">
      <c r="B50" s="644"/>
      <c r="C50" s="277"/>
      <c r="D50" s="865"/>
      <c r="E50" s="866"/>
      <c r="F50" s="867"/>
      <c r="G50" s="865"/>
      <c r="H50" s="865"/>
      <c r="I50" s="865"/>
      <c r="J50" s="865"/>
      <c r="K50" s="865"/>
      <c r="L50" s="865"/>
      <c r="M50" s="865"/>
      <c r="N50" s="865"/>
      <c r="O50" s="865"/>
      <c r="P50" s="865"/>
      <c r="Q50" s="865"/>
      <c r="R50" s="865"/>
      <c r="S50" s="865"/>
      <c r="T50" s="865"/>
      <c r="U50" s="865"/>
      <c r="V50" s="865"/>
      <c r="W50" s="865"/>
      <c r="X50" s="865"/>
      <c r="Y50" s="865"/>
      <c r="Z50" s="865"/>
      <c r="AA50" s="865"/>
      <c r="AB50" s="865"/>
      <c r="AC50" s="865"/>
      <c r="AD50" s="865"/>
      <c r="AE50" s="865"/>
      <c r="AF50" s="865"/>
      <c r="AG50" s="865"/>
      <c r="AH50" s="865"/>
      <c r="AI50" s="865"/>
      <c r="AJ50" s="865"/>
      <c r="AK50" s="865"/>
      <c r="AL50" s="865"/>
      <c r="AM50" s="865"/>
      <c r="AN50" s="865"/>
      <c r="AO50" s="865"/>
      <c r="AP50" s="865"/>
      <c r="AQ50" s="865"/>
      <c r="AR50" s="865"/>
      <c r="AS50" s="865"/>
      <c r="AT50" s="865"/>
      <c r="AU50" s="865"/>
      <c r="AV50" s="865"/>
      <c r="AW50" s="865"/>
      <c r="AX50" s="865"/>
      <c r="AY50" s="865"/>
      <c r="AZ50" s="865"/>
      <c r="BA50" s="865"/>
      <c r="BB50" s="865"/>
      <c r="BC50" s="865"/>
      <c r="BD50" s="865"/>
      <c r="BE50" s="865"/>
    </row>
    <row r="52" spans="2:57" x14ac:dyDescent="0.2">
      <c r="B52" s="229" t="str">
        <f>VLOOKUP("T.08.12",HE_label,2,FALSE)</f>
        <v>Cashflows nach Prämien-Cap, pro Produktegruppe</v>
      </c>
    </row>
    <row r="53" spans="2:57" ht="14.25" customHeight="1" thickBot="1" x14ac:dyDescent="0.25">
      <c r="B53" s="267"/>
      <c r="C53" s="716"/>
      <c r="D53" s="768" t="str">
        <f>D11</f>
        <v xml:space="preserve">Diskontierte Totale </v>
      </c>
      <c r="E53" s="696"/>
      <c r="F53" s="697"/>
      <c r="G53" s="769" t="str">
        <f>G11</f>
        <v>Undiskontierte Cashflows pro Abwicklungsjahr, in CHF</v>
      </c>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c r="AO53" s="695"/>
      <c r="AP53" s="695"/>
      <c r="AQ53" s="695"/>
      <c r="AR53" s="695"/>
      <c r="AS53" s="695"/>
      <c r="AT53" s="695"/>
      <c r="AU53" s="695"/>
      <c r="AV53" s="695"/>
      <c r="AW53" s="695"/>
      <c r="AX53" s="695"/>
      <c r="AY53" s="695"/>
      <c r="AZ53" s="695"/>
      <c r="BA53" s="695"/>
      <c r="BB53" s="695"/>
      <c r="BC53" s="695"/>
      <c r="BD53" s="695"/>
      <c r="BE53" s="695"/>
    </row>
    <row r="54" spans="2:57" s="225" customFormat="1" ht="12.75" customHeight="1" thickTop="1" x14ac:dyDescent="0.2">
      <c r="B54" s="725"/>
      <c r="C54" s="748" t="str">
        <f>HE_CF_label&amp;VLOOKUP("T.08.13",HE_label,2,FALSE)</f>
        <v>Prämien - Leistungen - Kosten, nach Cap</v>
      </c>
      <c r="D54" s="1328" t="str">
        <f>D12</f>
        <v>Total, in CHF</v>
      </c>
      <c r="E54" s="1330" t="str">
        <f>E12</f>
        <v>Anteil am Total, mit Vorzeichen</v>
      </c>
      <c r="F54" s="1332" t="str">
        <f>F12</f>
        <v>Diskontierungsfaktor</v>
      </c>
      <c r="G54" s="1326" t="str">
        <f>G12</f>
        <v>Total</v>
      </c>
      <c r="H54" s="285">
        <f>HE_CY</f>
        <v>2025</v>
      </c>
      <c r="I54" s="285">
        <f>H54+1</f>
        <v>2026</v>
      </c>
      <c r="J54" s="285">
        <f t="shared" ref="J54:BE54" si="77">I54+1</f>
        <v>2027</v>
      </c>
      <c r="K54" s="285">
        <f t="shared" si="77"/>
        <v>2028</v>
      </c>
      <c r="L54" s="285">
        <f t="shared" si="77"/>
        <v>2029</v>
      </c>
      <c r="M54" s="285">
        <f t="shared" si="77"/>
        <v>2030</v>
      </c>
      <c r="N54" s="285">
        <f t="shared" si="77"/>
        <v>2031</v>
      </c>
      <c r="O54" s="285">
        <f t="shared" si="77"/>
        <v>2032</v>
      </c>
      <c r="P54" s="285">
        <f t="shared" si="77"/>
        <v>2033</v>
      </c>
      <c r="Q54" s="285">
        <f t="shared" si="77"/>
        <v>2034</v>
      </c>
      <c r="R54" s="285">
        <f t="shared" si="77"/>
        <v>2035</v>
      </c>
      <c r="S54" s="285">
        <f t="shared" si="77"/>
        <v>2036</v>
      </c>
      <c r="T54" s="285">
        <f t="shared" si="77"/>
        <v>2037</v>
      </c>
      <c r="U54" s="285">
        <f t="shared" si="77"/>
        <v>2038</v>
      </c>
      <c r="V54" s="285">
        <f t="shared" si="77"/>
        <v>2039</v>
      </c>
      <c r="W54" s="285">
        <f t="shared" si="77"/>
        <v>2040</v>
      </c>
      <c r="X54" s="285">
        <f t="shared" si="77"/>
        <v>2041</v>
      </c>
      <c r="Y54" s="285">
        <f t="shared" si="77"/>
        <v>2042</v>
      </c>
      <c r="Z54" s="285">
        <f t="shared" si="77"/>
        <v>2043</v>
      </c>
      <c r="AA54" s="285">
        <f t="shared" si="77"/>
        <v>2044</v>
      </c>
      <c r="AB54" s="285">
        <f t="shared" si="77"/>
        <v>2045</v>
      </c>
      <c r="AC54" s="285">
        <f t="shared" si="77"/>
        <v>2046</v>
      </c>
      <c r="AD54" s="285">
        <f t="shared" si="77"/>
        <v>2047</v>
      </c>
      <c r="AE54" s="285">
        <f t="shared" si="77"/>
        <v>2048</v>
      </c>
      <c r="AF54" s="285">
        <f t="shared" si="77"/>
        <v>2049</v>
      </c>
      <c r="AG54" s="285">
        <f t="shared" si="77"/>
        <v>2050</v>
      </c>
      <c r="AH54" s="285">
        <f t="shared" si="77"/>
        <v>2051</v>
      </c>
      <c r="AI54" s="285">
        <f t="shared" si="77"/>
        <v>2052</v>
      </c>
      <c r="AJ54" s="285">
        <f t="shared" si="77"/>
        <v>2053</v>
      </c>
      <c r="AK54" s="285">
        <f t="shared" si="77"/>
        <v>2054</v>
      </c>
      <c r="AL54" s="285">
        <f t="shared" si="77"/>
        <v>2055</v>
      </c>
      <c r="AM54" s="285">
        <f t="shared" si="77"/>
        <v>2056</v>
      </c>
      <c r="AN54" s="285">
        <f t="shared" si="77"/>
        <v>2057</v>
      </c>
      <c r="AO54" s="285">
        <f t="shared" si="77"/>
        <v>2058</v>
      </c>
      <c r="AP54" s="285">
        <f t="shared" si="77"/>
        <v>2059</v>
      </c>
      <c r="AQ54" s="285">
        <f t="shared" si="77"/>
        <v>2060</v>
      </c>
      <c r="AR54" s="285">
        <f t="shared" si="77"/>
        <v>2061</v>
      </c>
      <c r="AS54" s="285">
        <f t="shared" si="77"/>
        <v>2062</v>
      </c>
      <c r="AT54" s="285">
        <f t="shared" si="77"/>
        <v>2063</v>
      </c>
      <c r="AU54" s="285">
        <f t="shared" si="77"/>
        <v>2064</v>
      </c>
      <c r="AV54" s="285">
        <f t="shared" si="77"/>
        <v>2065</v>
      </c>
      <c r="AW54" s="285">
        <f t="shared" si="77"/>
        <v>2066</v>
      </c>
      <c r="AX54" s="285">
        <f t="shared" si="77"/>
        <v>2067</v>
      </c>
      <c r="AY54" s="285">
        <f t="shared" si="77"/>
        <v>2068</v>
      </c>
      <c r="AZ54" s="285">
        <f t="shared" si="77"/>
        <v>2069</v>
      </c>
      <c r="BA54" s="285">
        <f t="shared" si="77"/>
        <v>2070</v>
      </c>
      <c r="BB54" s="285">
        <f t="shared" si="77"/>
        <v>2071</v>
      </c>
      <c r="BC54" s="285">
        <f t="shared" si="77"/>
        <v>2072</v>
      </c>
      <c r="BD54" s="285">
        <f t="shared" si="77"/>
        <v>2073</v>
      </c>
      <c r="BE54" s="431">
        <f t="shared" si="77"/>
        <v>2074</v>
      </c>
    </row>
    <row r="55" spans="2:57" s="225" customFormat="1" ht="12.75" customHeight="1" x14ac:dyDescent="0.2">
      <c r="B55" s="725"/>
      <c r="C55" s="698"/>
      <c r="D55" s="1329"/>
      <c r="E55" s="1331"/>
      <c r="F55" s="1333"/>
      <c r="G55" s="1327"/>
      <c r="H55" s="285">
        <v>1</v>
      </c>
      <c r="I55" s="285">
        <v>2</v>
      </c>
      <c r="J55" s="285">
        <v>3</v>
      </c>
      <c r="K55" s="285">
        <v>4</v>
      </c>
      <c r="L55" s="285">
        <v>5</v>
      </c>
      <c r="M55" s="285">
        <v>6</v>
      </c>
      <c r="N55" s="285">
        <v>7</v>
      </c>
      <c r="O55" s="285">
        <v>8</v>
      </c>
      <c r="P55" s="285">
        <v>9</v>
      </c>
      <c r="Q55" s="285">
        <v>10</v>
      </c>
      <c r="R55" s="285">
        <v>11</v>
      </c>
      <c r="S55" s="285">
        <v>12</v>
      </c>
      <c r="T55" s="285">
        <v>13</v>
      </c>
      <c r="U55" s="285">
        <v>14</v>
      </c>
      <c r="V55" s="285">
        <v>15</v>
      </c>
      <c r="W55" s="285">
        <v>16</v>
      </c>
      <c r="X55" s="285">
        <v>17</v>
      </c>
      <c r="Y55" s="285">
        <v>18</v>
      </c>
      <c r="Z55" s="285">
        <v>19</v>
      </c>
      <c r="AA55" s="285">
        <v>20</v>
      </c>
      <c r="AB55" s="285">
        <v>21</v>
      </c>
      <c r="AC55" s="285">
        <v>22</v>
      </c>
      <c r="AD55" s="285">
        <v>23</v>
      </c>
      <c r="AE55" s="285">
        <v>24</v>
      </c>
      <c r="AF55" s="285">
        <v>25</v>
      </c>
      <c r="AG55" s="285">
        <v>26</v>
      </c>
      <c r="AH55" s="285">
        <v>27</v>
      </c>
      <c r="AI55" s="285">
        <v>28</v>
      </c>
      <c r="AJ55" s="285">
        <v>29</v>
      </c>
      <c r="AK55" s="285">
        <v>30</v>
      </c>
      <c r="AL55" s="285">
        <v>31</v>
      </c>
      <c r="AM55" s="285">
        <v>32</v>
      </c>
      <c r="AN55" s="285">
        <v>33</v>
      </c>
      <c r="AO55" s="285">
        <v>34</v>
      </c>
      <c r="AP55" s="285">
        <v>35</v>
      </c>
      <c r="AQ55" s="285">
        <v>36</v>
      </c>
      <c r="AR55" s="285">
        <v>37</v>
      </c>
      <c r="AS55" s="285">
        <v>38</v>
      </c>
      <c r="AT55" s="285">
        <v>39</v>
      </c>
      <c r="AU55" s="285">
        <v>40</v>
      </c>
      <c r="AV55" s="285">
        <v>41</v>
      </c>
      <c r="AW55" s="285">
        <v>42</v>
      </c>
      <c r="AX55" s="285">
        <v>43</v>
      </c>
      <c r="AY55" s="285">
        <v>44</v>
      </c>
      <c r="AZ55" s="285">
        <v>45</v>
      </c>
      <c r="BA55" s="285">
        <v>46</v>
      </c>
      <c r="BB55" s="285">
        <v>47</v>
      </c>
      <c r="BC55" s="285">
        <v>48</v>
      </c>
      <c r="BD55" s="285">
        <v>49</v>
      </c>
      <c r="BE55" s="431">
        <v>50</v>
      </c>
    </row>
    <row r="56" spans="2:57" x14ac:dyDescent="0.2">
      <c r="B56" s="1334" t="str">
        <f>B14</f>
        <v>LZV-R-Tool</v>
      </c>
      <c r="C56" s="700" t="str">
        <f>HE_PGTot_label</f>
        <v>Total fünf Produktegruppen</v>
      </c>
      <c r="D56" s="717">
        <f t="shared" ref="D56:D73" si="78">IFERROR(SUMPRODUCT(HE_disc_curve,H56:BE56),0)</f>
        <v>0</v>
      </c>
      <c r="E56" s="737">
        <f>IFERROR(D56/ABS(D56),0)</f>
        <v>0</v>
      </c>
      <c r="F56" s="733">
        <f t="shared" ref="F56:F73" si="79">IFERROR(D56/G56,1)</f>
        <v>1</v>
      </c>
      <c r="G56" s="729">
        <f>IFERROR(SUM(H56:BE56),0)</f>
        <v>0</v>
      </c>
      <c r="H56" s="721">
        <f>IFERROR(SUM(H57:H61),0)</f>
        <v>0</v>
      </c>
      <c r="I56" s="707">
        <f t="shared" ref="I56:BE56" si="80">IFERROR(SUM(I57:I61),0)</f>
        <v>0</v>
      </c>
      <c r="J56" s="707">
        <f t="shared" si="80"/>
        <v>0</v>
      </c>
      <c r="K56" s="707">
        <f t="shared" si="80"/>
        <v>0</v>
      </c>
      <c r="L56" s="707">
        <f t="shared" si="80"/>
        <v>0</v>
      </c>
      <c r="M56" s="707">
        <f t="shared" si="80"/>
        <v>0</v>
      </c>
      <c r="N56" s="707">
        <f t="shared" si="80"/>
        <v>0</v>
      </c>
      <c r="O56" s="707">
        <f t="shared" si="80"/>
        <v>0</v>
      </c>
      <c r="P56" s="707">
        <f t="shared" si="80"/>
        <v>0</v>
      </c>
      <c r="Q56" s="707">
        <f t="shared" si="80"/>
        <v>0</v>
      </c>
      <c r="R56" s="707">
        <f t="shared" si="80"/>
        <v>0</v>
      </c>
      <c r="S56" s="707">
        <f t="shared" si="80"/>
        <v>0</v>
      </c>
      <c r="T56" s="707">
        <f t="shared" si="80"/>
        <v>0</v>
      </c>
      <c r="U56" s="707">
        <f t="shared" si="80"/>
        <v>0</v>
      </c>
      <c r="V56" s="707">
        <f t="shared" si="80"/>
        <v>0</v>
      </c>
      <c r="W56" s="707">
        <f t="shared" si="80"/>
        <v>0</v>
      </c>
      <c r="X56" s="707">
        <f t="shared" si="80"/>
        <v>0</v>
      </c>
      <c r="Y56" s="707">
        <f t="shared" si="80"/>
        <v>0</v>
      </c>
      <c r="Z56" s="707">
        <f t="shared" si="80"/>
        <v>0</v>
      </c>
      <c r="AA56" s="707">
        <f t="shared" si="80"/>
        <v>0</v>
      </c>
      <c r="AB56" s="707">
        <f t="shared" si="80"/>
        <v>0</v>
      </c>
      <c r="AC56" s="707">
        <f t="shared" si="80"/>
        <v>0</v>
      </c>
      <c r="AD56" s="707">
        <f t="shared" si="80"/>
        <v>0</v>
      </c>
      <c r="AE56" s="707">
        <f t="shared" si="80"/>
        <v>0</v>
      </c>
      <c r="AF56" s="707">
        <f t="shared" si="80"/>
        <v>0</v>
      </c>
      <c r="AG56" s="707">
        <f t="shared" si="80"/>
        <v>0</v>
      </c>
      <c r="AH56" s="707">
        <f t="shared" si="80"/>
        <v>0</v>
      </c>
      <c r="AI56" s="707">
        <f t="shared" si="80"/>
        <v>0</v>
      </c>
      <c r="AJ56" s="707">
        <f t="shared" si="80"/>
        <v>0</v>
      </c>
      <c r="AK56" s="707">
        <f t="shared" si="80"/>
        <v>0</v>
      </c>
      <c r="AL56" s="707">
        <f t="shared" si="80"/>
        <v>0</v>
      </c>
      <c r="AM56" s="707">
        <f t="shared" si="80"/>
        <v>0</v>
      </c>
      <c r="AN56" s="707">
        <f t="shared" si="80"/>
        <v>0</v>
      </c>
      <c r="AO56" s="707">
        <f t="shared" si="80"/>
        <v>0</v>
      </c>
      <c r="AP56" s="707">
        <f t="shared" si="80"/>
        <v>0</v>
      </c>
      <c r="AQ56" s="707">
        <f t="shared" si="80"/>
        <v>0</v>
      </c>
      <c r="AR56" s="707">
        <f t="shared" si="80"/>
        <v>0</v>
      </c>
      <c r="AS56" s="707">
        <f t="shared" si="80"/>
        <v>0</v>
      </c>
      <c r="AT56" s="707">
        <f t="shared" si="80"/>
        <v>0</v>
      </c>
      <c r="AU56" s="707">
        <f t="shared" si="80"/>
        <v>0</v>
      </c>
      <c r="AV56" s="707">
        <f t="shared" si="80"/>
        <v>0</v>
      </c>
      <c r="AW56" s="707">
        <f t="shared" si="80"/>
        <v>0</v>
      </c>
      <c r="AX56" s="707">
        <f t="shared" si="80"/>
        <v>0</v>
      </c>
      <c r="AY56" s="707">
        <f t="shared" si="80"/>
        <v>0</v>
      </c>
      <c r="AZ56" s="707">
        <f t="shared" si="80"/>
        <v>0</v>
      </c>
      <c r="BA56" s="707">
        <f t="shared" si="80"/>
        <v>0</v>
      </c>
      <c r="BB56" s="707">
        <f t="shared" si="80"/>
        <v>0</v>
      </c>
      <c r="BC56" s="707">
        <f t="shared" si="80"/>
        <v>0</v>
      </c>
      <c r="BD56" s="707">
        <f t="shared" si="80"/>
        <v>0</v>
      </c>
      <c r="BE56" s="708">
        <f t="shared" si="80"/>
        <v>0</v>
      </c>
    </row>
    <row r="57" spans="2:57" x14ac:dyDescent="0.2">
      <c r="B57" s="1335"/>
      <c r="C57" s="700" t="str">
        <f>HE_PG1_label</f>
        <v>PG1 - Stationäre Produkte Halbprivat, Privat und Flex</v>
      </c>
      <c r="D57" s="718">
        <f t="shared" si="78"/>
        <v>0</v>
      </c>
      <c r="E57" s="738">
        <f>IFERROR(D57/ABS(D56),0)</f>
        <v>0</v>
      </c>
      <c r="F57" s="734">
        <f t="shared" si="79"/>
        <v>1</v>
      </c>
      <c r="G57" s="730">
        <f t="shared" ref="G57:G61" si="81">IFERROR(SUM(H57:BE57),0)</f>
        <v>0</v>
      </c>
      <c r="H57" s="727"/>
      <c r="I57" s="703"/>
      <c r="J57" s="703"/>
      <c r="K57" s="703"/>
      <c r="L57" s="703"/>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c r="AJ57" s="703"/>
      <c r="AK57" s="703"/>
      <c r="AL57" s="703"/>
      <c r="AM57" s="703"/>
      <c r="AN57" s="703"/>
      <c r="AO57" s="703"/>
      <c r="AP57" s="703"/>
      <c r="AQ57" s="703"/>
      <c r="AR57" s="703"/>
      <c r="AS57" s="703"/>
      <c r="AT57" s="703"/>
      <c r="AU57" s="703"/>
      <c r="AV57" s="703"/>
      <c r="AW57" s="703"/>
      <c r="AX57" s="703"/>
      <c r="AY57" s="703"/>
      <c r="AZ57" s="703"/>
      <c r="BA57" s="703"/>
      <c r="BB57" s="703"/>
      <c r="BC57" s="703"/>
      <c r="BD57" s="703"/>
      <c r="BE57" s="703"/>
    </row>
    <row r="58" spans="2:57" x14ac:dyDescent="0.2">
      <c r="B58" s="1335"/>
      <c r="C58" s="700" t="str">
        <f>HE_PG2_label</f>
        <v>PG2 - Übrige stationäre Produkte</v>
      </c>
      <c r="D58" s="718">
        <f t="shared" si="78"/>
        <v>0</v>
      </c>
      <c r="E58" s="738">
        <f>IFERROR(D58/ABS(D56),0)</f>
        <v>0</v>
      </c>
      <c r="F58" s="734">
        <f t="shared" si="79"/>
        <v>1</v>
      </c>
      <c r="G58" s="730">
        <f t="shared" si="81"/>
        <v>0</v>
      </c>
      <c r="H58" s="727"/>
      <c r="I58" s="703"/>
      <c r="J58" s="703"/>
      <c r="K58" s="703"/>
      <c r="L58" s="703"/>
      <c r="M58" s="703"/>
      <c r="N58" s="703"/>
      <c r="O58" s="703"/>
      <c r="P58" s="703"/>
      <c r="Q58" s="703"/>
      <c r="R58" s="703"/>
      <c r="S58" s="703"/>
      <c r="T58" s="703"/>
      <c r="U58" s="703"/>
      <c r="V58" s="703"/>
      <c r="W58" s="703"/>
      <c r="X58" s="703"/>
      <c r="Y58" s="703"/>
      <c r="Z58" s="703"/>
      <c r="AA58" s="703"/>
      <c r="AB58" s="703"/>
      <c r="AC58" s="703"/>
      <c r="AD58" s="703"/>
      <c r="AE58" s="703"/>
      <c r="AF58" s="703"/>
      <c r="AG58" s="703"/>
      <c r="AH58" s="703"/>
      <c r="AI58" s="703"/>
      <c r="AJ58" s="703"/>
      <c r="AK58" s="703"/>
      <c r="AL58" s="703"/>
      <c r="AM58" s="703"/>
      <c r="AN58" s="703"/>
      <c r="AO58" s="703"/>
      <c r="AP58" s="703"/>
      <c r="AQ58" s="703"/>
      <c r="AR58" s="703"/>
      <c r="AS58" s="703"/>
      <c r="AT58" s="703"/>
      <c r="AU58" s="703"/>
      <c r="AV58" s="703"/>
      <c r="AW58" s="703"/>
      <c r="AX58" s="703"/>
      <c r="AY58" s="703"/>
      <c r="AZ58" s="703"/>
      <c r="BA58" s="703"/>
      <c r="BB58" s="703"/>
      <c r="BC58" s="703"/>
      <c r="BD58" s="703"/>
      <c r="BE58" s="703"/>
    </row>
    <row r="59" spans="2:57" x14ac:dyDescent="0.2">
      <c r="B59" s="1335"/>
      <c r="C59" s="700" t="str">
        <f>HE_PG3_label</f>
        <v>PG3 - Ambulante Produkte</v>
      </c>
      <c r="D59" s="718">
        <f t="shared" si="78"/>
        <v>0</v>
      </c>
      <c r="E59" s="738">
        <f>IFERROR(D59/ABS(D56),0)</f>
        <v>0</v>
      </c>
      <c r="F59" s="734">
        <f t="shared" si="79"/>
        <v>1</v>
      </c>
      <c r="G59" s="730">
        <f t="shared" si="81"/>
        <v>0</v>
      </c>
      <c r="H59" s="727"/>
      <c r="I59" s="703"/>
      <c r="J59" s="703"/>
      <c r="K59" s="703"/>
      <c r="L59" s="703"/>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c r="AJ59" s="703"/>
      <c r="AK59" s="703"/>
      <c r="AL59" s="703"/>
      <c r="AM59" s="703"/>
      <c r="AN59" s="703"/>
      <c r="AO59" s="703"/>
      <c r="AP59" s="703"/>
      <c r="AQ59" s="703"/>
      <c r="AR59" s="703"/>
      <c r="AS59" s="703"/>
      <c r="AT59" s="703"/>
      <c r="AU59" s="703"/>
      <c r="AV59" s="703"/>
      <c r="AW59" s="703"/>
      <c r="AX59" s="703"/>
      <c r="AY59" s="703"/>
      <c r="AZ59" s="703"/>
      <c r="BA59" s="703"/>
      <c r="BB59" s="703"/>
      <c r="BC59" s="703"/>
      <c r="BD59" s="703"/>
      <c r="BE59" s="703"/>
    </row>
    <row r="60" spans="2:57" x14ac:dyDescent="0.2">
      <c r="B60" s="1335"/>
      <c r="C60" s="700" t="str">
        <f>HE_PG4_label</f>
        <v>PG4 - Langzeitpflege</v>
      </c>
      <c r="D60" s="718">
        <f t="shared" si="78"/>
        <v>0</v>
      </c>
      <c r="E60" s="738">
        <f>IFERROR(D60/ABS(D56),0)</f>
        <v>0</v>
      </c>
      <c r="F60" s="734">
        <f t="shared" si="79"/>
        <v>1</v>
      </c>
      <c r="G60" s="730">
        <f t="shared" si="81"/>
        <v>0</v>
      </c>
      <c r="H60" s="727"/>
      <c r="I60" s="703"/>
      <c r="J60" s="703"/>
      <c r="K60" s="703"/>
      <c r="L60" s="703"/>
      <c r="M60" s="703"/>
      <c r="N60" s="703"/>
      <c r="O60" s="703"/>
      <c r="P60" s="703"/>
      <c r="Q60" s="703"/>
      <c r="R60" s="703"/>
      <c r="S60" s="703"/>
      <c r="T60" s="703"/>
      <c r="U60" s="703"/>
      <c r="V60" s="703"/>
      <c r="W60" s="703"/>
      <c r="X60" s="703"/>
      <c r="Y60" s="703"/>
      <c r="Z60" s="703"/>
      <c r="AA60" s="703"/>
      <c r="AB60" s="703"/>
      <c r="AC60" s="703"/>
      <c r="AD60" s="703"/>
      <c r="AE60" s="703"/>
      <c r="AF60" s="703"/>
      <c r="AG60" s="703"/>
      <c r="AH60" s="703"/>
      <c r="AI60" s="703"/>
      <c r="AJ60" s="703"/>
      <c r="AK60" s="703"/>
      <c r="AL60" s="703"/>
      <c r="AM60" s="703"/>
      <c r="AN60" s="703"/>
      <c r="AO60" s="703"/>
      <c r="AP60" s="703"/>
      <c r="AQ60" s="703"/>
      <c r="AR60" s="703"/>
      <c r="AS60" s="703"/>
      <c r="AT60" s="703"/>
      <c r="AU60" s="703"/>
      <c r="AV60" s="703"/>
      <c r="AW60" s="703"/>
      <c r="AX60" s="703"/>
      <c r="AY60" s="703"/>
      <c r="AZ60" s="703"/>
      <c r="BA60" s="703"/>
      <c r="BB60" s="703"/>
      <c r="BC60" s="703"/>
      <c r="BD60" s="703"/>
      <c r="BE60" s="703"/>
    </row>
    <row r="61" spans="2:57" x14ac:dyDescent="0.2">
      <c r="B61" s="1336"/>
      <c r="C61" s="702" t="str">
        <f>HE_PG5_label</f>
        <v>PG5 - Einzeltaggeldversicherung</v>
      </c>
      <c r="D61" s="719">
        <f t="shared" si="78"/>
        <v>0</v>
      </c>
      <c r="E61" s="739">
        <f>IFERROR(D61/ABS(D56),0)</f>
        <v>0</v>
      </c>
      <c r="F61" s="735">
        <f t="shared" si="79"/>
        <v>1</v>
      </c>
      <c r="G61" s="731">
        <f t="shared" si="81"/>
        <v>0</v>
      </c>
      <c r="H61" s="728"/>
      <c r="I61" s="704"/>
      <c r="J61" s="704"/>
      <c r="K61" s="704"/>
      <c r="L61" s="704"/>
      <c r="M61" s="704"/>
      <c r="N61" s="704"/>
      <c r="O61" s="704"/>
      <c r="P61" s="704"/>
      <c r="Q61" s="704"/>
      <c r="R61" s="704"/>
      <c r="S61" s="704"/>
      <c r="T61" s="704"/>
      <c r="U61" s="704"/>
      <c r="V61" s="704"/>
      <c r="W61" s="704"/>
      <c r="X61" s="704"/>
      <c r="Y61" s="704"/>
      <c r="Z61" s="704"/>
      <c r="AA61" s="704"/>
      <c r="AB61" s="704"/>
      <c r="AC61" s="704"/>
      <c r="AD61" s="704"/>
      <c r="AE61" s="704"/>
      <c r="AF61" s="704"/>
      <c r="AG61" s="704"/>
      <c r="AH61" s="704"/>
      <c r="AI61" s="704"/>
      <c r="AJ61" s="704"/>
      <c r="AK61" s="704"/>
      <c r="AL61" s="704"/>
      <c r="AM61" s="704"/>
      <c r="AN61" s="704"/>
      <c r="AO61" s="704"/>
      <c r="AP61" s="704"/>
      <c r="AQ61" s="704"/>
      <c r="AR61" s="704"/>
      <c r="AS61" s="704"/>
      <c r="AT61" s="704"/>
      <c r="AU61" s="704"/>
      <c r="AV61" s="704"/>
      <c r="AW61" s="704"/>
      <c r="AX61" s="704"/>
      <c r="AY61" s="704"/>
      <c r="AZ61" s="704"/>
      <c r="BA61" s="704"/>
      <c r="BB61" s="704"/>
      <c r="BC61" s="704"/>
      <c r="BD61" s="704"/>
      <c r="BE61" s="704"/>
    </row>
    <row r="62" spans="2:57" x14ac:dyDescent="0.2">
      <c r="B62" s="1337" t="str">
        <f>B18</f>
        <v>Alternative Berechnung</v>
      </c>
      <c r="C62" s="701" t="str">
        <f t="shared" ref="C62:C67" si="82">C56</f>
        <v>Total fünf Produktegruppen</v>
      </c>
      <c r="D62" s="720">
        <f t="shared" si="78"/>
        <v>0</v>
      </c>
      <c r="E62" s="740">
        <f>IFERROR(D62/ABS(D62),0)</f>
        <v>0</v>
      </c>
      <c r="F62" s="736">
        <f t="shared" si="79"/>
        <v>1</v>
      </c>
      <c r="G62" s="732">
        <f>IFERROR(SUM(H62:BE62),0)</f>
        <v>0</v>
      </c>
      <c r="H62" s="724">
        <f>IFERROR(SUM(H63:H67),0)</f>
        <v>0</v>
      </c>
      <c r="I62" s="709">
        <f t="shared" ref="I62:BE62" si="83">IFERROR(SUM(I63:I67),0)</f>
        <v>0</v>
      </c>
      <c r="J62" s="709">
        <f t="shared" si="83"/>
        <v>0</v>
      </c>
      <c r="K62" s="709">
        <f t="shared" si="83"/>
        <v>0</v>
      </c>
      <c r="L62" s="709">
        <f t="shared" si="83"/>
        <v>0</v>
      </c>
      <c r="M62" s="709">
        <f t="shared" si="83"/>
        <v>0</v>
      </c>
      <c r="N62" s="709">
        <f t="shared" si="83"/>
        <v>0</v>
      </c>
      <c r="O62" s="709">
        <f t="shared" si="83"/>
        <v>0</v>
      </c>
      <c r="P62" s="709">
        <f t="shared" si="83"/>
        <v>0</v>
      </c>
      <c r="Q62" s="709">
        <f t="shared" si="83"/>
        <v>0</v>
      </c>
      <c r="R62" s="709">
        <f t="shared" si="83"/>
        <v>0</v>
      </c>
      <c r="S62" s="709">
        <f t="shared" si="83"/>
        <v>0</v>
      </c>
      <c r="T62" s="709">
        <f t="shared" si="83"/>
        <v>0</v>
      </c>
      <c r="U62" s="709">
        <f t="shared" si="83"/>
        <v>0</v>
      </c>
      <c r="V62" s="709">
        <f t="shared" si="83"/>
        <v>0</v>
      </c>
      <c r="W62" s="709">
        <f t="shared" si="83"/>
        <v>0</v>
      </c>
      <c r="X62" s="709">
        <f t="shared" si="83"/>
        <v>0</v>
      </c>
      <c r="Y62" s="709">
        <f t="shared" si="83"/>
        <v>0</v>
      </c>
      <c r="Z62" s="709">
        <f t="shared" si="83"/>
        <v>0</v>
      </c>
      <c r="AA62" s="709">
        <f t="shared" si="83"/>
        <v>0</v>
      </c>
      <c r="AB62" s="709">
        <f t="shared" si="83"/>
        <v>0</v>
      </c>
      <c r="AC62" s="709">
        <f t="shared" si="83"/>
        <v>0</v>
      </c>
      <c r="AD62" s="709">
        <f t="shared" si="83"/>
        <v>0</v>
      </c>
      <c r="AE62" s="709">
        <f t="shared" si="83"/>
        <v>0</v>
      </c>
      <c r="AF62" s="709">
        <f t="shared" si="83"/>
        <v>0</v>
      </c>
      <c r="AG62" s="709">
        <f t="shared" si="83"/>
        <v>0</v>
      </c>
      <c r="AH62" s="709">
        <f t="shared" si="83"/>
        <v>0</v>
      </c>
      <c r="AI62" s="709">
        <f t="shared" si="83"/>
        <v>0</v>
      </c>
      <c r="AJ62" s="709">
        <f t="shared" si="83"/>
        <v>0</v>
      </c>
      <c r="AK62" s="709">
        <f t="shared" si="83"/>
        <v>0</v>
      </c>
      <c r="AL62" s="709">
        <f t="shared" si="83"/>
        <v>0</v>
      </c>
      <c r="AM62" s="709">
        <f t="shared" si="83"/>
        <v>0</v>
      </c>
      <c r="AN62" s="709">
        <f t="shared" si="83"/>
        <v>0</v>
      </c>
      <c r="AO62" s="709">
        <f t="shared" si="83"/>
        <v>0</v>
      </c>
      <c r="AP62" s="709">
        <f t="shared" si="83"/>
        <v>0</v>
      </c>
      <c r="AQ62" s="709">
        <f t="shared" si="83"/>
        <v>0</v>
      </c>
      <c r="AR62" s="709">
        <f t="shared" si="83"/>
        <v>0</v>
      </c>
      <c r="AS62" s="709">
        <f t="shared" si="83"/>
        <v>0</v>
      </c>
      <c r="AT62" s="709">
        <f t="shared" si="83"/>
        <v>0</v>
      </c>
      <c r="AU62" s="709">
        <f t="shared" si="83"/>
        <v>0</v>
      </c>
      <c r="AV62" s="709">
        <f t="shared" si="83"/>
        <v>0</v>
      </c>
      <c r="AW62" s="709">
        <f t="shared" si="83"/>
        <v>0</v>
      </c>
      <c r="AX62" s="709">
        <f t="shared" si="83"/>
        <v>0</v>
      </c>
      <c r="AY62" s="709">
        <f t="shared" si="83"/>
        <v>0</v>
      </c>
      <c r="AZ62" s="709">
        <f t="shared" si="83"/>
        <v>0</v>
      </c>
      <c r="BA62" s="709">
        <f t="shared" si="83"/>
        <v>0</v>
      </c>
      <c r="BB62" s="709">
        <f t="shared" si="83"/>
        <v>0</v>
      </c>
      <c r="BC62" s="709">
        <f t="shared" si="83"/>
        <v>0</v>
      </c>
      <c r="BD62" s="709">
        <f t="shared" si="83"/>
        <v>0</v>
      </c>
      <c r="BE62" s="710">
        <f t="shared" si="83"/>
        <v>0</v>
      </c>
    </row>
    <row r="63" spans="2:57" x14ac:dyDescent="0.2">
      <c r="B63" s="1338"/>
      <c r="C63" s="701" t="str">
        <f t="shared" si="82"/>
        <v>PG1 - Stationäre Produkte Halbprivat, Privat und Flex</v>
      </c>
      <c r="D63" s="745">
        <f t="shared" si="78"/>
        <v>0</v>
      </c>
      <c r="E63" s="747">
        <f>IFERROR(D63/ABS(D62),0)</f>
        <v>0</v>
      </c>
      <c r="F63" s="746">
        <f t="shared" si="79"/>
        <v>1</v>
      </c>
      <c r="G63" s="730">
        <f t="shared" ref="G63:G67" si="84">IFERROR(SUM(H63:BE63),0)</f>
        <v>0</v>
      </c>
      <c r="H63" s="337"/>
      <c r="I63" s="705"/>
      <c r="J63" s="705"/>
      <c r="K63" s="705"/>
      <c r="L63" s="705"/>
      <c r="M63" s="705"/>
      <c r="N63" s="705"/>
      <c r="O63" s="705"/>
      <c r="P63" s="705"/>
      <c r="Q63" s="705"/>
      <c r="R63" s="705"/>
      <c r="S63" s="705"/>
      <c r="T63" s="705"/>
      <c r="U63" s="705"/>
      <c r="V63" s="705"/>
      <c r="W63" s="705"/>
      <c r="X63" s="705"/>
      <c r="Y63" s="705"/>
      <c r="Z63" s="705"/>
      <c r="AA63" s="705"/>
      <c r="AB63" s="705"/>
      <c r="AC63" s="705"/>
      <c r="AD63" s="705"/>
      <c r="AE63" s="705"/>
      <c r="AF63" s="705"/>
      <c r="AG63" s="705"/>
      <c r="AH63" s="705"/>
      <c r="AI63" s="705"/>
      <c r="AJ63" s="705"/>
      <c r="AK63" s="705"/>
      <c r="AL63" s="705"/>
      <c r="AM63" s="705"/>
      <c r="AN63" s="705"/>
      <c r="AO63" s="705"/>
      <c r="AP63" s="705"/>
      <c r="AQ63" s="705"/>
      <c r="AR63" s="705"/>
      <c r="AS63" s="705"/>
      <c r="AT63" s="705"/>
      <c r="AU63" s="705"/>
      <c r="AV63" s="705"/>
      <c r="AW63" s="705"/>
      <c r="AX63" s="705"/>
      <c r="AY63" s="705"/>
      <c r="AZ63" s="705"/>
      <c r="BA63" s="705"/>
      <c r="BB63" s="705"/>
      <c r="BC63" s="705"/>
      <c r="BD63" s="705"/>
      <c r="BE63" s="705"/>
    </row>
    <row r="64" spans="2:57" x14ac:dyDescent="0.2">
      <c r="B64" s="1338"/>
      <c r="C64" s="700" t="str">
        <f t="shared" si="82"/>
        <v>PG2 - Übrige stationäre Produkte</v>
      </c>
      <c r="D64" s="718">
        <f t="shared" si="78"/>
        <v>0</v>
      </c>
      <c r="E64" s="738">
        <f>IFERROR(D64/ABS(D62),0)</f>
        <v>0</v>
      </c>
      <c r="F64" s="734">
        <f t="shared" si="79"/>
        <v>1</v>
      </c>
      <c r="G64" s="730">
        <f t="shared" si="84"/>
        <v>0</v>
      </c>
      <c r="H64" s="337"/>
      <c r="I64" s="705"/>
      <c r="J64" s="705"/>
      <c r="K64" s="705"/>
      <c r="L64" s="705"/>
      <c r="M64" s="705"/>
      <c r="N64" s="705"/>
      <c r="O64" s="705"/>
      <c r="P64" s="705"/>
      <c r="Q64" s="705"/>
      <c r="R64" s="705"/>
      <c r="S64" s="705"/>
      <c r="T64" s="705"/>
      <c r="U64" s="705"/>
      <c r="V64" s="705"/>
      <c r="W64" s="705"/>
      <c r="X64" s="705"/>
      <c r="Y64" s="705"/>
      <c r="Z64" s="705"/>
      <c r="AA64" s="705"/>
      <c r="AB64" s="705"/>
      <c r="AC64" s="705"/>
      <c r="AD64" s="705"/>
      <c r="AE64" s="705"/>
      <c r="AF64" s="705"/>
      <c r="AG64" s="705"/>
      <c r="AH64" s="705"/>
      <c r="AI64" s="705"/>
      <c r="AJ64" s="705"/>
      <c r="AK64" s="705"/>
      <c r="AL64" s="705"/>
      <c r="AM64" s="705"/>
      <c r="AN64" s="705"/>
      <c r="AO64" s="705"/>
      <c r="AP64" s="705"/>
      <c r="AQ64" s="705"/>
      <c r="AR64" s="705"/>
      <c r="AS64" s="705"/>
      <c r="AT64" s="705"/>
      <c r="AU64" s="705"/>
      <c r="AV64" s="705"/>
      <c r="AW64" s="705"/>
      <c r="AX64" s="705"/>
      <c r="AY64" s="705"/>
      <c r="AZ64" s="705"/>
      <c r="BA64" s="705"/>
      <c r="BB64" s="705"/>
      <c r="BC64" s="705"/>
      <c r="BD64" s="705"/>
      <c r="BE64" s="705"/>
    </row>
    <row r="65" spans="2:58" x14ac:dyDescent="0.2">
      <c r="B65" s="1338"/>
      <c r="C65" s="700" t="str">
        <f t="shared" si="82"/>
        <v>PG3 - Ambulante Produkte</v>
      </c>
      <c r="D65" s="718">
        <f t="shared" si="78"/>
        <v>0</v>
      </c>
      <c r="E65" s="738">
        <f>IFERROR(D65/ABS(D62),0)</f>
        <v>0</v>
      </c>
      <c r="F65" s="734">
        <f t="shared" si="79"/>
        <v>1</v>
      </c>
      <c r="G65" s="730">
        <f t="shared" si="84"/>
        <v>0</v>
      </c>
      <c r="H65" s="337"/>
      <c r="I65" s="705"/>
      <c r="J65" s="705"/>
      <c r="K65" s="705"/>
      <c r="L65" s="705"/>
      <c r="M65" s="705"/>
      <c r="N65" s="705"/>
      <c r="O65" s="705"/>
      <c r="P65" s="705"/>
      <c r="Q65" s="705"/>
      <c r="R65" s="705"/>
      <c r="S65" s="705"/>
      <c r="T65" s="705"/>
      <c r="U65" s="705"/>
      <c r="V65" s="705"/>
      <c r="W65" s="705"/>
      <c r="X65" s="705"/>
      <c r="Y65" s="705"/>
      <c r="Z65" s="705"/>
      <c r="AA65" s="705"/>
      <c r="AB65" s="705"/>
      <c r="AC65" s="705"/>
      <c r="AD65" s="705"/>
      <c r="AE65" s="705"/>
      <c r="AF65" s="705"/>
      <c r="AG65" s="705"/>
      <c r="AH65" s="705"/>
      <c r="AI65" s="705"/>
      <c r="AJ65" s="705"/>
      <c r="AK65" s="705"/>
      <c r="AL65" s="705"/>
      <c r="AM65" s="705"/>
      <c r="AN65" s="705"/>
      <c r="AO65" s="705"/>
      <c r="AP65" s="705"/>
      <c r="AQ65" s="705"/>
      <c r="AR65" s="705"/>
      <c r="AS65" s="705"/>
      <c r="AT65" s="705"/>
      <c r="AU65" s="705"/>
      <c r="AV65" s="705"/>
      <c r="AW65" s="705"/>
      <c r="AX65" s="705"/>
      <c r="AY65" s="705"/>
      <c r="AZ65" s="705"/>
      <c r="BA65" s="705"/>
      <c r="BB65" s="705"/>
      <c r="BC65" s="705"/>
      <c r="BD65" s="705"/>
      <c r="BE65" s="705"/>
    </row>
    <row r="66" spans="2:58" x14ac:dyDescent="0.2">
      <c r="B66" s="1338"/>
      <c r="C66" s="700" t="str">
        <f t="shared" si="82"/>
        <v>PG4 - Langzeitpflege</v>
      </c>
      <c r="D66" s="718">
        <f t="shared" si="78"/>
        <v>0</v>
      </c>
      <c r="E66" s="738">
        <f>IFERROR(D66/ABS(D62),0)</f>
        <v>0</v>
      </c>
      <c r="F66" s="734">
        <f t="shared" si="79"/>
        <v>1</v>
      </c>
      <c r="G66" s="730">
        <f t="shared" si="84"/>
        <v>0</v>
      </c>
      <c r="H66" s="337"/>
      <c r="I66" s="705"/>
      <c r="J66" s="705"/>
      <c r="K66" s="705"/>
      <c r="L66" s="705"/>
      <c r="M66" s="705"/>
      <c r="N66" s="705"/>
      <c r="O66" s="705"/>
      <c r="P66" s="705"/>
      <c r="Q66" s="705"/>
      <c r="R66" s="705"/>
      <c r="S66" s="705"/>
      <c r="T66" s="705"/>
      <c r="U66" s="705"/>
      <c r="V66" s="705"/>
      <c r="W66" s="705"/>
      <c r="X66" s="705"/>
      <c r="Y66" s="705"/>
      <c r="Z66" s="705"/>
      <c r="AA66" s="705"/>
      <c r="AB66" s="705"/>
      <c r="AC66" s="705"/>
      <c r="AD66" s="705"/>
      <c r="AE66" s="705"/>
      <c r="AF66" s="705"/>
      <c r="AG66" s="705"/>
      <c r="AH66" s="705"/>
      <c r="AI66" s="705"/>
      <c r="AJ66" s="705"/>
      <c r="AK66" s="705"/>
      <c r="AL66" s="705"/>
      <c r="AM66" s="705"/>
      <c r="AN66" s="705"/>
      <c r="AO66" s="705"/>
      <c r="AP66" s="705"/>
      <c r="AQ66" s="705"/>
      <c r="AR66" s="705"/>
      <c r="AS66" s="705"/>
      <c r="AT66" s="705"/>
      <c r="AU66" s="705"/>
      <c r="AV66" s="705"/>
      <c r="AW66" s="705"/>
      <c r="AX66" s="705"/>
      <c r="AY66" s="705"/>
      <c r="AZ66" s="705"/>
      <c r="BA66" s="705"/>
      <c r="BB66" s="705"/>
      <c r="BC66" s="705"/>
      <c r="BD66" s="705"/>
      <c r="BE66" s="705"/>
    </row>
    <row r="67" spans="2:58" x14ac:dyDescent="0.2">
      <c r="B67" s="1339"/>
      <c r="C67" s="702" t="str">
        <f t="shared" si="82"/>
        <v>PG5 - Einzeltaggeldversicherung</v>
      </c>
      <c r="D67" s="719">
        <f t="shared" si="78"/>
        <v>0</v>
      </c>
      <c r="E67" s="739">
        <f>IFERROR(D67/ABS(D62),0)</f>
        <v>0</v>
      </c>
      <c r="F67" s="735">
        <f t="shared" si="79"/>
        <v>1</v>
      </c>
      <c r="G67" s="731">
        <f t="shared" si="84"/>
        <v>0</v>
      </c>
      <c r="H67" s="420"/>
      <c r="I67" s="706"/>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row>
    <row r="68" spans="2:58" s="51" customFormat="1" x14ac:dyDescent="0.2">
      <c r="B68" s="1346" t="str">
        <f>B22</f>
        <v>Zusammenzug</v>
      </c>
      <c r="C68" s="749" t="str">
        <f t="shared" ref="C68:C73" si="85">C56</f>
        <v>Total fünf Produktegruppen</v>
      </c>
      <c r="D68" s="793">
        <f t="shared" si="78"/>
        <v>0</v>
      </c>
      <c r="E68" s="751">
        <f>IFERROR(D68/ABS(D68),0)</f>
        <v>0</v>
      </c>
      <c r="F68" s="761">
        <f t="shared" si="79"/>
        <v>1</v>
      </c>
      <c r="G68" s="753">
        <f>G56+G62</f>
        <v>0</v>
      </c>
      <c r="H68" s="754">
        <f>H56+H62</f>
        <v>0</v>
      </c>
      <c r="I68" s="755">
        <f t="shared" ref="I68:BE73" si="86">I56+I62</f>
        <v>0</v>
      </c>
      <c r="J68" s="755">
        <f t="shared" si="86"/>
        <v>0</v>
      </c>
      <c r="K68" s="755">
        <f t="shared" si="86"/>
        <v>0</v>
      </c>
      <c r="L68" s="755">
        <f t="shared" si="86"/>
        <v>0</v>
      </c>
      <c r="M68" s="755">
        <f t="shared" si="86"/>
        <v>0</v>
      </c>
      <c r="N68" s="755">
        <f t="shared" si="86"/>
        <v>0</v>
      </c>
      <c r="O68" s="755">
        <f t="shared" si="86"/>
        <v>0</v>
      </c>
      <c r="P68" s="755">
        <f t="shared" si="86"/>
        <v>0</v>
      </c>
      <c r="Q68" s="755">
        <f t="shared" si="86"/>
        <v>0</v>
      </c>
      <c r="R68" s="755">
        <f t="shared" si="86"/>
        <v>0</v>
      </c>
      <c r="S68" s="755">
        <f t="shared" si="86"/>
        <v>0</v>
      </c>
      <c r="T68" s="755">
        <f t="shared" si="86"/>
        <v>0</v>
      </c>
      <c r="U68" s="755">
        <f t="shared" si="86"/>
        <v>0</v>
      </c>
      <c r="V68" s="755">
        <f t="shared" si="86"/>
        <v>0</v>
      </c>
      <c r="W68" s="755">
        <f t="shared" si="86"/>
        <v>0</v>
      </c>
      <c r="X68" s="755">
        <f t="shared" si="86"/>
        <v>0</v>
      </c>
      <c r="Y68" s="755">
        <f t="shared" si="86"/>
        <v>0</v>
      </c>
      <c r="Z68" s="755">
        <f t="shared" si="86"/>
        <v>0</v>
      </c>
      <c r="AA68" s="755">
        <f t="shared" si="86"/>
        <v>0</v>
      </c>
      <c r="AB68" s="755">
        <f t="shared" si="86"/>
        <v>0</v>
      </c>
      <c r="AC68" s="755">
        <f t="shared" si="86"/>
        <v>0</v>
      </c>
      <c r="AD68" s="755">
        <f t="shared" si="86"/>
        <v>0</v>
      </c>
      <c r="AE68" s="755">
        <f t="shared" si="86"/>
        <v>0</v>
      </c>
      <c r="AF68" s="755">
        <f t="shared" si="86"/>
        <v>0</v>
      </c>
      <c r="AG68" s="755">
        <f t="shared" si="86"/>
        <v>0</v>
      </c>
      <c r="AH68" s="755">
        <f t="shared" si="86"/>
        <v>0</v>
      </c>
      <c r="AI68" s="755">
        <f t="shared" si="86"/>
        <v>0</v>
      </c>
      <c r="AJ68" s="755">
        <f t="shared" si="86"/>
        <v>0</v>
      </c>
      <c r="AK68" s="755">
        <f t="shared" si="86"/>
        <v>0</v>
      </c>
      <c r="AL68" s="755">
        <f t="shared" si="86"/>
        <v>0</v>
      </c>
      <c r="AM68" s="755">
        <f t="shared" si="86"/>
        <v>0</v>
      </c>
      <c r="AN68" s="755">
        <f t="shared" si="86"/>
        <v>0</v>
      </c>
      <c r="AO68" s="755">
        <f t="shared" si="86"/>
        <v>0</v>
      </c>
      <c r="AP68" s="755">
        <f t="shared" si="86"/>
        <v>0</v>
      </c>
      <c r="AQ68" s="755">
        <f t="shared" si="86"/>
        <v>0</v>
      </c>
      <c r="AR68" s="755">
        <f t="shared" si="86"/>
        <v>0</v>
      </c>
      <c r="AS68" s="755">
        <f t="shared" si="86"/>
        <v>0</v>
      </c>
      <c r="AT68" s="755">
        <f t="shared" si="86"/>
        <v>0</v>
      </c>
      <c r="AU68" s="755">
        <f t="shared" si="86"/>
        <v>0</v>
      </c>
      <c r="AV68" s="755">
        <f t="shared" si="86"/>
        <v>0</v>
      </c>
      <c r="AW68" s="755">
        <f t="shared" si="86"/>
        <v>0</v>
      </c>
      <c r="AX68" s="755">
        <f t="shared" si="86"/>
        <v>0</v>
      </c>
      <c r="AY68" s="755">
        <f t="shared" si="86"/>
        <v>0</v>
      </c>
      <c r="AZ68" s="755">
        <f t="shared" si="86"/>
        <v>0</v>
      </c>
      <c r="BA68" s="755">
        <f t="shared" si="86"/>
        <v>0</v>
      </c>
      <c r="BB68" s="755">
        <f t="shared" si="86"/>
        <v>0</v>
      </c>
      <c r="BC68" s="755">
        <f t="shared" si="86"/>
        <v>0</v>
      </c>
      <c r="BD68" s="755">
        <f t="shared" si="86"/>
        <v>0</v>
      </c>
      <c r="BE68" s="756">
        <f t="shared" si="86"/>
        <v>0</v>
      </c>
    </row>
    <row r="69" spans="2:58" x14ac:dyDescent="0.2">
      <c r="B69" s="1347"/>
      <c r="C69" s="700" t="str">
        <f t="shared" si="85"/>
        <v>PG1 - Stationäre Produkte Halbprivat, Privat und Flex</v>
      </c>
      <c r="D69" s="792">
        <f t="shared" si="78"/>
        <v>0</v>
      </c>
      <c r="E69" s="738">
        <f>IFERROR(D69/ABS(D68),0)</f>
        <v>0</v>
      </c>
      <c r="F69" s="734">
        <f t="shared" si="79"/>
        <v>1</v>
      </c>
      <c r="G69" s="730">
        <f t="shared" ref="G69:W73" si="87">G57+G63</f>
        <v>0</v>
      </c>
      <c r="H69" s="722">
        <f t="shared" si="87"/>
        <v>0</v>
      </c>
      <c r="I69" s="711">
        <f t="shared" si="87"/>
        <v>0</v>
      </c>
      <c r="J69" s="711">
        <f t="shared" si="87"/>
        <v>0</v>
      </c>
      <c r="K69" s="711">
        <f t="shared" si="87"/>
        <v>0</v>
      </c>
      <c r="L69" s="711">
        <f t="shared" si="87"/>
        <v>0</v>
      </c>
      <c r="M69" s="711">
        <f t="shared" si="87"/>
        <v>0</v>
      </c>
      <c r="N69" s="711">
        <f t="shared" si="87"/>
        <v>0</v>
      </c>
      <c r="O69" s="711">
        <f t="shared" si="87"/>
        <v>0</v>
      </c>
      <c r="P69" s="711">
        <f t="shared" si="87"/>
        <v>0</v>
      </c>
      <c r="Q69" s="711">
        <f t="shared" si="87"/>
        <v>0</v>
      </c>
      <c r="R69" s="711">
        <f t="shared" si="87"/>
        <v>0</v>
      </c>
      <c r="S69" s="711">
        <f t="shared" si="87"/>
        <v>0</v>
      </c>
      <c r="T69" s="711">
        <f t="shared" si="87"/>
        <v>0</v>
      </c>
      <c r="U69" s="711">
        <f t="shared" si="87"/>
        <v>0</v>
      </c>
      <c r="V69" s="711">
        <f t="shared" si="87"/>
        <v>0</v>
      </c>
      <c r="W69" s="711">
        <f t="shared" si="87"/>
        <v>0</v>
      </c>
      <c r="X69" s="711">
        <f t="shared" si="86"/>
        <v>0</v>
      </c>
      <c r="Y69" s="711">
        <f t="shared" si="86"/>
        <v>0</v>
      </c>
      <c r="Z69" s="711">
        <f t="shared" si="86"/>
        <v>0</v>
      </c>
      <c r="AA69" s="711">
        <f t="shared" si="86"/>
        <v>0</v>
      </c>
      <c r="AB69" s="711">
        <f t="shared" si="86"/>
        <v>0</v>
      </c>
      <c r="AC69" s="711">
        <f t="shared" si="86"/>
        <v>0</v>
      </c>
      <c r="AD69" s="711">
        <f t="shared" si="86"/>
        <v>0</v>
      </c>
      <c r="AE69" s="711">
        <f t="shared" si="86"/>
        <v>0</v>
      </c>
      <c r="AF69" s="711">
        <f t="shared" si="86"/>
        <v>0</v>
      </c>
      <c r="AG69" s="711">
        <f t="shared" si="86"/>
        <v>0</v>
      </c>
      <c r="AH69" s="711">
        <f t="shared" si="86"/>
        <v>0</v>
      </c>
      <c r="AI69" s="711">
        <f t="shared" si="86"/>
        <v>0</v>
      </c>
      <c r="AJ69" s="711">
        <f t="shared" si="86"/>
        <v>0</v>
      </c>
      <c r="AK69" s="711">
        <f t="shared" si="86"/>
        <v>0</v>
      </c>
      <c r="AL69" s="711">
        <f t="shared" si="86"/>
        <v>0</v>
      </c>
      <c r="AM69" s="711">
        <f t="shared" si="86"/>
        <v>0</v>
      </c>
      <c r="AN69" s="711">
        <f t="shared" si="86"/>
        <v>0</v>
      </c>
      <c r="AO69" s="711">
        <f t="shared" si="86"/>
        <v>0</v>
      </c>
      <c r="AP69" s="711">
        <f t="shared" si="86"/>
        <v>0</v>
      </c>
      <c r="AQ69" s="711">
        <f t="shared" si="86"/>
        <v>0</v>
      </c>
      <c r="AR69" s="711">
        <f t="shared" si="86"/>
        <v>0</v>
      </c>
      <c r="AS69" s="711">
        <f t="shared" si="86"/>
        <v>0</v>
      </c>
      <c r="AT69" s="711">
        <f t="shared" si="86"/>
        <v>0</v>
      </c>
      <c r="AU69" s="711">
        <f t="shared" si="86"/>
        <v>0</v>
      </c>
      <c r="AV69" s="711">
        <f t="shared" si="86"/>
        <v>0</v>
      </c>
      <c r="AW69" s="711">
        <f t="shared" si="86"/>
        <v>0</v>
      </c>
      <c r="AX69" s="711">
        <f t="shared" si="86"/>
        <v>0</v>
      </c>
      <c r="AY69" s="711">
        <f t="shared" si="86"/>
        <v>0</v>
      </c>
      <c r="AZ69" s="711">
        <f t="shared" si="86"/>
        <v>0</v>
      </c>
      <c r="BA69" s="711">
        <f t="shared" si="86"/>
        <v>0</v>
      </c>
      <c r="BB69" s="711">
        <f t="shared" si="86"/>
        <v>0</v>
      </c>
      <c r="BC69" s="711">
        <f t="shared" si="86"/>
        <v>0</v>
      </c>
      <c r="BD69" s="711">
        <f t="shared" si="86"/>
        <v>0</v>
      </c>
      <c r="BE69" s="712">
        <f t="shared" si="86"/>
        <v>0</v>
      </c>
    </row>
    <row r="70" spans="2:58" x14ac:dyDescent="0.2">
      <c r="B70" s="1347"/>
      <c r="C70" s="700" t="str">
        <f t="shared" si="85"/>
        <v>PG2 - Übrige stationäre Produkte</v>
      </c>
      <c r="D70" s="792">
        <f t="shared" si="78"/>
        <v>0</v>
      </c>
      <c r="E70" s="738">
        <f>IFERROR(D70/ABS(D68),0)</f>
        <v>0</v>
      </c>
      <c r="F70" s="734">
        <f t="shared" si="79"/>
        <v>1</v>
      </c>
      <c r="G70" s="730">
        <f t="shared" si="87"/>
        <v>0</v>
      </c>
      <c r="H70" s="722">
        <f t="shared" si="87"/>
        <v>0</v>
      </c>
      <c r="I70" s="711">
        <f t="shared" si="86"/>
        <v>0</v>
      </c>
      <c r="J70" s="711">
        <f t="shared" si="86"/>
        <v>0</v>
      </c>
      <c r="K70" s="711">
        <f t="shared" si="86"/>
        <v>0</v>
      </c>
      <c r="L70" s="711">
        <f t="shared" si="86"/>
        <v>0</v>
      </c>
      <c r="M70" s="711">
        <f t="shared" si="86"/>
        <v>0</v>
      </c>
      <c r="N70" s="711">
        <f t="shared" si="86"/>
        <v>0</v>
      </c>
      <c r="O70" s="711">
        <f t="shared" si="86"/>
        <v>0</v>
      </c>
      <c r="P70" s="711">
        <f t="shared" si="86"/>
        <v>0</v>
      </c>
      <c r="Q70" s="711">
        <f t="shared" si="86"/>
        <v>0</v>
      </c>
      <c r="R70" s="711">
        <f t="shared" si="86"/>
        <v>0</v>
      </c>
      <c r="S70" s="711">
        <f t="shared" si="86"/>
        <v>0</v>
      </c>
      <c r="T70" s="711">
        <f t="shared" si="86"/>
        <v>0</v>
      </c>
      <c r="U70" s="711">
        <f t="shared" si="86"/>
        <v>0</v>
      </c>
      <c r="V70" s="711">
        <f t="shared" si="86"/>
        <v>0</v>
      </c>
      <c r="W70" s="711">
        <f t="shared" si="86"/>
        <v>0</v>
      </c>
      <c r="X70" s="711">
        <f t="shared" si="86"/>
        <v>0</v>
      </c>
      <c r="Y70" s="711">
        <f t="shared" si="86"/>
        <v>0</v>
      </c>
      <c r="Z70" s="711">
        <f t="shared" si="86"/>
        <v>0</v>
      </c>
      <c r="AA70" s="711">
        <f t="shared" si="86"/>
        <v>0</v>
      </c>
      <c r="AB70" s="711">
        <f t="shared" si="86"/>
        <v>0</v>
      </c>
      <c r="AC70" s="711">
        <f t="shared" si="86"/>
        <v>0</v>
      </c>
      <c r="AD70" s="711">
        <f t="shared" si="86"/>
        <v>0</v>
      </c>
      <c r="AE70" s="711">
        <f t="shared" si="86"/>
        <v>0</v>
      </c>
      <c r="AF70" s="711">
        <f t="shared" si="86"/>
        <v>0</v>
      </c>
      <c r="AG70" s="711">
        <f t="shared" si="86"/>
        <v>0</v>
      </c>
      <c r="AH70" s="711">
        <f t="shared" si="86"/>
        <v>0</v>
      </c>
      <c r="AI70" s="711">
        <f t="shared" si="86"/>
        <v>0</v>
      </c>
      <c r="AJ70" s="711">
        <f t="shared" si="86"/>
        <v>0</v>
      </c>
      <c r="AK70" s="711">
        <f t="shared" si="86"/>
        <v>0</v>
      </c>
      <c r="AL70" s="711">
        <f t="shared" si="86"/>
        <v>0</v>
      </c>
      <c r="AM70" s="711">
        <f t="shared" si="86"/>
        <v>0</v>
      </c>
      <c r="AN70" s="711">
        <f t="shared" si="86"/>
        <v>0</v>
      </c>
      <c r="AO70" s="711">
        <f t="shared" si="86"/>
        <v>0</v>
      </c>
      <c r="AP70" s="711">
        <f t="shared" si="86"/>
        <v>0</v>
      </c>
      <c r="AQ70" s="711">
        <f t="shared" si="86"/>
        <v>0</v>
      </c>
      <c r="AR70" s="711">
        <f t="shared" si="86"/>
        <v>0</v>
      </c>
      <c r="AS70" s="711">
        <f t="shared" si="86"/>
        <v>0</v>
      </c>
      <c r="AT70" s="711">
        <f t="shared" si="86"/>
        <v>0</v>
      </c>
      <c r="AU70" s="711">
        <f t="shared" si="86"/>
        <v>0</v>
      </c>
      <c r="AV70" s="711">
        <f t="shared" si="86"/>
        <v>0</v>
      </c>
      <c r="AW70" s="711">
        <f t="shared" si="86"/>
        <v>0</v>
      </c>
      <c r="AX70" s="711">
        <f t="shared" si="86"/>
        <v>0</v>
      </c>
      <c r="AY70" s="711">
        <f t="shared" si="86"/>
        <v>0</v>
      </c>
      <c r="AZ70" s="711">
        <f t="shared" si="86"/>
        <v>0</v>
      </c>
      <c r="BA70" s="711">
        <f t="shared" si="86"/>
        <v>0</v>
      </c>
      <c r="BB70" s="711">
        <f t="shared" si="86"/>
        <v>0</v>
      </c>
      <c r="BC70" s="711">
        <f t="shared" si="86"/>
        <v>0</v>
      </c>
      <c r="BD70" s="711">
        <f t="shared" si="86"/>
        <v>0</v>
      </c>
      <c r="BE70" s="712">
        <f t="shared" si="86"/>
        <v>0</v>
      </c>
    </row>
    <row r="71" spans="2:58" x14ac:dyDescent="0.2">
      <c r="B71" s="1347"/>
      <c r="C71" s="700" t="str">
        <f t="shared" si="85"/>
        <v>PG3 - Ambulante Produkte</v>
      </c>
      <c r="D71" s="792">
        <f t="shared" si="78"/>
        <v>0</v>
      </c>
      <c r="E71" s="738">
        <f>IFERROR(D71/ABS(D68),0)</f>
        <v>0</v>
      </c>
      <c r="F71" s="734">
        <f t="shared" si="79"/>
        <v>1</v>
      </c>
      <c r="G71" s="730">
        <f t="shared" si="87"/>
        <v>0</v>
      </c>
      <c r="H71" s="722">
        <f t="shared" si="87"/>
        <v>0</v>
      </c>
      <c r="I71" s="711">
        <f t="shared" si="86"/>
        <v>0</v>
      </c>
      <c r="J71" s="711">
        <f t="shared" si="86"/>
        <v>0</v>
      </c>
      <c r="K71" s="711">
        <f t="shared" si="86"/>
        <v>0</v>
      </c>
      <c r="L71" s="711">
        <f t="shared" si="86"/>
        <v>0</v>
      </c>
      <c r="M71" s="711">
        <f t="shared" si="86"/>
        <v>0</v>
      </c>
      <c r="N71" s="711">
        <f t="shared" si="86"/>
        <v>0</v>
      </c>
      <c r="O71" s="711">
        <f t="shared" si="86"/>
        <v>0</v>
      </c>
      <c r="P71" s="711">
        <f t="shared" si="86"/>
        <v>0</v>
      </c>
      <c r="Q71" s="711">
        <f t="shared" si="86"/>
        <v>0</v>
      </c>
      <c r="R71" s="711">
        <f t="shared" si="86"/>
        <v>0</v>
      </c>
      <c r="S71" s="711">
        <f t="shared" si="86"/>
        <v>0</v>
      </c>
      <c r="T71" s="711">
        <f t="shared" si="86"/>
        <v>0</v>
      </c>
      <c r="U71" s="711">
        <f t="shared" si="86"/>
        <v>0</v>
      </c>
      <c r="V71" s="711">
        <f t="shared" si="86"/>
        <v>0</v>
      </c>
      <c r="W71" s="711">
        <f t="shared" si="86"/>
        <v>0</v>
      </c>
      <c r="X71" s="711">
        <f t="shared" si="86"/>
        <v>0</v>
      </c>
      <c r="Y71" s="711">
        <f t="shared" si="86"/>
        <v>0</v>
      </c>
      <c r="Z71" s="711">
        <f t="shared" si="86"/>
        <v>0</v>
      </c>
      <c r="AA71" s="711">
        <f t="shared" si="86"/>
        <v>0</v>
      </c>
      <c r="AB71" s="711">
        <f t="shared" si="86"/>
        <v>0</v>
      </c>
      <c r="AC71" s="711">
        <f t="shared" si="86"/>
        <v>0</v>
      </c>
      <c r="AD71" s="711">
        <f t="shared" si="86"/>
        <v>0</v>
      </c>
      <c r="AE71" s="711">
        <f t="shared" si="86"/>
        <v>0</v>
      </c>
      <c r="AF71" s="711">
        <f t="shared" si="86"/>
        <v>0</v>
      </c>
      <c r="AG71" s="711">
        <f t="shared" si="86"/>
        <v>0</v>
      </c>
      <c r="AH71" s="711">
        <f t="shared" si="86"/>
        <v>0</v>
      </c>
      <c r="AI71" s="711">
        <f t="shared" si="86"/>
        <v>0</v>
      </c>
      <c r="AJ71" s="711">
        <f t="shared" si="86"/>
        <v>0</v>
      </c>
      <c r="AK71" s="711">
        <f t="shared" si="86"/>
        <v>0</v>
      </c>
      <c r="AL71" s="711">
        <f t="shared" si="86"/>
        <v>0</v>
      </c>
      <c r="AM71" s="711">
        <f t="shared" si="86"/>
        <v>0</v>
      </c>
      <c r="AN71" s="711">
        <f t="shared" si="86"/>
        <v>0</v>
      </c>
      <c r="AO71" s="711">
        <f t="shared" si="86"/>
        <v>0</v>
      </c>
      <c r="AP71" s="711">
        <f t="shared" si="86"/>
        <v>0</v>
      </c>
      <c r="AQ71" s="711">
        <f t="shared" si="86"/>
        <v>0</v>
      </c>
      <c r="AR71" s="711">
        <f t="shared" si="86"/>
        <v>0</v>
      </c>
      <c r="AS71" s="711">
        <f t="shared" si="86"/>
        <v>0</v>
      </c>
      <c r="AT71" s="711">
        <f t="shared" si="86"/>
        <v>0</v>
      </c>
      <c r="AU71" s="711">
        <f t="shared" si="86"/>
        <v>0</v>
      </c>
      <c r="AV71" s="711">
        <f t="shared" si="86"/>
        <v>0</v>
      </c>
      <c r="AW71" s="711">
        <f t="shared" si="86"/>
        <v>0</v>
      </c>
      <c r="AX71" s="711">
        <f t="shared" si="86"/>
        <v>0</v>
      </c>
      <c r="AY71" s="711">
        <f t="shared" si="86"/>
        <v>0</v>
      </c>
      <c r="AZ71" s="711">
        <f t="shared" si="86"/>
        <v>0</v>
      </c>
      <c r="BA71" s="711">
        <f t="shared" si="86"/>
        <v>0</v>
      </c>
      <c r="BB71" s="711">
        <f t="shared" si="86"/>
        <v>0</v>
      </c>
      <c r="BC71" s="711">
        <f t="shared" si="86"/>
        <v>0</v>
      </c>
      <c r="BD71" s="711">
        <f t="shared" si="86"/>
        <v>0</v>
      </c>
      <c r="BE71" s="712">
        <f t="shared" si="86"/>
        <v>0</v>
      </c>
    </row>
    <row r="72" spans="2:58" x14ac:dyDescent="0.2">
      <c r="B72" s="1347"/>
      <c r="C72" s="700" t="str">
        <f t="shared" si="85"/>
        <v>PG4 - Langzeitpflege</v>
      </c>
      <c r="D72" s="792">
        <f t="shared" si="78"/>
        <v>0</v>
      </c>
      <c r="E72" s="738">
        <f>IFERROR(D72/ABS(D68),0)</f>
        <v>0</v>
      </c>
      <c r="F72" s="734">
        <f t="shared" si="79"/>
        <v>1</v>
      </c>
      <c r="G72" s="730">
        <f t="shared" si="87"/>
        <v>0</v>
      </c>
      <c r="H72" s="722">
        <f t="shared" si="87"/>
        <v>0</v>
      </c>
      <c r="I72" s="711">
        <f t="shared" si="86"/>
        <v>0</v>
      </c>
      <c r="J72" s="711">
        <f t="shared" si="86"/>
        <v>0</v>
      </c>
      <c r="K72" s="711">
        <f t="shared" si="86"/>
        <v>0</v>
      </c>
      <c r="L72" s="711">
        <f t="shared" si="86"/>
        <v>0</v>
      </c>
      <c r="M72" s="711">
        <f t="shared" si="86"/>
        <v>0</v>
      </c>
      <c r="N72" s="711">
        <f t="shared" si="86"/>
        <v>0</v>
      </c>
      <c r="O72" s="711">
        <f t="shared" si="86"/>
        <v>0</v>
      </c>
      <c r="P72" s="711">
        <f t="shared" si="86"/>
        <v>0</v>
      </c>
      <c r="Q72" s="711">
        <f t="shared" si="86"/>
        <v>0</v>
      </c>
      <c r="R72" s="711">
        <f t="shared" si="86"/>
        <v>0</v>
      </c>
      <c r="S72" s="711">
        <f t="shared" si="86"/>
        <v>0</v>
      </c>
      <c r="T72" s="711">
        <f t="shared" si="86"/>
        <v>0</v>
      </c>
      <c r="U72" s="711">
        <f t="shared" si="86"/>
        <v>0</v>
      </c>
      <c r="V72" s="711">
        <f t="shared" si="86"/>
        <v>0</v>
      </c>
      <c r="W72" s="711">
        <f t="shared" si="86"/>
        <v>0</v>
      </c>
      <c r="X72" s="711">
        <f t="shared" si="86"/>
        <v>0</v>
      </c>
      <c r="Y72" s="711">
        <f t="shared" si="86"/>
        <v>0</v>
      </c>
      <c r="Z72" s="711">
        <f t="shared" si="86"/>
        <v>0</v>
      </c>
      <c r="AA72" s="711">
        <f t="shared" si="86"/>
        <v>0</v>
      </c>
      <c r="AB72" s="711">
        <f t="shared" si="86"/>
        <v>0</v>
      </c>
      <c r="AC72" s="711">
        <f t="shared" si="86"/>
        <v>0</v>
      </c>
      <c r="AD72" s="711">
        <f t="shared" si="86"/>
        <v>0</v>
      </c>
      <c r="AE72" s="711">
        <f t="shared" si="86"/>
        <v>0</v>
      </c>
      <c r="AF72" s="711">
        <f t="shared" si="86"/>
        <v>0</v>
      </c>
      <c r="AG72" s="711">
        <f t="shared" si="86"/>
        <v>0</v>
      </c>
      <c r="AH72" s="711">
        <f t="shared" si="86"/>
        <v>0</v>
      </c>
      <c r="AI72" s="711">
        <f t="shared" si="86"/>
        <v>0</v>
      </c>
      <c r="AJ72" s="711">
        <f t="shared" si="86"/>
        <v>0</v>
      </c>
      <c r="AK72" s="711">
        <f t="shared" si="86"/>
        <v>0</v>
      </c>
      <c r="AL72" s="711">
        <f t="shared" si="86"/>
        <v>0</v>
      </c>
      <c r="AM72" s="711">
        <f t="shared" si="86"/>
        <v>0</v>
      </c>
      <c r="AN72" s="711">
        <f t="shared" si="86"/>
        <v>0</v>
      </c>
      <c r="AO72" s="711">
        <f t="shared" si="86"/>
        <v>0</v>
      </c>
      <c r="AP72" s="711">
        <f t="shared" si="86"/>
        <v>0</v>
      </c>
      <c r="AQ72" s="711">
        <f t="shared" si="86"/>
        <v>0</v>
      </c>
      <c r="AR72" s="711">
        <f t="shared" si="86"/>
        <v>0</v>
      </c>
      <c r="AS72" s="711">
        <f t="shared" si="86"/>
        <v>0</v>
      </c>
      <c r="AT72" s="711">
        <f t="shared" si="86"/>
        <v>0</v>
      </c>
      <c r="AU72" s="711">
        <f t="shared" si="86"/>
        <v>0</v>
      </c>
      <c r="AV72" s="711">
        <f t="shared" si="86"/>
        <v>0</v>
      </c>
      <c r="AW72" s="711">
        <f t="shared" si="86"/>
        <v>0</v>
      </c>
      <c r="AX72" s="711">
        <f t="shared" si="86"/>
        <v>0</v>
      </c>
      <c r="AY72" s="711">
        <f t="shared" si="86"/>
        <v>0</v>
      </c>
      <c r="AZ72" s="711">
        <f t="shared" si="86"/>
        <v>0</v>
      </c>
      <c r="BA72" s="711">
        <f t="shared" si="86"/>
        <v>0</v>
      </c>
      <c r="BB72" s="711">
        <f t="shared" si="86"/>
        <v>0</v>
      </c>
      <c r="BC72" s="711">
        <f t="shared" si="86"/>
        <v>0</v>
      </c>
      <c r="BD72" s="711">
        <f t="shared" si="86"/>
        <v>0</v>
      </c>
      <c r="BE72" s="712">
        <f t="shared" si="86"/>
        <v>0</v>
      </c>
    </row>
    <row r="73" spans="2:58" x14ac:dyDescent="0.2">
      <c r="B73" s="1348"/>
      <c r="C73" s="702" t="str">
        <f t="shared" si="85"/>
        <v>PG5 - Einzeltaggeldversicherung</v>
      </c>
      <c r="D73" s="794">
        <f t="shared" si="78"/>
        <v>0</v>
      </c>
      <c r="E73" s="739">
        <f>IFERROR(D73/ABS(D68),0)</f>
        <v>0</v>
      </c>
      <c r="F73" s="735">
        <f t="shared" si="79"/>
        <v>1</v>
      </c>
      <c r="G73" s="731">
        <f t="shared" si="87"/>
        <v>0</v>
      </c>
      <c r="H73" s="723">
        <f t="shared" si="87"/>
        <v>0</v>
      </c>
      <c r="I73" s="713">
        <f t="shared" si="86"/>
        <v>0</v>
      </c>
      <c r="J73" s="713">
        <f t="shared" si="86"/>
        <v>0</v>
      </c>
      <c r="K73" s="713">
        <f t="shared" si="86"/>
        <v>0</v>
      </c>
      <c r="L73" s="713">
        <f t="shared" si="86"/>
        <v>0</v>
      </c>
      <c r="M73" s="713">
        <f t="shared" si="86"/>
        <v>0</v>
      </c>
      <c r="N73" s="713">
        <f t="shared" si="86"/>
        <v>0</v>
      </c>
      <c r="O73" s="713">
        <f t="shared" si="86"/>
        <v>0</v>
      </c>
      <c r="P73" s="713">
        <f t="shared" si="86"/>
        <v>0</v>
      </c>
      <c r="Q73" s="713">
        <f t="shared" si="86"/>
        <v>0</v>
      </c>
      <c r="R73" s="713">
        <f t="shared" si="86"/>
        <v>0</v>
      </c>
      <c r="S73" s="713">
        <f t="shared" si="86"/>
        <v>0</v>
      </c>
      <c r="T73" s="713">
        <f t="shared" si="86"/>
        <v>0</v>
      </c>
      <c r="U73" s="713">
        <f t="shared" si="86"/>
        <v>0</v>
      </c>
      <c r="V73" s="713">
        <f t="shared" si="86"/>
        <v>0</v>
      </c>
      <c r="W73" s="713">
        <f t="shared" si="86"/>
        <v>0</v>
      </c>
      <c r="X73" s="713">
        <f t="shared" si="86"/>
        <v>0</v>
      </c>
      <c r="Y73" s="713">
        <f t="shared" si="86"/>
        <v>0</v>
      </c>
      <c r="Z73" s="713">
        <f t="shared" si="86"/>
        <v>0</v>
      </c>
      <c r="AA73" s="713">
        <f t="shared" si="86"/>
        <v>0</v>
      </c>
      <c r="AB73" s="713">
        <f t="shared" si="86"/>
        <v>0</v>
      </c>
      <c r="AC73" s="713">
        <f t="shared" si="86"/>
        <v>0</v>
      </c>
      <c r="AD73" s="713">
        <f t="shared" si="86"/>
        <v>0</v>
      </c>
      <c r="AE73" s="713">
        <f t="shared" si="86"/>
        <v>0</v>
      </c>
      <c r="AF73" s="713">
        <f t="shared" si="86"/>
        <v>0</v>
      </c>
      <c r="AG73" s="713">
        <f t="shared" si="86"/>
        <v>0</v>
      </c>
      <c r="AH73" s="713">
        <f t="shared" ref="AH73:BE73" si="88">AH61+AH67</f>
        <v>0</v>
      </c>
      <c r="AI73" s="713">
        <f t="shared" si="88"/>
        <v>0</v>
      </c>
      <c r="AJ73" s="713">
        <f t="shared" si="88"/>
        <v>0</v>
      </c>
      <c r="AK73" s="713">
        <f t="shared" si="88"/>
        <v>0</v>
      </c>
      <c r="AL73" s="713">
        <f t="shared" si="88"/>
        <v>0</v>
      </c>
      <c r="AM73" s="713">
        <f t="shared" si="88"/>
        <v>0</v>
      </c>
      <c r="AN73" s="713">
        <f t="shared" si="88"/>
        <v>0</v>
      </c>
      <c r="AO73" s="713">
        <f t="shared" si="88"/>
        <v>0</v>
      </c>
      <c r="AP73" s="713">
        <f t="shared" si="88"/>
        <v>0</v>
      </c>
      <c r="AQ73" s="713">
        <f t="shared" si="88"/>
        <v>0</v>
      </c>
      <c r="AR73" s="713">
        <f t="shared" si="88"/>
        <v>0</v>
      </c>
      <c r="AS73" s="713">
        <f t="shared" si="88"/>
        <v>0</v>
      </c>
      <c r="AT73" s="713">
        <f t="shared" si="88"/>
        <v>0</v>
      </c>
      <c r="AU73" s="713">
        <f t="shared" si="88"/>
        <v>0</v>
      </c>
      <c r="AV73" s="713">
        <f t="shared" si="88"/>
        <v>0</v>
      </c>
      <c r="AW73" s="713">
        <f t="shared" si="88"/>
        <v>0</v>
      </c>
      <c r="AX73" s="713">
        <f t="shared" si="88"/>
        <v>0</v>
      </c>
      <c r="AY73" s="713">
        <f t="shared" si="88"/>
        <v>0</v>
      </c>
      <c r="AZ73" s="713">
        <f t="shared" si="88"/>
        <v>0</v>
      </c>
      <c r="BA73" s="713">
        <f t="shared" si="88"/>
        <v>0</v>
      </c>
      <c r="BB73" s="713">
        <f t="shared" si="88"/>
        <v>0</v>
      </c>
      <c r="BC73" s="713">
        <f t="shared" si="88"/>
        <v>0</v>
      </c>
      <c r="BD73" s="713">
        <f t="shared" si="88"/>
        <v>0</v>
      </c>
      <c r="BE73" s="714">
        <f t="shared" si="88"/>
        <v>0</v>
      </c>
    </row>
    <row r="76" spans="2:58" x14ac:dyDescent="0.2">
      <c r="B76" s="229" t="str">
        <f>VLOOKUP("T.08.14",HE_label,2,FALSE)</f>
        <v>Risikobestand, pro Produktegruppe</v>
      </c>
    </row>
    <row r="77" spans="2:58" ht="14.25" customHeight="1" thickBot="1" x14ac:dyDescent="0.25">
      <c r="B77" s="267"/>
      <c r="C77" s="1340" t="str">
        <f>VLOOKUP("T.08.15",HE_label,2,FALSE)</f>
        <v>Anzahl Verträge (zwei Produkte zählen als zwei Verträge)</v>
      </c>
      <c r="D77" s="768" t="str">
        <f>VLOOKUP("T.08.16",HE_label,2,FALSE)</f>
        <v>Kennzahlen pro Vertrag (bestehendes Geschäft)</v>
      </c>
      <c r="E77" s="696"/>
      <c r="F77" s="697"/>
      <c r="G77" s="769" t="str">
        <f>VLOOKUP("T.08.17",HE_label,2,FALSE)</f>
        <v>Anfangsbestand (bestehendes Geschäft) und Durchschnittsbestand pro Abwicklungsjahr</v>
      </c>
      <c r="H77" s="695"/>
      <c r="I77" s="695"/>
      <c r="J77" s="695"/>
      <c r="K77" s="695"/>
      <c r="L77" s="695"/>
      <c r="M77" s="695"/>
      <c r="N77" s="695"/>
      <c r="O77" s="695"/>
      <c r="P77" s="695"/>
      <c r="Q77" s="695"/>
      <c r="R77" s="695"/>
      <c r="S77" s="695"/>
      <c r="T77" s="695"/>
      <c r="U77" s="695"/>
      <c r="V77" s="695"/>
      <c r="W77" s="695"/>
      <c r="X77" s="695"/>
      <c r="Y77" s="695"/>
      <c r="Z77" s="695"/>
      <c r="AA77" s="695"/>
      <c r="AB77" s="695"/>
      <c r="AC77" s="695"/>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row>
    <row r="78" spans="2:58" s="225" customFormat="1" ht="27.75" customHeight="1" thickTop="1" x14ac:dyDescent="0.2">
      <c r="B78" s="725"/>
      <c r="C78" s="1340" t="str">
        <f>VLOOKUP("T.08.14",HE_label,2,FALSE)</f>
        <v>Risikobestand, pro Produktegruppe</v>
      </c>
      <c r="D78" s="1349" t="str">
        <f>VLOOKUP("T.08.16a",HE_label,2,FALSE)</f>
        <v xml:space="preserve"> Best-Estimate-Gewinn pro Vertrag, in CHF</v>
      </c>
      <c r="E78" s="1342" t="str">
        <f>VLOOKUP("T.08.16b",HE_label,2,FALSE)</f>
        <v>Durchschnittsdauer eines Vertrages, in Jahren</v>
      </c>
      <c r="F78" s="1344" t="str">
        <f>VLOOKUP("T.08.16c",HE_label,2,FALSE)</f>
        <v>Anteil der PG an Total Verträge</v>
      </c>
      <c r="G78" s="435" t="str">
        <f>"31.12."&amp;HE_CY-1</f>
        <v>31.12.2024</v>
      </c>
      <c r="H78" s="285">
        <f>HE_CY</f>
        <v>2025</v>
      </c>
      <c r="I78" s="285">
        <f>H78+1</f>
        <v>2026</v>
      </c>
      <c r="J78" s="285">
        <f t="shared" ref="J78:BE78" si="89">I78+1</f>
        <v>2027</v>
      </c>
      <c r="K78" s="285">
        <f t="shared" si="89"/>
        <v>2028</v>
      </c>
      <c r="L78" s="285">
        <f t="shared" si="89"/>
        <v>2029</v>
      </c>
      <c r="M78" s="285">
        <f t="shared" si="89"/>
        <v>2030</v>
      </c>
      <c r="N78" s="285">
        <f t="shared" si="89"/>
        <v>2031</v>
      </c>
      <c r="O78" s="285">
        <f t="shared" si="89"/>
        <v>2032</v>
      </c>
      <c r="P78" s="285">
        <f t="shared" si="89"/>
        <v>2033</v>
      </c>
      <c r="Q78" s="285">
        <f t="shared" si="89"/>
        <v>2034</v>
      </c>
      <c r="R78" s="285">
        <f t="shared" si="89"/>
        <v>2035</v>
      </c>
      <c r="S78" s="285">
        <f t="shared" si="89"/>
        <v>2036</v>
      </c>
      <c r="T78" s="285">
        <f t="shared" si="89"/>
        <v>2037</v>
      </c>
      <c r="U78" s="285">
        <f t="shared" si="89"/>
        <v>2038</v>
      </c>
      <c r="V78" s="285">
        <f t="shared" si="89"/>
        <v>2039</v>
      </c>
      <c r="W78" s="285">
        <f t="shared" si="89"/>
        <v>2040</v>
      </c>
      <c r="X78" s="285">
        <f t="shared" si="89"/>
        <v>2041</v>
      </c>
      <c r="Y78" s="285">
        <f t="shared" si="89"/>
        <v>2042</v>
      </c>
      <c r="Z78" s="285">
        <f t="shared" si="89"/>
        <v>2043</v>
      </c>
      <c r="AA78" s="285">
        <f t="shared" si="89"/>
        <v>2044</v>
      </c>
      <c r="AB78" s="285">
        <f t="shared" si="89"/>
        <v>2045</v>
      </c>
      <c r="AC78" s="285">
        <f t="shared" si="89"/>
        <v>2046</v>
      </c>
      <c r="AD78" s="285">
        <f t="shared" si="89"/>
        <v>2047</v>
      </c>
      <c r="AE78" s="285">
        <f t="shared" si="89"/>
        <v>2048</v>
      </c>
      <c r="AF78" s="285">
        <f t="shared" si="89"/>
        <v>2049</v>
      </c>
      <c r="AG78" s="285">
        <f t="shared" si="89"/>
        <v>2050</v>
      </c>
      <c r="AH78" s="285">
        <f t="shared" si="89"/>
        <v>2051</v>
      </c>
      <c r="AI78" s="285">
        <f t="shared" si="89"/>
        <v>2052</v>
      </c>
      <c r="AJ78" s="285">
        <f t="shared" si="89"/>
        <v>2053</v>
      </c>
      <c r="AK78" s="285">
        <f t="shared" si="89"/>
        <v>2054</v>
      </c>
      <c r="AL78" s="285">
        <f t="shared" si="89"/>
        <v>2055</v>
      </c>
      <c r="AM78" s="285">
        <f t="shared" si="89"/>
        <v>2056</v>
      </c>
      <c r="AN78" s="285">
        <f t="shared" si="89"/>
        <v>2057</v>
      </c>
      <c r="AO78" s="285">
        <f t="shared" si="89"/>
        <v>2058</v>
      </c>
      <c r="AP78" s="285">
        <f t="shared" si="89"/>
        <v>2059</v>
      </c>
      <c r="AQ78" s="285">
        <f t="shared" si="89"/>
        <v>2060</v>
      </c>
      <c r="AR78" s="285">
        <f t="shared" si="89"/>
        <v>2061</v>
      </c>
      <c r="AS78" s="285">
        <f t="shared" si="89"/>
        <v>2062</v>
      </c>
      <c r="AT78" s="285">
        <f t="shared" si="89"/>
        <v>2063</v>
      </c>
      <c r="AU78" s="285">
        <f t="shared" si="89"/>
        <v>2064</v>
      </c>
      <c r="AV78" s="285">
        <f t="shared" si="89"/>
        <v>2065</v>
      </c>
      <c r="AW78" s="285">
        <f t="shared" si="89"/>
        <v>2066</v>
      </c>
      <c r="AX78" s="285">
        <f t="shared" si="89"/>
        <v>2067</v>
      </c>
      <c r="AY78" s="285">
        <f t="shared" si="89"/>
        <v>2068</v>
      </c>
      <c r="AZ78" s="285">
        <f t="shared" si="89"/>
        <v>2069</v>
      </c>
      <c r="BA78" s="285">
        <f t="shared" si="89"/>
        <v>2070</v>
      </c>
      <c r="BB78" s="285">
        <f t="shared" si="89"/>
        <v>2071</v>
      </c>
      <c r="BC78" s="285">
        <f t="shared" si="89"/>
        <v>2072</v>
      </c>
      <c r="BD78" s="285">
        <f t="shared" si="89"/>
        <v>2073</v>
      </c>
      <c r="BE78" s="431">
        <f t="shared" si="89"/>
        <v>2074</v>
      </c>
    </row>
    <row r="79" spans="2:58" s="225" customFormat="1" ht="24.75" customHeight="1" x14ac:dyDescent="0.2">
      <c r="B79" s="725"/>
      <c r="C79" s="1341" t="str">
        <f>VLOOKUP("T.08.14",HE_label,2,FALSE)</f>
        <v>Risikobestand, pro Produktegruppe</v>
      </c>
      <c r="D79" s="1350" t="str">
        <f>VLOOKUP("T.08.16",HE_label,2,FALSE)</f>
        <v>Kennzahlen pro Vertrag (bestehendes Geschäft)</v>
      </c>
      <c r="E79" s="1343" t="str">
        <f>VLOOKUP("T.08.16",HE_label,2,FALSE)</f>
        <v>Kennzahlen pro Vertrag (bestehendes Geschäft)</v>
      </c>
      <c r="F79" s="1345" t="str">
        <f>VLOOKUP("T.08.16",HE_label,2,FALSE)</f>
        <v>Kennzahlen pro Vertrag (bestehendes Geschäft)</v>
      </c>
      <c r="G79" s="435">
        <v>0</v>
      </c>
      <c r="H79" s="285">
        <v>1</v>
      </c>
      <c r="I79" s="285">
        <v>2</v>
      </c>
      <c r="J79" s="285">
        <v>3</v>
      </c>
      <c r="K79" s="285">
        <v>4</v>
      </c>
      <c r="L79" s="285">
        <v>5</v>
      </c>
      <c r="M79" s="285">
        <v>6</v>
      </c>
      <c r="N79" s="285">
        <v>7</v>
      </c>
      <c r="O79" s="285">
        <v>8</v>
      </c>
      <c r="P79" s="285">
        <v>9</v>
      </c>
      <c r="Q79" s="285">
        <v>10</v>
      </c>
      <c r="R79" s="285">
        <v>11</v>
      </c>
      <c r="S79" s="285">
        <v>12</v>
      </c>
      <c r="T79" s="285">
        <v>13</v>
      </c>
      <c r="U79" s="285">
        <v>14</v>
      </c>
      <c r="V79" s="285">
        <v>15</v>
      </c>
      <c r="W79" s="285">
        <v>16</v>
      </c>
      <c r="X79" s="285">
        <v>17</v>
      </c>
      <c r="Y79" s="285">
        <v>18</v>
      </c>
      <c r="Z79" s="285">
        <v>19</v>
      </c>
      <c r="AA79" s="285">
        <v>20</v>
      </c>
      <c r="AB79" s="285">
        <v>21</v>
      </c>
      <c r="AC79" s="285">
        <v>22</v>
      </c>
      <c r="AD79" s="285">
        <v>23</v>
      </c>
      <c r="AE79" s="285">
        <v>24</v>
      </c>
      <c r="AF79" s="285">
        <v>25</v>
      </c>
      <c r="AG79" s="285">
        <v>26</v>
      </c>
      <c r="AH79" s="285">
        <v>27</v>
      </c>
      <c r="AI79" s="285">
        <v>28</v>
      </c>
      <c r="AJ79" s="285">
        <v>29</v>
      </c>
      <c r="AK79" s="285">
        <v>30</v>
      </c>
      <c r="AL79" s="285">
        <v>31</v>
      </c>
      <c r="AM79" s="285">
        <v>32</v>
      </c>
      <c r="AN79" s="285">
        <v>33</v>
      </c>
      <c r="AO79" s="285">
        <v>34</v>
      </c>
      <c r="AP79" s="285">
        <v>35</v>
      </c>
      <c r="AQ79" s="285">
        <v>36</v>
      </c>
      <c r="AR79" s="285">
        <v>37</v>
      </c>
      <c r="AS79" s="285">
        <v>38</v>
      </c>
      <c r="AT79" s="285">
        <v>39</v>
      </c>
      <c r="AU79" s="285">
        <v>40</v>
      </c>
      <c r="AV79" s="285">
        <v>41</v>
      </c>
      <c r="AW79" s="285">
        <v>42</v>
      </c>
      <c r="AX79" s="285">
        <v>43</v>
      </c>
      <c r="AY79" s="285">
        <v>44</v>
      </c>
      <c r="AZ79" s="285">
        <v>45</v>
      </c>
      <c r="BA79" s="285">
        <v>46</v>
      </c>
      <c r="BB79" s="285">
        <v>47</v>
      </c>
      <c r="BC79" s="285">
        <v>48</v>
      </c>
      <c r="BD79" s="285">
        <v>49</v>
      </c>
      <c r="BE79" s="431">
        <v>50</v>
      </c>
      <c r="BF79" s="778">
        <v>51</v>
      </c>
    </row>
    <row r="80" spans="2:58" x14ac:dyDescent="0.2">
      <c r="B80" s="1334" t="str">
        <f>B14</f>
        <v>LZV-R-Tool</v>
      </c>
      <c r="C80" s="700" t="str">
        <f>HE_PGTot_label</f>
        <v>Total fünf Produktegruppen</v>
      </c>
      <c r="D80" s="717">
        <f t="shared" ref="D80:D86" si="90">IFERROR(D56/G80,0)</f>
        <v>0</v>
      </c>
      <c r="E80" s="762" cm="1">
        <f t="array" ref="E80">IFERROR(MMULT($H$79:$BF$79,TRANSPOSE((G80:BE80)-(H80:BF80)))/G80,0)</f>
        <v>0</v>
      </c>
      <c r="F80" s="770">
        <f>IFERROR(G80/G80,0)</f>
        <v>0</v>
      </c>
      <c r="G80" s="729">
        <f t="shared" ref="G80:BE80" si="91">IFERROR(SUM(G81:G85),0)</f>
        <v>0</v>
      </c>
      <c r="H80" s="724">
        <f t="shared" si="91"/>
        <v>0</v>
      </c>
      <c r="I80" s="724">
        <f t="shared" si="91"/>
        <v>0</v>
      </c>
      <c r="J80" s="724">
        <f t="shared" si="91"/>
        <v>0</v>
      </c>
      <c r="K80" s="724">
        <f t="shared" si="91"/>
        <v>0</v>
      </c>
      <c r="L80" s="724">
        <f t="shared" si="91"/>
        <v>0</v>
      </c>
      <c r="M80" s="724">
        <f t="shared" si="91"/>
        <v>0</v>
      </c>
      <c r="N80" s="724">
        <f t="shared" si="91"/>
        <v>0</v>
      </c>
      <c r="O80" s="724">
        <f t="shared" si="91"/>
        <v>0</v>
      </c>
      <c r="P80" s="724">
        <f t="shared" si="91"/>
        <v>0</v>
      </c>
      <c r="Q80" s="724">
        <f t="shared" si="91"/>
        <v>0</v>
      </c>
      <c r="R80" s="724">
        <f t="shared" si="91"/>
        <v>0</v>
      </c>
      <c r="S80" s="724">
        <f t="shared" si="91"/>
        <v>0</v>
      </c>
      <c r="T80" s="724">
        <f t="shared" si="91"/>
        <v>0</v>
      </c>
      <c r="U80" s="724">
        <f t="shared" si="91"/>
        <v>0</v>
      </c>
      <c r="V80" s="724">
        <f t="shared" si="91"/>
        <v>0</v>
      </c>
      <c r="W80" s="724">
        <f t="shared" si="91"/>
        <v>0</v>
      </c>
      <c r="X80" s="724">
        <f t="shared" si="91"/>
        <v>0</v>
      </c>
      <c r="Y80" s="724">
        <f t="shared" si="91"/>
        <v>0</v>
      </c>
      <c r="Z80" s="724">
        <f t="shared" si="91"/>
        <v>0</v>
      </c>
      <c r="AA80" s="724">
        <f t="shared" si="91"/>
        <v>0</v>
      </c>
      <c r="AB80" s="724">
        <f t="shared" si="91"/>
        <v>0</v>
      </c>
      <c r="AC80" s="724">
        <f t="shared" si="91"/>
        <v>0</v>
      </c>
      <c r="AD80" s="724">
        <f t="shared" si="91"/>
        <v>0</v>
      </c>
      <c r="AE80" s="724">
        <f t="shared" si="91"/>
        <v>0</v>
      </c>
      <c r="AF80" s="724">
        <f t="shared" si="91"/>
        <v>0</v>
      </c>
      <c r="AG80" s="724">
        <f t="shared" si="91"/>
        <v>0</v>
      </c>
      <c r="AH80" s="724">
        <f t="shared" si="91"/>
        <v>0</v>
      </c>
      <c r="AI80" s="724">
        <f t="shared" si="91"/>
        <v>0</v>
      </c>
      <c r="AJ80" s="724">
        <f t="shared" si="91"/>
        <v>0</v>
      </c>
      <c r="AK80" s="724">
        <f t="shared" si="91"/>
        <v>0</v>
      </c>
      <c r="AL80" s="724">
        <f t="shared" si="91"/>
        <v>0</v>
      </c>
      <c r="AM80" s="724">
        <f t="shared" si="91"/>
        <v>0</v>
      </c>
      <c r="AN80" s="724">
        <f t="shared" si="91"/>
        <v>0</v>
      </c>
      <c r="AO80" s="724">
        <f t="shared" si="91"/>
        <v>0</v>
      </c>
      <c r="AP80" s="724">
        <f t="shared" si="91"/>
        <v>0</v>
      </c>
      <c r="AQ80" s="724">
        <f t="shared" si="91"/>
        <v>0</v>
      </c>
      <c r="AR80" s="724">
        <f t="shared" si="91"/>
        <v>0</v>
      </c>
      <c r="AS80" s="724">
        <f t="shared" si="91"/>
        <v>0</v>
      </c>
      <c r="AT80" s="724">
        <f t="shared" si="91"/>
        <v>0</v>
      </c>
      <c r="AU80" s="724">
        <f t="shared" si="91"/>
        <v>0</v>
      </c>
      <c r="AV80" s="724">
        <f t="shared" si="91"/>
        <v>0</v>
      </c>
      <c r="AW80" s="724">
        <f t="shared" si="91"/>
        <v>0</v>
      </c>
      <c r="AX80" s="724">
        <f t="shared" si="91"/>
        <v>0</v>
      </c>
      <c r="AY80" s="724">
        <f t="shared" si="91"/>
        <v>0</v>
      </c>
      <c r="AZ80" s="724">
        <f t="shared" si="91"/>
        <v>0</v>
      </c>
      <c r="BA80" s="724">
        <f t="shared" si="91"/>
        <v>0</v>
      </c>
      <c r="BB80" s="724">
        <f t="shared" si="91"/>
        <v>0</v>
      </c>
      <c r="BC80" s="724">
        <f t="shared" si="91"/>
        <v>0</v>
      </c>
      <c r="BD80" s="724">
        <f t="shared" si="91"/>
        <v>0</v>
      </c>
      <c r="BE80" s="724">
        <f t="shared" si="91"/>
        <v>0</v>
      </c>
      <c r="BF80" s="779">
        <v>0</v>
      </c>
    </row>
    <row r="81" spans="2:58" x14ac:dyDescent="0.2">
      <c r="B81" s="1335"/>
      <c r="C81" s="700" t="str">
        <f>HE_PG1_label</f>
        <v>PG1 - Stationäre Produkte Halbprivat, Privat und Flex</v>
      </c>
      <c r="D81" s="718">
        <f t="shared" si="90"/>
        <v>0</v>
      </c>
      <c r="E81" s="763" cm="1">
        <f t="array" ref="E81">IFERROR(MMULT($H$79:$BF$79,TRANSPOSE((G81:BE81)-(H81:BF81)))/G81,0)</f>
        <v>0</v>
      </c>
      <c r="F81" s="771">
        <f>IFERROR(G81/G80,0)</f>
        <v>0</v>
      </c>
      <c r="G81" s="774"/>
      <c r="H81" s="727"/>
      <c r="I81" s="703"/>
      <c r="J81" s="703"/>
      <c r="K81" s="703"/>
      <c r="L81" s="703"/>
      <c r="M81" s="703"/>
      <c r="N81" s="703"/>
      <c r="O81" s="703"/>
      <c r="P81" s="703"/>
      <c r="Q81" s="703"/>
      <c r="R81" s="703"/>
      <c r="S81" s="703"/>
      <c r="T81" s="703"/>
      <c r="U81" s="703"/>
      <c r="V81" s="703"/>
      <c r="W81" s="703"/>
      <c r="X81" s="703"/>
      <c r="Y81" s="703"/>
      <c r="Z81" s="703"/>
      <c r="AA81" s="703"/>
      <c r="AB81" s="703"/>
      <c r="AC81" s="703"/>
      <c r="AD81" s="703"/>
      <c r="AE81" s="703"/>
      <c r="AF81" s="703"/>
      <c r="AG81" s="703"/>
      <c r="AH81" s="703"/>
      <c r="AI81" s="703"/>
      <c r="AJ81" s="703"/>
      <c r="AK81" s="703"/>
      <c r="AL81" s="703"/>
      <c r="AM81" s="703"/>
      <c r="AN81" s="703"/>
      <c r="AO81" s="703"/>
      <c r="AP81" s="703"/>
      <c r="AQ81" s="703"/>
      <c r="AR81" s="703"/>
      <c r="AS81" s="703"/>
      <c r="AT81" s="703"/>
      <c r="AU81" s="703"/>
      <c r="AV81" s="703"/>
      <c r="AW81" s="703"/>
      <c r="AX81" s="703"/>
      <c r="AY81" s="703"/>
      <c r="AZ81" s="703"/>
      <c r="BA81" s="703"/>
      <c r="BB81" s="703"/>
      <c r="BC81" s="703"/>
      <c r="BD81" s="703"/>
      <c r="BE81" s="703"/>
      <c r="BF81" s="779">
        <v>0</v>
      </c>
    </row>
    <row r="82" spans="2:58" x14ac:dyDescent="0.2">
      <c r="B82" s="1335"/>
      <c r="C82" s="700" t="str">
        <f>HE_PG2_label</f>
        <v>PG2 - Übrige stationäre Produkte</v>
      </c>
      <c r="D82" s="718">
        <f t="shared" si="90"/>
        <v>0</v>
      </c>
      <c r="E82" s="763" cm="1">
        <f t="array" ref="E82">IFERROR(MMULT($H$79:$BF$79,TRANSPOSE((G82:BE82)-(H82:BF82)))/G82,0)</f>
        <v>0</v>
      </c>
      <c r="F82" s="771">
        <f>IFERROR(G82/G80,0)</f>
        <v>0</v>
      </c>
      <c r="G82" s="774"/>
      <c r="H82" s="727"/>
      <c r="I82" s="703"/>
      <c r="J82" s="703"/>
      <c r="K82" s="703"/>
      <c r="L82" s="703"/>
      <c r="M82" s="703"/>
      <c r="N82" s="703"/>
      <c r="O82" s="703"/>
      <c r="P82" s="703"/>
      <c r="Q82" s="703"/>
      <c r="R82" s="703"/>
      <c r="S82" s="703"/>
      <c r="T82" s="703"/>
      <c r="U82" s="703"/>
      <c r="V82" s="703"/>
      <c r="W82" s="703"/>
      <c r="X82" s="703"/>
      <c r="Y82" s="703"/>
      <c r="Z82" s="703"/>
      <c r="AA82" s="703"/>
      <c r="AB82" s="703"/>
      <c r="AC82" s="703"/>
      <c r="AD82" s="703"/>
      <c r="AE82" s="703"/>
      <c r="AF82" s="703"/>
      <c r="AG82" s="703"/>
      <c r="AH82" s="703"/>
      <c r="AI82" s="703"/>
      <c r="AJ82" s="703"/>
      <c r="AK82" s="703"/>
      <c r="AL82" s="703"/>
      <c r="AM82" s="703"/>
      <c r="AN82" s="703"/>
      <c r="AO82" s="703"/>
      <c r="AP82" s="703"/>
      <c r="AQ82" s="703"/>
      <c r="AR82" s="703"/>
      <c r="AS82" s="703"/>
      <c r="AT82" s="703"/>
      <c r="AU82" s="703"/>
      <c r="AV82" s="703"/>
      <c r="AW82" s="703"/>
      <c r="AX82" s="703"/>
      <c r="AY82" s="703"/>
      <c r="AZ82" s="703"/>
      <c r="BA82" s="703"/>
      <c r="BB82" s="703"/>
      <c r="BC82" s="703"/>
      <c r="BD82" s="703"/>
      <c r="BE82" s="703"/>
      <c r="BF82" s="779">
        <v>0</v>
      </c>
    </row>
    <row r="83" spans="2:58" x14ac:dyDescent="0.2">
      <c r="B83" s="1335"/>
      <c r="C83" s="700" t="str">
        <f>HE_PG3_label</f>
        <v>PG3 - Ambulante Produkte</v>
      </c>
      <c r="D83" s="718">
        <f t="shared" si="90"/>
        <v>0</v>
      </c>
      <c r="E83" s="763" cm="1">
        <f t="array" ref="E83">IFERROR(MMULT($H$79:$BF$79,TRANSPOSE((G83:BE83)-(H83:BF83)))/G83,0)</f>
        <v>0</v>
      </c>
      <c r="F83" s="771">
        <f>IFERROR(G83/G80,0)</f>
        <v>0</v>
      </c>
      <c r="G83" s="774"/>
      <c r="H83" s="727"/>
      <c r="I83" s="703"/>
      <c r="J83" s="703"/>
      <c r="K83" s="703"/>
      <c r="L83" s="703"/>
      <c r="M83" s="703"/>
      <c r="N83" s="703"/>
      <c r="O83" s="703"/>
      <c r="P83" s="703"/>
      <c r="Q83" s="703"/>
      <c r="R83" s="703"/>
      <c r="S83" s="703"/>
      <c r="T83" s="703"/>
      <c r="U83" s="703"/>
      <c r="V83" s="703"/>
      <c r="W83" s="703"/>
      <c r="X83" s="703"/>
      <c r="Y83" s="703"/>
      <c r="Z83" s="703"/>
      <c r="AA83" s="703"/>
      <c r="AB83" s="703"/>
      <c r="AC83" s="703"/>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703"/>
      <c r="BB83" s="703"/>
      <c r="BC83" s="703"/>
      <c r="BD83" s="703"/>
      <c r="BE83" s="703"/>
      <c r="BF83" s="779">
        <v>0</v>
      </c>
    </row>
    <row r="84" spans="2:58" x14ac:dyDescent="0.2">
      <c r="B84" s="1335"/>
      <c r="C84" s="700" t="str">
        <f>HE_PG4_label</f>
        <v>PG4 - Langzeitpflege</v>
      </c>
      <c r="D84" s="718">
        <f t="shared" si="90"/>
        <v>0</v>
      </c>
      <c r="E84" s="763" cm="1">
        <f t="array" ref="E84">IFERROR(MMULT($H$79:$BF$79,TRANSPOSE((G84:BE84)-(H84:BF84)))/G84,0)</f>
        <v>0</v>
      </c>
      <c r="F84" s="771">
        <f>IFERROR(G84/G80,0)</f>
        <v>0</v>
      </c>
      <c r="G84" s="774"/>
      <c r="H84" s="727"/>
      <c r="I84" s="703"/>
      <c r="J84" s="703"/>
      <c r="K84" s="703"/>
      <c r="L84" s="703"/>
      <c r="M84" s="703"/>
      <c r="N84" s="703"/>
      <c r="O84" s="703"/>
      <c r="P84" s="703"/>
      <c r="Q84" s="703"/>
      <c r="R84" s="703"/>
      <c r="S84" s="703"/>
      <c r="T84" s="703"/>
      <c r="U84" s="703"/>
      <c r="V84" s="703"/>
      <c r="W84" s="703"/>
      <c r="X84" s="703"/>
      <c r="Y84" s="703"/>
      <c r="Z84" s="703"/>
      <c r="AA84" s="703"/>
      <c r="AB84" s="703"/>
      <c r="AC84" s="703"/>
      <c r="AD84" s="703"/>
      <c r="AE84" s="703"/>
      <c r="AF84" s="703"/>
      <c r="AG84" s="703"/>
      <c r="AH84" s="703"/>
      <c r="AI84" s="703"/>
      <c r="AJ84" s="703"/>
      <c r="AK84" s="703"/>
      <c r="AL84" s="703"/>
      <c r="AM84" s="703"/>
      <c r="AN84" s="703"/>
      <c r="AO84" s="703"/>
      <c r="AP84" s="703"/>
      <c r="AQ84" s="703"/>
      <c r="AR84" s="703"/>
      <c r="AS84" s="703"/>
      <c r="AT84" s="703"/>
      <c r="AU84" s="703"/>
      <c r="AV84" s="703"/>
      <c r="AW84" s="703"/>
      <c r="AX84" s="703"/>
      <c r="AY84" s="703"/>
      <c r="AZ84" s="703"/>
      <c r="BA84" s="703"/>
      <c r="BB84" s="703"/>
      <c r="BC84" s="703"/>
      <c r="BD84" s="703"/>
      <c r="BE84" s="703"/>
      <c r="BF84" s="779">
        <v>0</v>
      </c>
    </row>
    <row r="85" spans="2:58" x14ac:dyDescent="0.2">
      <c r="B85" s="1336"/>
      <c r="C85" s="702" t="str">
        <f>HE_PG5_label</f>
        <v>PG5 - Einzeltaggeldversicherung</v>
      </c>
      <c r="D85" s="719">
        <f t="shared" si="90"/>
        <v>0</v>
      </c>
      <c r="E85" s="764" cm="1">
        <f t="array" ref="E85">IFERROR(MMULT($H$79:$BF$79,TRANSPOSE((G85:BE85)-(H85:BF85)))/G85,0)</f>
        <v>0</v>
      </c>
      <c r="F85" s="772">
        <f>IFERROR(G85/G80,0)</f>
        <v>0</v>
      </c>
      <c r="G85" s="775"/>
      <c r="H85" s="728"/>
      <c r="I85" s="704"/>
      <c r="J85" s="704"/>
      <c r="K85" s="704"/>
      <c r="L85" s="704"/>
      <c r="M85" s="704"/>
      <c r="N85" s="704"/>
      <c r="O85" s="704"/>
      <c r="P85" s="704"/>
      <c r="Q85" s="704"/>
      <c r="R85" s="704"/>
      <c r="S85" s="704"/>
      <c r="T85" s="704"/>
      <c r="U85" s="704"/>
      <c r="V85" s="704"/>
      <c r="W85" s="704"/>
      <c r="X85" s="704"/>
      <c r="Y85" s="704"/>
      <c r="Z85" s="704"/>
      <c r="AA85" s="704"/>
      <c r="AB85" s="704"/>
      <c r="AC85" s="704"/>
      <c r="AD85" s="704"/>
      <c r="AE85" s="704"/>
      <c r="AF85" s="704"/>
      <c r="AG85" s="704"/>
      <c r="AH85" s="704"/>
      <c r="AI85" s="704"/>
      <c r="AJ85" s="704"/>
      <c r="AK85" s="704"/>
      <c r="AL85" s="704"/>
      <c r="AM85" s="704"/>
      <c r="AN85" s="704"/>
      <c r="AO85" s="704"/>
      <c r="AP85" s="704"/>
      <c r="AQ85" s="704"/>
      <c r="AR85" s="704"/>
      <c r="AS85" s="704"/>
      <c r="AT85" s="704"/>
      <c r="AU85" s="704"/>
      <c r="AV85" s="704"/>
      <c r="AW85" s="704"/>
      <c r="AX85" s="704"/>
      <c r="AY85" s="704"/>
      <c r="AZ85" s="704"/>
      <c r="BA85" s="704"/>
      <c r="BB85" s="704"/>
      <c r="BC85" s="704"/>
      <c r="BD85" s="704"/>
      <c r="BE85" s="704"/>
      <c r="BF85" s="779">
        <v>0</v>
      </c>
    </row>
    <row r="86" spans="2:58" x14ac:dyDescent="0.2">
      <c r="B86" s="1337" t="str">
        <f>B18</f>
        <v>Alternative Berechnung</v>
      </c>
      <c r="C86" s="701" t="str">
        <f t="shared" ref="C86:C91" si="92">C80</f>
        <v>Total fünf Produktegruppen</v>
      </c>
      <c r="D86" s="720">
        <f t="shared" si="90"/>
        <v>0</v>
      </c>
      <c r="E86" s="765" cm="1">
        <f t="array" ref="E86">IFERROR(MMULT($H$79:$BF$79,TRANSPOSE((G86:BE86)-(H86:BF86)))/G86,0)</f>
        <v>0</v>
      </c>
      <c r="F86" s="770">
        <f>IFERROR(G86/G86,0)</f>
        <v>0</v>
      </c>
      <c r="G86" s="732">
        <f>IFERROR(SUM(G87:G91),0)</f>
        <v>0</v>
      </c>
      <c r="H86" s="724">
        <f>IFERROR(SUM(H87:H91),0)</f>
        <v>0</v>
      </c>
      <c r="I86" s="709">
        <f t="shared" ref="I86:BE86" si="93">IFERROR(SUM(I87:I91),0)</f>
        <v>0</v>
      </c>
      <c r="J86" s="709">
        <f t="shared" si="93"/>
        <v>0</v>
      </c>
      <c r="K86" s="709">
        <f t="shared" si="93"/>
        <v>0</v>
      </c>
      <c r="L86" s="709">
        <f t="shared" si="93"/>
        <v>0</v>
      </c>
      <c r="M86" s="709">
        <f t="shared" si="93"/>
        <v>0</v>
      </c>
      <c r="N86" s="709">
        <f t="shared" si="93"/>
        <v>0</v>
      </c>
      <c r="O86" s="709">
        <f t="shared" si="93"/>
        <v>0</v>
      </c>
      <c r="P86" s="709">
        <f t="shared" si="93"/>
        <v>0</v>
      </c>
      <c r="Q86" s="709">
        <f t="shared" si="93"/>
        <v>0</v>
      </c>
      <c r="R86" s="709">
        <f t="shared" si="93"/>
        <v>0</v>
      </c>
      <c r="S86" s="709">
        <f t="shared" si="93"/>
        <v>0</v>
      </c>
      <c r="T86" s="709">
        <f t="shared" si="93"/>
        <v>0</v>
      </c>
      <c r="U86" s="709">
        <f t="shared" si="93"/>
        <v>0</v>
      </c>
      <c r="V86" s="709">
        <f t="shared" si="93"/>
        <v>0</v>
      </c>
      <c r="W86" s="709">
        <f t="shared" si="93"/>
        <v>0</v>
      </c>
      <c r="X86" s="709">
        <f t="shared" si="93"/>
        <v>0</v>
      </c>
      <c r="Y86" s="709">
        <f t="shared" si="93"/>
        <v>0</v>
      </c>
      <c r="Z86" s="709">
        <f t="shared" si="93"/>
        <v>0</v>
      </c>
      <c r="AA86" s="709">
        <f t="shared" si="93"/>
        <v>0</v>
      </c>
      <c r="AB86" s="709">
        <f t="shared" si="93"/>
        <v>0</v>
      </c>
      <c r="AC86" s="709">
        <f t="shared" si="93"/>
        <v>0</v>
      </c>
      <c r="AD86" s="709">
        <f t="shared" si="93"/>
        <v>0</v>
      </c>
      <c r="AE86" s="709">
        <f t="shared" si="93"/>
        <v>0</v>
      </c>
      <c r="AF86" s="709">
        <f t="shared" si="93"/>
        <v>0</v>
      </c>
      <c r="AG86" s="709">
        <f t="shared" si="93"/>
        <v>0</v>
      </c>
      <c r="AH86" s="709">
        <f t="shared" si="93"/>
        <v>0</v>
      </c>
      <c r="AI86" s="709">
        <f t="shared" si="93"/>
        <v>0</v>
      </c>
      <c r="AJ86" s="709">
        <f t="shared" si="93"/>
        <v>0</v>
      </c>
      <c r="AK86" s="709">
        <f t="shared" si="93"/>
        <v>0</v>
      </c>
      <c r="AL86" s="709">
        <f t="shared" si="93"/>
        <v>0</v>
      </c>
      <c r="AM86" s="709">
        <f t="shared" si="93"/>
        <v>0</v>
      </c>
      <c r="AN86" s="709">
        <f t="shared" si="93"/>
        <v>0</v>
      </c>
      <c r="AO86" s="709">
        <f t="shared" si="93"/>
        <v>0</v>
      </c>
      <c r="AP86" s="709">
        <f t="shared" si="93"/>
        <v>0</v>
      </c>
      <c r="AQ86" s="709">
        <f t="shared" si="93"/>
        <v>0</v>
      </c>
      <c r="AR86" s="709">
        <f t="shared" si="93"/>
        <v>0</v>
      </c>
      <c r="AS86" s="709">
        <f t="shared" si="93"/>
        <v>0</v>
      </c>
      <c r="AT86" s="709">
        <f t="shared" si="93"/>
        <v>0</v>
      </c>
      <c r="AU86" s="709">
        <f t="shared" si="93"/>
        <v>0</v>
      </c>
      <c r="AV86" s="709">
        <f t="shared" si="93"/>
        <v>0</v>
      </c>
      <c r="AW86" s="709">
        <f t="shared" si="93"/>
        <v>0</v>
      </c>
      <c r="AX86" s="709">
        <f t="shared" si="93"/>
        <v>0</v>
      </c>
      <c r="AY86" s="709">
        <f t="shared" si="93"/>
        <v>0</v>
      </c>
      <c r="AZ86" s="709">
        <f t="shared" si="93"/>
        <v>0</v>
      </c>
      <c r="BA86" s="709">
        <f t="shared" si="93"/>
        <v>0</v>
      </c>
      <c r="BB86" s="709">
        <f t="shared" si="93"/>
        <v>0</v>
      </c>
      <c r="BC86" s="709">
        <f t="shared" si="93"/>
        <v>0</v>
      </c>
      <c r="BD86" s="709">
        <f t="shared" si="93"/>
        <v>0</v>
      </c>
      <c r="BE86" s="710">
        <f t="shared" si="93"/>
        <v>0</v>
      </c>
      <c r="BF86" s="779">
        <v>0</v>
      </c>
    </row>
    <row r="87" spans="2:58" x14ac:dyDescent="0.2">
      <c r="B87" s="1338"/>
      <c r="C87" s="701" t="str">
        <f t="shared" si="92"/>
        <v>PG1 - Stationäre Produkte Halbprivat, Privat und Flex</v>
      </c>
      <c r="D87" s="745">
        <f>IFERROR(D63/G87,0)</f>
        <v>0</v>
      </c>
      <c r="E87" s="766" cm="1">
        <f t="array" ref="E87">IFERROR(MMULT($H$79:$BF$79,TRANSPOSE((G87:BE87)-(H87:BF87)))/G87,0)</f>
        <v>0</v>
      </c>
      <c r="F87" s="771">
        <f>IFERROR(G87/G86,0)</f>
        <v>0</v>
      </c>
      <c r="G87" s="776"/>
      <c r="H87" s="337"/>
      <c r="I87" s="705"/>
      <c r="J87" s="705"/>
      <c r="K87" s="705"/>
      <c r="L87" s="705"/>
      <c r="M87" s="705"/>
      <c r="N87" s="705"/>
      <c r="O87" s="705"/>
      <c r="P87" s="705"/>
      <c r="Q87" s="705"/>
      <c r="R87" s="705"/>
      <c r="S87" s="705"/>
      <c r="T87" s="705"/>
      <c r="U87" s="705"/>
      <c r="V87" s="705"/>
      <c r="W87" s="705"/>
      <c r="X87" s="705"/>
      <c r="Y87" s="705"/>
      <c r="Z87" s="705"/>
      <c r="AA87" s="705"/>
      <c r="AB87" s="705"/>
      <c r="AC87" s="705"/>
      <c r="AD87" s="705"/>
      <c r="AE87" s="705"/>
      <c r="AF87" s="705"/>
      <c r="AG87" s="705"/>
      <c r="AH87" s="705"/>
      <c r="AI87" s="705"/>
      <c r="AJ87" s="705"/>
      <c r="AK87" s="705"/>
      <c r="AL87" s="705"/>
      <c r="AM87" s="705"/>
      <c r="AN87" s="705"/>
      <c r="AO87" s="705"/>
      <c r="AP87" s="705"/>
      <c r="AQ87" s="705"/>
      <c r="AR87" s="705"/>
      <c r="AS87" s="705"/>
      <c r="AT87" s="705"/>
      <c r="AU87" s="705"/>
      <c r="AV87" s="705"/>
      <c r="AW87" s="705"/>
      <c r="AX87" s="705"/>
      <c r="AY87" s="705"/>
      <c r="AZ87" s="705"/>
      <c r="BA87" s="705"/>
      <c r="BB87" s="705"/>
      <c r="BC87" s="705"/>
      <c r="BD87" s="705"/>
      <c r="BE87" s="705"/>
      <c r="BF87" s="779">
        <v>0</v>
      </c>
    </row>
    <row r="88" spans="2:58" x14ac:dyDescent="0.2">
      <c r="B88" s="1338"/>
      <c r="C88" s="700" t="str">
        <f t="shared" si="92"/>
        <v>PG2 - Übrige stationäre Produkte</v>
      </c>
      <c r="D88" s="718">
        <f t="shared" ref="D88:D97" si="94">IFERROR(D64/G88,0)</f>
        <v>0</v>
      </c>
      <c r="E88" s="763" cm="1">
        <f t="array" ref="E88">IFERROR(MMULT($H$79:$BF$79,TRANSPOSE((G88:BE88)-(H88:BF88)))/G88,0)</f>
        <v>0</v>
      </c>
      <c r="F88" s="771">
        <f>IFERROR(G88/G86,0)</f>
        <v>0</v>
      </c>
      <c r="G88" s="776"/>
      <c r="H88" s="337"/>
      <c r="I88" s="705"/>
      <c r="J88" s="705"/>
      <c r="K88" s="705"/>
      <c r="L88" s="705"/>
      <c r="M88" s="705"/>
      <c r="N88" s="705"/>
      <c r="O88" s="705"/>
      <c r="P88" s="705"/>
      <c r="Q88" s="705"/>
      <c r="R88" s="705"/>
      <c r="S88" s="705"/>
      <c r="T88" s="705"/>
      <c r="U88" s="705"/>
      <c r="V88" s="705"/>
      <c r="W88" s="705"/>
      <c r="X88" s="705"/>
      <c r="Y88" s="705"/>
      <c r="Z88" s="705"/>
      <c r="AA88" s="705"/>
      <c r="AB88" s="705"/>
      <c r="AC88" s="705"/>
      <c r="AD88" s="705"/>
      <c r="AE88" s="705"/>
      <c r="AF88" s="705"/>
      <c r="AG88" s="705"/>
      <c r="AH88" s="705"/>
      <c r="AI88" s="705"/>
      <c r="AJ88" s="705"/>
      <c r="AK88" s="705"/>
      <c r="AL88" s="705"/>
      <c r="AM88" s="705"/>
      <c r="AN88" s="705"/>
      <c r="AO88" s="705"/>
      <c r="AP88" s="705"/>
      <c r="AQ88" s="705"/>
      <c r="AR88" s="705"/>
      <c r="AS88" s="705"/>
      <c r="AT88" s="705"/>
      <c r="AU88" s="705"/>
      <c r="AV88" s="705"/>
      <c r="AW88" s="705"/>
      <c r="AX88" s="705"/>
      <c r="AY88" s="705"/>
      <c r="AZ88" s="705"/>
      <c r="BA88" s="705"/>
      <c r="BB88" s="705"/>
      <c r="BC88" s="705"/>
      <c r="BD88" s="705"/>
      <c r="BE88" s="705"/>
      <c r="BF88" s="779">
        <v>0</v>
      </c>
    </row>
    <row r="89" spans="2:58" x14ac:dyDescent="0.2">
      <c r="B89" s="1338"/>
      <c r="C89" s="700" t="str">
        <f t="shared" si="92"/>
        <v>PG3 - Ambulante Produkte</v>
      </c>
      <c r="D89" s="718">
        <f t="shared" si="94"/>
        <v>0</v>
      </c>
      <c r="E89" s="763" cm="1">
        <f t="array" ref="E89">IFERROR(MMULT($H$79:$BF$79,TRANSPOSE((G89:BE89)-(H89:BF89)))/G89,0)</f>
        <v>0</v>
      </c>
      <c r="F89" s="771">
        <f>IFERROR(G89/G86,0)</f>
        <v>0</v>
      </c>
      <c r="G89" s="776"/>
      <c r="H89" s="337"/>
      <c r="I89" s="705"/>
      <c r="J89" s="705"/>
      <c r="K89" s="705"/>
      <c r="L89" s="705"/>
      <c r="M89" s="705"/>
      <c r="N89" s="705"/>
      <c r="O89" s="705"/>
      <c r="P89" s="705"/>
      <c r="Q89" s="705"/>
      <c r="R89" s="705"/>
      <c r="S89" s="705"/>
      <c r="T89" s="705"/>
      <c r="U89" s="705"/>
      <c r="V89" s="705"/>
      <c r="W89" s="705"/>
      <c r="X89" s="705"/>
      <c r="Y89" s="705"/>
      <c r="Z89" s="705"/>
      <c r="AA89" s="705"/>
      <c r="AB89" s="705"/>
      <c r="AC89" s="705"/>
      <c r="AD89" s="705"/>
      <c r="AE89" s="705"/>
      <c r="AF89" s="705"/>
      <c r="AG89" s="705"/>
      <c r="AH89" s="705"/>
      <c r="AI89" s="705"/>
      <c r="AJ89" s="705"/>
      <c r="AK89" s="705"/>
      <c r="AL89" s="705"/>
      <c r="AM89" s="705"/>
      <c r="AN89" s="705"/>
      <c r="AO89" s="705"/>
      <c r="AP89" s="705"/>
      <c r="AQ89" s="705"/>
      <c r="AR89" s="705"/>
      <c r="AS89" s="705"/>
      <c r="AT89" s="705"/>
      <c r="AU89" s="705"/>
      <c r="AV89" s="705"/>
      <c r="AW89" s="705"/>
      <c r="AX89" s="705"/>
      <c r="AY89" s="705"/>
      <c r="AZ89" s="705"/>
      <c r="BA89" s="705"/>
      <c r="BB89" s="705"/>
      <c r="BC89" s="705"/>
      <c r="BD89" s="705"/>
      <c r="BE89" s="705"/>
      <c r="BF89" s="779">
        <v>0</v>
      </c>
    </row>
    <row r="90" spans="2:58" x14ac:dyDescent="0.2">
      <c r="B90" s="1338"/>
      <c r="C90" s="700" t="str">
        <f t="shared" si="92"/>
        <v>PG4 - Langzeitpflege</v>
      </c>
      <c r="D90" s="718">
        <f t="shared" si="94"/>
        <v>0</v>
      </c>
      <c r="E90" s="763" cm="1">
        <f t="array" ref="E90">IFERROR(MMULT($H$79:$BF$79,TRANSPOSE((G90:BE90)-(H90:BF90)))/G90,0)</f>
        <v>0</v>
      </c>
      <c r="F90" s="771">
        <f>IFERROR(G90/G86,0)</f>
        <v>0</v>
      </c>
      <c r="G90" s="776"/>
      <c r="H90" s="337"/>
      <c r="I90" s="705"/>
      <c r="J90" s="705"/>
      <c r="K90" s="705"/>
      <c r="L90" s="705"/>
      <c r="M90" s="705"/>
      <c r="N90" s="705"/>
      <c r="O90" s="705"/>
      <c r="P90" s="705"/>
      <c r="Q90" s="705"/>
      <c r="R90" s="705"/>
      <c r="S90" s="705"/>
      <c r="T90" s="705"/>
      <c r="U90" s="705"/>
      <c r="V90" s="705"/>
      <c r="W90" s="705"/>
      <c r="X90" s="705"/>
      <c r="Y90" s="705"/>
      <c r="Z90" s="705"/>
      <c r="AA90" s="705"/>
      <c r="AB90" s="705"/>
      <c r="AC90" s="705"/>
      <c r="AD90" s="705"/>
      <c r="AE90" s="705"/>
      <c r="AF90" s="705"/>
      <c r="AG90" s="705"/>
      <c r="AH90" s="705"/>
      <c r="AI90" s="705"/>
      <c r="AJ90" s="705"/>
      <c r="AK90" s="705"/>
      <c r="AL90" s="705"/>
      <c r="AM90" s="705"/>
      <c r="AN90" s="705"/>
      <c r="AO90" s="705"/>
      <c r="AP90" s="705"/>
      <c r="AQ90" s="705"/>
      <c r="AR90" s="705"/>
      <c r="AS90" s="705"/>
      <c r="AT90" s="705"/>
      <c r="AU90" s="705"/>
      <c r="AV90" s="705"/>
      <c r="AW90" s="705"/>
      <c r="AX90" s="705"/>
      <c r="AY90" s="705"/>
      <c r="AZ90" s="705"/>
      <c r="BA90" s="705"/>
      <c r="BB90" s="705"/>
      <c r="BC90" s="705"/>
      <c r="BD90" s="705"/>
      <c r="BE90" s="705"/>
      <c r="BF90" s="779">
        <v>0</v>
      </c>
    </row>
    <row r="91" spans="2:58" x14ac:dyDescent="0.2">
      <c r="B91" s="1339"/>
      <c r="C91" s="702" t="str">
        <f t="shared" si="92"/>
        <v>PG5 - Einzeltaggeldversicherung</v>
      </c>
      <c r="D91" s="719">
        <f t="shared" si="94"/>
        <v>0</v>
      </c>
      <c r="E91" s="764" cm="1">
        <f t="array" ref="E91">IFERROR(MMULT($H$79:$BF$79,TRANSPOSE((G91:BE91)-(H91:BF91)))/G91,0)</f>
        <v>0</v>
      </c>
      <c r="F91" s="772">
        <f>IFERROR(G91/G86,0)</f>
        <v>0</v>
      </c>
      <c r="G91" s="777"/>
      <c r="H91" s="420"/>
      <c r="I91" s="706"/>
      <c r="J91" s="706"/>
      <c r="K91" s="706"/>
      <c r="L91" s="706"/>
      <c r="M91" s="706"/>
      <c r="N91" s="706"/>
      <c r="O91" s="706"/>
      <c r="P91" s="706"/>
      <c r="Q91" s="706"/>
      <c r="R91" s="706"/>
      <c r="S91" s="706"/>
      <c r="T91" s="706"/>
      <c r="U91" s="706"/>
      <c r="V91" s="706"/>
      <c r="W91" s="706"/>
      <c r="X91" s="706"/>
      <c r="Y91" s="706"/>
      <c r="Z91" s="706"/>
      <c r="AA91" s="706"/>
      <c r="AB91" s="706"/>
      <c r="AC91" s="706"/>
      <c r="AD91" s="706"/>
      <c r="AE91" s="706"/>
      <c r="AF91" s="706"/>
      <c r="AG91" s="706"/>
      <c r="AH91" s="706"/>
      <c r="AI91" s="706"/>
      <c r="AJ91" s="706"/>
      <c r="AK91" s="706"/>
      <c r="AL91" s="706"/>
      <c r="AM91" s="706"/>
      <c r="AN91" s="706"/>
      <c r="AO91" s="706"/>
      <c r="AP91" s="706"/>
      <c r="AQ91" s="706"/>
      <c r="AR91" s="706"/>
      <c r="AS91" s="706"/>
      <c r="AT91" s="706"/>
      <c r="AU91" s="706"/>
      <c r="AV91" s="706"/>
      <c r="AW91" s="706"/>
      <c r="AX91" s="706"/>
      <c r="AY91" s="706"/>
      <c r="AZ91" s="706"/>
      <c r="BA91" s="706"/>
      <c r="BB91" s="706"/>
      <c r="BC91" s="706"/>
      <c r="BD91" s="706"/>
      <c r="BE91" s="706"/>
      <c r="BF91" s="779">
        <v>0</v>
      </c>
    </row>
    <row r="92" spans="2:58" s="51" customFormat="1" x14ac:dyDescent="0.2">
      <c r="B92" s="1346" t="str">
        <f>B22</f>
        <v>Zusammenzug</v>
      </c>
      <c r="C92" s="749" t="str">
        <f t="shared" ref="C92:C97" si="95">C80</f>
        <v>Total fünf Produktegruppen</v>
      </c>
      <c r="D92" s="750">
        <f t="shared" si="94"/>
        <v>0</v>
      </c>
      <c r="E92" s="767" cm="1">
        <f t="array" ref="E92">IFERROR(MMULT($H$79:$BF$79,TRANSPOSE((G92:BE92)-(H92:BF92)))/G92,0)</f>
        <v>0</v>
      </c>
      <c r="F92" s="773">
        <f>IFERROR(G92/G92,0)</f>
        <v>0</v>
      </c>
      <c r="G92" s="753">
        <f>G80+G86</f>
        <v>0</v>
      </c>
      <c r="H92" s="754">
        <f>H80+H86</f>
        <v>0</v>
      </c>
      <c r="I92" s="755">
        <f t="shared" ref="I92:BE97" si="96">I80+I86</f>
        <v>0</v>
      </c>
      <c r="J92" s="755">
        <f t="shared" si="96"/>
        <v>0</v>
      </c>
      <c r="K92" s="755">
        <f t="shared" si="96"/>
        <v>0</v>
      </c>
      <c r="L92" s="755">
        <f t="shared" si="96"/>
        <v>0</v>
      </c>
      <c r="M92" s="755">
        <f t="shared" si="96"/>
        <v>0</v>
      </c>
      <c r="N92" s="755">
        <f t="shared" si="96"/>
        <v>0</v>
      </c>
      <c r="O92" s="755">
        <f t="shared" si="96"/>
        <v>0</v>
      </c>
      <c r="P92" s="755">
        <f t="shared" si="96"/>
        <v>0</v>
      </c>
      <c r="Q92" s="755">
        <f t="shared" si="96"/>
        <v>0</v>
      </c>
      <c r="R92" s="755">
        <f t="shared" si="96"/>
        <v>0</v>
      </c>
      <c r="S92" s="755">
        <f t="shared" si="96"/>
        <v>0</v>
      </c>
      <c r="T92" s="755">
        <f t="shared" si="96"/>
        <v>0</v>
      </c>
      <c r="U92" s="755">
        <f t="shared" si="96"/>
        <v>0</v>
      </c>
      <c r="V92" s="755">
        <f t="shared" si="96"/>
        <v>0</v>
      </c>
      <c r="W92" s="755">
        <f t="shared" si="96"/>
        <v>0</v>
      </c>
      <c r="X92" s="755">
        <f t="shared" si="96"/>
        <v>0</v>
      </c>
      <c r="Y92" s="755">
        <f t="shared" si="96"/>
        <v>0</v>
      </c>
      <c r="Z92" s="755">
        <f t="shared" si="96"/>
        <v>0</v>
      </c>
      <c r="AA92" s="755">
        <f t="shared" si="96"/>
        <v>0</v>
      </c>
      <c r="AB92" s="755">
        <f t="shared" si="96"/>
        <v>0</v>
      </c>
      <c r="AC92" s="755">
        <f t="shared" si="96"/>
        <v>0</v>
      </c>
      <c r="AD92" s="755">
        <f t="shared" si="96"/>
        <v>0</v>
      </c>
      <c r="AE92" s="755">
        <f t="shared" si="96"/>
        <v>0</v>
      </c>
      <c r="AF92" s="755">
        <f t="shared" si="96"/>
        <v>0</v>
      </c>
      <c r="AG92" s="755">
        <f t="shared" si="96"/>
        <v>0</v>
      </c>
      <c r="AH92" s="755">
        <f t="shared" si="96"/>
        <v>0</v>
      </c>
      <c r="AI92" s="755">
        <f t="shared" si="96"/>
        <v>0</v>
      </c>
      <c r="AJ92" s="755">
        <f t="shared" si="96"/>
        <v>0</v>
      </c>
      <c r="AK92" s="755">
        <f t="shared" si="96"/>
        <v>0</v>
      </c>
      <c r="AL92" s="755">
        <f t="shared" si="96"/>
        <v>0</v>
      </c>
      <c r="AM92" s="755">
        <f t="shared" si="96"/>
        <v>0</v>
      </c>
      <c r="AN92" s="755">
        <f t="shared" si="96"/>
        <v>0</v>
      </c>
      <c r="AO92" s="755">
        <f t="shared" si="96"/>
        <v>0</v>
      </c>
      <c r="AP92" s="755">
        <f t="shared" si="96"/>
        <v>0</v>
      </c>
      <c r="AQ92" s="755">
        <f t="shared" si="96"/>
        <v>0</v>
      </c>
      <c r="AR92" s="755">
        <f t="shared" si="96"/>
        <v>0</v>
      </c>
      <c r="AS92" s="755">
        <f t="shared" si="96"/>
        <v>0</v>
      </c>
      <c r="AT92" s="755">
        <f t="shared" si="96"/>
        <v>0</v>
      </c>
      <c r="AU92" s="755">
        <f t="shared" si="96"/>
        <v>0</v>
      </c>
      <c r="AV92" s="755">
        <f t="shared" si="96"/>
        <v>0</v>
      </c>
      <c r="AW92" s="755">
        <f t="shared" si="96"/>
        <v>0</v>
      </c>
      <c r="AX92" s="755">
        <f t="shared" si="96"/>
        <v>0</v>
      </c>
      <c r="AY92" s="755">
        <f t="shared" si="96"/>
        <v>0</v>
      </c>
      <c r="AZ92" s="755">
        <f t="shared" si="96"/>
        <v>0</v>
      </c>
      <c r="BA92" s="755">
        <f t="shared" si="96"/>
        <v>0</v>
      </c>
      <c r="BB92" s="755">
        <f t="shared" si="96"/>
        <v>0</v>
      </c>
      <c r="BC92" s="755">
        <f t="shared" si="96"/>
        <v>0</v>
      </c>
      <c r="BD92" s="755">
        <f t="shared" si="96"/>
        <v>0</v>
      </c>
      <c r="BE92" s="756">
        <f t="shared" si="96"/>
        <v>0</v>
      </c>
      <c r="BF92" s="779">
        <v>0</v>
      </c>
    </row>
    <row r="93" spans="2:58" x14ac:dyDescent="0.2">
      <c r="B93" s="1347"/>
      <c r="C93" s="700" t="str">
        <f t="shared" si="95"/>
        <v>PG1 - Stationäre Produkte Halbprivat, Privat und Flex</v>
      </c>
      <c r="D93" s="718">
        <f t="shared" si="94"/>
        <v>0</v>
      </c>
      <c r="E93" s="763" cm="1">
        <f t="array" ref="E93">IFERROR(MMULT($H$79:$BF$79,TRANSPOSE((G93:BE93)-(H93:BF93)))/G93,0)</f>
        <v>0</v>
      </c>
      <c r="F93" s="771">
        <f>IFERROR(G93/G92,0)</f>
        <v>0</v>
      </c>
      <c r="G93" s="1065">
        <f t="shared" ref="G93:W97" si="97">G81+G87</f>
        <v>0</v>
      </c>
      <c r="H93" s="722">
        <f t="shared" si="97"/>
        <v>0</v>
      </c>
      <c r="I93" s="711">
        <f t="shared" si="97"/>
        <v>0</v>
      </c>
      <c r="J93" s="711">
        <f t="shared" si="97"/>
        <v>0</v>
      </c>
      <c r="K93" s="711">
        <f t="shared" si="97"/>
        <v>0</v>
      </c>
      <c r="L93" s="711">
        <f t="shared" si="97"/>
        <v>0</v>
      </c>
      <c r="M93" s="711">
        <f t="shared" si="97"/>
        <v>0</v>
      </c>
      <c r="N93" s="711">
        <f t="shared" si="97"/>
        <v>0</v>
      </c>
      <c r="O93" s="711">
        <f t="shared" si="97"/>
        <v>0</v>
      </c>
      <c r="P93" s="711">
        <f t="shared" si="97"/>
        <v>0</v>
      </c>
      <c r="Q93" s="711">
        <f t="shared" si="97"/>
        <v>0</v>
      </c>
      <c r="R93" s="711">
        <f t="shared" si="97"/>
        <v>0</v>
      </c>
      <c r="S93" s="711">
        <f t="shared" si="97"/>
        <v>0</v>
      </c>
      <c r="T93" s="711">
        <f t="shared" si="97"/>
        <v>0</v>
      </c>
      <c r="U93" s="711">
        <f t="shared" si="97"/>
        <v>0</v>
      </c>
      <c r="V93" s="711">
        <f t="shared" si="97"/>
        <v>0</v>
      </c>
      <c r="W93" s="711">
        <f t="shared" si="97"/>
        <v>0</v>
      </c>
      <c r="X93" s="711">
        <f t="shared" si="96"/>
        <v>0</v>
      </c>
      <c r="Y93" s="711">
        <f t="shared" si="96"/>
        <v>0</v>
      </c>
      <c r="Z93" s="711">
        <f t="shared" si="96"/>
        <v>0</v>
      </c>
      <c r="AA93" s="711">
        <f t="shared" si="96"/>
        <v>0</v>
      </c>
      <c r="AB93" s="711">
        <f t="shared" si="96"/>
        <v>0</v>
      </c>
      <c r="AC93" s="711">
        <f t="shared" si="96"/>
        <v>0</v>
      </c>
      <c r="AD93" s="711">
        <f t="shared" si="96"/>
        <v>0</v>
      </c>
      <c r="AE93" s="711">
        <f t="shared" si="96"/>
        <v>0</v>
      </c>
      <c r="AF93" s="711">
        <f t="shared" si="96"/>
        <v>0</v>
      </c>
      <c r="AG93" s="711">
        <f t="shared" si="96"/>
        <v>0</v>
      </c>
      <c r="AH93" s="711">
        <f t="shared" si="96"/>
        <v>0</v>
      </c>
      <c r="AI93" s="711">
        <f t="shared" si="96"/>
        <v>0</v>
      </c>
      <c r="AJ93" s="711">
        <f t="shared" si="96"/>
        <v>0</v>
      </c>
      <c r="AK93" s="711">
        <f t="shared" si="96"/>
        <v>0</v>
      </c>
      <c r="AL93" s="711">
        <f t="shared" si="96"/>
        <v>0</v>
      </c>
      <c r="AM93" s="711">
        <f t="shared" si="96"/>
        <v>0</v>
      </c>
      <c r="AN93" s="711">
        <f t="shared" si="96"/>
        <v>0</v>
      </c>
      <c r="AO93" s="711">
        <f t="shared" si="96"/>
        <v>0</v>
      </c>
      <c r="AP93" s="711">
        <f t="shared" si="96"/>
        <v>0</v>
      </c>
      <c r="AQ93" s="711">
        <f t="shared" si="96"/>
        <v>0</v>
      </c>
      <c r="AR93" s="711">
        <f t="shared" si="96"/>
        <v>0</v>
      </c>
      <c r="AS93" s="711">
        <f t="shared" si="96"/>
        <v>0</v>
      </c>
      <c r="AT93" s="711">
        <f t="shared" si="96"/>
        <v>0</v>
      </c>
      <c r="AU93" s="711">
        <f t="shared" si="96"/>
        <v>0</v>
      </c>
      <c r="AV93" s="711">
        <f t="shared" si="96"/>
        <v>0</v>
      </c>
      <c r="AW93" s="711">
        <f t="shared" si="96"/>
        <v>0</v>
      </c>
      <c r="AX93" s="711">
        <f t="shared" si="96"/>
        <v>0</v>
      </c>
      <c r="AY93" s="711">
        <f t="shared" si="96"/>
        <v>0</v>
      </c>
      <c r="AZ93" s="711">
        <f t="shared" si="96"/>
        <v>0</v>
      </c>
      <c r="BA93" s="711">
        <f t="shared" si="96"/>
        <v>0</v>
      </c>
      <c r="BB93" s="711">
        <f t="shared" si="96"/>
        <v>0</v>
      </c>
      <c r="BC93" s="711">
        <f t="shared" si="96"/>
        <v>0</v>
      </c>
      <c r="BD93" s="711">
        <f t="shared" si="96"/>
        <v>0</v>
      </c>
      <c r="BE93" s="712">
        <f t="shared" si="96"/>
        <v>0</v>
      </c>
      <c r="BF93" s="779">
        <v>0</v>
      </c>
    </row>
    <row r="94" spans="2:58" x14ac:dyDescent="0.2">
      <c r="B94" s="1347"/>
      <c r="C94" s="700" t="str">
        <f t="shared" si="95"/>
        <v>PG2 - Übrige stationäre Produkte</v>
      </c>
      <c r="D94" s="718">
        <f t="shared" si="94"/>
        <v>0</v>
      </c>
      <c r="E94" s="763" cm="1">
        <f t="array" ref="E94">IFERROR(MMULT($H$79:$BF$79,TRANSPOSE((G94:BE94)-(H94:BF94)))/G94,0)</f>
        <v>0</v>
      </c>
      <c r="F94" s="771">
        <f>IFERROR(G94/G92,0)</f>
        <v>0</v>
      </c>
      <c r="G94" s="1065">
        <f t="shared" si="97"/>
        <v>0</v>
      </c>
      <c r="H94" s="722">
        <f t="shared" si="97"/>
        <v>0</v>
      </c>
      <c r="I94" s="711">
        <f t="shared" si="96"/>
        <v>0</v>
      </c>
      <c r="J94" s="711">
        <f t="shared" si="96"/>
        <v>0</v>
      </c>
      <c r="K94" s="711">
        <f t="shared" si="96"/>
        <v>0</v>
      </c>
      <c r="L94" s="711">
        <f t="shared" si="96"/>
        <v>0</v>
      </c>
      <c r="M94" s="711">
        <f t="shared" si="96"/>
        <v>0</v>
      </c>
      <c r="N94" s="711">
        <f t="shared" si="96"/>
        <v>0</v>
      </c>
      <c r="O94" s="711">
        <f t="shared" si="96"/>
        <v>0</v>
      </c>
      <c r="P94" s="711">
        <f t="shared" si="96"/>
        <v>0</v>
      </c>
      <c r="Q94" s="711">
        <f t="shared" si="96"/>
        <v>0</v>
      </c>
      <c r="R94" s="711">
        <f t="shared" si="96"/>
        <v>0</v>
      </c>
      <c r="S94" s="711">
        <f t="shared" si="96"/>
        <v>0</v>
      </c>
      <c r="T94" s="711">
        <f t="shared" si="96"/>
        <v>0</v>
      </c>
      <c r="U94" s="711">
        <f t="shared" si="96"/>
        <v>0</v>
      </c>
      <c r="V94" s="711">
        <f t="shared" si="96"/>
        <v>0</v>
      </c>
      <c r="W94" s="711">
        <f t="shared" si="96"/>
        <v>0</v>
      </c>
      <c r="X94" s="711">
        <f t="shared" si="96"/>
        <v>0</v>
      </c>
      <c r="Y94" s="711">
        <f t="shared" si="96"/>
        <v>0</v>
      </c>
      <c r="Z94" s="711">
        <f t="shared" si="96"/>
        <v>0</v>
      </c>
      <c r="AA94" s="711">
        <f t="shared" si="96"/>
        <v>0</v>
      </c>
      <c r="AB94" s="711">
        <f t="shared" si="96"/>
        <v>0</v>
      </c>
      <c r="AC94" s="711">
        <f t="shared" si="96"/>
        <v>0</v>
      </c>
      <c r="AD94" s="711">
        <f t="shared" si="96"/>
        <v>0</v>
      </c>
      <c r="AE94" s="711">
        <f t="shared" si="96"/>
        <v>0</v>
      </c>
      <c r="AF94" s="711">
        <f t="shared" si="96"/>
        <v>0</v>
      </c>
      <c r="AG94" s="711">
        <f t="shared" si="96"/>
        <v>0</v>
      </c>
      <c r="AH94" s="711">
        <f t="shared" si="96"/>
        <v>0</v>
      </c>
      <c r="AI94" s="711">
        <f t="shared" si="96"/>
        <v>0</v>
      </c>
      <c r="AJ94" s="711">
        <f t="shared" si="96"/>
        <v>0</v>
      </c>
      <c r="AK94" s="711">
        <f t="shared" si="96"/>
        <v>0</v>
      </c>
      <c r="AL94" s="711">
        <f t="shared" si="96"/>
        <v>0</v>
      </c>
      <c r="AM94" s="711">
        <f t="shared" si="96"/>
        <v>0</v>
      </c>
      <c r="AN94" s="711">
        <f t="shared" si="96"/>
        <v>0</v>
      </c>
      <c r="AO94" s="711">
        <f t="shared" si="96"/>
        <v>0</v>
      </c>
      <c r="AP94" s="711">
        <f t="shared" si="96"/>
        <v>0</v>
      </c>
      <c r="AQ94" s="711">
        <f t="shared" si="96"/>
        <v>0</v>
      </c>
      <c r="AR94" s="711">
        <f t="shared" si="96"/>
        <v>0</v>
      </c>
      <c r="AS94" s="711">
        <f t="shared" si="96"/>
        <v>0</v>
      </c>
      <c r="AT94" s="711">
        <f t="shared" si="96"/>
        <v>0</v>
      </c>
      <c r="AU94" s="711">
        <f t="shared" si="96"/>
        <v>0</v>
      </c>
      <c r="AV94" s="711">
        <f t="shared" si="96"/>
        <v>0</v>
      </c>
      <c r="AW94" s="711">
        <f t="shared" si="96"/>
        <v>0</v>
      </c>
      <c r="AX94" s="711">
        <f t="shared" si="96"/>
        <v>0</v>
      </c>
      <c r="AY94" s="711">
        <f t="shared" si="96"/>
        <v>0</v>
      </c>
      <c r="AZ94" s="711">
        <f t="shared" si="96"/>
        <v>0</v>
      </c>
      <c r="BA94" s="711">
        <f t="shared" si="96"/>
        <v>0</v>
      </c>
      <c r="BB94" s="711">
        <f t="shared" si="96"/>
        <v>0</v>
      </c>
      <c r="BC94" s="711">
        <f t="shared" si="96"/>
        <v>0</v>
      </c>
      <c r="BD94" s="711">
        <f t="shared" si="96"/>
        <v>0</v>
      </c>
      <c r="BE94" s="712">
        <f t="shared" si="96"/>
        <v>0</v>
      </c>
      <c r="BF94" s="779">
        <v>0</v>
      </c>
    </row>
    <row r="95" spans="2:58" x14ac:dyDescent="0.2">
      <c r="B95" s="1347"/>
      <c r="C95" s="700" t="str">
        <f t="shared" si="95"/>
        <v>PG3 - Ambulante Produkte</v>
      </c>
      <c r="D95" s="718">
        <f t="shared" si="94"/>
        <v>0</v>
      </c>
      <c r="E95" s="763" cm="1">
        <f t="array" ref="E95">IFERROR(MMULT($H$79:$BF$79,TRANSPOSE((G95:BE95)-(H95:BF95)))/G95,0)</f>
        <v>0</v>
      </c>
      <c r="F95" s="771">
        <f>IFERROR(G95/G92,0)</f>
        <v>0</v>
      </c>
      <c r="G95" s="1065">
        <f t="shared" si="97"/>
        <v>0</v>
      </c>
      <c r="H95" s="722">
        <f t="shared" si="97"/>
        <v>0</v>
      </c>
      <c r="I95" s="711">
        <f t="shared" si="96"/>
        <v>0</v>
      </c>
      <c r="J95" s="711">
        <f t="shared" si="96"/>
        <v>0</v>
      </c>
      <c r="K95" s="711">
        <f t="shared" si="96"/>
        <v>0</v>
      </c>
      <c r="L95" s="711">
        <f t="shared" si="96"/>
        <v>0</v>
      </c>
      <c r="M95" s="711">
        <f t="shared" si="96"/>
        <v>0</v>
      </c>
      <c r="N95" s="711">
        <f t="shared" si="96"/>
        <v>0</v>
      </c>
      <c r="O95" s="711">
        <f t="shared" si="96"/>
        <v>0</v>
      </c>
      <c r="P95" s="711">
        <f t="shared" si="96"/>
        <v>0</v>
      </c>
      <c r="Q95" s="711">
        <f t="shared" si="96"/>
        <v>0</v>
      </c>
      <c r="R95" s="711">
        <f t="shared" si="96"/>
        <v>0</v>
      </c>
      <c r="S95" s="711">
        <f t="shared" si="96"/>
        <v>0</v>
      </c>
      <c r="T95" s="711">
        <f t="shared" si="96"/>
        <v>0</v>
      </c>
      <c r="U95" s="711">
        <f t="shared" si="96"/>
        <v>0</v>
      </c>
      <c r="V95" s="711">
        <f t="shared" si="96"/>
        <v>0</v>
      </c>
      <c r="W95" s="711">
        <f t="shared" si="96"/>
        <v>0</v>
      </c>
      <c r="X95" s="711">
        <f t="shared" si="96"/>
        <v>0</v>
      </c>
      <c r="Y95" s="711">
        <f t="shared" si="96"/>
        <v>0</v>
      </c>
      <c r="Z95" s="711">
        <f t="shared" si="96"/>
        <v>0</v>
      </c>
      <c r="AA95" s="711">
        <f t="shared" si="96"/>
        <v>0</v>
      </c>
      <c r="AB95" s="711">
        <f t="shared" si="96"/>
        <v>0</v>
      </c>
      <c r="AC95" s="711">
        <f t="shared" si="96"/>
        <v>0</v>
      </c>
      <c r="AD95" s="711">
        <f t="shared" si="96"/>
        <v>0</v>
      </c>
      <c r="AE95" s="711">
        <f t="shared" si="96"/>
        <v>0</v>
      </c>
      <c r="AF95" s="711">
        <f t="shared" si="96"/>
        <v>0</v>
      </c>
      <c r="AG95" s="711">
        <f t="shared" si="96"/>
        <v>0</v>
      </c>
      <c r="AH95" s="711">
        <f t="shared" si="96"/>
        <v>0</v>
      </c>
      <c r="AI95" s="711">
        <f t="shared" si="96"/>
        <v>0</v>
      </c>
      <c r="AJ95" s="711">
        <f t="shared" si="96"/>
        <v>0</v>
      </c>
      <c r="AK95" s="711">
        <f t="shared" si="96"/>
        <v>0</v>
      </c>
      <c r="AL95" s="711">
        <f t="shared" si="96"/>
        <v>0</v>
      </c>
      <c r="AM95" s="711">
        <f t="shared" si="96"/>
        <v>0</v>
      </c>
      <c r="AN95" s="711">
        <f t="shared" si="96"/>
        <v>0</v>
      </c>
      <c r="AO95" s="711">
        <f t="shared" si="96"/>
        <v>0</v>
      </c>
      <c r="AP95" s="711">
        <f t="shared" si="96"/>
        <v>0</v>
      </c>
      <c r="AQ95" s="711">
        <f t="shared" si="96"/>
        <v>0</v>
      </c>
      <c r="AR95" s="711">
        <f t="shared" si="96"/>
        <v>0</v>
      </c>
      <c r="AS95" s="711">
        <f t="shared" si="96"/>
        <v>0</v>
      </c>
      <c r="AT95" s="711">
        <f t="shared" si="96"/>
        <v>0</v>
      </c>
      <c r="AU95" s="711">
        <f t="shared" si="96"/>
        <v>0</v>
      </c>
      <c r="AV95" s="711">
        <f t="shared" si="96"/>
        <v>0</v>
      </c>
      <c r="AW95" s="711">
        <f t="shared" si="96"/>
        <v>0</v>
      </c>
      <c r="AX95" s="711">
        <f t="shared" si="96"/>
        <v>0</v>
      </c>
      <c r="AY95" s="711">
        <f t="shared" si="96"/>
        <v>0</v>
      </c>
      <c r="AZ95" s="711">
        <f t="shared" si="96"/>
        <v>0</v>
      </c>
      <c r="BA95" s="711">
        <f t="shared" si="96"/>
        <v>0</v>
      </c>
      <c r="BB95" s="711">
        <f t="shared" si="96"/>
        <v>0</v>
      </c>
      <c r="BC95" s="711">
        <f t="shared" si="96"/>
        <v>0</v>
      </c>
      <c r="BD95" s="711">
        <f t="shared" si="96"/>
        <v>0</v>
      </c>
      <c r="BE95" s="712">
        <f t="shared" si="96"/>
        <v>0</v>
      </c>
      <c r="BF95" s="779">
        <v>0</v>
      </c>
    </row>
    <row r="96" spans="2:58" x14ac:dyDescent="0.2">
      <c r="B96" s="1347"/>
      <c r="C96" s="700" t="str">
        <f t="shared" si="95"/>
        <v>PG4 - Langzeitpflege</v>
      </c>
      <c r="D96" s="718">
        <f t="shared" si="94"/>
        <v>0</v>
      </c>
      <c r="E96" s="763" cm="1">
        <f t="array" ref="E96">IFERROR(MMULT($H$79:$BF$79,TRANSPOSE((G96:BE96)-(H96:BF96)))/G96,0)</f>
        <v>0</v>
      </c>
      <c r="F96" s="771">
        <f>IFERROR(G96/G92,0)</f>
        <v>0</v>
      </c>
      <c r="G96" s="1065">
        <f t="shared" si="97"/>
        <v>0</v>
      </c>
      <c r="H96" s="722">
        <f t="shared" si="97"/>
        <v>0</v>
      </c>
      <c r="I96" s="711">
        <f t="shared" si="96"/>
        <v>0</v>
      </c>
      <c r="J96" s="711">
        <f t="shared" si="96"/>
        <v>0</v>
      </c>
      <c r="K96" s="711">
        <f t="shared" si="96"/>
        <v>0</v>
      </c>
      <c r="L96" s="711">
        <f t="shared" si="96"/>
        <v>0</v>
      </c>
      <c r="M96" s="711">
        <f t="shared" si="96"/>
        <v>0</v>
      </c>
      <c r="N96" s="711">
        <f t="shared" si="96"/>
        <v>0</v>
      </c>
      <c r="O96" s="711">
        <f t="shared" si="96"/>
        <v>0</v>
      </c>
      <c r="P96" s="711">
        <f t="shared" si="96"/>
        <v>0</v>
      </c>
      <c r="Q96" s="711">
        <f t="shared" si="96"/>
        <v>0</v>
      </c>
      <c r="R96" s="711">
        <f t="shared" si="96"/>
        <v>0</v>
      </c>
      <c r="S96" s="711">
        <f t="shared" si="96"/>
        <v>0</v>
      </c>
      <c r="T96" s="711">
        <f t="shared" si="96"/>
        <v>0</v>
      </c>
      <c r="U96" s="711">
        <f t="shared" si="96"/>
        <v>0</v>
      </c>
      <c r="V96" s="711">
        <f t="shared" si="96"/>
        <v>0</v>
      </c>
      <c r="W96" s="711">
        <f t="shared" si="96"/>
        <v>0</v>
      </c>
      <c r="X96" s="711">
        <f t="shared" si="96"/>
        <v>0</v>
      </c>
      <c r="Y96" s="711">
        <f t="shared" si="96"/>
        <v>0</v>
      </c>
      <c r="Z96" s="711">
        <f t="shared" si="96"/>
        <v>0</v>
      </c>
      <c r="AA96" s="711">
        <f t="shared" si="96"/>
        <v>0</v>
      </c>
      <c r="AB96" s="711">
        <f t="shared" si="96"/>
        <v>0</v>
      </c>
      <c r="AC96" s="711">
        <f t="shared" si="96"/>
        <v>0</v>
      </c>
      <c r="AD96" s="711">
        <f t="shared" si="96"/>
        <v>0</v>
      </c>
      <c r="AE96" s="711">
        <f t="shared" si="96"/>
        <v>0</v>
      </c>
      <c r="AF96" s="711">
        <f t="shared" si="96"/>
        <v>0</v>
      </c>
      <c r="AG96" s="711">
        <f t="shared" si="96"/>
        <v>0</v>
      </c>
      <c r="AH96" s="711">
        <f t="shared" si="96"/>
        <v>0</v>
      </c>
      <c r="AI96" s="711">
        <f t="shared" si="96"/>
        <v>0</v>
      </c>
      <c r="AJ96" s="711">
        <f t="shared" si="96"/>
        <v>0</v>
      </c>
      <c r="AK96" s="711">
        <f t="shared" si="96"/>
        <v>0</v>
      </c>
      <c r="AL96" s="711">
        <f t="shared" si="96"/>
        <v>0</v>
      </c>
      <c r="AM96" s="711">
        <f t="shared" si="96"/>
        <v>0</v>
      </c>
      <c r="AN96" s="711">
        <f t="shared" si="96"/>
        <v>0</v>
      </c>
      <c r="AO96" s="711">
        <f t="shared" si="96"/>
        <v>0</v>
      </c>
      <c r="AP96" s="711">
        <f t="shared" si="96"/>
        <v>0</v>
      </c>
      <c r="AQ96" s="711">
        <f t="shared" si="96"/>
        <v>0</v>
      </c>
      <c r="AR96" s="711">
        <f t="shared" si="96"/>
        <v>0</v>
      </c>
      <c r="AS96" s="711">
        <f t="shared" si="96"/>
        <v>0</v>
      </c>
      <c r="AT96" s="711">
        <f t="shared" si="96"/>
        <v>0</v>
      </c>
      <c r="AU96" s="711">
        <f t="shared" si="96"/>
        <v>0</v>
      </c>
      <c r="AV96" s="711">
        <f t="shared" si="96"/>
        <v>0</v>
      </c>
      <c r="AW96" s="711">
        <f t="shared" si="96"/>
        <v>0</v>
      </c>
      <c r="AX96" s="711">
        <f t="shared" si="96"/>
        <v>0</v>
      </c>
      <c r="AY96" s="711">
        <f t="shared" si="96"/>
        <v>0</v>
      </c>
      <c r="AZ96" s="711">
        <f t="shared" si="96"/>
        <v>0</v>
      </c>
      <c r="BA96" s="711">
        <f t="shared" si="96"/>
        <v>0</v>
      </c>
      <c r="BB96" s="711">
        <f t="shared" si="96"/>
        <v>0</v>
      </c>
      <c r="BC96" s="711">
        <f t="shared" si="96"/>
        <v>0</v>
      </c>
      <c r="BD96" s="711">
        <f t="shared" si="96"/>
        <v>0</v>
      </c>
      <c r="BE96" s="712">
        <f t="shared" si="96"/>
        <v>0</v>
      </c>
      <c r="BF96" s="779">
        <v>0</v>
      </c>
    </row>
    <row r="97" spans="2:58" x14ac:dyDescent="0.2">
      <c r="B97" s="1348"/>
      <c r="C97" s="702" t="str">
        <f t="shared" si="95"/>
        <v>PG5 - Einzeltaggeldversicherung</v>
      </c>
      <c r="D97" s="719">
        <f t="shared" si="94"/>
        <v>0</v>
      </c>
      <c r="E97" s="764" cm="1">
        <f t="array" ref="E97">IFERROR(MMULT($H$79:$BF$79,TRANSPOSE((G97:BE97)-(H97:BF97)))/G97,0)</f>
        <v>0</v>
      </c>
      <c r="F97" s="772">
        <f>IFERROR(G97/G92,0)</f>
        <v>0</v>
      </c>
      <c r="G97" s="1066">
        <f t="shared" si="97"/>
        <v>0</v>
      </c>
      <c r="H97" s="723">
        <f t="shared" si="97"/>
        <v>0</v>
      </c>
      <c r="I97" s="713">
        <f t="shared" si="96"/>
        <v>0</v>
      </c>
      <c r="J97" s="713">
        <f t="shared" si="96"/>
        <v>0</v>
      </c>
      <c r="K97" s="713">
        <f t="shared" si="96"/>
        <v>0</v>
      </c>
      <c r="L97" s="713">
        <f t="shared" si="96"/>
        <v>0</v>
      </c>
      <c r="M97" s="713">
        <f t="shared" si="96"/>
        <v>0</v>
      </c>
      <c r="N97" s="713">
        <f t="shared" si="96"/>
        <v>0</v>
      </c>
      <c r="O97" s="713">
        <f t="shared" si="96"/>
        <v>0</v>
      </c>
      <c r="P97" s="713">
        <f t="shared" si="96"/>
        <v>0</v>
      </c>
      <c r="Q97" s="713">
        <f t="shared" si="96"/>
        <v>0</v>
      </c>
      <c r="R97" s="713">
        <f t="shared" si="96"/>
        <v>0</v>
      </c>
      <c r="S97" s="713">
        <f t="shared" si="96"/>
        <v>0</v>
      </c>
      <c r="T97" s="713">
        <f t="shared" si="96"/>
        <v>0</v>
      </c>
      <c r="U97" s="713">
        <f t="shared" si="96"/>
        <v>0</v>
      </c>
      <c r="V97" s="713">
        <f t="shared" si="96"/>
        <v>0</v>
      </c>
      <c r="W97" s="713">
        <f t="shared" si="96"/>
        <v>0</v>
      </c>
      <c r="X97" s="713">
        <f t="shared" si="96"/>
        <v>0</v>
      </c>
      <c r="Y97" s="713">
        <f t="shared" si="96"/>
        <v>0</v>
      </c>
      <c r="Z97" s="713">
        <f t="shared" si="96"/>
        <v>0</v>
      </c>
      <c r="AA97" s="713">
        <f t="shared" si="96"/>
        <v>0</v>
      </c>
      <c r="AB97" s="713">
        <f t="shared" si="96"/>
        <v>0</v>
      </c>
      <c r="AC97" s="713">
        <f t="shared" si="96"/>
        <v>0</v>
      </c>
      <c r="AD97" s="713">
        <f t="shared" si="96"/>
        <v>0</v>
      </c>
      <c r="AE97" s="713">
        <f t="shared" si="96"/>
        <v>0</v>
      </c>
      <c r="AF97" s="713">
        <f t="shared" si="96"/>
        <v>0</v>
      </c>
      <c r="AG97" s="713">
        <f t="shared" si="96"/>
        <v>0</v>
      </c>
      <c r="AH97" s="713">
        <f t="shared" ref="AH97:BE97" si="98">AH85+AH91</f>
        <v>0</v>
      </c>
      <c r="AI97" s="713">
        <f t="shared" si="98"/>
        <v>0</v>
      </c>
      <c r="AJ97" s="713">
        <f t="shared" si="98"/>
        <v>0</v>
      </c>
      <c r="AK97" s="713">
        <f t="shared" si="98"/>
        <v>0</v>
      </c>
      <c r="AL97" s="713">
        <f t="shared" si="98"/>
        <v>0</v>
      </c>
      <c r="AM97" s="713">
        <f t="shared" si="98"/>
        <v>0</v>
      </c>
      <c r="AN97" s="713">
        <f t="shared" si="98"/>
        <v>0</v>
      </c>
      <c r="AO97" s="713">
        <f t="shared" si="98"/>
        <v>0</v>
      </c>
      <c r="AP97" s="713">
        <f t="shared" si="98"/>
        <v>0</v>
      </c>
      <c r="AQ97" s="713">
        <f t="shared" si="98"/>
        <v>0</v>
      </c>
      <c r="AR97" s="713">
        <f t="shared" si="98"/>
        <v>0</v>
      </c>
      <c r="AS97" s="713">
        <f t="shared" si="98"/>
        <v>0</v>
      </c>
      <c r="AT97" s="713">
        <f t="shared" si="98"/>
        <v>0</v>
      </c>
      <c r="AU97" s="713">
        <f t="shared" si="98"/>
        <v>0</v>
      </c>
      <c r="AV97" s="713">
        <f t="shared" si="98"/>
        <v>0</v>
      </c>
      <c r="AW97" s="713">
        <f t="shared" si="98"/>
        <v>0</v>
      </c>
      <c r="AX97" s="713">
        <f t="shared" si="98"/>
        <v>0</v>
      </c>
      <c r="AY97" s="713">
        <f t="shared" si="98"/>
        <v>0</v>
      </c>
      <c r="AZ97" s="713">
        <f t="shared" si="98"/>
        <v>0</v>
      </c>
      <c r="BA97" s="713">
        <f t="shared" si="98"/>
        <v>0</v>
      </c>
      <c r="BB97" s="713">
        <f t="shared" si="98"/>
        <v>0</v>
      </c>
      <c r="BC97" s="713">
        <f t="shared" si="98"/>
        <v>0</v>
      </c>
      <c r="BD97" s="713">
        <f t="shared" si="98"/>
        <v>0</v>
      </c>
      <c r="BE97" s="714">
        <f t="shared" si="98"/>
        <v>0</v>
      </c>
      <c r="BF97" s="779">
        <v>0</v>
      </c>
    </row>
    <row r="100" spans="2:58" ht="15.75" x14ac:dyDescent="0.2">
      <c r="B100" s="222" t="str">
        <f>VLOOKUP("T.08.18",HE_label,2,FALSE)</f>
        <v xml:space="preserve">Cashflows für das Risikomodell </v>
      </c>
    </row>
    <row r="102" spans="2:58" x14ac:dyDescent="0.2">
      <c r="B102" s="229" t="str">
        <f>VLOOKUP("T.08.19",HE_label,2,FALSE)</f>
        <v xml:space="preserve">Cashflows nach Delta-Sensitivität Auslenkung mit Prämien-Cap, pro Risikofaktor </v>
      </c>
    </row>
    <row r="103" spans="2:58" ht="33" customHeight="1" thickBot="1" x14ac:dyDescent="0.25">
      <c r="B103" s="267"/>
      <c r="C103" s="716"/>
      <c r="D103" s="1354" t="str">
        <f>VLOOKUP("T.08.20",HE_label,2,FALSE)</f>
        <v>Totale (mit Auslenkung nur für die vorgegebenen Jahre, verbleibende Jahre ohne Auslenkung)</v>
      </c>
      <c r="E103" s="1355" t="str">
        <f>VLOOKUP("T.08.19",HE_label,2,FALSE)</f>
        <v xml:space="preserve">Cashflows nach Delta-Sensitivität Auslenkung mit Prämien-Cap, pro Risikofaktor </v>
      </c>
      <c r="F103" s="1356" t="str">
        <f>VLOOKUP("T.08.19",HE_label,2,FALSE)</f>
        <v xml:space="preserve">Cashflows nach Delta-Sensitivität Auslenkung mit Prämien-Cap, pro Risikofaktor </v>
      </c>
      <c r="G103" s="769" t="str">
        <f>G11</f>
        <v>Undiskontierte Cashflows pro Abwicklungsjahr, in CHF</v>
      </c>
      <c r="H103" s="695"/>
      <c r="I103" s="695"/>
      <c r="J103" s="695"/>
      <c r="K103" s="695"/>
      <c r="L103" s="695"/>
      <c r="M103" s="695"/>
      <c r="N103" s="695"/>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695"/>
      <c r="AS103" s="695"/>
      <c r="AT103" s="695"/>
      <c r="AU103" s="695"/>
      <c r="AV103" s="695"/>
      <c r="AW103" s="695"/>
      <c r="AX103" s="695"/>
      <c r="AY103" s="695"/>
      <c r="AZ103" s="695"/>
      <c r="BA103" s="695"/>
      <c r="BB103" s="695"/>
      <c r="BC103" s="695"/>
      <c r="BD103" s="695"/>
      <c r="BE103" s="695"/>
    </row>
    <row r="104" spans="2:58" ht="18" customHeight="1" thickTop="1" x14ac:dyDescent="0.2">
      <c r="B104" s="725"/>
      <c r="C104" s="748" t="str">
        <f>HE_CF_label&amp;VLOOKUP("T.08.13",HE_label,2,FALSE)</f>
        <v>Prämien - Leistungen - Kosten, nach Cap</v>
      </c>
      <c r="D104" s="1349" t="str">
        <f>VLOOKUP("T.08.20a",HE_label,2,FALSE)</f>
        <v xml:space="preserve"> Diskontiertes Total, in CHF</v>
      </c>
      <c r="E104" s="1330" t="str">
        <f>VLOOKUP("T.08.20b",HE_label,2,FALSE)</f>
        <v>Verhältnis zum Basisfall, mit Vorzeichen</v>
      </c>
      <c r="F104" s="1332" t="str">
        <f>VLOOKUP("T.08.20c",HE_label,2,FALSE)</f>
        <v>Undiskontiertes Total, in CHF</v>
      </c>
      <c r="G104" s="1326" t="str">
        <f>G12</f>
        <v>Total</v>
      </c>
      <c r="H104" s="285">
        <f>HE_CY</f>
        <v>2025</v>
      </c>
      <c r="I104" s="285">
        <f>H104+1</f>
        <v>2026</v>
      </c>
      <c r="J104" s="285">
        <f t="shared" ref="J104:BE104" si="99">I104+1</f>
        <v>2027</v>
      </c>
      <c r="K104" s="285">
        <f t="shared" si="99"/>
        <v>2028</v>
      </c>
      <c r="L104" s="285">
        <f t="shared" si="99"/>
        <v>2029</v>
      </c>
      <c r="M104" s="285">
        <f t="shared" si="99"/>
        <v>2030</v>
      </c>
      <c r="N104" s="285">
        <f t="shared" si="99"/>
        <v>2031</v>
      </c>
      <c r="O104" s="285">
        <f t="shared" si="99"/>
        <v>2032</v>
      </c>
      <c r="P104" s="285">
        <f t="shared" si="99"/>
        <v>2033</v>
      </c>
      <c r="Q104" s="285">
        <f t="shared" si="99"/>
        <v>2034</v>
      </c>
      <c r="R104" s="285">
        <f t="shared" si="99"/>
        <v>2035</v>
      </c>
      <c r="S104" s="285">
        <f t="shared" si="99"/>
        <v>2036</v>
      </c>
      <c r="T104" s="285">
        <f t="shared" si="99"/>
        <v>2037</v>
      </c>
      <c r="U104" s="285">
        <f t="shared" si="99"/>
        <v>2038</v>
      </c>
      <c r="V104" s="285">
        <f t="shared" si="99"/>
        <v>2039</v>
      </c>
      <c r="W104" s="285">
        <f t="shared" si="99"/>
        <v>2040</v>
      </c>
      <c r="X104" s="285">
        <f t="shared" si="99"/>
        <v>2041</v>
      </c>
      <c r="Y104" s="285">
        <f t="shared" si="99"/>
        <v>2042</v>
      </c>
      <c r="Z104" s="285">
        <f t="shared" si="99"/>
        <v>2043</v>
      </c>
      <c r="AA104" s="285">
        <f t="shared" si="99"/>
        <v>2044</v>
      </c>
      <c r="AB104" s="285">
        <f t="shared" si="99"/>
        <v>2045</v>
      </c>
      <c r="AC104" s="285">
        <f t="shared" si="99"/>
        <v>2046</v>
      </c>
      <c r="AD104" s="285">
        <f t="shared" si="99"/>
        <v>2047</v>
      </c>
      <c r="AE104" s="285">
        <f t="shared" si="99"/>
        <v>2048</v>
      </c>
      <c r="AF104" s="285">
        <f t="shared" si="99"/>
        <v>2049</v>
      </c>
      <c r="AG104" s="285">
        <f t="shared" si="99"/>
        <v>2050</v>
      </c>
      <c r="AH104" s="285">
        <f t="shared" si="99"/>
        <v>2051</v>
      </c>
      <c r="AI104" s="285">
        <f t="shared" si="99"/>
        <v>2052</v>
      </c>
      <c r="AJ104" s="285">
        <f t="shared" si="99"/>
        <v>2053</v>
      </c>
      <c r="AK104" s="285">
        <f t="shared" si="99"/>
        <v>2054</v>
      </c>
      <c r="AL104" s="285">
        <f t="shared" si="99"/>
        <v>2055</v>
      </c>
      <c r="AM104" s="285">
        <f t="shared" si="99"/>
        <v>2056</v>
      </c>
      <c r="AN104" s="285">
        <f t="shared" si="99"/>
        <v>2057</v>
      </c>
      <c r="AO104" s="285">
        <f t="shared" si="99"/>
        <v>2058</v>
      </c>
      <c r="AP104" s="285">
        <f t="shared" si="99"/>
        <v>2059</v>
      </c>
      <c r="AQ104" s="285">
        <f t="shared" si="99"/>
        <v>2060</v>
      </c>
      <c r="AR104" s="285">
        <f t="shared" si="99"/>
        <v>2061</v>
      </c>
      <c r="AS104" s="285">
        <f t="shared" si="99"/>
        <v>2062</v>
      </c>
      <c r="AT104" s="285">
        <f t="shared" si="99"/>
        <v>2063</v>
      </c>
      <c r="AU104" s="285">
        <f t="shared" si="99"/>
        <v>2064</v>
      </c>
      <c r="AV104" s="285">
        <f t="shared" si="99"/>
        <v>2065</v>
      </c>
      <c r="AW104" s="285">
        <f t="shared" si="99"/>
        <v>2066</v>
      </c>
      <c r="AX104" s="285">
        <f t="shared" si="99"/>
        <v>2067</v>
      </c>
      <c r="AY104" s="285">
        <f t="shared" si="99"/>
        <v>2068</v>
      </c>
      <c r="AZ104" s="285">
        <f t="shared" si="99"/>
        <v>2069</v>
      </c>
      <c r="BA104" s="285">
        <f t="shared" si="99"/>
        <v>2070</v>
      </c>
      <c r="BB104" s="285">
        <f t="shared" si="99"/>
        <v>2071</v>
      </c>
      <c r="BC104" s="285">
        <f t="shared" si="99"/>
        <v>2072</v>
      </c>
      <c r="BD104" s="285">
        <f t="shared" si="99"/>
        <v>2073</v>
      </c>
      <c r="BE104" s="431">
        <f t="shared" si="99"/>
        <v>2074</v>
      </c>
    </row>
    <row r="105" spans="2:58" ht="17.25" customHeight="1" x14ac:dyDescent="0.2">
      <c r="B105" s="725"/>
      <c r="C105" s="698"/>
      <c r="D105" s="1350" t="str">
        <f>VLOOKUP("T.08.20",HE_label,2,FALSE)</f>
        <v>Totale (mit Auslenkung nur für die vorgegebenen Jahre, verbleibende Jahre ohne Auslenkung)</v>
      </c>
      <c r="E105" s="1331" t="str">
        <f>VLOOKUP("T.08.19",HE_label,2,FALSE)</f>
        <v xml:space="preserve">Cashflows nach Delta-Sensitivität Auslenkung mit Prämien-Cap, pro Risikofaktor </v>
      </c>
      <c r="F105" s="1333" t="str">
        <f>VLOOKUP("T.08.19",HE_label,2,FALSE)</f>
        <v xml:space="preserve">Cashflows nach Delta-Sensitivität Auslenkung mit Prämien-Cap, pro Risikofaktor </v>
      </c>
      <c r="G105" s="1327"/>
      <c r="H105" s="285">
        <v>1</v>
      </c>
      <c r="I105" s="285">
        <v>2</v>
      </c>
      <c r="J105" s="285">
        <v>3</v>
      </c>
      <c r="K105" s="285">
        <v>4</v>
      </c>
      <c r="L105" s="285">
        <v>5</v>
      </c>
      <c r="M105" s="285">
        <v>6</v>
      </c>
      <c r="N105" s="285">
        <v>7</v>
      </c>
      <c r="O105" s="285">
        <v>8</v>
      </c>
      <c r="P105" s="285">
        <v>9</v>
      </c>
      <c r="Q105" s="285">
        <v>10</v>
      </c>
      <c r="R105" s="285">
        <v>11</v>
      </c>
      <c r="S105" s="285">
        <v>12</v>
      </c>
      <c r="T105" s="285">
        <v>13</v>
      </c>
      <c r="U105" s="285">
        <v>14</v>
      </c>
      <c r="V105" s="285">
        <v>15</v>
      </c>
      <c r="W105" s="285">
        <v>16</v>
      </c>
      <c r="X105" s="285">
        <v>17</v>
      </c>
      <c r="Y105" s="285">
        <v>18</v>
      </c>
      <c r="Z105" s="285">
        <v>19</v>
      </c>
      <c r="AA105" s="285">
        <v>20</v>
      </c>
      <c r="AB105" s="285">
        <v>21</v>
      </c>
      <c r="AC105" s="285">
        <v>22</v>
      </c>
      <c r="AD105" s="285">
        <v>23</v>
      </c>
      <c r="AE105" s="285">
        <v>24</v>
      </c>
      <c r="AF105" s="285">
        <v>25</v>
      </c>
      <c r="AG105" s="285">
        <v>26</v>
      </c>
      <c r="AH105" s="285">
        <v>27</v>
      </c>
      <c r="AI105" s="285">
        <v>28</v>
      </c>
      <c r="AJ105" s="285">
        <v>29</v>
      </c>
      <c r="AK105" s="285">
        <v>30</v>
      </c>
      <c r="AL105" s="285">
        <v>31</v>
      </c>
      <c r="AM105" s="285">
        <v>32</v>
      </c>
      <c r="AN105" s="285">
        <v>33</v>
      </c>
      <c r="AO105" s="285">
        <v>34</v>
      </c>
      <c r="AP105" s="285">
        <v>35</v>
      </c>
      <c r="AQ105" s="285">
        <v>36</v>
      </c>
      <c r="AR105" s="285">
        <v>37</v>
      </c>
      <c r="AS105" s="285">
        <v>38</v>
      </c>
      <c r="AT105" s="285">
        <v>39</v>
      </c>
      <c r="AU105" s="285">
        <v>40</v>
      </c>
      <c r="AV105" s="285">
        <v>41</v>
      </c>
      <c r="AW105" s="285">
        <v>42</v>
      </c>
      <c r="AX105" s="285">
        <v>43</v>
      </c>
      <c r="AY105" s="285">
        <v>44</v>
      </c>
      <c r="AZ105" s="285">
        <v>45</v>
      </c>
      <c r="BA105" s="285">
        <v>46</v>
      </c>
      <c r="BB105" s="285">
        <v>47</v>
      </c>
      <c r="BC105" s="285">
        <v>48</v>
      </c>
      <c r="BD105" s="285">
        <v>49</v>
      </c>
      <c r="BE105" s="431">
        <v>50</v>
      </c>
    </row>
    <row r="106" spans="2:58" x14ac:dyDescent="0.2">
      <c r="B106" s="1334" t="str">
        <f>B14</f>
        <v>LZV-R-Tool</v>
      </c>
      <c r="C106" s="700" t="str">
        <f>VLOOKUP("T.08.21",HE_label,2,FALSE)</f>
        <v>Basisfall - ohne Auslenkung</v>
      </c>
      <c r="D106" s="1165">
        <f>IFERROR(SUMPRODUCT(HE_disc_curve,H106:BE106),0)</f>
        <v>0</v>
      </c>
      <c r="E106" s="1177">
        <f>IFERROR(D106/ABS(D106),0)</f>
        <v>0</v>
      </c>
      <c r="F106" s="1185">
        <f>IFERROR(SUM(H106:BE106),0)</f>
        <v>0</v>
      </c>
      <c r="G106" s="729">
        <f>IFERROR(SUM(H106:BE106),0)</f>
        <v>0</v>
      </c>
      <c r="H106" s="721">
        <f t="shared" ref="H106:AM106" si="100">H56</f>
        <v>0</v>
      </c>
      <c r="I106" s="707">
        <f t="shared" si="100"/>
        <v>0</v>
      </c>
      <c r="J106" s="707">
        <f t="shared" si="100"/>
        <v>0</v>
      </c>
      <c r="K106" s="707">
        <f t="shared" si="100"/>
        <v>0</v>
      </c>
      <c r="L106" s="707">
        <f t="shared" si="100"/>
        <v>0</v>
      </c>
      <c r="M106" s="707">
        <f t="shared" si="100"/>
        <v>0</v>
      </c>
      <c r="N106" s="707">
        <f t="shared" si="100"/>
        <v>0</v>
      </c>
      <c r="O106" s="707">
        <f t="shared" si="100"/>
        <v>0</v>
      </c>
      <c r="P106" s="707">
        <f t="shared" si="100"/>
        <v>0</v>
      </c>
      <c r="Q106" s="707">
        <f t="shared" si="100"/>
        <v>0</v>
      </c>
      <c r="R106" s="707">
        <f t="shared" si="100"/>
        <v>0</v>
      </c>
      <c r="S106" s="707">
        <f t="shared" si="100"/>
        <v>0</v>
      </c>
      <c r="T106" s="707">
        <f t="shared" si="100"/>
        <v>0</v>
      </c>
      <c r="U106" s="707">
        <f t="shared" si="100"/>
        <v>0</v>
      </c>
      <c r="V106" s="707">
        <f t="shared" si="100"/>
        <v>0</v>
      </c>
      <c r="W106" s="707">
        <f t="shared" si="100"/>
        <v>0</v>
      </c>
      <c r="X106" s="707">
        <f t="shared" si="100"/>
        <v>0</v>
      </c>
      <c r="Y106" s="707">
        <f t="shared" si="100"/>
        <v>0</v>
      </c>
      <c r="Z106" s="707">
        <f t="shared" si="100"/>
        <v>0</v>
      </c>
      <c r="AA106" s="707">
        <f t="shared" si="100"/>
        <v>0</v>
      </c>
      <c r="AB106" s="707">
        <f t="shared" si="100"/>
        <v>0</v>
      </c>
      <c r="AC106" s="707">
        <f t="shared" si="100"/>
        <v>0</v>
      </c>
      <c r="AD106" s="707">
        <f t="shared" si="100"/>
        <v>0</v>
      </c>
      <c r="AE106" s="707">
        <f t="shared" si="100"/>
        <v>0</v>
      </c>
      <c r="AF106" s="707">
        <f t="shared" si="100"/>
        <v>0</v>
      </c>
      <c r="AG106" s="707">
        <f t="shared" si="100"/>
        <v>0</v>
      </c>
      <c r="AH106" s="707">
        <f t="shared" si="100"/>
        <v>0</v>
      </c>
      <c r="AI106" s="707">
        <f t="shared" si="100"/>
        <v>0</v>
      </c>
      <c r="AJ106" s="707">
        <f t="shared" si="100"/>
        <v>0</v>
      </c>
      <c r="AK106" s="707">
        <f t="shared" si="100"/>
        <v>0</v>
      </c>
      <c r="AL106" s="707">
        <f t="shared" si="100"/>
        <v>0</v>
      </c>
      <c r="AM106" s="707">
        <f t="shared" si="100"/>
        <v>0</v>
      </c>
      <c r="AN106" s="707">
        <f t="shared" ref="AN106:BE106" si="101">AN56</f>
        <v>0</v>
      </c>
      <c r="AO106" s="707">
        <f t="shared" si="101"/>
        <v>0</v>
      </c>
      <c r="AP106" s="707">
        <f t="shared" si="101"/>
        <v>0</v>
      </c>
      <c r="AQ106" s="707">
        <f t="shared" si="101"/>
        <v>0</v>
      </c>
      <c r="AR106" s="707">
        <f t="shared" si="101"/>
        <v>0</v>
      </c>
      <c r="AS106" s="707">
        <f t="shared" si="101"/>
        <v>0</v>
      </c>
      <c r="AT106" s="707">
        <f t="shared" si="101"/>
        <v>0</v>
      </c>
      <c r="AU106" s="707">
        <f t="shared" si="101"/>
        <v>0</v>
      </c>
      <c r="AV106" s="707">
        <f t="shared" si="101"/>
        <v>0</v>
      </c>
      <c r="AW106" s="707">
        <f t="shared" si="101"/>
        <v>0</v>
      </c>
      <c r="AX106" s="707">
        <f t="shared" si="101"/>
        <v>0</v>
      </c>
      <c r="AY106" s="707">
        <f t="shared" si="101"/>
        <v>0</v>
      </c>
      <c r="AZ106" s="707">
        <f t="shared" si="101"/>
        <v>0</v>
      </c>
      <c r="BA106" s="707">
        <f t="shared" si="101"/>
        <v>0</v>
      </c>
      <c r="BB106" s="707">
        <f t="shared" si="101"/>
        <v>0</v>
      </c>
      <c r="BC106" s="707">
        <f t="shared" si="101"/>
        <v>0</v>
      </c>
      <c r="BD106" s="707">
        <f t="shared" si="101"/>
        <v>0</v>
      </c>
      <c r="BE106" s="708">
        <f t="shared" si="101"/>
        <v>0</v>
      </c>
    </row>
    <row r="107" spans="2:58" x14ac:dyDescent="0.2">
      <c r="B107" s="1335"/>
      <c r="C107" s="700" t="str">
        <f>HE_RFq_label&amp;", "&amp;HE_up_label</f>
        <v>Sterblichkeit (q), nach oben</v>
      </c>
      <c r="D107" s="1166">
        <f>IFERROR(SUMPRODUCT(HE_disc_curve,HE_RFq_sensi_years,H107:BE107)+D$106-SUMPRODUCT(HE_disc_curve,HE_RFq_sensi_years,H$106:BE$106),0)</f>
        <v>0</v>
      </c>
      <c r="E107" s="1178">
        <f>IFERROR(D107/ABS(D106),0)</f>
        <v>0</v>
      </c>
      <c r="F107" s="1175">
        <f>IFERROR(SUMPRODUCT(HE_RFq_sensi_years,H107:BE107)+F$106-SUMPRODUCT(HE_RFq_sensi_years,H$106:BE$106),0)</f>
        <v>0</v>
      </c>
      <c r="G107" s="730">
        <f t="shared" ref="G107:G114" si="102">IFERROR(SUM(H107:BE107),0)</f>
        <v>0</v>
      </c>
      <c r="H107" s="727"/>
      <c r="I107" s="703"/>
      <c r="J107" s="703"/>
      <c r="K107" s="703"/>
      <c r="L107" s="703"/>
      <c r="M107" s="703"/>
      <c r="N107" s="703"/>
      <c r="O107" s="703"/>
      <c r="P107" s="703"/>
      <c r="Q107" s="703"/>
      <c r="R107" s="703"/>
      <c r="S107" s="703"/>
      <c r="T107" s="703"/>
      <c r="U107" s="703"/>
      <c r="V107" s="703"/>
      <c r="W107" s="703"/>
      <c r="X107" s="703"/>
      <c r="Y107" s="703"/>
      <c r="Z107" s="703"/>
      <c r="AA107" s="703"/>
      <c r="AB107" s="703"/>
      <c r="AC107" s="703"/>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703"/>
      <c r="BB107" s="703"/>
      <c r="BC107" s="703"/>
      <c r="BD107" s="703"/>
      <c r="BE107" s="703"/>
    </row>
    <row r="108" spans="2:58" x14ac:dyDescent="0.2">
      <c r="B108" s="1335"/>
      <c r="C108" s="700" t="str">
        <f>HE_RFq_label&amp;", "&amp;HE_down_label</f>
        <v>Sterblichkeit (q), nach unten</v>
      </c>
      <c r="D108" s="1166">
        <f>IFERROR(SUMPRODUCT(HE_disc_curve,HE_RFq_sensi_years,H108:BE108)+D$106-SUMPRODUCT(HE_disc_curve,HE_RFq_sensi_years,H$106:BE$106),0)</f>
        <v>0</v>
      </c>
      <c r="E108" s="1178">
        <f>IFERROR(D108/ABS(D106),0)</f>
        <v>0</v>
      </c>
      <c r="F108" s="1175">
        <f>IFERROR(SUMPRODUCT(HE_RFq_sensi_years,H108:BE108)+F$106-SUMPRODUCT(HE_RFq_sensi_years,H$106:BE$106),0)</f>
        <v>0</v>
      </c>
      <c r="G108" s="730">
        <f t="shared" si="102"/>
        <v>0</v>
      </c>
      <c r="H108" s="727"/>
      <c r="I108" s="703"/>
      <c r="J108" s="703"/>
      <c r="K108" s="703"/>
      <c r="L108" s="703"/>
      <c r="M108" s="703"/>
      <c r="N108" s="703"/>
      <c r="O108" s="703"/>
      <c r="P108" s="703"/>
      <c r="Q108" s="703"/>
      <c r="R108" s="703"/>
      <c r="S108" s="703"/>
      <c r="T108" s="703"/>
      <c r="U108" s="703"/>
      <c r="V108" s="703"/>
      <c r="W108" s="703"/>
      <c r="X108" s="703"/>
      <c r="Y108" s="703"/>
      <c r="Z108" s="703"/>
      <c r="AA108" s="703"/>
      <c r="AB108" s="703"/>
      <c r="AC108" s="703"/>
      <c r="AD108" s="703"/>
      <c r="AE108" s="703"/>
      <c r="AF108" s="703"/>
      <c r="AG108" s="703"/>
      <c r="AH108" s="703"/>
      <c r="AI108" s="703"/>
      <c r="AJ108" s="703"/>
      <c r="AK108" s="703"/>
      <c r="AL108" s="703"/>
      <c r="AM108" s="703"/>
      <c r="AN108" s="703"/>
      <c r="AO108" s="703"/>
      <c r="AP108" s="703"/>
      <c r="AQ108" s="703"/>
      <c r="AR108" s="703"/>
      <c r="AS108" s="703"/>
      <c r="AT108" s="703"/>
      <c r="AU108" s="703"/>
      <c r="AV108" s="703"/>
      <c r="AW108" s="703"/>
      <c r="AX108" s="703"/>
      <c r="AY108" s="703"/>
      <c r="AZ108" s="703"/>
      <c r="BA108" s="703"/>
      <c r="BB108" s="703"/>
      <c r="BC108" s="703"/>
      <c r="BD108" s="703"/>
      <c r="BE108" s="703"/>
    </row>
    <row r="109" spans="2:58" x14ac:dyDescent="0.2">
      <c r="B109" s="1335"/>
      <c r="C109" s="700" t="str">
        <f>HE_RFs_label&amp;", "&amp;HE_up_label</f>
        <v>Storno (s), nach oben</v>
      </c>
      <c r="D109" s="1166">
        <f>IFERROR(SUMPRODUCT(HE_disc_curve,HE_RFs_sensi_years,H109:BE109)+D$106-SUMPRODUCT(HE_disc_curve,HE_RFs_sensi_years,H$106:BE$106),0)</f>
        <v>0</v>
      </c>
      <c r="E109" s="1178">
        <f>IFERROR(D109/ABS(D106),0)</f>
        <v>0</v>
      </c>
      <c r="F109" s="1175">
        <f>IFERROR(SUMPRODUCT(HE_RFs_sensi_years,H109:BE109)+F$106-SUMPRODUCT(HE_RFs_sensi_years,H$106:BE$106),0)</f>
        <v>0</v>
      </c>
      <c r="G109" s="730">
        <f t="shared" si="102"/>
        <v>0</v>
      </c>
      <c r="H109" s="727"/>
      <c r="I109" s="703"/>
      <c r="J109" s="703"/>
      <c r="K109" s="703"/>
      <c r="L109" s="703"/>
      <c r="M109" s="703"/>
      <c r="N109" s="703"/>
      <c r="O109" s="703"/>
      <c r="P109" s="703"/>
      <c r="Q109" s="703"/>
      <c r="R109" s="703"/>
      <c r="S109" s="703"/>
      <c r="T109" s="703"/>
      <c r="U109" s="703"/>
      <c r="V109" s="703"/>
      <c r="W109" s="703"/>
      <c r="X109" s="703"/>
      <c r="Y109" s="703"/>
      <c r="Z109" s="703"/>
      <c r="AA109" s="703"/>
      <c r="AB109" s="703"/>
      <c r="AC109" s="703"/>
      <c r="AD109" s="703"/>
      <c r="AE109" s="703"/>
      <c r="AF109" s="703"/>
      <c r="AG109" s="703"/>
      <c r="AH109" s="703"/>
      <c r="AI109" s="703"/>
      <c r="AJ109" s="703"/>
      <c r="AK109" s="703"/>
      <c r="AL109" s="703"/>
      <c r="AM109" s="703"/>
      <c r="AN109" s="703"/>
      <c r="AO109" s="703"/>
      <c r="AP109" s="703"/>
      <c r="AQ109" s="703"/>
      <c r="AR109" s="703"/>
      <c r="AS109" s="703"/>
      <c r="AT109" s="703"/>
      <c r="AU109" s="703"/>
      <c r="AV109" s="703"/>
      <c r="AW109" s="703"/>
      <c r="AX109" s="703"/>
      <c r="AY109" s="703"/>
      <c r="AZ109" s="703"/>
      <c r="BA109" s="703"/>
      <c r="BB109" s="703"/>
      <c r="BC109" s="703"/>
      <c r="BD109" s="703"/>
      <c r="BE109" s="703"/>
    </row>
    <row r="110" spans="2:58" x14ac:dyDescent="0.2">
      <c r="B110" s="1335"/>
      <c r="C110" s="700" t="str">
        <f>HE_RFs_label&amp;", "&amp;HE_down_label</f>
        <v>Storno (s), nach unten</v>
      </c>
      <c r="D110" s="1166">
        <f>IFERROR(SUMPRODUCT(HE_disc_curve,HE_RFs_sensi_years,H110:BE110)+D$106-SUMPRODUCT(HE_disc_curve,HE_RFs_sensi_years,H$106:BE$106),0)</f>
        <v>0</v>
      </c>
      <c r="E110" s="1178">
        <f>IFERROR(D110/ABS(D106),0)</f>
        <v>0</v>
      </c>
      <c r="F110" s="1175">
        <f>IFERROR(SUMPRODUCT(HE_RFs_sensi_years,H110:BE110)+F$106-SUMPRODUCT(HE_RFs_sensi_years,H$106:BE$106),0)</f>
        <v>0</v>
      </c>
      <c r="G110" s="730">
        <f t="shared" si="102"/>
        <v>0</v>
      </c>
      <c r="H110" s="727"/>
      <c r="I110" s="703"/>
      <c r="J110" s="703"/>
      <c r="K110" s="703"/>
      <c r="L110" s="703"/>
      <c r="M110" s="703"/>
      <c r="N110" s="703"/>
      <c r="O110" s="703"/>
      <c r="P110" s="703"/>
      <c r="Q110" s="703"/>
      <c r="R110" s="703"/>
      <c r="S110" s="703"/>
      <c r="T110" s="703"/>
      <c r="U110" s="703"/>
      <c r="V110" s="703"/>
      <c r="W110" s="703"/>
      <c r="X110" s="703"/>
      <c r="Y110" s="703"/>
      <c r="Z110" s="703"/>
      <c r="AA110" s="703"/>
      <c r="AB110" s="703"/>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row>
    <row r="111" spans="2:58" x14ac:dyDescent="0.2">
      <c r="B111" s="1335"/>
      <c r="C111" s="700" t="str">
        <f>HE_RFk_label&amp;", "&amp;HE_up_label</f>
        <v>Kosten (k), nach oben</v>
      </c>
      <c r="D111" s="1166">
        <f>IFERROR(SUMPRODUCT(HE_disc_curve,HE_RFk_sensi_years,H111:BE111)+D$106-SUMPRODUCT(HE_disc_curve,HE_RFk_sensi_years,H$106:BE$106),0)</f>
        <v>0</v>
      </c>
      <c r="E111" s="1178">
        <f>IFERROR(D111/ABS(D106),0)</f>
        <v>0</v>
      </c>
      <c r="F111" s="1175">
        <f>IFERROR(SUMPRODUCT(HE_RFk_sensi_years,H111:BE111)+F$106-SUMPRODUCT(HE_RFk_sensi_years,H$106:BE$106),0)</f>
        <v>0</v>
      </c>
      <c r="G111" s="730">
        <f t="shared" si="102"/>
        <v>0</v>
      </c>
      <c r="H111" s="727"/>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D111" s="703"/>
      <c r="BE111" s="703"/>
    </row>
    <row r="112" spans="2:58" x14ac:dyDescent="0.2">
      <c r="B112" s="1335"/>
      <c r="C112" s="700" t="str">
        <f>HE_RFk_label&amp;", "&amp;HE_down_label</f>
        <v>Kosten (k), nach unten</v>
      </c>
      <c r="D112" s="1166">
        <f>IFERROR(SUMPRODUCT(HE_disc_curve,HE_RFk_sensi_years,H112:BE112)+D$106-SUMPRODUCT(HE_disc_curve,HE_RFk_sensi_years,H$106:BE$106),0)</f>
        <v>0</v>
      </c>
      <c r="E112" s="1178">
        <f>IFERROR(D112/ABS(D106),0)</f>
        <v>0</v>
      </c>
      <c r="F112" s="1175">
        <f>IFERROR(SUMPRODUCT(HE_RFk_sensi_years,H112:BE112)+F$106-SUMPRODUCT(HE_RFk_sensi_years,H$106:BE$106),0)</f>
        <v>0</v>
      </c>
      <c r="G112" s="730">
        <f t="shared" si="102"/>
        <v>0</v>
      </c>
      <c r="H112" s="727"/>
      <c r="I112" s="703"/>
      <c r="J112" s="703"/>
      <c r="K112" s="703"/>
      <c r="L112" s="703"/>
      <c r="M112" s="703"/>
      <c r="N112" s="703"/>
      <c r="O112" s="703"/>
      <c r="P112" s="703"/>
      <c r="Q112" s="703"/>
      <c r="R112" s="703"/>
      <c r="S112" s="703"/>
      <c r="T112" s="703"/>
      <c r="U112" s="703"/>
      <c r="V112" s="703"/>
      <c r="W112" s="703"/>
      <c r="X112" s="703"/>
      <c r="Y112" s="703"/>
      <c r="Z112" s="703"/>
      <c r="AA112" s="703"/>
      <c r="AB112" s="703"/>
      <c r="AC112" s="703"/>
      <c r="AD112" s="703"/>
      <c r="AE112" s="703"/>
      <c r="AF112" s="703"/>
      <c r="AG112" s="703"/>
      <c r="AH112" s="703"/>
      <c r="AI112" s="703"/>
      <c r="AJ112" s="703"/>
      <c r="AK112" s="703"/>
      <c r="AL112" s="703"/>
      <c r="AM112" s="703"/>
      <c r="AN112" s="703"/>
      <c r="AO112" s="703"/>
      <c r="AP112" s="703"/>
      <c r="AQ112" s="703"/>
      <c r="AR112" s="703"/>
      <c r="AS112" s="703"/>
      <c r="AT112" s="703"/>
      <c r="AU112" s="703"/>
      <c r="AV112" s="703"/>
      <c r="AW112" s="703"/>
      <c r="AX112" s="703"/>
      <c r="AY112" s="703"/>
      <c r="AZ112" s="703"/>
      <c r="BA112" s="703"/>
      <c r="BB112" s="703"/>
      <c r="BC112" s="703"/>
      <c r="BD112" s="703"/>
      <c r="BE112" s="703"/>
    </row>
    <row r="113" spans="2:57" x14ac:dyDescent="0.2">
      <c r="B113" s="1335"/>
      <c r="C113" s="700" t="str">
        <f>HE_RFl_label&amp;", "&amp;HE_up_label</f>
        <v>Leistungen (l), nach oben</v>
      </c>
      <c r="D113" s="1166">
        <f>IFERROR(SUMPRODUCT(HE_disc_curve,HE_RFl_sensi_years,H113:BE113)+D$106-SUMPRODUCT(HE_disc_curve,HE_RFl_sensi_years,H$106:BE$106),0)</f>
        <v>0</v>
      </c>
      <c r="E113" s="1178">
        <f>IFERROR(D113/ABS(D106),0)</f>
        <v>0</v>
      </c>
      <c r="F113" s="1175">
        <f>IFERROR(SUMPRODUCT(HE_RFl_sensi_years,H113:BE113)+F$106-SUMPRODUCT(HE_RFl_sensi_years,H$106:BE$106),0)</f>
        <v>0</v>
      </c>
      <c r="G113" s="730">
        <f t="shared" si="102"/>
        <v>0</v>
      </c>
      <c r="H113" s="727"/>
      <c r="I113" s="703"/>
      <c r="J113" s="703"/>
      <c r="K113" s="703"/>
      <c r="L113" s="703"/>
      <c r="M113" s="703"/>
      <c r="N113" s="703"/>
      <c r="O113" s="703"/>
      <c r="P113" s="703"/>
      <c r="Q113" s="703"/>
      <c r="R113" s="703"/>
      <c r="S113" s="703"/>
      <c r="T113" s="703"/>
      <c r="U113" s="703"/>
      <c r="V113" s="703"/>
      <c r="W113" s="703"/>
      <c r="X113" s="703"/>
      <c r="Y113" s="703"/>
      <c r="Z113" s="703"/>
      <c r="AA113" s="703"/>
      <c r="AB113" s="703"/>
      <c r="AC113" s="703"/>
      <c r="AD113" s="703"/>
      <c r="AE113" s="703"/>
      <c r="AF113" s="703"/>
      <c r="AG113" s="703"/>
      <c r="AH113" s="703"/>
      <c r="AI113" s="703"/>
      <c r="AJ113" s="703"/>
      <c r="AK113" s="703"/>
      <c r="AL113" s="703"/>
      <c r="AM113" s="703"/>
      <c r="AN113" s="703"/>
      <c r="AO113" s="703"/>
      <c r="AP113" s="703"/>
      <c r="AQ113" s="703"/>
      <c r="AR113" s="703"/>
      <c r="AS113" s="703"/>
      <c r="AT113" s="703"/>
      <c r="AU113" s="703"/>
      <c r="AV113" s="703"/>
      <c r="AW113" s="703"/>
      <c r="AX113" s="703"/>
      <c r="AY113" s="703"/>
      <c r="AZ113" s="703"/>
      <c r="BA113" s="703"/>
      <c r="BB113" s="703"/>
      <c r="BC113" s="703"/>
      <c r="BD113" s="703"/>
      <c r="BE113" s="703"/>
    </row>
    <row r="114" spans="2:57" x14ac:dyDescent="0.2">
      <c r="B114" s="1336"/>
      <c r="C114" s="702" t="str">
        <f>HE_RFl_label&amp;", "&amp;HE_down_label</f>
        <v>Leistungen (l), nach unten</v>
      </c>
      <c r="D114" s="1167">
        <f>IFERROR(SUMPRODUCT(HE_disc_curve,HE_RFl_sensi_years,H114:BE114)+D$106-SUMPRODUCT(HE_disc_curve,HE_RFl_sensi_years,H$106:BE$106),0)</f>
        <v>0</v>
      </c>
      <c r="E114" s="1179">
        <f>IFERROR(D114/ABS(D106),0)</f>
        <v>0</v>
      </c>
      <c r="F114" s="1176">
        <f>IFERROR(SUMPRODUCT(HE_RFl_sensi_years,H114:BE114)+F$106-SUMPRODUCT(HE_RFl_sensi_years,H$106:BE$106),0)</f>
        <v>0</v>
      </c>
      <c r="G114" s="731">
        <f t="shared" si="102"/>
        <v>0</v>
      </c>
      <c r="H114" s="728"/>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704"/>
      <c r="AM114" s="704"/>
      <c r="AN114" s="704"/>
      <c r="AO114" s="704"/>
      <c r="AP114" s="704"/>
      <c r="AQ114" s="704"/>
      <c r="AR114" s="704"/>
      <c r="AS114" s="704"/>
      <c r="AT114" s="704"/>
      <c r="AU114" s="704"/>
      <c r="AV114" s="704"/>
      <c r="AW114" s="704"/>
      <c r="AX114" s="704"/>
      <c r="AY114" s="704"/>
      <c r="AZ114" s="704"/>
      <c r="BA114" s="704"/>
      <c r="BB114" s="704"/>
      <c r="BC114" s="704"/>
      <c r="BD114" s="704"/>
      <c r="BE114" s="704"/>
    </row>
    <row r="115" spans="2:57" x14ac:dyDescent="0.2">
      <c r="B115" s="1337" t="str">
        <f>B18</f>
        <v>Alternative Berechnung</v>
      </c>
      <c r="C115" s="701" t="str">
        <f>C106</f>
        <v>Basisfall - ohne Auslenkung</v>
      </c>
      <c r="D115" s="1168">
        <f>IFERROR(SUMPRODUCT(HE_disc_curve,H115:BE115),0)</f>
        <v>0</v>
      </c>
      <c r="E115" s="1180">
        <f>IFERROR(D115/ABS(D115),0)</f>
        <v>0</v>
      </c>
      <c r="F115" s="1186">
        <f>IFERROR(SUM(H115:BE115),0)</f>
        <v>0</v>
      </c>
      <c r="G115" s="732">
        <f>IFERROR(SUM(H115:BE115),0)</f>
        <v>0</v>
      </c>
      <c r="H115" s="724">
        <f t="shared" ref="H115:AM115" si="103">H62</f>
        <v>0</v>
      </c>
      <c r="I115" s="709">
        <f t="shared" si="103"/>
        <v>0</v>
      </c>
      <c r="J115" s="709">
        <f t="shared" si="103"/>
        <v>0</v>
      </c>
      <c r="K115" s="709">
        <f t="shared" si="103"/>
        <v>0</v>
      </c>
      <c r="L115" s="709">
        <f t="shared" si="103"/>
        <v>0</v>
      </c>
      <c r="M115" s="709">
        <f t="shared" si="103"/>
        <v>0</v>
      </c>
      <c r="N115" s="709">
        <f t="shared" si="103"/>
        <v>0</v>
      </c>
      <c r="O115" s="709">
        <f t="shared" si="103"/>
        <v>0</v>
      </c>
      <c r="P115" s="709">
        <f t="shared" si="103"/>
        <v>0</v>
      </c>
      <c r="Q115" s="709">
        <f t="shared" si="103"/>
        <v>0</v>
      </c>
      <c r="R115" s="709">
        <f t="shared" si="103"/>
        <v>0</v>
      </c>
      <c r="S115" s="709">
        <f t="shared" si="103"/>
        <v>0</v>
      </c>
      <c r="T115" s="709">
        <f t="shared" si="103"/>
        <v>0</v>
      </c>
      <c r="U115" s="709">
        <f t="shared" si="103"/>
        <v>0</v>
      </c>
      <c r="V115" s="709">
        <f t="shared" si="103"/>
        <v>0</v>
      </c>
      <c r="W115" s="709">
        <f t="shared" si="103"/>
        <v>0</v>
      </c>
      <c r="X115" s="709">
        <f t="shared" si="103"/>
        <v>0</v>
      </c>
      <c r="Y115" s="709">
        <f t="shared" si="103"/>
        <v>0</v>
      </c>
      <c r="Z115" s="709">
        <f t="shared" si="103"/>
        <v>0</v>
      </c>
      <c r="AA115" s="709">
        <f t="shared" si="103"/>
        <v>0</v>
      </c>
      <c r="AB115" s="709">
        <f t="shared" si="103"/>
        <v>0</v>
      </c>
      <c r="AC115" s="709">
        <f t="shared" si="103"/>
        <v>0</v>
      </c>
      <c r="AD115" s="709">
        <f t="shared" si="103"/>
        <v>0</v>
      </c>
      <c r="AE115" s="709">
        <f t="shared" si="103"/>
        <v>0</v>
      </c>
      <c r="AF115" s="709">
        <f t="shared" si="103"/>
        <v>0</v>
      </c>
      <c r="AG115" s="709">
        <f t="shared" si="103"/>
        <v>0</v>
      </c>
      <c r="AH115" s="709">
        <f t="shared" si="103"/>
        <v>0</v>
      </c>
      <c r="AI115" s="709">
        <f t="shared" si="103"/>
        <v>0</v>
      </c>
      <c r="AJ115" s="709">
        <f t="shared" si="103"/>
        <v>0</v>
      </c>
      <c r="AK115" s="709">
        <f t="shared" si="103"/>
        <v>0</v>
      </c>
      <c r="AL115" s="709">
        <f t="shared" si="103"/>
        <v>0</v>
      </c>
      <c r="AM115" s="709">
        <f t="shared" si="103"/>
        <v>0</v>
      </c>
      <c r="AN115" s="709">
        <f t="shared" ref="AN115:BE115" si="104">AN62</f>
        <v>0</v>
      </c>
      <c r="AO115" s="709">
        <f t="shared" si="104"/>
        <v>0</v>
      </c>
      <c r="AP115" s="709">
        <f t="shared" si="104"/>
        <v>0</v>
      </c>
      <c r="AQ115" s="709">
        <f t="shared" si="104"/>
        <v>0</v>
      </c>
      <c r="AR115" s="709">
        <f t="shared" si="104"/>
        <v>0</v>
      </c>
      <c r="AS115" s="709">
        <f t="shared" si="104"/>
        <v>0</v>
      </c>
      <c r="AT115" s="709">
        <f t="shared" si="104"/>
        <v>0</v>
      </c>
      <c r="AU115" s="709">
        <f t="shared" si="104"/>
        <v>0</v>
      </c>
      <c r="AV115" s="709">
        <f t="shared" si="104"/>
        <v>0</v>
      </c>
      <c r="AW115" s="709">
        <f t="shared" si="104"/>
        <v>0</v>
      </c>
      <c r="AX115" s="709">
        <f t="shared" si="104"/>
        <v>0</v>
      </c>
      <c r="AY115" s="709">
        <f t="shared" si="104"/>
        <v>0</v>
      </c>
      <c r="AZ115" s="709">
        <f t="shared" si="104"/>
        <v>0</v>
      </c>
      <c r="BA115" s="709">
        <f t="shared" si="104"/>
        <v>0</v>
      </c>
      <c r="BB115" s="709">
        <f t="shared" si="104"/>
        <v>0</v>
      </c>
      <c r="BC115" s="709">
        <f t="shared" si="104"/>
        <v>0</v>
      </c>
      <c r="BD115" s="709">
        <f t="shared" si="104"/>
        <v>0</v>
      </c>
      <c r="BE115" s="710">
        <f t="shared" si="104"/>
        <v>0</v>
      </c>
    </row>
    <row r="116" spans="2:57" x14ac:dyDescent="0.2">
      <c r="B116" s="1338"/>
      <c r="C116" s="701" t="str">
        <f t="shared" ref="C116:C132" si="105">C107</f>
        <v>Sterblichkeit (q), nach oben</v>
      </c>
      <c r="D116" s="1169">
        <f>IFERROR(SUMPRODUCT(HE_disc_curve,HE_RFq_sensi_years,H116:BE116)+D$115-SUMPRODUCT(HE_disc_curve,HE_RFq_sensi_years,H$115:BE$115),0)</f>
        <v>0</v>
      </c>
      <c r="E116" s="1181">
        <f>IFERROR(D116/ABS(D115),0)</f>
        <v>0</v>
      </c>
      <c r="F116" s="1175">
        <f>IFERROR(SUMPRODUCT(HE_RFq_sensi_years,H116:BE116)+F$115-SUMPRODUCT(HE_RFq_sensi_years,H$115:BE$115),0)</f>
        <v>0</v>
      </c>
      <c r="G116" s="730">
        <f t="shared" ref="G116:G123" si="106">IFERROR(SUM(H116:BE116),0)</f>
        <v>0</v>
      </c>
      <c r="H116" s="337"/>
      <c r="I116" s="705"/>
      <c r="J116" s="705"/>
      <c r="K116" s="705"/>
      <c r="L116" s="705"/>
      <c r="M116" s="705"/>
      <c r="N116" s="705"/>
      <c r="O116" s="705"/>
      <c r="P116" s="705"/>
      <c r="Q116" s="705"/>
      <c r="R116" s="705"/>
      <c r="S116" s="705"/>
      <c r="T116" s="705"/>
      <c r="U116" s="705"/>
      <c r="V116" s="705"/>
      <c r="W116" s="705"/>
      <c r="X116" s="705"/>
      <c r="Y116" s="705"/>
      <c r="Z116" s="705"/>
      <c r="AA116" s="705"/>
      <c r="AB116" s="705"/>
      <c r="AC116" s="705"/>
      <c r="AD116" s="705"/>
      <c r="AE116" s="705"/>
      <c r="AF116" s="705"/>
      <c r="AG116" s="705"/>
      <c r="AH116" s="705"/>
      <c r="AI116" s="705"/>
      <c r="AJ116" s="705"/>
      <c r="AK116" s="705"/>
      <c r="AL116" s="705"/>
      <c r="AM116" s="705"/>
      <c r="AN116" s="705"/>
      <c r="AO116" s="705"/>
      <c r="AP116" s="705"/>
      <c r="AQ116" s="705"/>
      <c r="AR116" s="705"/>
      <c r="AS116" s="705"/>
      <c r="AT116" s="705"/>
      <c r="AU116" s="705"/>
      <c r="AV116" s="705"/>
      <c r="AW116" s="705"/>
      <c r="AX116" s="705"/>
      <c r="AY116" s="705"/>
      <c r="AZ116" s="705"/>
      <c r="BA116" s="705"/>
      <c r="BB116" s="705"/>
      <c r="BC116" s="705"/>
      <c r="BD116" s="705"/>
      <c r="BE116" s="705"/>
    </row>
    <row r="117" spans="2:57" x14ac:dyDescent="0.2">
      <c r="B117" s="1338"/>
      <c r="C117" s="701" t="str">
        <f t="shared" si="105"/>
        <v>Sterblichkeit (q), nach unten</v>
      </c>
      <c r="D117" s="1169">
        <f>IFERROR(SUMPRODUCT(HE_disc_curve,HE_RFq_sensi_years,H117:BE117)+D$115-SUMPRODUCT(HE_disc_curve,HE_RFq_sensi_years,H$115:BE$115),0)</f>
        <v>0</v>
      </c>
      <c r="E117" s="1181">
        <f>IFERROR(D117/ABS(D115),0)</f>
        <v>0</v>
      </c>
      <c r="F117" s="1175">
        <f>IFERROR(SUMPRODUCT(HE_RFq_sensi_years,H117:BE117)+F$115-SUMPRODUCT(HE_RFq_sensi_years,H$115:BE$115),0)</f>
        <v>0</v>
      </c>
      <c r="G117" s="730">
        <f t="shared" si="106"/>
        <v>0</v>
      </c>
      <c r="H117" s="337"/>
      <c r="I117" s="705"/>
      <c r="J117" s="705"/>
      <c r="K117" s="705"/>
      <c r="L117" s="705"/>
      <c r="M117" s="705"/>
      <c r="N117" s="705"/>
      <c r="O117" s="705"/>
      <c r="P117" s="705"/>
      <c r="Q117" s="705"/>
      <c r="R117" s="705"/>
      <c r="S117" s="705"/>
      <c r="T117" s="705"/>
      <c r="U117" s="705"/>
      <c r="V117" s="705"/>
      <c r="W117" s="705"/>
      <c r="X117" s="705"/>
      <c r="Y117" s="705"/>
      <c r="Z117" s="705"/>
      <c r="AA117" s="705"/>
      <c r="AB117" s="705"/>
      <c r="AC117" s="705"/>
      <c r="AD117" s="705"/>
      <c r="AE117" s="705"/>
      <c r="AF117" s="705"/>
      <c r="AG117" s="705"/>
      <c r="AH117" s="705"/>
      <c r="AI117" s="705"/>
      <c r="AJ117" s="705"/>
      <c r="AK117" s="705"/>
      <c r="AL117" s="705"/>
      <c r="AM117" s="705"/>
      <c r="AN117" s="705"/>
      <c r="AO117" s="705"/>
      <c r="AP117" s="705"/>
      <c r="AQ117" s="705"/>
      <c r="AR117" s="705"/>
      <c r="AS117" s="705"/>
      <c r="AT117" s="705"/>
      <c r="AU117" s="705"/>
      <c r="AV117" s="705"/>
      <c r="AW117" s="705"/>
      <c r="AX117" s="705"/>
      <c r="AY117" s="705"/>
      <c r="AZ117" s="705"/>
      <c r="BA117" s="705"/>
      <c r="BB117" s="705"/>
      <c r="BC117" s="705"/>
      <c r="BD117" s="705"/>
      <c r="BE117" s="705"/>
    </row>
    <row r="118" spans="2:57" x14ac:dyDescent="0.2">
      <c r="B118" s="1338"/>
      <c r="C118" s="701" t="str">
        <f t="shared" si="105"/>
        <v>Storno (s), nach oben</v>
      </c>
      <c r="D118" s="1169">
        <f>IFERROR(SUMPRODUCT(HE_disc_curve,HE_RFs_sensi_years,H118:BE118)+D$115-SUMPRODUCT(HE_disc_curve,HE_RFs_sensi_years,H$115:BE$115),0)</f>
        <v>0</v>
      </c>
      <c r="E118" s="1181">
        <f>IFERROR(D118/ABS(D115),0)</f>
        <v>0</v>
      </c>
      <c r="F118" s="1175">
        <f>IFERROR(SUMPRODUCT(HE_RFs_sensi_years,H118:BE118)+F$115-SUMPRODUCT(HE_RFs_sensi_years,H$115:BE$115),0)</f>
        <v>0</v>
      </c>
      <c r="G118" s="730">
        <f t="shared" si="106"/>
        <v>0</v>
      </c>
      <c r="H118" s="337"/>
      <c r="I118" s="705"/>
      <c r="J118" s="705"/>
      <c r="K118" s="705"/>
      <c r="L118" s="705"/>
      <c r="M118" s="705"/>
      <c r="N118" s="705"/>
      <c r="O118" s="705"/>
      <c r="P118" s="705"/>
      <c r="Q118" s="705"/>
      <c r="R118" s="705"/>
      <c r="S118" s="705"/>
      <c r="T118" s="705"/>
      <c r="U118" s="705"/>
      <c r="V118" s="705"/>
      <c r="W118" s="705"/>
      <c r="X118" s="705"/>
      <c r="Y118" s="705"/>
      <c r="Z118" s="705"/>
      <c r="AA118" s="705"/>
      <c r="AB118" s="705"/>
      <c r="AC118" s="705"/>
      <c r="AD118" s="705"/>
      <c r="AE118" s="705"/>
      <c r="AF118" s="705"/>
      <c r="AG118" s="705"/>
      <c r="AH118" s="705"/>
      <c r="AI118" s="705"/>
      <c r="AJ118" s="705"/>
      <c r="AK118" s="705"/>
      <c r="AL118" s="705"/>
      <c r="AM118" s="705"/>
      <c r="AN118" s="705"/>
      <c r="AO118" s="705"/>
      <c r="AP118" s="705"/>
      <c r="AQ118" s="705"/>
      <c r="AR118" s="705"/>
      <c r="AS118" s="705"/>
      <c r="AT118" s="705"/>
      <c r="AU118" s="705"/>
      <c r="AV118" s="705"/>
      <c r="AW118" s="705"/>
      <c r="AX118" s="705"/>
      <c r="AY118" s="705"/>
      <c r="AZ118" s="705"/>
      <c r="BA118" s="705"/>
      <c r="BB118" s="705"/>
      <c r="BC118" s="705"/>
      <c r="BD118" s="705"/>
      <c r="BE118" s="705"/>
    </row>
    <row r="119" spans="2:57" x14ac:dyDescent="0.2">
      <c r="B119" s="1338"/>
      <c r="C119" s="701" t="str">
        <f t="shared" si="105"/>
        <v>Storno (s), nach unten</v>
      </c>
      <c r="D119" s="1169">
        <f>IFERROR(SUMPRODUCT(HE_disc_curve,HE_RFs_sensi_years,H119:BE119)+D$115-SUMPRODUCT(HE_disc_curve,HE_RFs_sensi_years,H$115:BE$115),0)</f>
        <v>0</v>
      </c>
      <c r="E119" s="1181">
        <f>IFERROR(D119/ABS(D115),0)</f>
        <v>0</v>
      </c>
      <c r="F119" s="1175">
        <f>IFERROR(SUMPRODUCT(HE_RFs_sensi_years,H119:BE119)+F$115-SUMPRODUCT(HE_RFs_sensi_years,H$115:BE$115),0)</f>
        <v>0</v>
      </c>
      <c r="G119" s="730">
        <f t="shared" si="106"/>
        <v>0</v>
      </c>
      <c r="H119" s="337"/>
      <c r="I119" s="705"/>
      <c r="J119" s="705"/>
      <c r="K119" s="705"/>
      <c r="L119" s="705"/>
      <c r="M119" s="705"/>
      <c r="N119" s="705"/>
      <c r="O119" s="705"/>
      <c r="P119" s="705"/>
      <c r="Q119" s="705"/>
      <c r="R119" s="705"/>
      <c r="S119" s="705"/>
      <c r="T119" s="705"/>
      <c r="U119" s="705"/>
      <c r="V119" s="705"/>
      <c r="W119" s="705"/>
      <c r="X119" s="705"/>
      <c r="Y119" s="705"/>
      <c r="Z119" s="705"/>
      <c r="AA119" s="705"/>
      <c r="AB119" s="705"/>
      <c r="AC119" s="705"/>
      <c r="AD119" s="705"/>
      <c r="AE119" s="705"/>
      <c r="AF119" s="705"/>
      <c r="AG119" s="705"/>
      <c r="AH119" s="705"/>
      <c r="AI119" s="705"/>
      <c r="AJ119" s="705"/>
      <c r="AK119" s="705"/>
      <c r="AL119" s="705"/>
      <c r="AM119" s="705"/>
      <c r="AN119" s="705"/>
      <c r="AO119" s="705"/>
      <c r="AP119" s="705"/>
      <c r="AQ119" s="705"/>
      <c r="AR119" s="705"/>
      <c r="AS119" s="705"/>
      <c r="AT119" s="705"/>
      <c r="AU119" s="705"/>
      <c r="AV119" s="705"/>
      <c r="AW119" s="705"/>
      <c r="AX119" s="705"/>
      <c r="AY119" s="705"/>
      <c r="AZ119" s="705"/>
      <c r="BA119" s="705"/>
      <c r="BB119" s="705"/>
      <c r="BC119" s="705"/>
      <c r="BD119" s="705"/>
      <c r="BE119" s="705"/>
    </row>
    <row r="120" spans="2:57" x14ac:dyDescent="0.2">
      <c r="B120" s="1338"/>
      <c r="C120" s="701" t="str">
        <f t="shared" si="105"/>
        <v>Kosten (k), nach oben</v>
      </c>
      <c r="D120" s="1169">
        <f>IFERROR(SUMPRODUCT(HE_disc_curve,HE_RFk_sensi_years,H120:BE120)+D$115-SUMPRODUCT(HE_disc_curve,HE_RFk_sensi_years,H$115:BE$115),0)</f>
        <v>0</v>
      </c>
      <c r="E120" s="1181">
        <f>IFERROR(D120/ABS(D115),0)</f>
        <v>0</v>
      </c>
      <c r="F120" s="1175">
        <f>IFERROR(SUMPRODUCT(HE_RFk_sensi_years,H120:BE120)+F$115-SUMPRODUCT(HE_RFk_sensi_years,H$115:BE$115),0)</f>
        <v>0</v>
      </c>
      <c r="G120" s="730">
        <f t="shared" si="106"/>
        <v>0</v>
      </c>
      <c r="H120" s="337"/>
      <c r="I120" s="705"/>
      <c r="J120" s="705"/>
      <c r="K120" s="705"/>
      <c r="L120" s="705"/>
      <c r="M120" s="705"/>
      <c r="N120" s="705"/>
      <c r="O120" s="705"/>
      <c r="P120" s="705"/>
      <c r="Q120" s="705"/>
      <c r="R120" s="705"/>
      <c r="S120" s="705"/>
      <c r="T120" s="705"/>
      <c r="U120" s="705"/>
      <c r="V120" s="705"/>
      <c r="W120" s="705"/>
      <c r="X120" s="705"/>
      <c r="Y120" s="705"/>
      <c r="Z120" s="705"/>
      <c r="AA120" s="705"/>
      <c r="AB120" s="705"/>
      <c r="AC120" s="705"/>
      <c r="AD120" s="705"/>
      <c r="AE120" s="705"/>
      <c r="AF120" s="705"/>
      <c r="AG120" s="705"/>
      <c r="AH120" s="705"/>
      <c r="AI120" s="705"/>
      <c r="AJ120" s="705"/>
      <c r="AK120" s="705"/>
      <c r="AL120" s="705"/>
      <c r="AM120" s="705"/>
      <c r="AN120" s="705"/>
      <c r="AO120" s="705"/>
      <c r="AP120" s="705"/>
      <c r="AQ120" s="705"/>
      <c r="AR120" s="705"/>
      <c r="AS120" s="705"/>
      <c r="AT120" s="705"/>
      <c r="AU120" s="705"/>
      <c r="AV120" s="705"/>
      <c r="AW120" s="705"/>
      <c r="AX120" s="705"/>
      <c r="AY120" s="705"/>
      <c r="AZ120" s="705"/>
      <c r="BA120" s="705"/>
      <c r="BB120" s="705"/>
      <c r="BC120" s="705"/>
      <c r="BD120" s="705"/>
      <c r="BE120" s="705"/>
    </row>
    <row r="121" spans="2:57" x14ac:dyDescent="0.2">
      <c r="B121" s="1338"/>
      <c r="C121" s="700" t="str">
        <f t="shared" si="105"/>
        <v>Kosten (k), nach unten</v>
      </c>
      <c r="D121" s="1169">
        <f>IFERROR(SUMPRODUCT(HE_disc_curve,HE_RFk_sensi_years,H121:BE121)+D$115-SUMPRODUCT(HE_disc_curve,HE_RFk_sensi_years,H$115:BE$115),0)</f>
        <v>0</v>
      </c>
      <c r="E121" s="1182">
        <f>IFERROR(D121/ABS(D115),0)</f>
        <v>0</v>
      </c>
      <c r="F121" s="1175">
        <f>IFERROR(SUMPRODUCT(HE_RFk_sensi_years,H121:BE121)+F$115-SUMPRODUCT(HE_RFk_sensi_years,H$115:BE$115),0)</f>
        <v>0</v>
      </c>
      <c r="G121" s="730">
        <f t="shared" si="106"/>
        <v>0</v>
      </c>
      <c r="H121" s="337"/>
      <c r="I121" s="705"/>
      <c r="J121" s="705"/>
      <c r="K121" s="705"/>
      <c r="L121" s="705"/>
      <c r="M121" s="705"/>
      <c r="N121" s="705"/>
      <c r="O121" s="705"/>
      <c r="P121" s="705"/>
      <c r="Q121" s="705"/>
      <c r="R121" s="705"/>
      <c r="S121" s="705"/>
      <c r="T121" s="705"/>
      <c r="U121" s="705"/>
      <c r="V121" s="705"/>
      <c r="W121" s="705"/>
      <c r="X121" s="705"/>
      <c r="Y121" s="705"/>
      <c r="Z121" s="705"/>
      <c r="AA121" s="705"/>
      <c r="AB121" s="705"/>
      <c r="AC121" s="705"/>
      <c r="AD121" s="705"/>
      <c r="AE121" s="705"/>
      <c r="AF121" s="705"/>
      <c r="AG121" s="705"/>
      <c r="AH121" s="705"/>
      <c r="AI121" s="705"/>
      <c r="AJ121" s="705"/>
      <c r="AK121" s="705"/>
      <c r="AL121" s="705"/>
      <c r="AM121" s="705"/>
      <c r="AN121" s="705"/>
      <c r="AO121" s="705"/>
      <c r="AP121" s="705"/>
      <c r="AQ121" s="705"/>
      <c r="AR121" s="705"/>
      <c r="AS121" s="705"/>
      <c r="AT121" s="705"/>
      <c r="AU121" s="705"/>
      <c r="AV121" s="705"/>
      <c r="AW121" s="705"/>
      <c r="AX121" s="705"/>
      <c r="AY121" s="705"/>
      <c r="AZ121" s="705"/>
      <c r="BA121" s="705"/>
      <c r="BB121" s="705"/>
      <c r="BC121" s="705"/>
      <c r="BD121" s="705"/>
      <c r="BE121" s="705"/>
    </row>
    <row r="122" spans="2:57" x14ac:dyDescent="0.2">
      <c r="B122" s="1338"/>
      <c r="C122" s="700" t="str">
        <f t="shared" si="105"/>
        <v>Leistungen (l), nach oben</v>
      </c>
      <c r="D122" s="1169">
        <f>IFERROR(SUMPRODUCT(HE_disc_curve,HE_RFl_sensi_years,H122:BE122)+D$115-SUMPRODUCT(HE_disc_curve,HE_RFl_sensi_years,H$115:BE$115),0)</f>
        <v>0</v>
      </c>
      <c r="E122" s="1182">
        <f>IFERROR(D122/ABS(D115),0)</f>
        <v>0</v>
      </c>
      <c r="F122" s="1175">
        <f>IFERROR(SUMPRODUCT(HE_RFl_sensi_years,H122:BE122)+F$115-SUMPRODUCT(HE_RFl_sensi_years,H$115:BE$115),0)</f>
        <v>0</v>
      </c>
      <c r="G122" s="730">
        <f t="shared" si="106"/>
        <v>0</v>
      </c>
      <c r="H122" s="337"/>
      <c r="I122" s="705"/>
      <c r="J122" s="705"/>
      <c r="K122" s="705"/>
      <c r="L122" s="705"/>
      <c r="M122" s="705"/>
      <c r="N122" s="705"/>
      <c r="O122" s="705"/>
      <c r="P122" s="705"/>
      <c r="Q122" s="705"/>
      <c r="R122" s="705"/>
      <c r="S122" s="705"/>
      <c r="T122" s="705"/>
      <c r="U122" s="705"/>
      <c r="V122" s="705"/>
      <c r="W122" s="705"/>
      <c r="X122" s="705"/>
      <c r="Y122" s="705"/>
      <c r="Z122" s="705"/>
      <c r="AA122" s="705"/>
      <c r="AB122" s="705"/>
      <c r="AC122" s="705"/>
      <c r="AD122" s="705"/>
      <c r="AE122" s="705"/>
      <c r="AF122" s="705"/>
      <c r="AG122" s="705"/>
      <c r="AH122" s="705"/>
      <c r="AI122" s="705"/>
      <c r="AJ122" s="705"/>
      <c r="AK122" s="705"/>
      <c r="AL122" s="705"/>
      <c r="AM122" s="705"/>
      <c r="AN122" s="705"/>
      <c r="AO122" s="705"/>
      <c r="AP122" s="705"/>
      <c r="AQ122" s="705"/>
      <c r="AR122" s="705"/>
      <c r="AS122" s="705"/>
      <c r="AT122" s="705"/>
      <c r="AU122" s="705"/>
      <c r="AV122" s="705"/>
      <c r="AW122" s="705"/>
      <c r="AX122" s="705"/>
      <c r="AY122" s="705"/>
      <c r="AZ122" s="705"/>
      <c r="BA122" s="705"/>
      <c r="BB122" s="705"/>
      <c r="BC122" s="705"/>
      <c r="BD122" s="705"/>
      <c r="BE122" s="705"/>
    </row>
    <row r="123" spans="2:57" x14ac:dyDescent="0.2">
      <c r="B123" s="1338"/>
      <c r="C123" s="787" t="str">
        <f t="shared" si="105"/>
        <v>Leistungen (l), nach unten</v>
      </c>
      <c r="D123" s="1170">
        <f>IFERROR(SUMPRODUCT(HE_disc_curve,HE_RFl_sensi_years,H123:BE123)+D$115-SUMPRODUCT(HE_disc_curve,HE_RFl_sensi_years,H$115:BE$115),0)</f>
        <v>0</v>
      </c>
      <c r="E123" s="1182">
        <f>IFERROR(D123/ABS(D115),0)</f>
        <v>0</v>
      </c>
      <c r="F123" s="1176">
        <f>IFERROR(SUMPRODUCT(HE_RFl_sensi_years,H123:BE123)+F$115-SUMPRODUCT(HE_RFl_sensi_years,H$115:BE$115),0)</f>
        <v>0</v>
      </c>
      <c r="G123" s="730">
        <f t="shared" si="106"/>
        <v>0</v>
      </c>
      <c r="H123" s="337"/>
      <c r="I123" s="705"/>
      <c r="J123" s="705"/>
      <c r="K123" s="705"/>
      <c r="L123" s="705"/>
      <c r="M123" s="705"/>
      <c r="N123" s="705"/>
      <c r="O123" s="705"/>
      <c r="P123" s="705"/>
      <c r="Q123" s="705"/>
      <c r="R123" s="705"/>
      <c r="S123" s="705"/>
      <c r="T123" s="705"/>
      <c r="U123" s="705"/>
      <c r="V123" s="705"/>
      <c r="W123" s="705"/>
      <c r="X123" s="705"/>
      <c r="Y123" s="705"/>
      <c r="Z123" s="705"/>
      <c r="AA123" s="705"/>
      <c r="AB123" s="705"/>
      <c r="AC123" s="705"/>
      <c r="AD123" s="705"/>
      <c r="AE123" s="705"/>
      <c r="AF123" s="705"/>
      <c r="AG123" s="705"/>
      <c r="AH123" s="705"/>
      <c r="AI123" s="705"/>
      <c r="AJ123" s="705"/>
      <c r="AK123" s="705"/>
      <c r="AL123" s="705"/>
      <c r="AM123" s="705"/>
      <c r="AN123" s="705"/>
      <c r="AO123" s="705"/>
      <c r="AP123" s="705"/>
      <c r="AQ123" s="705"/>
      <c r="AR123" s="705"/>
      <c r="AS123" s="705"/>
      <c r="AT123" s="705"/>
      <c r="AU123" s="705"/>
      <c r="AV123" s="705"/>
      <c r="AW123" s="705"/>
      <c r="AX123" s="705"/>
      <c r="AY123" s="705"/>
      <c r="AZ123" s="705"/>
      <c r="BA123" s="705"/>
      <c r="BB123" s="705"/>
      <c r="BC123" s="705"/>
      <c r="BD123" s="705"/>
      <c r="BE123" s="705"/>
    </row>
    <row r="124" spans="2:57" s="554" customFormat="1" x14ac:dyDescent="0.2">
      <c r="B124" s="1346" t="str">
        <f>B22</f>
        <v>Zusammenzug</v>
      </c>
      <c r="C124" s="701" t="str">
        <f>C106</f>
        <v>Basisfall - ohne Auslenkung</v>
      </c>
      <c r="D124" s="1171">
        <f>IFERROR(SUMPRODUCT(HE_disc_curve,H124:BE124),0)</f>
        <v>0</v>
      </c>
      <c r="E124" s="1183">
        <f>IFERROR(D124/ABS(D124),0)</f>
        <v>0</v>
      </c>
      <c r="F124" s="1187">
        <f>IFERROR(SUM(H124:BE124),0)</f>
        <v>0</v>
      </c>
      <c r="G124" s="757">
        <f t="shared" ref="G124:H124" si="107">G106+G115</f>
        <v>0</v>
      </c>
      <c r="H124" s="758">
        <f t="shared" si="107"/>
        <v>0</v>
      </c>
      <c r="I124" s="759">
        <f t="shared" ref="I124:BE124" si="108">I106+I115</f>
        <v>0</v>
      </c>
      <c r="J124" s="759">
        <f t="shared" si="108"/>
        <v>0</v>
      </c>
      <c r="K124" s="759">
        <f t="shared" si="108"/>
        <v>0</v>
      </c>
      <c r="L124" s="759">
        <f t="shared" si="108"/>
        <v>0</v>
      </c>
      <c r="M124" s="759">
        <f t="shared" si="108"/>
        <v>0</v>
      </c>
      <c r="N124" s="759">
        <f t="shared" si="108"/>
        <v>0</v>
      </c>
      <c r="O124" s="759">
        <f t="shared" si="108"/>
        <v>0</v>
      </c>
      <c r="P124" s="759">
        <f t="shared" si="108"/>
        <v>0</v>
      </c>
      <c r="Q124" s="759">
        <f t="shared" si="108"/>
        <v>0</v>
      </c>
      <c r="R124" s="759">
        <f t="shared" si="108"/>
        <v>0</v>
      </c>
      <c r="S124" s="759">
        <f t="shared" si="108"/>
        <v>0</v>
      </c>
      <c r="T124" s="759">
        <f t="shared" si="108"/>
        <v>0</v>
      </c>
      <c r="U124" s="759">
        <f t="shared" si="108"/>
        <v>0</v>
      </c>
      <c r="V124" s="759">
        <f t="shared" si="108"/>
        <v>0</v>
      </c>
      <c r="W124" s="759">
        <f t="shared" si="108"/>
        <v>0</v>
      </c>
      <c r="X124" s="759">
        <f t="shared" si="108"/>
        <v>0</v>
      </c>
      <c r="Y124" s="759">
        <f t="shared" si="108"/>
        <v>0</v>
      </c>
      <c r="Z124" s="759">
        <f t="shared" si="108"/>
        <v>0</v>
      </c>
      <c r="AA124" s="759">
        <f t="shared" si="108"/>
        <v>0</v>
      </c>
      <c r="AB124" s="759">
        <f t="shared" si="108"/>
        <v>0</v>
      </c>
      <c r="AC124" s="759">
        <f t="shared" si="108"/>
        <v>0</v>
      </c>
      <c r="AD124" s="759">
        <f t="shared" si="108"/>
        <v>0</v>
      </c>
      <c r="AE124" s="759">
        <f t="shared" si="108"/>
        <v>0</v>
      </c>
      <c r="AF124" s="759">
        <f t="shared" si="108"/>
        <v>0</v>
      </c>
      <c r="AG124" s="759">
        <f t="shared" si="108"/>
        <v>0</v>
      </c>
      <c r="AH124" s="759">
        <f t="shared" si="108"/>
        <v>0</v>
      </c>
      <c r="AI124" s="759">
        <f t="shared" si="108"/>
        <v>0</v>
      </c>
      <c r="AJ124" s="759">
        <f t="shared" si="108"/>
        <v>0</v>
      </c>
      <c r="AK124" s="759">
        <f t="shared" si="108"/>
        <v>0</v>
      </c>
      <c r="AL124" s="759">
        <f t="shared" si="108"/>
        <v>0</v>
      </c>
      <c r="AM124" s="759">
        <f t="shared" si="108"/>
        <v>0</v>
      </c>
      <c r="AN124" s="759">
        <f t="shared" si="108"/>
        <v>0</v>
      </c>
      <c r="AO124" s="759">
        <f t="shared" si="108"/>
        <v>0</v>
      </c>
      <c r="AP124" s="759">
        <f t="shared" si="108"/>
        <v>0</v>
      </c>
      <c r="AQ124" s="759">
        <f t="shared" si="108"/>
        <v>0</v>
      </c>
      <c r="AR124" s="759">
        <f t="shared" si="108"/>
        <v>0</v>
      </c>
      <c r="AS124" s="759">
        <f t="shared" si="108"/>
        <v>0</v>
      </c>
      <c r="AT124" s="759">
        <f t="shared" si="108"/>
        <v>0</v>
      </c>
      <c r="AU124" s="759">
        <f t="shared" si="108"/>
        <v>0</v>
      </c>
      <c r="AV124" s="759">
        <f t="shared" si="108"/>
        <v>0</v>
      </c>
      <c r="AW124" s="759">
        <f t="shared" si="108"/>
        <v>0</v>
      </c>
      <c r="AX124" s="759">
        <f t="shared" si="108"/>
        <v>0</v>
      </c>
      <c r="AY124" s="759">
        <f t="shared" si="108"/>
        <v>0</v>
      </c>
      <c r="AZ124" s="759">
        <f t="shared" si="108"/>
        <v>0</v>
      </c>
      <c r="BA124" s="759">
        <f t="shared" si="108"/>
        <v>0</v>
      </c>
      <c r="BB124" s="759">
        <f t="shared" si="108"/>
        <v>0</v>
      </c>
      <c r="BC124" s="759">
        <f t="shared" si="108"/>
        <v>0</v>
      </c>
      <c r="BD124" s="759">
        <f t="shared" si="108"/>
        <v>0</v>
      </c>
      <c r="BE124" s="760">
        <f t="shared" si="108"/>
        <v>0</v>
      </c>
    </row>
    <row r="125" spans="2:57" s="554" customFormat="1" x14ac:dyDescent="0.2">
      <c r="B125" s="1347"/>
      <c r="C125" s="701" t="str">
        <f t="shared" si="105"/>
        <v>Sterblichkeit (q), nach oben</v>
      </c>
      <c r="D125" s="1172">
        <f>IFERROR(SUMPRODUCT(HE_disc_curve,HE_RFq_sensi_years,H125:BE125)+D$124-SUMPRODUCT(HE_disc_curve,HE_RFq_sensi_years,H$124:BE$124),0)</f>
        <v>0</v>
      </c>
      <c r="E125" s="1184">
        <f>IFERROR(D125/ABS(D124),0)</f>
        <v>0</v>
      </c>
      <c r="F125" s="1175">
        <f>IFERROR(SUMPRODUCT(HE_RFq_sensi_years,H125:BE125)+F$124-SUMPRODUCT(HE_RFq_sensi_years,H$124:BE$124),0)</f>
        <v>0</v>
      </c>
      <c r="G125" s="788">
        <f t="shared" ref="G125:H132" si="109">G107+G116</f>
        <v>0</v>
      </c>
      <c r="H125" s="789">
        <f t="shared" si="109"/>
        <v>0</v>
      </c>
      <c r="I125" s="790">
        <f t="shared" ref="I125:BE125" si="110">I107+I116</f>
        <v>0</v>
      </c>
      <c r="J125" s="790">
        <f t="shared" si="110"/>
        <v>0</v>
      </c>
      <c r="K125" s="790">
        <f t="shared" si="110"/>
        <v>0</v>
      </c>
      <c r="L125" s="790">
        <f t="shared" si="110"/>
        <v>0</v>
      </c>
      <c r="M125" s="790">
        <f t="shared" si="110"/>
        <v>0</v>
      </c>
      <c r="N125" s="790">
        <f t="shared" si="110"/>
        <v>0</v>
      </c>
      <c r="O125" s="790">
        <f t="shared" si="110"/>
        <v>0</v>
      </c>
      <c r="P125" s="790">
        <f t="shared" si="110"/>
        <v>0</v>
      </c>
      <c r="Q125" s="790">
        <f t="shared" si="110"/>
        <v>0</v>
      </c>
      <c r="R125" s="790">
        <f t="shared" si="110"/>
        <v>0</v>
      </c>
      <c r="S125" s="790">
        <f t="shared" si="110"/>
        <v>0</v>
      </c>
      <c r="T125" s="790">
        <f t="shared" si="110"/>
        <v>0</v>
      </c>
      <c r="U125" s="790">
        <f t="shared" si="110"/>
        <v>0</v>
      </c>
      <c r="V125" s="790">
        <f t="shared" si="110"/>
        <v>0</v>
      </c>
      <c r="W125" s="790">
        <f t="shared" si="110"/>
        <v>0</v>
      </c>
      <c r="X125" s="790">
        <f t="shared" si="110"/>
        <v>0</v>
      </c>
      <c r="Y125" s="790">
        <f t="shared" si="110"/>
        <v>0</v>
      </c>
      <c r="Z125" s="790">
        <f t="shared" si="110"/>
        <v>0</v>
      </c>
      <c r="AA125" s="790">
        <f t="shared" si="110"/>
        <v>0</v>
      </c>
      <c r="AB125" s="790">
        <f t="shared" si="110"/>
        <v>0</v>
      </c>
      <c r="AC125" s="790">
        <f t="shared" si="110"/>
        <v>0</v>
      </c>
      <c r="AD125" s="790">
        <f t="shared" si="110"/>
        <v>0</v>
      </c>
      <c r="AE125" s="790">
        <f t="shared" si="110"/>
        <v>0</v>
      </c>
      <c r="AF125" s="790">
        <f t="shared" si="110"/>
        <v>0</v>
      </c>
      <c r="AG125" s="790">
        <f t="shared" si="110"/>
        <v>0</v>
      </c>
      <c r="AH125" s="790">
        <f t="shared" si="110"/>
        <v>0</v>
      </c>
      <c r="AI125" s="790">
        <f t="shared" si="110"/>
        <v>0</v>
      </c>
      <c r="AJ125" s="790">
        <f t="shared" si="110"/>
        <v>0</v>
      </c>
      <c r="AK125" s="790">
        <f t="shared" si="110"/>
        <v>0</v>
      </c>
      <c r="AL125" s="790">
        <f t="shared" si="110"/>
        <v>0</v>
      </c>
      <c r="AM125" s="790">
        <f t="shared" si="110"/>
        <v>0</v>
      </c>
      <c r="AN125" s="790">
        <f t="shared" si="110"/>
        <v>0</v>
      </c>
      <c r="AO125" s="790">
        <f t="shared" si="110"/>
        <v>0</v>
      </c>
      <c r="AP125" s="790">
        <f t="shared" si="110"/>
        <v>0</v>
      </c>
      <c r="AQ125" s="790">
        <f t="shared" si="110"/>
        <v>0</v>
      </c>
      <c r="AR125" s="790">
        <f t="shared" si="110"/>
        <v>0</v>
      </c>
      <c r="AS125" s="790">
        <f t="shared" si="110"/>
        <v>0</v>
      </c>
      <c r="AT125" s="790">
        <f t="shared" si="110"/>
        <v>0</v>
      </c>
      <c r="AU125" s="790">
        <f t="shared" si="110"/>
        <v>0</v>
      </c>
      <c r="AV125" s="790">
        <f t="shared" si="110"/>
        <v>0</v>
      </c>
      <c r="AW125" s="790">
        <f t="shared" si="110"/>
        <v>0</v>
      </c>
      <c r="AX125" s="790">
        <f t="shared" si="110"/>
        <v>0</v>
      </c>
      <c r="AY125" s="790">
        <f t="shared" si="110"/>
        <v>0</v>
      </c>
      <c r="AZ125" s="790">
        <f t="shared" si="110"/>
        <v>0</v>
      </c>
      <c r="BA125" s="790">
        <f t="shared" si="110"/>
        <v>0</v>
      </c>
      <c r="BB125" s="790">
        <f t="shared" si="110"/>
        <v>0</v>
      </c>
      <c r="BC125" s="790">
        <f t="shared" si="110"/>
        <v>0</v>
      </c>
      <c r="BD125" s="790">
        <f t="shared" si="110"/>
        <v>0</v>
      </c>
      <c r="BE125" s="791">
        <f t="shared" si="110"/>
        <v>0</v>
      </c>
    </row>
    <row r="126" spans="2:57" s="554" customFormat="1" x14ac:dyDescent="0.2">
      <c r="B126" s="1347"/>
      <c r="C126" s="701" t="str">
        <f t="shared" si="105"/>
        <v>Sterblichkeit (q), nach unten</v>
      </c>
      <c r="D126" s="1172">
        <f>IFERROR(SUMPRODUCT(HE_disc_curve,HE_RFq_sensi_years,H126:BE126)+D$124-SUMPRODUCT(HE_disc_curve,HE_RFq_sensi_years,H$124:BE$124),0)</f>
        <v>0</v>
      </c>
      <c r="E126" s="1184">
        <f>IFERROR(D126/ABS(D124),0)</f>
        <v>0</v>
      </c>
      <c r="F126" s="1175">
        <f>IFERROR(SUMPRODUCT(HE_RFq_sensi_years,H126:BE126)+F$124-SUMPRODUCT(HE_RFq_sensi_years,H$124:BE$124),0)</f>
        <v>0</v>
      </c>
      <c r="G126" s="788">
        <f t="shared" si="109"/>
        <v>0</v>
      </c>
      <c r="H126" s="789">
        <f t="shared" si="109"/>
        <v>0</v>
      </c>
      <c r="I126" s="790">
        <f t="shared" ref="I126:BE126" si="111">I108+I117</f>
        <v>0</v>
      </c>
      <c r="J126" s="790">
        <f t="shared" si="111"/>
        <v>0</v>
      </c>
      <c r="K126" s="790">
        <f t="shared" si="111"/>
        <v>0</v>
      </c>
      <c r="L126" s="790">
        <f t="shared" si="111"/>
        <v>0</v>
      </c>
      <c r="M126" s="790">
        <f t="shared" si="111"/>
        <v>0</v>
      </c>
      <c r="N126" s="790">
        <f t="shared" si="111"/>
        <v>0</v>
      </c>
      <c r="O126" s="790">
        <f t="shared" si="111"/>
        <v>0</v>
      </c>
      <c r="P126" s="790">
        <f t="shared" si="111"/>
        <v>0</v>
      </c>
      <c r="Q126" s="790">
        <f t="shared" si="111"/>
        <v>0</v>
      </c>
      <c r="R126" s="790">
        <f t="shared" si="111"/>
        <v>0</v>
      </c>
      <c r="S126" s="790">
        <f t="shared" si="111"/>
        <v>0</v>
      </c>
      <c r="T126" s="790">
        <f t="shared" si="111"/>
        <v>0</v>
      </c>
      <c r="U126" s="790">
        <f t="shared" si="111"/>
        <v>0</v>
      </c>
      <c r="V126" s="790">
        <f t="shared" si="111"/>
        <v>0</v>
      </c>
      <c r="W126" s="790">
        <f t="shared" si="111"/>
        <v>0</v>
      </c>
      <c r="X126" s="790">
        <f t="shared" si="111"/>
        <v>0</v>
      </c>
      <c r="Y126" s="790">
        <f t="shared" si="111"/>
        <v>0</v>
      </c>
      <c r="Z126" s="790">
        <f t="shared" si="111"/>
        <v>0</v>
      </c>
      <c r="AA126" s="790">
        <f t="shared" si="111"/>
        <v>0</v>
      </c>
      <c r="AB126" s="790">
        <f t="shared" si="111"/>
        <v>0</v>
      </c>
      <c r="AC126" s="790">
        <f t="shared" si="111"/>
        <v>0</v>
      </c>
      <c r="AD126" s="790">
        <f t="shared" si="111"/>
        <v>0</v>
      </c>
      <c r="AE126" s="790">
        <f t="shared" si="111"/>
        <v>0</v>
      </c>
      <c r="AF126" s="790">
        <f t="shared" si="111"/>
        <v>0</v>
      </c>
      <c r="AG126" s="790">
        <f t="shared" si="111"/>
        <v>0</v>
      </c>
      <c r="AH126" s="790">
        <f t="shared" si="111"/>
        <v>0</v>
      </c>
      <c r="AI126" s="790">
        <f t="shared" si="111"/>
        <v>0</v>
      </c>
      <c r="AJ126" s="790">
        <f t="shared" si="111"/>
        <v>0</v>
      </c>
      <c r="AK126" s="790">
        <f t="shared" si="111"/>
        <v>0</v>
      </c>
      <c r="AL126" s="790">
        <f t="shared" si="111"/>
        <v>0</v>
      </c>
      <c r="AM126" s="790">
        <f t="shared" si="111"/>
        <v>0</v>
      </c>
      <c r="AN126" s="790">
        <f t="shared" si="111"/>
        <v>0</v>
      </c>
      <c r="AO126" s="790">
        <f t="shared" si="111"/>
        <v>0</v>
      </c>
      <c r="AP126" s="790">
        <f t="shared" si="111"/>
        <v>0</v>
      </c>
      <c r="AQ126" s="790">
        <f t="shared" si="111"/>
        <v>0</v>
      </c>
      <c r="AR126" s="790">
        <f t="shared" si="111"/>
        <v>0</v>
      </c>
      <c r="AS126" s="790">
        <f t="shared" si="111"/>
        <v>0</v>
      </c>
      <c r="AT126" s="790">
        <f t="shared" si="111"/>
        <v>0</v>
      </c>
      <c r="AU126" s="790">
        <f t="shared" si="111"/>
        <v>0</v>
      </c>
      <c r="AV126" s="790">
        <f t="shared" si="111"/>
        <v>0</v>
      </c>
      <c r="AW126" s="790">
        <f t="shared" si="111"/>
        <v>0</v>
      </c>
      <c r="AX126" s="790">
        <f t="shared" si="111"/>
        <v>0</v>
      </c>
      <c r="AY126" s="790">
        <f t="shared" si="111"/>
        <v>0</v>
      </c>
      <c r="AZ126" s="790">
        <f t="shared" si="111"/>
        <v>0</v>
      </c>
      <c r="BA126" s="790">
        <f t="shared" si="111"/>
        <v>0</v>
      </c>
      <c r="BB126" s="790">
        <f t="shared" si="111"/>
        <v>0</v>
      </c>
      <c r="BC126" s="790">
        <f t="shared" si="111"/>
        <v>0</v>
      </c>
      <c r="BD126" s="790">
        <f t="shared" si="111"/>
        <v>0</v>
      </c>
      <c r="BE126" s="791">
        <f t="shared" si="111"/>
        <v>0</v>
      </c>
    </row>
    <row r="127" spans="2:57" s="554" customFormat="1" x14ac:dyDescent="0.2">
      <c r="B127" s="1347"/>
      <c r="C127" s="701" t="str">
        <f t="shared" si="105"/>
        <v>Storno (s), nach oben</v>
      </c>
      <c r="D127" s="1172">
        <f>IFERROR(SUMPRODUCT(HE_disc_curve,HE_RFs_sensi_years,H127:BE127)+D$124-SUMPRODUCT(HE_disc_curve,HE_RFs_sensi_years,H$124:BE$124),0)</f>
        <v>0</v>
      </c>
      <c r="E127" s="1184">
        <f>IFERROR(D127/ABS(D124),0)</f>
        <v>0</v>
      </c>
      <c r="F127" s="1175">
        <f>IFERROR(SUMPRODUCT(HE_RFs_sensi_years,H127:BE127)+F$124-SUMPRODUCT(HE_RFs_sensi_years,H$124:BE$124),0)</f>
        <v>0</v>
      </c>
      <c r="G127" s="788">
        <f t="shared" si="109"/>
        <v>0</v>
      </c>
      <c r="H127" s="789">
        <f t="shared" si="109"/>
        <v>0</v>
      </c>
      <c r="I127" s="790">
        <f t="shared" ref="I127:BE127" si="112">I109+I118</f>
        <v>0</v>
      </c>
      <c r="J127" s="790">
        <f t="shared" si="112"/>
        <v>0</v>
      </c>
      <c r="K127" s="790">
        <f t="shared" si="112"/>
        <v>0</v>
      </c>
      <c r="L127" s="790">
        <f t="shared" si="112"/>
        <v>0</v>
      </c>
      <c r="M127" s="790">
        <f t="shared" si="112"/>
        <v>0</v>
      </c>
      <c r="N127" s="790">
        <f t="shared" si="112"/>
        <v>0</v>
      </c>
      <c r="O127" s="790">
        <f t="shared" si="112"/>
        <v>0</v>
      </c>
      <c r="P127" s="790">
        <f t="shared" si="112"/>
        <v>0</v>
      </c>
      <c r="Q127" s="790">
        <f t="shared" si="112"/>
        <v>0</v>
      </c>
      <c r="R127" s="790">
        <f t="shared" si="112"/>
        <v>0</v>
      </c>
      <c r="S127" s="790">
        <f t="shared" si="112"/>
        <v>0</v>
      </c>
      <c r="T127" s="790">
        <f t="shared" si="112"/>
        <v>0</v>
      </c>
      <c r="U127" s="790">
        <f t="shared" si="112"/>
        <v>0</v>
      </c>
      <c r="V127" s="790">
        <f t="shared" si="112"/>
        <v>0</v>
      </c>
      <c r="W127" s="790">
        <f t="shared" si="112"/>
        <v>0</v>
      </c>
      <c r="X127" s="790">
        <f t="shared" si="112"/>
        <v>0</v>
      </c>
      <c r="Y127" s="790">
        <f t="shared" si="112"/>
        <v>0</v>
      </c>
      <c r="Z127" s="790">
        <f t="shared" si="112"/>
        <v>0</v>
      </c>
      <c r="AA127" s="790">
        <f t="shared" si="112"/>
        <v>0</v>
      </c>
      <c r="AB127" s="790">
        <f t="shared" si="112"/>
        <v>0</v>
      </c>
      <c r="AC127" s="790">
        <f t="shared" si="112"/>
        <v>0</v>
      </c>
      <c r="AD127" s="790">
        <f t="shared" si="112"/>
        <v>0</v>
      </c>
      <c r="AE127" s="790">
        <f t="shared" si="112"/>
        <v>0</v>
      </c>
      <c r="AF127" s="790">
        <f t="shared" si="112"/>
        <v>0</v>
      </c>
      <c r="AG127" s="790">
        <f t="shared" si="112"/>
        <v>0</v>
      </c>
      <c r="AH127" s="790">
        <f t="shared" si="112"/>
        <v>0</v>
      </c>
      <c r="AI127" s="790">
        <f t="shared" si="112"/>
        <v>0</v>
      </c>
      <c r="AJ127" s="790">
        <f t="shared" si="112"/>
        <v>0</v>
      </c>
      <c r="AK127" s="790">
        <f t="shared" si="112"/>
        <v>0</v>
      </c>
      <c r="AL127" s="790">
        <f t="shared" si="112"/>
        <v>0</v>
      </c>
      <c r="AM127" s="790">
        <f t="shared" si="112"/>
        <v>0</v>
      </c>
      <c r="AN127" s="790">
        <f t="shared" si="112"/>
        <v>0</v>
      </c>
      <c r="AO127" s="790">
        <f t="shared" si="112"/>
        <v>0</v>
      </c>
      <c r="AP127" s="790">
        <f t="shared" si="112"/>
        <v>0</v>
      </c>
      <c r="AQ127" s="790">
        <f t="shared" si="112"/>
        <v>0</v>
      </c>
      <c r="AR127" s="790">
        <f t="shared" si="112"/>
        <v>0</v>
      </c>
      <c r="AS127" s="790">
        <f t="shared" si="112"/>
        <v>0</v>
      </c>
      <c r="AT127" s="790">
        <f t="shared" si="112"/>
        <v>0</v>
      </c>
      <c r="AU127" s="790">
        <f t="shared" si="112"/>
        <v>0</v>
      </c>
      <c r="AV127" s="790">
        <f t="shared" si="112"/>
        <v>0</v>
      </c>
      <c r="AW127" s="790">
        <f t="shared" si="112"/>
        <v>0</v>
      </c>
      <c r="AX127" s="790">
        <f t="shared" si="112"/>
        <v>0</v>
      </c>
      <c r="AY127" s="790">
        <f t="shared" si="112"/>
        <v>0</v>
      </c>
      <c r="AZ127" s="790">
        <f t="shared" si="112"/>
        <v>0</v>
      </c>
      <c r="BA127" s="790">
        <f t="shared" si="112"/>
        <v>0</v>
      </c>
      <c r="BB127" s="790">
        <f t="shared" si="112"/>
        <v>0</v>
      </c>
      <c r="BC127" s="790">
        <f t="shared" si="112"/>
        <v>0</v>
      </c>
      <c r="BD127" s="790">
        <f t="shared" si="112"/>
        <v>0</v>
      </c>
      <c r="BE127" s="791">
        <f t="shared" si="112"/>
        <v>0</v>
      </c>
    </row>
    <row r="128" spans="2:57" x14ac:dyDescent="0.2">
      <c r="B128" s="1347"/>
      <c r="C128" s="700" t="str">
        <f t="shared" si="105"/>
        <v>Storno (s), nach unten</v>
      </c>
      <c r="D128" s="1173">
        <f>IFERROR(SUMPRODUCT(HE_disc_curve,HE_RFs_sensi_years,H128:BE128)+D$124-SUMPRODUCT(HE_disc_curve,HE_RFs_sensi_years,H$124:BE$124),0)</f>
        <v>0</v>
      </c>
      <c r="E128" s="1178">
        <f>IFERROR(D128/ABS(D124),0)</f>
        <v>0</v>
      </c>
      <c r="F128" s="1175">
        <f>IFERROR(SUMPRODUCT(HE_RFs_sensi_years,H128:BE128)+F$124-SUMPRODUCT(HE_RFs_sensi_years,H$124:BE$124),0)</f>
        <v>0</v>
      </c>
      <c r="G128" s="730">
        <f t="shared" si="109"/>
        <v>0</v>
      </c>
      <c r="H128" s="722">
        <f t="shared" si="109"/>
        <v>0</v>
      </c>
      <c r="I128" s="711">
        <f t="shared" ref="I128:BE128" si="113">I110+I119</f>
        <v>0</v>
      </c>
      <c r="J128" s="711">
        <f t="shared" si="113"/>
        <v>0</v>
      </c>
      <c r="K128" s="711">
        <f t="shared" si="113"/>
        <v>0</v>
      </c>
      <c r="L128" s="711">
        <f t="shared" si="113"/>
        <v>0</v>
      </c>
      <c r="M128" s="711">
        <f t="shared" si="113"/>
        <v>0</v>
      </c>
      <c r="N128" s="711">
        <f t="shared" si="113"/>
        <v>0</v>
      </c>
      <c r="O128" s="711">
        <f t="shared" si="113"/>
        <v>0</v>
      </c>
      <c r="P128" s="711">
        <f t="shared" si="113"/>
        <v>0</v>
      </c>
      <c r="Q128" s="711">
        <f t="shared" si="113"/>
        <v>0</v>
      </c>
      <c r="R128" s="711">
        <f t="shared" si="113"/>
        <v>0</v>
      </c>
      <c r="S128" s="711">
        <f t="shared" si="113"/>
        <v>0</v>
      </c>
      <c r="T128" s="711">
        <f t="shared" si="113"/>
        <v>0</v>
      </c>
      <c r="U128" s="711">
        <f t="shared" si="113"/>
        <v>0</v>
      </c>
      <c r="V128" s="711">
        <f t="shared" si="113"/>
        <v>0</v>
      </c>
      <c r="W128" s="711">
        <f t="shared" si="113"/>
        <v>0</v>
      </c>
      <c r="X128" s="711">
        <f t="shared" si="113"/>
        <v>0</v>
      </c>
      <c r="Y128" s="711">
        <f t="shared" si="113"/>
        <v>0</v>
      </c>
      <c r="Z128" s="711">
        <f t="shared" si="113"/>
        <v>0</v>
      </c>
      <c r="AA128" s="711">
        <f t="shared" si="113"/>
        <v>0</v>
      </c>
      <c r="AB128" s="711">
        <f t="shared" si="113"/>
        <v>0</v>
      </c>
      <c r="AC128" s="711">
        <f t="shared" si="113"/>
        <v>0</v>
      </c>
      <c r="AD128" s="711">
        <f t="shared" si="113"/>
        <v>0</v>
      </c>
      <c r="AE128" s="711">
        <f t="shared" si="113"/>
        <v>0</v>
      </c>
      <c r="AF128" s="711">
        <f t="shared" si="113"/>
        <v>0</v>
      </c>
      <c r="AG128" s="711">
        <f t="shared" si="113"/>
        <v>0</v>
      </c>
      <c r="AH128" s="711">
        <f t="shared" si="113"/>
        <v>0</v>
      </c>
      <c r="AI128" s="711">
        <f t="shared" si="113"/>
        <v>0</v>
      </c>
      <c r="AJ128" s="711">
        <f t="shared" si="113"/>
        <v>0</v>
      </c>
      <c r="AK128" s="711">
        <f t="shared" si="113"/>
        <v>0</v>
      </c>
      <c r="AL128" s="711">
        <f t="shared" si="113"/>
        <v>0</v>
      </c>
      <c r="AM128" s="711">
        <f t="shared" si="113"/>
        <v>0</v>
      </c>
      <c r="AN128" s="711">
        <f t="shared" si="113"/>
        <v>0</v>
      </c>
      <c r="AO128" s="711">
        <f t="shared" si="113"/>
        <v>0</v>
      </c>
      <c r="AP128" s="711">
        <f t="shared" si="113"/>
        <v>0</v>
      </c>
      <c r="AQ128" s="711">
        <f t="shared" si="113"/>
        <v>0</v>
      </c>
      <c r="AR128" s="711">
        <f t="shared" si="113"/>
        <v>0</v>
      </c>
      <c r="AS128" s="711">
        <f t="shared" si="113"/>
        <v>0</v>
      </c>
      <c r="AT128" s="711">
        <f t="shared" si="113"/>
        <v>0</v>
      </c>
      <c r="AU128" s="711">
        <f t="shared" si="113"/>
        <v>0</v>
      </c>
      <c r="AV128" s="711">
        <f t="shared" si="113"/>
        <v>0</v>
      </c>
      <c r="AW128" s="711">
        <f t="shared" si="113"/>
        <v>0</v>
      </c>
      <c r="AX128" s="711">
        <f t="shared" si="113"/>
        <v>0</v>
      </c>
      <c r="AY128" s="711">
        <f t="shared" si="113"/>
        <v>0</v>
      </c>
      <c r="AZ128" s="711">
        <f t="shared" si="113"/>
        <v>0</v>
      </c>
      <c r="BA128" s="711">
        <f t="shared" si="113"/>
        <v>0</v>
      </c>
      <c r="BB128" s="711">
        <f t="shared" si="113"/>
        <v>0</v>
      </c>
      <c r="BC128" s="711">
        <f t="shared" si="113"/>
        <v>0</v>
      </c>
      <c r="BD128" s="711">
        <f t="shared" si="113"/>
        <v>0</v>
      </c>
      <c r="BE128" s="712">
        <f t="shared" si="113"/>
        <v>0</v>
      </c>
    </row>
    <row r="129" spans="2:57" x14ac:dyDescent="0.2">
      <c r="B129" s="1347"/>
      <c r="C129" s="700" t="str">
        <f t="shared" si="105"/>
        <v>Kosten (k), nach oben</v>
      </c>
      <c r="D129" s="1173">
        <f>IFERROR(SUMPRODUCT(HE_disc_curve,HE_RFk_sensi_years,H129:BE129)+D$124-SUMPRODUCT(HE_disc_curve,HE_RFk_sensi_years,H$124:BE$124),0)</f>
        <v>0</v>
      </c>
      <c r="E129" s="1178">
        <f>IFERROR(D129/ABS(D124),0)</f>
        <v>0</v>
      </c>
      <c r="F129" s="1175">
        <f>IFERROR(SUMPRODUCT(HE_RFk_sensi_years,H129:BE129)+F$124-SUMPRODUCT(HE_RFk_sensi_years,H$124:BE$124),0)</f>
        <v>0</v>
      </c>
      <c r="G129" s="730">
        <f t="shared" si="109"/>
        <v>0</v>
      </c>
      <c r="H129" s="722">
        <f t="shared" si="109"/>
        <v>0</v>
      </c>
      <c r="I129" s="711">
        <f t="shared" ref="I129:BE129" si="114">I111+I120</f>
        <v>0</v>
      </c>
      <c r="J129" s="711">
        <f t="shared" si="114"/>
        <v>0</v>
      </c>
      <c r="K129" s="711">
        <f t="shared" si="114"/>
        <v>0</v>
      </c>
      <c r="L129" s="711">
        <f t="shared" si="114"/>
        <v>0</v>
      </c>
      <c r="M129" s="711">
        <f t="shared" si="114"/>
        <v>0</v>
      </c>
      <c r="N129" s="711">
        <f t="shared" si="114"/>
        <v>0</v>
      </c>
      <c r="O129" s="711">
        <f t="shared" si="114"/>
        <v>0</v>
      </c>
      <c r="P129" s="711">
        <f t="shared" si="114"/>
        <v>0</v>
      </c>
      <c r="Q129" s="711">
        <f t="shared" si="114"/>
        <v>0</v>
      </c>
      <c r="R129" s="711">
        <f t="shared" si="114"/>
        <v>0</v>
      </c>
      <c r="S129" s="711">
        <f t="shared" si="114"/>
        <v>0</v>
      </c>
      <c r="T129" s="711">
        <f t="shared" si="114"/>
        <v>0</v>
      </c>
      <c r="U129" s="711">
        <f t="shared" si="114"/>
        <v>0</v>
      </c>
      <c r="V129" s="711">
        <f t="shared" si="114"/>
        <v>0</v>
      </c>
      <c r="W129" s="711">
        <f t="shared" si="114"/>
        <v>0</v>
      </c>
      <c r="X129" s="711">
        <f t="shared" si="114"/>
        <v>0</v>
      </c>
      <c r="Y129" s="711">
        <f t="shared" si="114"/>
        <v>0</v>
      </c>
      <c r="Z129" s="711">
        <f t="shared" si="114"/>
        <v>0</v>
      </c>
      <c r="AA129" s="711">
        <f t="shared" si="114"/>
        <v>0</v>
      </c>
      <c r="AB129" s="711">
        <f t="shared" si="114"/>
        <v>0</v>
      </c>
      <c r="AC129" s="711">
        <f t="shared" si="114"/>
        <v>0</v>
      </c>
      <c r="AD129" s="711">
        <f t="shared" si="114"/>
        <v>0</v>
      </c>
      <c r="AE129" s="711">
        <f t="shared" si="114"/>
        <v>0</v>
      </c>
      <c r="AF129" s="711">
        <f t="shared" si="114"/>
        <v>0</v>
      </c>
      <c r="AG129" s="711">
        <f t="shared" si="114"/>
        <v>0</v>
      </c>
      <c r="AH129" s="711">
        <f t="shared" si="114"/>
        <v>0</v>
      </c>
      <c r="AI129" s="711">
        <f t="shared" si="114"/>
        <v>0</v>
      </c>
      <c r="AJ129" s="711">
        <f t="shared" si="114"/>
        <v>0</v>
      </c>
      <c r="AK129" s="711">
        <f t="shared" si="114"/>
        <v>0</v>
      </c>
      <c r="AL129" s="711">
        <f t="shared" si="114"/>
        <v>0</v>
      </c>
      <c r="AM129" s="711">
        <f t="shared" si="114"/>
        <v>0</v>
      </c>
      <c r="AN129" s="711">
        <f t="shared" si="114"/>
        <v>0</v>
      </c>
      <c r="AO129" s="711">
        <f t="shared" si="114"/>
        <v>0</v>
      </c>
      <c r="AP129" s="711">
        <f t="shared" si="114"/>
        <v>0</v>
      </c>
      <c r="AQ129" s="711">
        <f t="shared" si="114"/>
        <v>0</v>
      </c>
      <c r="AR129" s="711">
        <f t="shared" si="114"/>
        <v>0</v>
      </c>
      <c r="AS129" s="711">
        <f t="shared" si="114"/>
        <v>0</v>
      </c>
      <c r="AT129" s="711">
        <f t="shared" si="114"/>
        <v>0</v>
      </c>
      <c r="AU129" s="711">
        <f t="shared" si="114"/>
        <v>0</v>
      </c>
      <c r="AV129" s="711">
        <f t="shared" si="114"/>
        <v>0</v>
      </c>
      <c r="AW129" s="711">
        <f t="shared" si="114"/>
        <v>0</v>
      </c>
      <c r="AX129" s="711">
        <f t="shared" si="114"/>
        <v>0</v>
      </c>
      <c r="AY129" s="711">
        <f t="shared" si="114"/>
        <v>0</v>
      </c>
      <c r="AZ129" s="711">
        <f t="shared" si="114"/>
        <v>0</v>
      </c>
      <c r="BA129" s="711">
        <f t="shared" si="114"/>
        <v>0</v>
      </c>
      <c r="BB129" s="711">
        <f t="shared" si="114"/>
        <v>0</v>
      </c>
      <c r="BC129" s="711">
        <f t="shared" si="114"/>
        <v>0</v>
      </c>
      <c r="BD129" s="711">
        <f t="shared" si="114"/>
        <v>0</v>
      </c>
      <c r="BE129" s="712">
        <f t="shared" si="114"/>
        <v>0</v>
      </c>
    </row>
    <row r="130" spans="2:57" x14ac:dyDescent="0.2">
      <c r="B130" s="1347"/>
      <c r="C130" s="700" t="str">
        <f t="shared" si="105"/>
        <v>Kosten (k), nach unten</v>
      </c>
      <c r="D130" s="1173">
        <f>IFERROR(SUMPRODUCT(HE_disc_curve,HE_RFk_sensi_years,H130:BE130)+D$124-SUMPRODUCT(HE_disc_curve,HE_RFk_sensi_years,H$124:BE$124),0)</f>
        <v>0</v>
      </c>
      <c r="E130" s="1178">
        <f>IFERROR(D130/ABS(D124),0)</f>
        <v>0</v>
      </c>
      <c r="F130" s="1175">
        <f>IFERROR(SUMPRODUCT(HE_RFk_sensi_years,H130:BE130)+F$124-SUMPRODUCT(HE_RFk_sensi_years,H$124:BE$124),0)</f>
        <v>0</v>
      </c>
      <c r="G130" s="730">
        <f t="shared" si="109"/>
        <v>0</v>
      </c>
      <c r="H130" s="722">
        <f t="shared" si="109"/>
        <v>0</v>
      </c>
      <c r="I130" s="711">
        <f t="shared" ref="I130:BE130" si="115">I112+I121</f>
        <v>0</v>
      </c>
      <c r="J130" s="711">
        <f t="shared" si="115"/>
        <v>0</v>
      </c>
      <c r="K130" s="711">
        <f t="shared" si="115"/>
        <v>0</v>
      </c>
      <c r="L130" s="711">
        <f t="shared" si="115"/>
        <v>0</v>
      </c>
      <c r="M130" s="711">
        <f t="shared" si="115"/>
        <v>0</v>
      </c>
      <c r="N130" s="711">
        <f t="shared" si="115"/>
        <v>0</v>
      </c>
      <c r="O130" s="711">
        <f t="shared" si="115"/>
        <v>0</v>
      </c>
      <c r="P130" s="711">
        <f t="shared" si="115"/>
        <v>0</v>
      </c>
      <c r="Q130" s="711">
        <f t="shared" si="115"/>
        <v>0</v>
      </c>
      <c r="R130" s="711">
        <f t="shared" si="115"/>
        <v>0</v>
      </c>
      <c r="S130" s="711">
        <f t="shared" si="115"/>
        <v>0</v>
      </c>
      <c r="T130" s="711">
        <f t="shared" si="115"/>
        <v>0</v>
      </c>
      <c r="U130" s="711">
        <f t="shared" si="115"/>
        <v>0</v>
      </c>
      <c r="V130" s="711">
        <f t="shared" si="115"/>
        <v>0</v>
      </c>
      <c r="W130" s="711">
        <f t="shared" si="115"/>
        <v>0</v>
      </c>
      <c r="X130" s="711">
        <f t="shared" si="115"/>
        <v>0</v>
      </c>
      <c r="Y130" s="711">
        <f t="shared" si="115"/>
        <v>0</v>
      </c>
      <c r="Z130" s="711">
        <f t="shared" si="115"/>
        <v>0</v>
      </c>
      <c r="AA130" s="711">
        <f t="shared" si="115"/>
        <v>0</v>
      </c>
      <c r="AB130" s="711">
        <f t="shared" si="115"/>
        <v>0</v>
      </c>
      <c r="AC130" s="711">
        <f t="shared" si="115"/>
        <v>0</v>
      </c>
      <c r="AD130" s="711">
        <f t="shared" si="115"/>
        <v>0</v>
      </c>
      <c r="AE130" s="711">
        <f t="shared" si="115"/>
        <v>0</v>
      </c>
      <c r="AF130" s="711">
        <f t="shared" si="115"/>
        <v>0</v>
      </c>
      <c r="AG130" s="711">
        <f t="shared" si="115"/>
        <v>0</v>
      </c>
      <c r="AH130" s="711">
        <f t="shared" si="115"/>
        <v>0</v>
      </c>
      <c r="AI130" s="711">
        <f t="shared" si="115"/>
        <v>0</v>
      </c>
      <c r="AJ130" s="711">
        <f t="shared" si="115"/>
        <v>0</v>
      </c>
      <c r="AK130" s="711">
        <f t="shared" si="115"/>
        <v>0</v>
      </c>
      <c r="AL130" s="711">
        <f t="shared" si="115"/>
        <v>0</v>
      </c>
      <c r="AM130" s="711">
        <f t="shared" si="115"/>
        <v>0</v>
      </c>
      <c r="AN130" s="711">
        <f t="shared" si="115"/>
        <v>0</v>
      </c>
      <c r="AO130" s="711">
        <f t="shared" si="115"/>
        <v>0</v>
      </c>
      <c r="AP130" s="711">
        <f t="shared" si="115"/>
        <v>0</v>
      </c>
      <c r="AQ130" s="711">
        <f t="shared" si="115"/>
        <v>0</v>
      </c>
      <c r="AR130" s="711">
        <f t="shared" si="115"/>
        <v>0</v>
      </c>
      <c r="AS130" s="711">
        <f t="shared" si="115"/>
        <v>0</v>
      </c>
      <c r="AT130" s="711">
        <f t="shared" si="115"/>
        <v>0</v>
      </c>
      <c r="AU130" s="711">
        <f t="shared" si="115"/>
        <v>0</v>
      </c>
      <c r="AV130" s="711">
        <f t="shared" si="115"/>
        <v>0</v>
      </c>
      <c r="AW130" s="711">
        <f t="shared" si="115"/>
        <v>0</v>
      </c>
      <c r="AX130" s="711">
        <f t="shared" si="115"/>
        <v>0</v>
      </c>
      <c r="AY130" s="711">
        <f t="shared" si="115"/>
        <v>0</v>
      </c>
      <c r="AZ130" s="711">
        <f t="shared" si="115"/>
        <v>0</v>
      </c>
      <c r="BA130" s="711">
        <f t="shared" si="115"/>
        <v>0</v>
      </c>
      <c r="BB130" s="711">
        <f t="shared" si="115"/>
        <v>0</v>
      </c>
      <c r="BC130" s="711">
        <f t="shared" si="115"/>
        <v>0</v>
      </c>
      <c r="BD130" s="711">
        <f t="shared" si="115"/>
        <v>0</v>
      </c>
      <c r="BE130" s="712">
        <f t="shared" si="115"/>
        <v>0</v>
      </c>
    </row>
    <row r="131" spans="2:57" x14ac:dyDescent="0.2">
      <c r="B131" s="1347"/>
      <c r="C131" s="700" t="str">
        <f t="shared" si="105"/>
        <v>Leistungen (l), nach oben</v>
      </c>
      <c r="D131" s="1173">
        <f>IFERROR(SUMPRODUCT(HE_disc_curve,HE_RFl_sensi_years,H131:BE131)+D$124-SUMPRODUCT(HE_disc_curve,HE_RFl_sensi_years,H$124:BE$124),0)</f>
        <v>0</v>
      </c>
      <c r="E131" s="1178">
        <f>IFERROR(D131/ABS(D124),0)</f>
        <v>0</v>
      </c>
      <c r="F131" s="1175">
        <f>IFERROR(SUMPRODUCT(HE_RFl_sensi_years,H131:BE131)+F$124-SUMPRODUCT(HE_RFl_sensi_years,H$124:BE$124),0)</f>
        <v>0</v>
      </c>
      <c r="G131" s="730">
        <f t="shared" si="109"/>
        <v>0</v>
      </c>
      <c r="H131" s="722">
        <f t="shared" si="109"/>
        <v>0</v>
      </c>
      <c r="I131" s="711">
        <f t="shared" ref="I131:BE131" si="116">I113+I122</f>
        <v>0</v>
      </c>
      <c r="J131" s="711">
        <f t="shared" si="116"/>
        <v>0</v>
      </c>
      <c r="K131" s="711">
        <f t="shared" si="116"/>
        <v>0</v>
      </c>
      <c r="L131" s="711">
        <f t="shared" si="116"/>
        <v>0</v>
      </c>
      <c r="M131" s="711">
        <f t="shared" si="116"/>
        <v>0</v>
      </c>
      <c r="N131" s="711">
        <f t="shared" si="116"/>
        <v>0</v>
      </c>
      <c r="O131" s="711">
        <f t="shared" si="116"/>
        <v>0</v>
      </c>
      <c r="P131" s="711">
        <f t="shared" si="116"/>
        <v>0</v>
      </c>
      <c r="Q131" s="711">
        <f t="shared" si="116"/>
        <v>0</v>
      </c>
      <c r="R131" s="711">
        <f t="shared" si="116"/>
        <v>0</v>
      </c>
      <c r="S131" s="711">
        <f t="shared" si="116"/>
        <v>0</v>
      </c>
      <c r="T131" s="711">
        <f t="shared" si="116"/>
        <v>0</v>
      </c>
      <c r="U131" s="711">
        <f t="shared" si="116"/>
        <v>0</v>
      </c>
      <c r="V131" s="711">
        <f t="shared" si="116"/>
        <v>0</v>
      </c>
      <c r="W131" s="711">
        <f t="shared" si="116"/>
        <v>0</v>
      </c>
      <c r="X131" s="711">
        <f t="shared" si="116"/>
        <v>0</v>
      </c>
      <c r="Y131" s="711">
        <f t="shared" si="116"/>
        <v>0</v>
      </c>
      <c r="Z131" s="711">
        <f t="shared" si="116"/>
        <v>0</v>
      </c>
      <c r="AA131" s="711">
        <f t="shared" si="116"/>
        <v>0</v>
      </c>
      <c r="AB131" s="711">
        <f t="shared" si="116"/>
        <v>0</v>
      </c>
      <c r="AC131" s="711">
        <f t="shared" si="116"/>
        <v>0</v>
      </c>
      <c r="AD131" s="711">
        <f t="shared" si="116"/>
        <v>0</v>
      </c>
      <c r="AE131" s="711">
        <f t="shared" si="116"/>
        <v>0</v>
      </c>
      <c r="AF131" s="711">
        <f t="shared" si="116"/>
        <v>0</v>
      </c>
      <c r="AG131" s="711">
        <f t="shared" si="116"/>
        <v>0</v>
      </c>
      <c r="AH131" s="711">
        <f t="shared" si="116"/>
        <v>0</v>
      </c>
      <c r="AI131" s="711">
        <f t="shared" si="116"/>
        <v>0</v>
      </c>
      <c r="AJ131" s="711">
        <f t="shared" si="116"/>
        <v>0</v>
      </c>
      <c r="AK131" s="711">
        <f t="shared" si="116"/>
        <v>0</v>
      </c>
      <c r="AL131" s="711">
        <f t="shared" si="116"/>
        <v>0</v>
      </c>
      <c r="AM131" s="711">
        <f t="shared" si="116"/>
        <v>0</v>
      </c>
      <c r="AN131" s="711">
        <f t="shared" si="116"/>
        <v>0</v>
      </c>
      <c r="AO131" s="711">
        <f t="shared" si="116"/>
        <v>0</v>
      </c>
      <c r="AP131" s="711">
        <f t="shared" si="116"/>
        <v>0</v>
      </c>
      <c r="AQ131" s="711">
        <f t="shared" si="116"/>
        <v>0</v>
      </c>
      <c r="AR131" s="711">
        <f t="shared" si="116"/>
        <v>0</v>
      </c>
      <c r="AS131" s="711">
        <f t="shared" si="116"/>
        <v>0</v>
      </c>
      <c r="AT131" s="711">
        <f t="shared" si="116"/>
        <v>0</v>
      </c>
      <c r="AU131" s="711">
        <f t="shared" si="116"/>
        <v>0</v>
      </c>
      <c r="AV131" s="711">
        <f t="shared" si="116"/>
        <v>0</v>
      </c>
      <c r="AW131" s="711">
        <f t="shared" si="116"/>
        <v>0</v>
      </c>
      <c r="AX131" s="711">
        <f t="shared" si="116"/>
        <v>0</v>
      </c>
      <c r="AY131" s="711">
        <f t="shared" si="116"/>
        <v>0</v>
      </c>
      <c r="AZ131" s="711">
        <f t="shared" si="116"/>
        <v>0</v>
      </c>
      <c r="BA131" s="711">
        <f t="shared" si="116"/>
        <v>0</v>
      </c>
      <c r="BB131" s="711">
        <f t="shared" si="116"/>
        <v>0</v>
      </c>
      <c r="BC131" s="711">
        <f t="shared" si="116"/>
        <v>0</v>
      </c>
      <c r="BD131" s="711">
        <f t="shared" si="116"/>
        <v>0</v>
      </c>
      <c r="BE131" s="712">
        <f t="shared" si="116"/>
        <v>0</v>
      </c>
    </row>
    <row r="132" spans="2:57" x14ac:dyDescent="0.2">
      <c r="B132" s="1348"/>
      <c r="C132" s="702" t="str">
        <f t="shared" si="105"/>
        <v>Leistungen (l), nach unten</v>
      </c>
      <c r="D132" s="1174">
        <f>IFERROR(SUMPRODUCT(HE_disc_curve,HE_RFl_sensi_years,H132:BE132)+D$124-SUMPRODUCT(HE_disc_curve,HE_RFl_sensi_years,H$124:BE$124),0)</f>
        <v>0</v>
      </c>
      <c r="E132" s="1179">
        <f>IFERROR(D132/ABS(D124),0)</f>
        <v>0</v>
      </c>
      <c r="F132" s="1176">
        <f>IFERROR(SUMPRODUCT(HE_RFl_sensi_years,H132:BE132)+F$124-SUMPRODUCT(HE_RFl_sensi_years,H$124:BE$124),0)</f>
        <v>0</v>
      </c>
      <c r="G132" s="731">
        <f t="shared" si="109"/>
        <v>0</v>
      </c>
      <c r="H132" s="723">
        <f t="shared" si="109"/>
        <v>0</v>
      </c>
      <c r="I132" s="713">
        <f t="shared" ref="I132:BE132" si="117">I114+I123</f>
        <v>0</v>
      </c>
      <c r="J132" s="713">
        <f t="shared" si="117"/>
        <v>0</v>
      </c>
      <c r="K132" s="713">
        <f t="shared" si="117"/>
        <v>0</v>
      </c>
      <c r="L132" s="713">
        <f t="shared" si="117"/>
        <v>0</v>
      </c>
      <c r="M132" s="713">
        <f t="shared" si="117"/>
        <v>0</v>
      </c>
      <c r="N132" s="713">
        <f t="shared" si="117"/>
        <v>0</v>
      </c>
      <c r="O132" s="713">
        <f t="shared" si="117"/>
        <v>0</v>
      </c>
      <c r="P132" s="713">
        <f t="shared" si="117"/>
        <v>0</v>
      </c>
      <c r="Q132" s="713">
        <f t="shared" si="117"/>
        <v>0</v>
      </c>
      <c r="R132" s="713">
        <f t="shared" si="117"/>
        <v>0</v>
      </c>
      <c r="S132" s="713">
        <f t="shared" si="117"/>
        <v>0</v>
      </c>
      <c r="T132" s="713">
        <f t="shared" si="117"/>
        <v>0</v>
      </c>
      <c r="U132" s="713">
        <f t="shared" si="117"/>
        <v>0</v>
      </c>
      <c r="V132" s="713">
        <f t="shared" si="117"/>
        <v>0</v>
      </c>
      <c r="W132" s="713">
        <f t="shared" si="117"/>
        <v>0</v>
      </c>
      <c r="X132" s="713">
        <f t="shared" si="117"/>
        <v>0</v>
      </c>
      <c r="Y132" s="713">
        <f t="shared" si="117"/>
        <v>0</v>
      </c>
      <c r="Z132" s="713">
        <f t="shared" si="117"/>
        <v>0</v>
      </c>
      <c r="AA132" s="713">
        <f t="shared" si="117"/>
        <v>0</v>
      </c>
      <c r="AB132" s="713">
        <f t="shared" si="117"/>
        <v>0</v>
      </c>
      <c r="AC132" s="713">
        <f t="shared" si="117"/>
        <v>0</v>
      </c>
      <c r="AD132" s="713">
        <f t="shared" si="117"/>
        <v>0</v>
      </c>
      <c r="AE132" s="713">
        <f t="shared" si="117"/>
        <v>0</v>
      </c>
      <c r="AF132" s="713">
        <f t="shared" si="117"/>
        <v>0</v>
      </c>
      <c r="AG132" s="713">
        <f t="shared" si="117"/>
        <v>0</v>
      </c>
      <c r="AH132" s="713">
        <f t="shared" si="117"/>
        <v>0</v>
      </c>
      <c r="AI132" s="713">
        <f t="shared" si="117"/>
        <v>0</v>
      </c>
      <c r="AJ132" s="713">
        <f t="shared" si="117"/>
        <v>0</v>
      </c>
      <c r="AK132" s="713">
        <f t="shared" si="117"/>
        <v>0</v>
      </c>
      <c r="AL132" s="713">
        <f t="shared" si="117"/>
        <v>0</v>
      </c>
      <c r="AM132" s="713">
        <f t="shared" si="117"/>
        <v>0</v>
      </c>
      <c r="AN132" s="713">
        <f t="shared" si="117"/>
        <v>0</v>
      </c>
      <c r="AO132" s="713">
        <f t="shared" si="117"/>
        <v>0</v>
      </c>
      <c r="AP132" s="713">
        <f t="shared" si="117"/>
        <v>0</v>
      </c>
      <c r="AQ132" s="713">
        <f t="shared" si="117"/>
        <v>0</v>
      </c>
      <c r="AR132" s="713">
        <f t="shared" si="117"/>
        <v>0</v>
      </c>
      <c r="AS132" s="713">
        <f t="shared" si="117"/>
        <v>0</v>
      </c>
      <c r="AT132" s="713">
        <f t="shared" si="117"/>
        <v>0</v>
      </c>
      <c r="AU132" s="713">
        <f t="shared" si="117"/>
        <v>0</v>
      </c>
      <c r="AV132" s="713">
        <f t="shared" si="117"/>
        <v>0</v>
      </c>
      <c r="AW132" s="713">
        <f t="shared" si="117"/>
        <v>0</v>
      </c>
      <c r="AX132" s="713">
        <f t="shared" si="117"/>
        <v>0</v>
      </c>
      <c r="AY132" s="713">
        <f t="shared" si="117"/>
        <v>0</v>
      </c>
      <c r="AZ132" s="713">
        <f t="shared" si="117"/>
        <v>0</v>
      </c>
      <c r="BA132" s="713">
        <f t="shared" si="117"/>
        <v>0</v>
      </c>
      <c r="BB132" s="713">
        <f t="shared" si="117"/>
        <v>0</v>
      </c>
      <c r="BC132" s="713">
        <f t="shared" si="117"/>
        <v>0</v>
      </c>
      <c r="BD132" s="713">
        <f t="shared" si="117"/>
        <v>0</v>
      </c>
      <c r="BE132" s="714">
        <f t="shared" si="117"/>
        <v>0</v>
      </c>
    </row>
    <row r="135" spans="2:57" x14ac:dyDescent="0.2">
      <c r="B135" s="229" t="str">
        <f>VLOOKUP("T.08.22",HE_label,2,FALSE)</f>
        <v>Cashflows nach Storni gemäss Szenario Antiselektion mit Prämien-Cap, pro Produktegruppe</v>
      </c>
    </row>
    <row r="136" spans="2:57" ht="13.5" thickBot="1" x14ac:dyDescent="0.25">
      <c r="B136" s="267"/>
      <c r="C136" s="716"/>
      <c r="D136" s="768" t="str">
        <f>D11</f>
        <v xml:space="preserve">Diskontierte Totale </v>
      </c>
      <c r="E136" s="696"/>
      <c r="F136" s="697"/>
      <c r="G136" s="769" t="str">
        <f>G11</f>
        <v>Undiskontierte Cashflows pro Abwicklungsjahr, in CHF</v>
      </c>
      <c r="H136" s="695"/>
      <c r="I136" s="695"/>
      <c r="J136" s="695"/>
      <c r="K136" s="695"/>
      <c r="L136" s="695"/>
      <c r="M136" s="695"/>
      <c r="N136" s="695"/>
      <c r="O136" s="695"/>
      <c r="P136" s="695"/>
      <c r="Q136" s="695"/>
      <c r="R136" s="695"/>
      <c r="S136" s="695"/>
      <c r="T136" s="695"/>
      <c r="U136" s="695"/>
      <c r="V136" s="695"/>
      <c r="W136" s="695"/>
      <c r="X136" s="695"/>
      <c r="Y136" s="695"/>
      <c r="Z136" s="695"/>
      <c r="AA136" s="695"/>
      <c r="AB136" s="695"/>
      <c r="AC136" s="695"/>
      <c r="AD136" s="695"/>
      <c r="AE136" s="695"/>
      <c r="AF136" s="695"/>
      <c r="AG136" s="695"/>
      <c r="AH136" s="695"/>
      <c r="AI136" s="695"/>
      <c r="AJ136" s="695"/>
      <c r="AK136" s="695"/>
      <c r="AL136" s="695"/>
      <c r="AM136" s="695"/>
      <c r="AN136" s="695"/>
      <c r="AO136" s="695"/>
      <c r="AP136" s="695"/>
      <c r="AQ136" s="695"/>
      <c r="AR136" s="695"/>
      <c r="AS136" s="695"/>
      <c r="AT136" s="695"/>
      <c r="AU136" s="695"/>
      <c r="AV136" s="695"/>
      <c r="AW136" s="695"/>
      <c r="AX136" s="695"/>
      <c r="AY136" s="695"/>
      <c r="AZ136" s="695"/>
      <c r="BA136" s="695"/>
      <c r="BB136" s="695"/>
      <c r="BC136" s="695"/>
      <c r="BD136" s="695"/>
      <c r="BE136" s="695"/>
    </row>
    <row r="137" spans="2:57" ht="13.5" thickTop="1" x14ac:dyDescent="0.2">
      <c r="B137" s="725"/>
      <c r="C137" s="748" t="str">
        <f>HE_CF_label&amp;VLOOKUP("T.08.13",HE_label,2,FALSE)</f>
        <v>Prämien - Leistungen - Kosten, nach Cap</v>
      </c>
      <c r="D137" s="1328" t="str">
        <f>D12</f>
        <v>Total, in CHF</v>
      </c>
      <c r="E137" s="1330" t="str">
        <f>E12</f>
        <v>Anteil am Total, mit Vorzeichen</v>
      </c>
      <c r="F137" s="1332" t="str">
        <f>F12</f>
        <v>Diskontierungsfaktor</v>
      </c>
      <c r="G137" s="1326" t="str">
        <f>G12</f>
        <v>Total</v>
      </c>
      <c r="H137" s="285">
        <f>HE_CY</f>
        <v>2025</v>
      </c>
      <c r="I137" s="285">
        <f>H137+1</f>
        <v>2026</v>
      </c>
      <c r="J137" s="285">
        <f t="shared" ref="J137" si="118">I137+1</f>
        <v>2027</v>
      </c>
      <c r="K137" s="285">
        <f t="shared" ref="K137" si="119">J137+1</f>
        <v>2028</v>
      </c>
      <c r="L137" s="285">
        <f t="shared" ref="L137" si="120">K137+1</f>
        <v>2029</v>
      </c>
      <c r="M137" s="285">
        <f t="shared" ref="M137" si="121">L137+1</f>
        <v>2030</v>
      </c>
      <c r="N137" s="285">
        <f t="shared" ref="N137" si="122">M137+1</f>
        <v>2031</v>
      </c>
      <c r="O137" s="285">
        <f t="shared" ref="O137" si="123">N137+1</f>
        <v>2032</v>
      </c>
      <c r="P137" s="285">
        <f t="shared" ref="P137" si="124">O137+1</f>
        <v>2033</v>
      </c>
      <c r="Q137" s="285">
        <f t="shared" ref="Q137" si="125">P137+1</f>
        <v>2034</v>
      </c>
      <c r="R137" s="285">
        <f t="shared" ref="R137" si="126">Q137+1</f>
        <v>2035</v>
      </c>
      <c r="S137" s="285">
        <f t="shared" ref="S137" si="127">R137+1</f>
        <v>2036</v>
      </c>
      <c r="T137" s="285">
        <f t="shared" ref="T137" si="128">S137+1</f>
        <v>2037</v>
      </c>
      <c r="U137" s="285">
        <f t="shared" ref="U137" si="129">T137+1</f>
        <v>2038</v>
      </c>
      <c r="V137" s="285">
        <f t="shared" ref="V137" si="130">U137+1</f>
        <v>2039</v>
      </c>
      <c r="W137" s="285">
        <f t="shared" ref="W137" si="131">V137+1</f>
        <v>2040</v>
      </c>
      <c r="X137" s="285">
        <f t="shared" ref="X137" si="132">W137+1</f>
        <v>2041</v>
      </c>
      <c r="Y137" s="285">
        <f t="shared" ref="Y137" si="133">X137+1</f>
        <v>2042</v>
      </c>
      <c r="Z137" s="285">
        <f t="shared" ref="Z137" si="134">Y137+1</f>
        <v>2043</v>
      </c>
      <c r="AA137" s="285">
        <f t="shared" ref="AA137" si="135">Z137+1</f>
        <v>2044</v>
      </c>
      <c r="AB137" s="285">
        <f t="shared" ref="AB137" si="136">AA137+1</f>
        <v>2045</v>
      </c>
      <c r="AC137" s="285">
        <f t="shared" ref="AC137" si="137">AB137+1</f>
        <v>2046</v>
      </c>
      <c r="AD137" s="285">
        <f t="shared" ref="AD137" si="138">AC137+1</f>
        <v>2047</v>
      </c>
      <c r="AE137" s="285">
        <f t="shared" ref="AE137" si="139">AD137+1</f>
        <v>2048</v>
      </c>
      <c r="AF137" s="285">
        <f t="shared" ref="AF137" si="140">AE137+1</f>
        <v>2049</v>
      </c>
      <c r="AG137" s="285">
        <f t="shared" ref="AG137" si="141">AF137+1</f>
        <v>2050</v>
      </c>
      <c r="AH137" s="285">
        <f t="shared" ref="AH137" si="142">AG137+1</f>
        <v>2051</v>
      </c>
      <c r="AI137" s="285">
        <f t="shared" ref="AI137" si="143">AH137+1</f>
        <v>2052</v>
      </c>
      <c r="AJ137" s="285">
        <f t="shared" ref="AJ137" si="144">AI137+1</f>
        <v>2053</v>
      </c>
      <c r="AK137" s="285">
        <f t="shared" ref="AK137" si="145">AJ137+1</f>
        <v>2054</v>
      </c>
      <c r="AL137" s="285">
        <f t="shared" ref="AL137" si="146">AK137+1</f>
        <v>2055</v>
      </c>
      <c r="AM137" s="285">
        <f t="shared" ref="AM137" si="147">AL137+1</f>
        <v>2056</v>
      </c>
      <c r="AN137" s="285">
        <f t="shared" ref="AN137" si="148">AM137+1</f>
        <v>2057</v>
      </c>
      <c r="AO137" s="285">
        <f t="shared" ref="AO137" si="149">AN137+1</f>
        <v>2058</v>
      </c>
      <c r="AP137" s="285">
        <f t="shared" ref="AP137" si="150">AO137+1</f>
        <v>2059</v>
      </c>
      <c r="AQ137" s="285">
        <f t="shared" ref="AQ137" si="151">AP137+1</f>
        <v>2060</v>
      </c>
      <c r="AR137" s="285">
        <f t="shared" ref="AR137" si="152">AQ137+1</f>
        <v>2061</v>
      </c>
      <c r="AS137" s="285">
        <f t="shared" ref="AS137" si="153">AR137+1</f>
        <v>2062</v>
      </c>
      <c r="AT137" s="285">
        <f t="shared" ref="AT137" si="154">AS137+1</f>
        <v>2063</v>
      </c>
      <c r="AU137" s="285">
        <f t="shared" ref="AU137" si="155">AT137+1</f>
        <v>2064</v>
      </c>
      <c r="AV137" s="285">
        <f t="shared" ref="AV137" si="156">AU137+1</f>
        <v>2065</v>
      </c>
      <c r="AW137" s="285">
        <f t="shared" ref="AW137" si="157">AV137+1</f>
        <v>2066</v>
      </c>
      <c r="AX137" s="285">
        <f t="shared" ref="AX137" si="158">AW137+1</f>
        <v>2067</v>
      </c>
      <c r="AY137" s="285">
        <f t="shared" ref="AY137" si="159">AX137+1</f>
        <v>2068</v>
      </c>
      <c r="AZ137" s="285">
        <f t="shared" ref="AZ137" si="160">AY137+1</f>
        <v>2069</v>
      </c>
      <c r="BA137" s="285">
        <f t="shared" ref="BA137" si="161">AZ137+1</f>
        <v>2070</v>
      </c>
      <c r="BB137" s="285">
        <f t="shared" ref="BB137" si="162">BA137+1</f>
        <v>2071</v>
      </c>
      <c r="BC137" s="285">
        <f t="shared" ref="BC137" si="163">BB137+1</f>
        <v>2072</v>
      </c>
      <c r="BD137" s="285">
        <f t="shared" ref="BD137" si="164">BC137+1</f>
        <v>2073</v>
      </c>
      <c r="BE137" s="431">
        <f t="shared" ref="BE137" si="165">BD137+1</f>
        <v>2074</v>
      </c>
    </row>
    <row r="138" spans="2:57" x14ac:dyDescent="0.2">
      <c r="B138" s="725"/>
      <c r="C138" s="698"/>
      <c r="D138" s="1329"/>
      <c r="E138" s="1331"/>
      <c r="F138" s="1333"/>
      <c r="G138" s="1327"/>
      <c r="H138" s="285">
        <v>1</v>
      </c>
      <c r="I138" s="285">
        <v>2</v>
      </c>
      <c r="J138" s="285">
        <v>3</v>
      </c>
      <c r="K138" s="285">
        <v>4</v>
      </c>
      <c r="L138" s="285">
        <v>5</v>
      </c>
      <c r="M138" s="285">
        <v>6</v>
      </c>
      <c r="N138" s="285">
        <v>7</v>
      </c>
      <c r="O138" s="285">
        <v>8</v>
      </c>
      <c r="P138" s="285">
        <v>9</v>
      </c>
      <c r="Q138" s="285">
        <v>10</v>
      </c>
      <c r="R138" s="285">
        <v>11</v>
      </c>
      <c r="S138" s="285">
        <v>12</v>
      </c>
      <c r="T138" s="285">
        <v>13</v>
      </c>
      <c r="U138" s="285">
        <v>14</v>
      </c>
      <c r="V138" s="285">
        <v>15</v>
      </c>
      <c r="W138" s="285">
        <v>16</v>
      </c>
      <c r="X138" s="285">
        <v>17</v>
      </c>
      <c r="Y138" s="285">
        <v>18</v>
      </c>
      <c r="Z138" s="285">
        <v>19</v>
      </c>
      <c r="AA138" s="285">
        <v>20</v>
      </c>
      <c r="AB138" s="285">
        <v>21</v>
      </c>
      <c r="AC138" s="285">
        <v>22</v>
      </c>
      <c r="AD138" s="285">
        <v>23</v>
      </c>
      <c r="AE138" s="285">
        <v>24</v>
      </c>
      <c r="AF138" s="285">
        <v>25</v>
      </c>
      <c r="AG138" s="285">
        <v>26</v>
      </c>
      <c r="AH138" s="285">
        <v>27</v>
      </c>
      <c r="AI138" s="285">
        <v>28</v>
      </c>
      <c r="AJ138" s="285">
        <v>29</v>
      </c>
      <c r="AK138" s="285">
        <v>30</v>
      </c>
      <c r="AL138" s="285">
        <v>31</v>
      </c>
      <c r="AM138" s="285">
        <v>32</v>
      </c>
      <c r="AN138" s="285">
        <v>33</v>
      </c>
      <c r="AO138" s="285">
        <v>34</v>
      </c>
      <c r="AP138" s="285">
        <v>35</v>
      </c>
      <c r="AQ138" s="285">
        <v>36</v>
      </c>
      <c r="AR138" s="285">
        <v>37</v>
      </c>
      <c r="AS138" s="285">
        <v>38</v>
      </c>
      <c r="AT138" s="285">
        <v>39</v>
      </c>
      <c r="AU138" s="285">
        <v>40</v>
      </c>
      <c r="AV138" s="285">
        <v>41</v>
      </c>
      <c r="AW138" s="285">
        <v>42</v>
      </c>
      <c r="AX138" s="285">
        <v>43</v>
      </c>
      <c r="AY138" s="285">
        <v>44</v>
      </c>
      <c r="AZ138" s="285">
        <v>45</v>
      </c>
      <c r="BA138" s="285">
        <v>46</v>
      </c>
      <c r="BB138" s="285">
        <v>47</v>
      </c>
      <c r="BC138" s="285">
        <v>48</v>
      </c>
      <c r="BD138" s="285">
        <v>49</v>
      </c>
      <c r="BE138" s="431">
        <v>50</v>
      </c>
    </row>
    <row r="139" spans="2:57" x14ac:dyDescent="0.2">
      <c r="B139" s="1334" t="str">
        <f>B14</f>
        <v>LZV-R-Tool</v>
      </c>
      <c r="C139" s="700" t="str">
        <f>HE_PGTot_label</f>
        <v>Total fünf Produktegruppen</v>
      </c>
      <c r="D139" s="717">
        <f t="shared" ref="D139:D156" si="166">IFERROR(SUMPRODUCT(HE_disc_curve,H139:BE139),0)</f>
        <v>0</v>
      </c>
      <c r="E139" s="737">
        <f>IFERROR(D139/ABS(D139),0)</f>
        <v>0</v>
      </c>
      <c r="F139" s="733">
        <f t="shared" ref="F139:F156" si="167">IFERROR(D139/G139,1)</f>
        <v>1</v>
      </c>
      <c r="G139" s="729">
        <f>IFERROR(SUM(H139:BE139),0)</f>
        <v>0</v>
      </c>
      <c r="H139" s="721">
        <f>IFERROR(SUM(H140:H144),0)</f>
        <v>0</v>
      </c>
      <c r="I139" s="707">
        <f t="shared" ref="I139:BE139" si="168">IFERROR(SUM(I140:I144),0)</f>
        <v>0</v>
      </c>
      <c r="J139" s="707">
        <f t="shared" si="168"/>
        <v>0</v>
      </c>
      <c r="K139" s="707">
        <f t="shared" si="168"/>
        <v>0</v>
      </c>
      <c r="L139" s="707">
        <f t="shared" si="168"/>
        <v>0</v>
      </c>
      <c r="M139" s="707">
        <f t="shared" si="168"/>
        <v>0</v>
      </c>
      <c r="N139" s="707">
        <f t="shared" si="168"/>
        <v>0</v>
      </c>
      <c r="O139" s="707">
        <f t="shared" si="168"/>
        <v>0</v>
      </c>
      <c r="P139" s="707">
        <f t="shared" si="168"/>
        <v>0</v>
      </c>
      <c r="Q139" s="707">
        <f t="shared" si="168"/>
        <v>0</v>
      </c>
      <c r="R139" s="707">
        <f t="shared" si="168"/>
        <v>0</v>
      </c>
      <c r="S139" s="707">
        <f t="shared" si="168"/>
        <v>0</v>
      </c>
      <c r="T139" s="707">
        <f t="shared" si="168"/>
        <v>0</v>
      </c>
      <c r="U139" s="707">
        <f t="shared" si="168"/>
        <v>0</v>
      </c>
      <c r="V139" s="707">
        <f t="shared" si="168"/>
        <v>0</v>
      </c>
      <c r="W139" s="707">
        <f t="shared" si="168"/>
        <v>0</v>
      </c>
      <c r="X139" s="707">
        <f t="shared" si="168"/>
        <v>0</v>
      </c>
      <c r="Y139" s="707">
        <f t="shared" si="168"/>
        <v>0</v>
      </c>
      <c r="Z139" s="707">
        <f t="shared" si="168"/>
        <v>0</v>
      </c>
      <c r="AA139" s="707">
        <f t="shared" si="168"/>
        <v>0</v>
      </c>
      <c r="AB139" s="707">
        <f t="shared" si="168"/>
        <v>0</v>
      </c>
      <c r="AC139" s="707">
        <f t="shared" si="168"/>
        <v>0</v>
      </c>
      <c r="AD139" s="707">
        <f t="shared" si="168"/>
        <v>0</v>
      </c>
      <c r="AE139" s="707">
        <f t="shared" si="168"/>
        <v>0</v>
      </c>
      <c r="AF139" s="707">
        <f t="shared" si="168"/>
        <v>0</v>
      </c>
      <c r="AG139" s="707">
        <f t="shared" si="168"/>
        <v>0</v>
      </c>
      <c r="AH139" s="707">
        <f t="shared" si="168"/>
        <v>0</v>
      </c>
      <c r="AI139" s="707">
        <f t="shared" si="168"/>
        <v>0</v>
      </c>
      <c r="AJ139" s="707">
        <f t="shared" si="168"/>
        <v>0</v>
      </c>
      <c r="AK139" s="707">
        <f t="shared" si="168"/>
        <v>0</v>
      </c>
      <c r="AL139" s="707">
        <f t="shared" si="168"/>
        <v>0</v>
      </c>
      <c r="AM139" s="707">
        <f t="shared" si="168"/>
        <v>0</v>
      </c>
      <c r="AN139" s="707">
        <f t="shared" si="168"/>
        <v>0</v>
      </c>
      <c r="AO139" s="707">
        <f t="shared" si="168"/>
        <v>0</v>
      </c>
      <c r="AP139" s="707">
        <f t="shared" si="168"/>
        <v>0</v>
      </c>
      <c r="AQ139" s="707">
        <f t="shared" si="168"/>
        <v>0</v>
      </c>
      <c r="AR139" s="707">
        <f t="shared" si="168"/>
        <v>0</v>
      </c>
      <c r="AS139" s="707">
        <f t="shared" si="168"/>
        <v>0</v>
      </c>
      <c r="AT139" s="707">
        <f t="shared" si="168"/>
        <v>0</v>
      </c>
      <c r="AU139" s="707">
        <f t="shared" si="168"/>
        <v>0</v>
      </c>
      <c r="AV139" s="707">
        <f t="shared" si="168"/>
        <v>0</v>
      </c>
      <c r="AW139" s="707">
        <f t="shared" si="168"/>
        <v>0</v>
      </c>
      <c r="AX139" s="707">
        <f t="shared" si="168"/>
        <v>0</v>
      </c>
      <c r="AY139" s="707">
        <f t="shared" si="168"/>
        <v>0</v>
      </c>
      <c r="AZ139" s="707">
        <f t="shared" si="168"/>
        <v>0</v>
      </c>
      <c r="BA139" s="707">
        <f t="shared" si="168"/>
        <v>0</v>
      </c>
      <c r="BB139" s="707">
        <f t="shared" si="168"/>
        <v>0</v>
      </c>
      <c r="BC139" s="707">
        <f t="shared" si="168"/>
        <v>0</v>
      </c>
      <c r="BD139" s="707">
        <f t="shared" si="168"/>
        <v>0</v>
      </c>
      <c r="BE139" s="708">
        <f t="shared" si="168"/>
        <v>0</v>
      </c>
    </row>
    <row r="140" spans="2:57" x14ac:dyDescent="0.2">
      <c r="B140" s="1335"/>
      <c r="C140" s="700" t="str">
        <f>HE_PG1_label</f>
        <v>PG1 - Stationäre Produkte Halbprivat, Privat und Flex</v>
      </c>
      <c r="D140" s="718">
        <f t="shared" si="166"/>
        <v>0</v>
      </c>
      <c r="E140" s="738">
        <f>IFERROR(D140/ABS(D139),0)</f>
        <v>0</v>
      </c>
      <c r="F140" s="734">
        <f t="shared" si="167"/>
        <v>1</v>
      </c>
      <c r="G140" s="730">
        <f t="shared" ref="G140:G144" si="169">IFERROR(SUM(H140:BE140),0)</f>
        <v>0</v>
      </c>
      <c r="H140" s="727"/>
      <c r="I140" s="703"/>
      <c r="J140" s="703"/>
      <c r="K140" s="703"/>
      <c r="L140" s="703"/>
      <c r="M140" s="703"/>
      <c r="N140" s="703"/>
      <c r="O140" s="703"/>
      <c r="P140" s="703"/>
      <c r="Q140" s="703"/>
      <c r="R140" s="703"/>
      <c r="S140" s="703"/>
      <c r="T140" s="703"/>
      <c r="U140" s="703"/>
      <c r="V140" s="703"/>
      <c r="W140" s="703"/>
      <c r="X140" s="703"/>
      <c r="Y140" s="703"/>
      <c r="Z140" s="703"/>
      <c r="AA140" s="703"/>
      <c r="AB140" s="703"/>
      <c r="AC140" s="703"/>
      <c r="AD140" s="703"/>
      <c r="AE140" s="703"/>
      <c r="AF140" s="703"/>
      <c r="AG140" s="703"/>
      <c r="AH140" s="703"/>
      <c r="AI140" s="703"/>
      <c r="AJ140" s="703"/>
      <c r="AK140" s="703"/>
      <c r="AL140" s="703"/>
      <c r="AM140" s="703"/>
      <c r="AN140" s="703"/>
      <c r="AO140" s="703"/>
      <c r="AP140" s="703"/>
      <c r="AQ140" s="703"/>
      <c r="AR140" s="703"/>
      <c r="AS140" s="703"/>
      <c r="AT140" s="703"/>
      <c r="AU140" s="703"/>
      <c r="AV140" s="703"/>
      <c r="AW140" s="703"/>
      <c r="AX140" s="703"/>
      <c r="AY140" s="703"/>
      <c r="AZ140" s="703"/>
      <c r="BA140" s="703"/>
      <c r="BB140" s="703"/>
      <c r="BC140" s="703"/>
      <c r="BD140" s="703"/>
      <c r="BE140" s="703"/>
    </row>
    <row r="141" spans="2:57" x14ac:dyDescent="0.2">
      <c r="B141" s="1335"/>
      <c r="C141" s="700" t="str">
        <f>HE_PG2_label</f>
        <v>PG2 - Übrige stationäre Produkte</v>
      </c>
      <c r="D141" s="718">
        <f t="shared" si="166"/>
        <v>0</v>
      </c>
      <c r="E141" s="738">
        <f>IFERROR(D141/ABS(D139),0)</f>
        <v>0</v>
      </c>
      <c r="F141" s="734">
        <f t="shared" si="167"/>
        <v>1</v>
      </c>
      <c r="G141" s="730">
        <f t="shared" si="169"/>
        <v>0</v>
      </c>
      <c r="H141" s="727"/>
      <c r="I141" s="703"/>
      <c r="J141" s="703"/>
      <c r="K141" s="703"/>
      <c r="L141" s="703"/>
      <c r="M141" s="703"/>
      <c r="N141" s="703"/>
      <c r="O141" s="703"/>
      <c r="P141" s="703"/>
      <c r="Q141" s="703"/>
      <c r="R141" s="703"/>
      <c r="S141" s="703"/>
      <c r="T141" s="703"/>
      <c r="U141" s="703"/>
      <c r="V141" s="703"/>
      <c r="W141" s="703"/>
      <c r="X141" s="703"/>
      <c r="Y141" s="703"/>
      <c r="Z141" s="703"/>
      <c r="AA141" s="703"/>
      <c r="AB141" s="703"/>
      <c r="AC141" s="703"/>
      <c r="AD141" s="703"/>
      <c r="AE141" s="703"/>
      <c r="AF141" s="703"/>
      <c r="AG141" s="703"/>
      <c r="AH141" s="703"/>
      <c r="AI141" s="703"/>
      <c r="AJ141" s="703"/>
      <c r="AK141" s="703"/>
      <c r="AL141" s="703"/>
      <c r="AM141" s="703"/>
      <c r="AN141" s="703"/>
      <c r="AO141" s="703"/>
      <c r="AP141" s="703"/>
      <c r="AQ141" s="703"/>
      <c r="AR141" s="703"/>
      <c r="AS141" s="703"/>
      <c r="AT141" s="703"/>
      <c r="AU141" s="703"/>
      <c r="AV141" s="703"/>
      <c r="AW141" s="703"/>
      <c r="AX141" s="703"/>
      <c r="AY141" s="703"/>
      <c r="AZ141" s="703"/>
      <c r="BA141" s="703"/>
      <c r="BB141" s="703"/>
      <c r="BC141" s="703"/>
      <c r="BD141" s="703"/>
      <c r="BE141" s="703"/>
    </row>
    <row r="142" spans="2:57" x14ac:dyDescent="0.2">
      <c r="B142" s="1335"/>
      <c r="C142" s="700" t="str">
        <f>HE_PG3_label</f>
        <v>PG3 - Ambulante Produkte</v>
      </c>
      <c r="D142" s="718">
        <f t="shared" si="166"/>
        <v>0</v>
      </c>
      <c r="E142" s="738">
        <f>IFERROR(D142/ABS(D139),0)</f>
        <v>0</v>
      </c>
      <c r="F142" s="734">
        <f t="shared" si="167"/>
        <v>1</v>
      </c>
      <c r="G142" s="730">
        <f t="shared" si="169"/>
        <v>0</v>
      </c>
      <c r="H142" s="727"/>
      <c r="I142" s="703"/>
      <c r="J142" s="703"/>
      <c r="K142" s="703"/>
      <c r="L142" s="703"/>
      <c r="M142" s="703"/>
      <c r="N142" s="703"/>
      <c r="O142" s="703"/>
      <c r="P142" s="703"/>
      <c r="Q142" s="703"/>
      <c r="R142" s="703"/>
      <c r="S142" s="703"/>
      <c r="T142" s="703"/>
      <c r="U142" s="703"/>
      <c r="V142" s="703"/>
      <c r="W142" s="703"/>
      <c r="X142" s="703"/>
      <c r="Y142" s="703"/>
      <c r="Z142" s="703"/>
      <c r="AA142" s="703"/>
      <c r="AB142" s="703"/>
      <c r="AC142" s="703"/>
      <c r="AD142" s="703"/>
      <c r="AE142" s="703"/>
      <c r="AF142" s="703"/>
      <c r="AG142" s="703"/>
      <c r="AH142" s="703"/>
      <c r="AI142" s="703"/>
      <c r="AJ142" s="703"/>
      <c r="AK142" s="703"/>
      <c r="AL142" s="703"/>
      <c r="AM142" s="703"/>
      <c r="AN142" s="703"/>
      <c r="AO142" s="703"/>
      <c r="AP142" s="703"/>
      <c r="AQ142" s="703"/>
      <c r="AR142" s="703"/>
      <c r="AS142" s="703"/>
      <c r="AT142" s="703"/>
      <c r="AU142" s="703"/>
      <c r="AV142" s="703"/>
      <c r="AW142" s="703"/>
      <c r="AX142" s="703"/>
      <c r="AY142" s="703"/>
      <c r="AZ142" s="703"/>
      <c r="BA142" s="703"/>
      <c r="BB142" s="703"/>
      <c r="BC142" s="703"/>
      <c r="BD142" s="703"/>
      <c r="BE142" s="703"/>
    </row>
    <row r="143" spans="2:57" x14ac:dyDescent="0.2">
      <c r="B143" s="1335"/>
      <c r="C143" s="700" t="str">
        <f>HE_PG4_label</f>
        <v>PG4 - Langzeitpflege</v>
      </c>
      <c r="D143" s="718">
        <f t="shared" si="166"/>
        <v>0</v>
      </c>
      <c r="E143" s="738">
        <f>IFERROR(D143/ABS(D139),0)</f>
        <v>0</v>
      </c>
      <c r="F143" s="734">
        <f t="shared" si="167"/>
        <v>1</v>
      </c>
      <c r="G143" s="730">
        <f t="shared" si="169"/>
        <v>0</v>
      </c>
      <c r="H143" s="727"/>
      <c r="I143" s="703"/>
      <c r="J143" s="703"/>
      <c r="K143" s="703"/>
      <c r="L143" s="703"/>
      <c r="M143" s="703"/>
      <c r="N143" s="703"/>
      <c r="O143" s="703"/>
      <c r="P143" s="703"/>
      <c r="Q143" s="703"/>
      <c r="R143" s="703"/>
      <c r="S143" s="703"/>
      <c r="T143" s="703"/>
      <c r="U143" s="703"/>
      <c r="V143" s="703"/>
      <c r="W143" s="703"/>
      <c r="X143" s="703"/>
      <c r="Y143" s="703"/>
      <c r="Z143" s="703"/>
      <c r="AA143" s="703"/>
      <c r="AB143" s="703"/>
      <c r="AC143" s="703"/>
      <c r="AD143" s="703"/>
      <c r="AE143" s="703"/>
      <c r="AF143" s="703"/>
      <c r="AG143" s="703"/>
      <c r="AH143" s="703"/>
      <c r="AI143" s="703"/>
      <c r="AJ143" s="703"/>
      <c r="AK143" s="703"/>
      <c r="AL143" s="703"/>
      <c r="AM143" s="703"/>
      <c r="AN143" s="703"/>
      <c r="AO143" s="703"/>
      <c r="AP143" s="703"/>
      <c r="AQ143" s="703"/>
      <c r="AR143" s="703"/>
      <c r="AS143" s="703"/>
      <c r="AT143" s="703"/>
      <c r="AU143" s="703"/>
      <c r="AV143" s="703"/>
      <c r="AW143" s="703"/>
      <c r="AX143" s="703"/>
      <c r="AY143" s="703"/>
      <c r="AZ143" s="703"/>
      <c r="BA143" s="703"/>
      <c r="BB143" s="703"/>
      <c r="BC143" s="703"/>
      <c r="BD143" s="703"/>
      <c r="BE143" s="703"/>
    </row>
    <row r="144" spans="2:57" x14ac:dyDescent="0.2">
      <c r="B144" s="1336"/>
      <c r="C144" s="702" t="str">
        <f>HE_PG5_label</f>
        <v>PG5 - Einzeltaggeldversicherung</v>
      </c>
      <c r="D144" s="719">
        <f t="shared" si="166"/>
        <v>0</v>
      </c>
      <c r="E144" s="739">
        <f>IFERROR(D144/ABS(D139),0)</f>
        <v>0</v>
      </c>
      <c r="F144" s="735">
        <f t="shared" si="167"/>
        <v>1</v>
      </c>
      <c r="G144" s="731">
        <f t="shared" si="169"/>
        <v>0</v>
      </c>
      <c r="H144" s="728"/>
      <c r="I144" s="704"/>
      <c r="J144" s="704"/>
      <c r="K144" s="704"/>
      <c r="L144" s="704"/>
      <c r="M144" s="704"/>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4"/>
      <c r="AL144" s="704"/>
      <c r="AM144" s="704"/>
      <c r="AN144" s="704"/>
      <c r="AO144" s="704"/>
      <c r="AP144" s="704"/>
      <c r="AQ144" s="704"/>
      <c r="AR144" s="704"/>
      <c r="AS144" s="704"/>
      <c r="AT144" s="704"/>
      <c r="AU144" s="704"/>
      <c r="AV144" s="704"/>
      <c r="AW144" s="704"/>
      <c r="AX144" s="704"/>
      <c r="AY144" s="704"/>
      <c r="AZ144" s="704"/>
      <c r="BA144" s="704"/>
      <c r="BB144" s="704"/>
      <c r="BC144" s="704"/>
      <c r="BD144" s="704"/>
      <c r="BE144" s="704"/>
    </row>
    <row r="145" spans="2:57" x14ac:dyDescent="0.2">
      <c r="B145" s="1337" t="str">
        <f>B18</f>
        <v>Alternative Berechnung</v>
      </c>
      <c r="C145" s="701" t="str">
        <f t="shared" ref="C145:C150" si="170">C139</f>
        <v>Total fünf Produktegruppen</v>
      </c>
      <c r="D145" s="720">
        <f t="shared" si="166"/>
        <v>0</v>
      </c>
      <c r="E145" s="740">
        <f>IFERROR(D145/ABS(D145),0)</f>
        <v>0</v>
      </c>
      <c r="F145" s="736">
        <f t="shared" si="167"/>
        <v>1</v>
      </c>
      <c r="G145" s="732">
        <f>IFERROR(SUM(H145:BE145),0)</f>
        <v>0</v>
      </c>
      <c r="H145" s="724">
        <f>IFERROR(SUM(H146:H150),0)</f>
        <v>0</v>
      </c>
      <c r="I145" s="709">
        <f t="shared" ref="I145:BE145" si="171">IFERROR(SUM(I146:I150),0)</f>
        <v>0</v>
      </c>
      <c r="J145" s="709">
        <f t="shared" si="171"/>
        <v>0</v>
      </c>
      <c r="K145" s="709">
        <f t="shared" si="171"/>
        <v>0</v>
      </c>
      <c r="L145" s="709">
        <f t="shared" si="171"/>
        <v>0</v>
      </c>
      <c r="M145" s="709">
        <f t="shared" si="171"/>
        <v>0</v>
      </c>
      <c r="N145" s="709">
        <f t="shared" si="171"/>
        <v>0</v>
      </c>
      <c r="O145" s="709">
        <f t="shared" si="171"/>
        <v>0</v>
      </c>
      <c r="P145" s="709">
        <f t="shared" si="171"/>
        <v>0</v>
      </c>
      <c r="Q145" s="709">
        <f t="shared" si="171"/>
        <v>0</v>
      </c>
      <c r="R145" s="709">
        <f t="shared" si="171"/>
        <v>0</v>
      </c>
      <c r="S145" s="709">
        <f t="shared" si="171"/>
        <v>0</v>
      </c>
      <c r="T145" s="709">
        <f t="shared" si="171"/>
        <v>0</v>
      </c>
      <c r="U145" s="709">
        <f t="shared" si="171"/>
        <v>0</v>
      </c>
      <c r="V145" s="709">
        <f t="shared" si="171"/>
        <v>0</v>
      </c>
      <c r="W145" s="709">
        <f t="shared" si="171"/>
        <v>0</v>
      </c>
      <c r="X145" s="709">
        <f t="shared" si="171"/>
        <v>0</v>
      </c>
      <c r="Y145" s="709">
        <f t="shared" si="171"/>
        <v>0</v>
      </c>
      <c r="Z145" s="709">
        <f t="shared" si="171"/>
        <v>0</v>
      </c>
      <c r="AA145" s="709">
        <f t="shared" si="171"/>
        <v>0</v>
      </c>
      <c r="AB145" s="709">
        <f t="shared" si="171"/>
        <v>0</v>
      </c>
      <c r="AC145" s="709">
        <f t="shared" si="171"/>
        <v>0</v>
      </c>
      <c r="AD145" s="709">
        <f t="shared" si="171"/>
        <v>0</v>
      </c>
      <c r="AE145" s="709">
        <f t="shared" si="171"/>
        <v>0</v>
      </c>
      <c r="AF145" s="709">
        <f t="shared" si="171"/>
        <v>0</v>
      </c>
      <c r="AG145" s="709">
        <f t="shared" si="171"/>
        <v>0</v>
      </c>
      <c r="AH145" s="709">
        <f t="shared" si="171"/>
        <v>0</v>
      </c>
      <c r="AI145" s="709">
        <f t="shared" si="171"/>
        <v>0</v>
      </c>
      <c r="AJ145" s="709">
        <f t="shared" si="171"/>
        <v>0</v>
      </c>
      <c r="AK145" s="709">
        <f t="shared" si="171"/>
        <v>0</v>
      </c>
      <c r="AL145" s="709">
        <f t="shared" si="171"/>
        <v>0</v>
      </c>
      <c r="AM145" s="709">
        <f t="shared" si="171"/>
        <v>0</v>
      </c>
      <c r="AN145" s="709">
        <f t="shared" si="171"/>
        <v>0</v>
      </c>
      <c r="AO145" s="709">
        <f t="shared" si="171"/>
        <v>0</v>
      </c>
      <c r="AP145" s="709">
        <f t="shared" si="171"/>
        <v>0</v>
      </c>
      <c r="AQ145" s="709">
        <f t="shared" si="171"/>
        <v>0</v>
      </c>
      <c r="AR145" s="709">
        <f t="shared" si="171"/>
        <v>0</v>
      </c>
      <c r="AS145" s="709">
        <f t="shared" si="171"/>
        <v>0</v>
      </c>
      <c r="AT145" s="709">
        <f t="shared" si="171"/>
        <v>0</v>
      </c>
      <c r="AU145" s="709">
        <f t="shared" si="171"/>
        <v>0</v>
      </c>
      <c r="AV145" s="709">
        <f t="shared" si="171"/>
        <v>0</v>
      </c>
      <c r="AW145" s="709">
        <f t="shared" si="171"/>
        <v>0</v>
      </c>
      <c r="AX145" s="709">
        <f t="shared" si="171"/>
        <v>0</v>
      </c>
      <c r="AY145" s="709">
        <f t="shared" si="171"/>
        <v>0</v>
      </c>
      <c r="AZ145" s="709">
        <f t="shared" si="171"/>
        <v>0</v>
      </c>
      <c r="BA145" s="709">
        <f t="shared" si="171"/>
        <v>0</v>
      </c>
      <c r="BB145" s="709">
        <f t="shared" si="171"/>
        <v>0</v>
      </c>
      <c r="BC145" s="709">
        <f t="shared" si="171"/>
        <v>0</v>
      </c>
      <c r="BD145" s="709">
        <f t="shared" si="171"/>
        <v>0</v>
      </c>
      <c r="BE145" s="710">
        <f t="shared" si="171"/>
        <v>0</v>
      </c>
    </row>
    <row r="146" spans="2:57" x14ac:dyDescent="0.2">
      <c r="B146" s="1338"/>
      <c r="C146" s="701" t="str">
        <f t="shared" si="170"/>
        <v>PG1 - Stationäre Produkte Halbprivat, Privat und Flex</v>
      </c>
      <c r="D146" s="745">
        <f t="shared" si="166"/>
        <v>0</v>
      </c>
      <c r="E146" s="747">
        <f>IFERROR(D146/ABS(D145),0)</f>
        <v>0</v>
      </c>
      <c r="F146" s="746">
        <f t="shared" si="167"/>
        <v>1</v>
      </c>
      <c r="G146" s="730">
        <f t="shared" ref="G146:G150" si="172">IFERROR(SUM(H146:BE146),0)</f>
        <v>0</v>
      </c>
      <c r="H146" s="337"/>
      <c r="I146" s="705"/>
      <c r="J146" s="705"/>
      <c r="K146" s="705"/>
      <c r="L146" s="705"/>
      <c r="M146" s="705"/>
      <c r="N146" s="705"/>
      <c r="O146" s="705"/>
      <c r="P146" s="705"/>
      <c r="Q146" s="705"/>
      <c r="R146" s="705"/>
      <c r="S146" s="705"/>
      <c r="T146" s="705"/>
      <c r="U146" s="705"/>
      <c r="V146" s="705"/>
      <c r="W146" s="705"/>
      <c r="X146" s="705"/>
      <c r="Y146" s="705"/>
      <c r="Z146" s="705"/>
      <c r="AA146" s="705"/>
      <c r="AB146" s="705"/>
      <c r="AC146" s="705"/>
      <c r="AD146" s="705"/>
      <c r="AE146" s="705"/>
      <c r="AF146" s="705"/>
      <c r="AG146" s="705"/>
      <c r="AH146" s="705"/>
      <c r="AI146" s="705"/>
      <c r="AJ146" s="705"/>
      <c r="AK146" s="705"/>
      <c r="AL146" s="705"/>
      <c r="AM146" s="705"/>
      <c r="AN146" s="705"/>
      <c r="AO146" s="705"/>
      <c r="AP146" s="705"/>
      <c r="AQ146" s="705"/>
      <c r="AR146" s="705"/>
      <c r="AS146" s="705"/>
      <c r="AT146" s="705"/>
      <c r="AU146" s="705"/>
      <c r="AV146" s="705"/>
      <c r="AW146" s="705"/>
      <c r="AX146" s="705"/>
      <c r="AY146" s="705"/>
      <c r="AZ146" s="705"/>
      <c r="BA146" s="705"/>
      <c r="BB146" s="705"/>
      <c r="BC146" s="705"/>
      <c r="BD146" s="705"/>
      <c r="BE146" s="705"/>
    </row>
    <row r="147" spans="2:57" x14ac:dyDescent="0.2">
      <c r="B147" s="1338"/>
      <c r="C147" s="700" t="str">
        <f t="shared" si="170"/>
        <v>PG2 - Übrige stationäre Produkte</v>
      </c>
      <c r="D147" s="718">
        <f t="shared" si="166"/>
        <v>0</v>
      </c>
      <c r="E147" s="738">
        <f>IFERROR(D147/ABS(D145),0)</f>
        <v>0</v>
      </c>
      <c r="F147" s="734">
        <f t="shared" si="167"/>
        <v>1</v>
      </c>
      <c r="G147" s="730">
        <f t="shared" si="172"/>
        <v>0</v>
      </c>
      <c r="H147" s="337"/>
      <c r="I147" s="705"/>
      <c r="J147" s="705"/>
      <c r="K147" s="705"/>
      <c r="L147" s="705"/>
      <c r="M147" s="705"/>
      <c r="N147" s="705"/>
      <c r="O147" s="705"/>
      <c r="P147" s="705"/>
      <c r="Q147" s="705"/>
      <c r="R147" s="705"/>
      <c r="S147" s="705"/>
      <c r="T147" s="705"/>
      <c r="U147" s="705"/>
      <c r="V147" s="705"/>
      <c r="W147" s="705"/>
      <c r="X147" s="705"/>
      <c r="Y147" s="705"/>
      <c r="Z147" s="705"/>
      <c r="AA147" s="705"/>
      <c r="AB147" s="705"/>
      <c r="AC147" s="705"/>
      <c r="AD147" s="705"/>
      <c r="AE147" s="705"/>
      <c r="AF147" s="705"/>
      <c r="AG147" s="705"/>
      <c r="AH147" s="705"/>
      <c r="AI147" s="705"/>
      <c r="AJ147" s="705"/>
      <c r="AK147" s="705"/>
      <c r="AL147" s="705"/>
      <c r="AM147" s="705"/>
      <c r="AN147" s="705"/>
      <c r="AO147" s="705"/>
      <c r="AP147" s="705"/>
      <c r="AQ147" s="705"/>
      <c r="AR147" s="705"/>
      <c r="AS147" s="705"/>
      <c r="AT147" s="705"/>
      <c r="AU147" s="705"/>
      <c r="AV147" s="705"/>
      <c r="AW147" s="705"/>
      <c r="AX147" s="705"/>
      <c r="AY147" s="705"/>
      <c r="AZ147" s="705"/>
      <c r="BA147" s="705"/>
      <c r="BB147" s="705"/>
      <c r="BC147" s="705"/>
      <c r="BD147" s="705"/>
      <c r="BE147" s="705"/>
    </row>
    <row r="148" spans="2:57" x14ac:dyDescent="0.2">
      <c r="B148" s="1338"/>
      <c r="C148" s="700" t="str">
        <f t="shared" si="170"/>
        <v>PG3 - Ambulante Produkte</v>
      </c>
      <c r="D148" s="718">
        <f t="shared" si="166"/>
        <v>0</v>
      </c>
      <c r="E148" s="738">
        <f>IFERROR(D148/ABS(D145),0)</f>
        <v>0</v>
      </c>
      <c r="F148" s="734">
        <f t="shared" si="167"/>
        <v>1</v>
      </c>
      <c r="G148" s="730">
        <f t="shared" si="172"/>
        <v>0</v>
      </c>
      <c r="H148" s="337"/>
      <c r="I148" s="705"/>
      <c r="J148" s="705"/>
      <c r="K148" s="705"/>
      <c r="L148" s="705"/>
      <c r="M148" s="705"/>
      <c r="N148" s="705"/>
      <c r="O148" s="705"/>
      <c r="P148" s="705"/>
      <c r="Q148" s="705"/>
      <c r="R148" s="705"/>
      <c r="S148" s="705"/>
      <c r="T148" s="705"/>
      <c r="U148" s="705"/>
      <c r="V148" s="705"/>
      <c r="W148" s="705"/>
      <c r="X148" s="705"/>
      <c r="Y148" s="705"/>
      <c r="Z148" s="705"/>
      <c r="AA148" s="705"/>
      <c r="AB148" s="705"/>
      <c r="AC148" s="705"/>
      <c r="AD148" s="705"/>
      <c r="AE148" s="705"/>
      <c r="AF148" s="705"/>
      <c r="AG148" s="705"/>
      <c r="AH148" s="705"/>
      <c r="AI148" s="705"/>
      <c r="AJ148" s="705"/>
      <c r="AK148" s="705"/>
      <c r="AL148" s="705"/>
      <c r="AM148" s="705"/>
      <c r="AN148" s="705"/>
      <c r="AO148" s="705"/>
      <c r="AP148" s="705"/>
      <c r="AQ148" s="705"/>
      <c r="AR148" s="705"/>
      <c r="AS148" s="705"/>
      <c r="AT148" s="705"/>
      <c r="AU148" s="705"/>
      <c r="AV148" s="705"/>
      <c r="AW148" s="705"/>
      <c r="AX148" s="705"/>
      <c r="AY148" s="705"/>
      <c r="AZ148" s="705"/>
      <c r="BA148" s="705"/>
      <c r="BB148" s="705"/>
      <c r="BC148" s="705"/>
      <c r="BD148" s="705"/>
      <c r="BE148" s="705"/>
    </row>
    <row r="149" spans="2:57" x14ac:dyDescent="0.2">
      <c r="B149" s="1338"/>
      <c r="C149" s="700" t="str">
        <f t="shared" si="170"/>
        <v>PG4 - Langzeitpflege</v>
      </c>
      <c r="D149" s="718">
        <f t="shared" si="166"/>
        <v>0</v>
      </c>
      <c r="E149" s="738">
        <f>IFERROR(D149/ABS(D145),0)</f>
        <v>0</v>
      </c>
      <c r="F149" s="734">
        <f t="shared" si="167"/>
        <v>1</v>
      </c>
      <c r="G149" s="730">
        <f t="shared" si="172"/>
        <v>0</v>
      </c>
      <c r="H149" s="337"/>
      <c r="I149" s="705"/>
      <c r="J149" s="705"/>
      <c r="K149" s="705"/>
      <c r="L149" s="705"/>
      <c r="M149" s="705"/>
      <c r="N149" s="705"/>
      <c r="O149" s="705"/>
      <c r="P149" s="705"/>
      <c r="Q149" s="705"/>
      <c r="R149" s="705"/>
      <c r="S149" s="705"/>
      <c r="T149" s="705"/>
      <c r="U149" s="705"/>
      <c r="V149" s="705"/>
      <c r="W149" s="705"/>
      <c r="X149" s="705"/>
      <c r="Y149" s="705"/>
      <c r="Z149" s="705"/>
      <c r="AA149" s="705"/>
      <c r="AB149" s="705"/>
      <c r="AC149" s="705"/>
      <c r="AD149" s="705"/>
      <c r="AE149" s="705"/>
      <c r="AF149" s="705"/>
      <c r="AG149" s="705"/>
      <c r="AH149" s="705"/>
      <c r="AI149" s="705"/>
      <c r="AJ149" s="705"/>
      <c r="AK149" s="705"/>
      <c r="AL149" s="705"/>
      <c r="AM149" s="705"/>
      <c r="AN149" s="705"/>
      <c r="AO149" s="705"/>
      <c r="AP149" s="705"/>
      <c r="AQ149" s="705"/>
      <c r="AR149" s="705"/>
      <c r="AS149" s="705"/>
      <c r="AT149" s="705"/>
      <c r="AU149" s="705"/>
      <c r="AV149" s="705"/>
      <c r="AW149" s="705"/>
      <c r="AX149" s="705"/>
      <c r="AY149" s="705"/>
      <c r="AZ149" s="705"/>
      <c r="BA149" s="705"/>
      <c r="BB149" s="705"/>
      <c r="BC149" s="705"/>
      <c r="BD149" s="705"/>
      <c r="BE149" s="705"/>
    </row>
    <row r="150" spans="2:57" x14ac:dyDescent="0.2">
      <c r="B150" s="1339"/>
      <c r="C150" s="702" t="str">
        <f t="shared" si="170"/>
        <v>PG5 - Einzeltaggeldversicherung</v>
      </c>
      <c r="D150" s="719">
        <f t="shared" si="166"/>
        <v>0</v>
      </c>
      <c r="E150" s="739">
        <f>IFERROR(D150/ABS(D145),0)</f>
        <v>0</v>
      </c>
      <c r="F150" s="735">
        <f t="shared" si="167"/>
        <v>1</v>
      </c>
      <c r="G150" s="731">
        <f t="shared" si="172"/>
        <v>0</v>
      </c>
      <c r="H150" s="420"/>
      <c r="I150" s="706"/>
      <c r="J150" s="706"/>
      <c r="K150" s="706"/>
      <c r="L150" s="706"/>
      <c r="M150" s="706"/>
      <c r="N150" s="706"/>
      <c r="O150" s="706"/>
      <c r="P150" s="706"/>
      <c r="Q150" s="706"/>
      <c r="R150" s="706"/>
      <c r="S150" s="706"/>
      <c r="T150" s="706"/>
      <c r="U150" s="706"/>
      <c r="V150" s="706"/>
      <c r="W150" s="706"/>
      <c r="X150" s="706"/>
      <c r="Y150" s="706"/>
      <c r="Z150" s="706"/>
      <c r="AA150" s="706"/>
      <c r="AB150" s="706"/>
      <c r="AC150" s="706"/>
      <c r="AD150" s="706"/>
      <c r="AE150" s="706"/>
      <c r="AF150" s="706"/>
      <c r="AG150" s="706"/>
      <c r="AH150" s="706"/>
      <c r="AI150" s="706"/>
      <c r="AJ150" s="706"/>
      <c r="AK150" s="706"/>
      <c r="AL150" s="706"/>
      <c r="AM150" s="706"/>
      <c r="AN150" s="706"/>
      <c r="AO150" s="706"/>
      <c r="AP150" s="706"/>
      <c r="AQ150" s="706"/>
      <c r="AR150" s="706"/>
      <c r="AS150" s="706"/>
      <c r="AT150" s="706"/>
      <c r="AU150" s="706"/>
      <c r="AV150" s="706"/>
      <c r="AW150" s="706"/>
      <c r="AX150" s="706"/>
      <c r="AY150" s="706"/>
      <c r="AZ150" s="706"/>
      <c r="BA150" s="706"/>
      <c r="BB150" s="706"/>
      <c r="BC150" s="706"/>
      <c r="BD150" s="706"/>
      <c r="BE150" s="706"/>
    </row>
    <row r="151" spans="2:57" x14ac:dyDescent="0.2">
      <c r="B151" s="1346" t="str">
        <f>B22</f>
        <v>Zusammenzug</v>
      </c>
      <c r="C151" s="749" t="str">
        <f t="shared" ref="C151:C156" si="173">C139</f>
        <v>Total fünf Produktegruppen</v>
      </c>
      <c r="D151" s="793">
        <f t="shared" si="166"/>
        <v>0</v>
      </c>
      <c r="E151" s="751">
        <f>IFERROR(D151/ABS(D151),0)</f>
        <v>0</v>
      </c>
      <c r="F151" s="761">
        <f t="shared" si="167"/>
        <v>1</v>
      </c>
      <c r="G151" s="753">
        <f>G139+G145</f>
        <v>0</v>
      </c>
      <c r="H151" s="754">
        <f>H139+H145</f>
        <v>0</v>
      </c>
      <c r="I151" s="755">
        <f t="shared" ref="I151:BE156" si="174">I139+I145</f>
        <v>0</v>
      </c>
      <c r="J151" s="755">
        <f t="shared" si="174"/>
        <v>0</v>
      </c>
      <c r="K151" s="755">
        <f t="shared" si="174"/>
        <v>0</v>
      </c>
      <c r="L151" s="755">
        <f t="shared" si="174"/>
        <v>0</v>
      </c>
      <c r="M151" s="755">
        <f t="shared" si="174"/>
        <v>0</v>
      </c>
      <c r="N151" s="755">
        <f t="shared" si="174"/>
        <v>0</v>
      </c>
      <c r="O151" s="755">
        <f t="shared" si="174"/>
        <v>0</v>
      </c>
      <c r="P151" s="755">
        <f t="shared" si="174"/>
        <v>0</v>
      </c>
      <c r="Q151" s="755">
        <f t="shared" si="174"/>
        <v>0</v>
      </c>
      <c r="R151" s="755">
        <f t="shared" si="174"/>
        <v>0</v>
      </c>
      <c r="S151" s="755">
        <f t="shared" si="174"/>
        <v>0</v>
      </c>
      <c r="T151" s="755">
        <f t="shared" si="174"/>
        <v>0</v>
      </c>
      <c r="U151" s="755">
        <f t="shared" si="174"/>
        <v>0</v>
      </c>
      <c r="V151" s="755">
        <f t="shared" si="174"/>
        <v>0</v>
      </c>
      <c r="W151" s="755">
        <f t="shared" si="174"/>
        <v>0</v>
      </c>
      <c r="X151" s="755">
        <f t="shared" si="174"/>
        <v>0</v>
      </c>
      <c r="Y151" s="755">
        <f t="shared" si="174"/>
        <v>0</v>
      </c>
      <c r="Z151" s="755">
        <f t="shared" si="174"/>
        <v>0</v>
      </c>
      <c r="AA151" s="755">
        <f t="shared" si="174"/>
        <v>0</v>
      </c>
      <c r="AB151" s="755">
        <f t="shared" si="174"/>
        <v>0</v>
      </c>
      <c r="AC151" s="755">
        <f t="shared" si="174"/>
        <v>0</v>
      </c>
      <c r="AD151" s="755">
        <f t="shared" si="174"/>
        <v>0</v>
      </c>
      <c r="AE151" s="755">
        <f t="shared" si="174"/>
        <v>0</v>
      </c>
      <c r="AF151" s="755">
        <f t="shared" si="174"/>
        <v>0</v>
      </c>
      <c r="AG151" s="755">
        <f t="shared" si="174"/>
        <v>0</v>
      </c>
      <c r="AH151" s="755">
        <f t="shared" si="174"/>
        <v>0</v>
      </c>
      <c r="AI151" s="755">
        <f t="shared" si="174"/>
        <v>0</v>
      </c>
      <c r="AJ151" s="755">
        <f t="shared" si="174"/>
        <v>0</v>
      </c>
      <c r="AK151" s="755">
        <f t="shared" si="174"/>
        <v>0</v>
      </c>
      <c r="AL151" s="755">
        <f t="shared" si="174"/>
        <v>0</v>
      </c>
      <c r="AM151" s="755">
        <f t="shared" si="174"/>
        <v>0</v>
      </c>
      <c r="AN151" s="755">
        <f t="shared" si="174"/>
        <v>0</v>
      </c>
      <c r="AO151" s="755">
        <f t="shared" si="174"/>
        <v>0</v>
      </c>
      <c r="AP151" s="755">
        <f t="shared" si="174"/>
        <v>0</v>
      </c>
      <c r="AQ151" s="755">
        <f t="shared" si="174"/>
        <v>0</v>
      </c>
      <c r="AR151" s="755">
        <f t="shared" si="174"/>
        <v>0</v>
      </c>
      <c r="AS151" s="755">
        <f t="shared" si="174"/>
        <v>0</v>
      </c>
      <c r="AT151" s="755">
        <f t="shared" si="174"/>
        <v>0</v>
      </c>
      <c r="AU151" s="755">
        <f t="shared" si="174"/>
        <v>0</v>
      </c>
      <c r="AV151" s="755">
        <f t="shared" si="174"/>
        <v>0</v>
      </c>
      <c r="AW151" s="755">
        <f t="shared" si="174"/>
        <v>0</v>
      </c>
      <c r="AX151" s="755">
        <f t="shared" si="174"/>
        <v>0</v>
      </c>
      <c r="AY151" s="755">
        <f t="shared" si="174"/>
        <v>0</v>
      </c>
      <c r="AZ151" s="755">
        <f t="shared" si="174"/>
        <v>0</v>
      </c>
      <c r="BA151" s="755">
        <f t="shared" si="174"/>
        <v>0</v>
      </c>
      <c r="BB151" s="755">
        <f t="shared" si="174"/>
        <v>0</v>
      </c>
      <c r="BC151" s="755">
        <f t="shared" si="174"/>
        <v>0</v>
      </c>
      <c r="BD151" s="755">
        <f t="shared" si="174"/>
        <v>0</v>
      </c>
      <c r="BE151" s="756">
        <f t="shared" si="174"/>
        <v>0</v>
      </c>
    </row>
    <row r="152" spans="2:57" x14ac:dyDescent="0.2">
      <c r="B152" s="1347"/>
      <c r="C152" s="700" t="str">
        <f t="shared" si="173"/>
        <v>PG1 - Stationäre Produkte Halbprivat, Privat und Flex</v>
      </c>
      <c r="D152" s="718">
        <f t="shared" si="166"/>
        <v>0</v>
      </c>
      <c r="E152" s="738">
        <f>IFERROR(D152/ABS(D151),0)</f>
        <v>0</v>
      </c>
      <c r="F152" s="734">
        <f t="shared" si="167"/>
        <v>1</v>
      </c>
      <c r="G152" s="730">
        <f t="shared" ref="G152:W156" si="175">G140+G146</f>
        <v>0</v>
      </c>
      <c r="H152" s="722">
        <f t="shared" si="175"/>
        <v>0</v>
      </c>
      <c r="I152" s="711">
        <f t="shared" si="175"/>
        <v>0</v>
      </c>
      <c r="J152" s="711">
        <f t="shared" si="175"/>
        <v>0</v>
      </c>
      <c r="K152" s="711">
        <f t="shared" si="175"/>
        <v>0</v>
      </c>
      <c r="L152" s="711">
        <f t="shared" si="175"/>
        <v>0</v>
      </c>
      <c r="M152" s="711">
        <f t="shared" si="175"/>
        <v>0</v>
      </c>
      <c r="N152" s="711">
        <f t="shared" si="175"/>
        <v>0</v>
      </c>
      <c r="O152" s="711">
        <f t="shared" si="175"/>
        <v>0</v>
      </c>
      <c r="P152" s="711">
        <f t="shared" si="175"/>
        <v>0</v>
      </c>
      <c r="Q152" s="711">
        <f t="shared" si="175"/>
        <v>0</v>
      </c>
      <c r="R152" s="711">
        <f t="shared" si="175"/>
        <v>0</v>
      </c>
      <c r="S152" s="711">
        <f t="shared" si="175"/>
        <v>0</v>
      </c>
      <c r="T152" s="711">
        <f t="shared" si="175"/>
        <v>0</v>
      </c>
      <c r="U152" s="711">
        <f t="shared" si="175"/>
        <v>0</v>
      </c>
      <c r="V152" s="711">
        <f t="shared" si="175"/>
        <v>0</v>
      </c>
      <c r="W152" s="711">
        <f t="shared" si="175"/>
        <v>0</v>
      </c>
      <c r="X152" s="711">
        <f t="shared" si="174"/>
        <v>0</v>
      </c>
      <c r="Y152" s="711">
        <f t="shared" si="174"/>
        <v>0</v>
      </c>
      <c r="Z152" s="711">
        <f t="shared" si="174"/>
        <v>0</v>
      </c>
      <c r="AA152" s="711">
        <f t="shared" si="174"/>
        <v>0</v>
      </c>
      <c r="AB152" s="711">
        <f t="shared" si="174"/>
        <v>0</v>
      </c>
      <c r="AC152" s="711">
        <f t="shared" si="174"/>
        <v>0</v>
      </c>
      <c r="AD152" s="711">
        <f t="shared" si="174"/>
        <v>0</v>
      </c>
      <c r="AE152" s="711">
        <f t="shared" si="174"/>
        <v>0</v>
      </c>
      <c r="AF152" s="711">
        <f t="shared" si="174"/>
        <v>0</v>
      </c>
      <c r="AG152" s="711">
        <f t="shared" si="174"/>
        <v>0</v>
      </c>
      <c r="AH152" s="711">
        <f t="shared" si="174"/>
        <v>0</v>
      </c>
      <c r="AI152" s="711">
        <f t="shared" si="174"/>
        <v>0</v>
      </c>
      <c r="AJ152" s="711">
        <f t="shared" si="174"/>
        <v>0</v>
      </c>
      <c r="AK152" s="711">
        <f t="shared" si="174"/>
        <v>0</v>
      </c>
      <c r="AL152" s="711">
        <f t="shared" si="174"/>
        <v>0</v>
      </c>
      <c r="AM152" s="711">
        <f t="shared" si="174"/>
        <v>0</v>
      </c>
      <c r="AN152" s="711">
        <f t="shared" si="174"/>
        <v>0</v>
      </c>
      <c r="AO152" s="711">
        <f t="shared" si="174"/>
        <v>0</v>
      </c>
      <c r="AP152" s="711">
        <f t="shared" si="174"/>
        <v>0</v>
      </c>
      <c r="AQ152" s="711">
        <f t="shared" si="174"/>
        <v>0</v>
      </c>
      <c r="AR152" s="711">
        <f t="shared" si="174"/>
        <v>0</v>
      </c>
      <c r="AS152" s="711">
        <f t="shared" si="174"/>
        <v>0</v>
      </c>
      <c r="AT152" s="711">
        <f t="shared" si="174"/>
        <v>0</v>
      </c>
      <c r="AU152" s="711">
        <f t="shared" si="174"/>
        <v>0</v>
      </c>
      <c r="AV152" s="711">
        <f t="shared" si="174"/>
        <v>0</v>
      </c>
      <c r="AW152" s="711">
        <f t="shared" si="174"/>
        <v>0</v>
      </c>
      <c r="AX152" s="711">
        <f t="shared" si="174"/>
        <v>0</v>
      </c>
      <c r="AY152" s="711">
        <f t="shared" si="174"/>
        <v>0</v>
      </c>
      <c r="AZ152" s="711">
        <f t="shared" si="174"/>
        <v>0</v>
      </c>
      <c r="BA152" s="711">
        <f t="shared" si="174"/>
        <v>0</v>
      </c>
      <c r="BB152" s="711">
        <f t="shared" si="174"/>
        <v>0</v>
      </c>
      <c r="BC152" s="711">
        <f t="shared" si="174"/>
        <v>0</v>
      </c>
      <c r="BD152" s="711">
        <f t="shared" si="174"/>
        <v>0</v>
      </c>
      <c r="BE152" s="712">
        <f t="shared" si="174"/>
        <v>0</v>
      </c>
    </row>
    <row r="153" spans="2:57" x14ac:dyDescent="0.2">
      <c r="B153" s="1347"/>
      <c r="C153" s="700" t="str">
        <f t="shared" si="173"/>
        <v>PG2 - Übrige stationäre Produkte</v>
      </c>
      <c r="D153" s="718">
        <f t="shared" si="166"/>
        <v>0</v>
      </c>
      <c r="E153" s="738">
        <f>IFERROR(D153/ABS(D151),0)</f>
        <v>0</v>
      </c>
      <c r="F153" s="734">
        <f t="shared" si="167"/>
        <v>1</v>
      </c>
      <c r="G153" s="730">
        <f t="shared" si="175"/>
        <v>0</v>
      </c>
      <c r="H153" s="722">
        <f t="shared" si="175"/>
        <v>0</v>
      </c>
      <c r="I153" s="711">
        <f t="shared" si="174"/>
        <v>0</v>
      </c>
      <c r="J153" s="711">
        <f t="shared" si="174"/>
        <v>0</v>
      </c>
      <c r="K153" s="711">
        <f t="shared" si="174"/>
        <v>0</v>
      </c>
      <c r="L153" s="711">
        <f t="shared" si="174"/>
        <v>0</v>
      </c>
      <c r="M153" s="711">
        <f t="shared" si="174"/>
        <v>0</v>
      </c>
      <c r="N153" s="711">
        <f t="shared" si="174"/>
        <v>0</v>
      </c>
      <c r="O153" s="711">
        <f t="shared" si="174"/>
        <v>0</v>
      </c>
      <c r="P153" s="711">
        <f t="shared" si="174"/>
        <v>0</v>
      </c>
      <c r="Q153" s="711">
        <f t="shared" si="174"/>
        <v>0</v>
      </c>
      <c r="R153" s="711">
        <f t="shared" si="174"/>
        <v>0</v>
      </c>
      <c r="S153" s="711">
        <f t="shared" si="174"/>
        <v>0</v>
      </c>
      <c r="T153" s="711">
        <f t="shared" si="174"/>
        <v>0</v>
      </c>
      <c r="U153" s="711">
        <f t="shared" si="174"/>
        <v>0</v>
      </c>
      <c r="V153" s="711">
        <f t="shared" si="174"/>
        <v>0</v>
      </c>
      <c r="W153" s="711">
        <f t="shared" si="174"/>
        <v>0</v>
      </c>
      <c r="X153" s="711">
        <f t="shared" si="174"/>
        <v>0</v>
      </c>
      <c r="Y153" s="711">
        <f t="shared" si="174"/>
        <v>0</v>
      </c>
      <c r="Z153" s="711">
        <f t="shared" si="174"/>
        <v>0</v>
      </c>
      <c r="AA153" s="711">
        <f t="shared" si="174"/>
        <v>0</v>
      </c>
      <c r="AB153" s="711">
        <f t="shared" si="174"/>
        <v>0</v>
      </c>
      <c r="AC153" s="711">
        <f t="shared" si="174"/>
        <v>0</v>
      </c>
      <c r="AD153" s="711">
        <f t="shared" si="174"/>
        <v>0</v>
      </c>
      <c r="AE153" s="711">
        <f t="shared" si="174"/>
        <v>0</v>
      </c>
      <c r="AF153" s="711">
        <f t="shared" si="174"/>
        <v>0</v>
      </c>
      <c r="AG153" s="711">
        <f t="shared" si="174"/>
        <v>0</v>
      </c>
      <c r="AH153" s="711">
        <f t="shared" si="174"/>
        <v>0</v>
      </c>
      <c r="AI153" s="711">
        <f t="shared" si="174"/>
        <v>0</v>
      </c>
      <c r="AJ153" s="711">
        <f t="shared" si="174"/>
        <v>0</v>
      </c>
      <c r="AK153" s="711">
        <f t="shared" si="174"/>
        <v>0</v>
      </c>
      <c r="AL153" s="711">
        <f t="shared" si="174"/>
        <v>0</v>
      </c>
      <c r="AM153" s="711">
        <f t="shared" si="174"/>
        <v>0</v>
      </c>
      <c r="AN153" s="711">
        <f t="shared" si="174"/>
        <v>0</v>
      </c>
      <c r="AO153" s="711">
        <f t="shared" si="174"/>
        <v>0</v>
      </c>
      <c r="AP153" s="711">
        <f t="shared" si="174"/>
        <v>0</v>
      </c>
      <c r="AQ153" s="711">
        <f t="shared" si="174"/>
        <v>0</v>
      </c>
      <c r="AR153" s="711">
        <f t="shared" si="174"/>
        <v>0</v>
      </c>
      <c r="AS153" s="711">
        <f t="shared" si="174"/>
        <v>0</v>
      </c>
      <c r="AT153" s="711">
        <f t="shared" si="174"/>
        <v>0</v>
      </c>
      <c r="AU153" s="711">
        <f t="shared" si="174"/>
        <v>0</v>
      </c>
      <c r="AV153" s="711">
        <f t="shared" si="174"/>
        <v>0</v>
      </c>
      <c r="AW153" s="711">
        <f t="shared" si="174"/>
        <v>0</v>
      </c>
      <c r="AX153" s="711">
        <f t="shared" si="174"/>
        <v>0</v>
      </c>
      <c r="AY153" s="711">
        <f t="shared" si="174"/>
        <v>0</v>
      </c>
      <c r="AZ153" s="711">
        <f t="shared" si="174"/>
        <v>0</v>
      </c>
      <c r="BA153" s="711">
        <f t="shared" si="174"/>
        <v>0</v>
      </c>
      <c r="BB153" s="711">
        <f t="shared" si="174"/>
        <v>0</v>
      </c>
      <c r="BC153" s="711">
        <f t="shared" si="174"/>
        <v>0</v>
      </c>
      <c r="BD153" s="711">
        <f t="shared" si="174"/>
        <v>0</v>
      </c>
      <c r="BE153" s="712">
        <f t="shared" si="174"/>
        <v>0</v>
      </c>
    </row>
    <row r="154" spans="2:57" x14ac:dyDescent="0.2">
      <c r="B154" s="1347"/>
      <c r="C154" s="700" t="str">
        <f t="shared" si="173"/>
        <v>PG3 - Ambulante Produkte</v>
      </c>
      <c r="D154" s="718">
        <f t="shared" si="166"/>
        <v>0</v>
      </c>
      <c r="E154" s="738">
        <f>IFERROR(D154/ABS(D151),0)</f>
        <v>0</v>
      </c>
      <c r="F154" s="734">
        <f t="shared" si="167"/>
        <v>1</v>
      </c>
      <c r="G154" s="730">
        <f t="shared" si="175"/>
        <v>0</v>
      </c>
      <c r="H154" s="722">
        <f t="shared" si="175"/>
        <v>0</v>
      </c>
      <c r="I154" s="711">
        <f t="shared" si="174"/>
        <v>0</v>
      </c>
      <c r="J154" s="711">
        <f t="shared" si="174"/>
        <v>0</v>
      </c>
      <c r="K154" s="711">
        <f t="shared" si="174"/>
        <v>0</v>
      </c>
      <c r="L154" s="711">
        <f t="shared" si="174"/>
        <v>0</v>
      </c>
      <c r="M154" s="711">
        <f t="shared" si="174"/>
        <v>0</v>
      </c>
      <c r="N154" s="711">
        <f t="shared" si="174"/>
        <v>0</v>
      </c>
      <c r="O154" s="711">
        <f t="shared" si="174"/>
        <v>0</v>
      </c>
      <c r="P154" s="711">
        <f t="shared" si="174"/>
        <v>0</v>
      </c>
      <c r="Q154" s="711">
        <f t="shared" si="174"/>
        <v>0</v>
      </c>
      <c r="R154" s="711">
        <f t="shared" si="174"/>
        <v>0</v>
      </c>
      <c r="S154" s="711">
        <f t="shared" si="174"/>
        <v>0</v>
      </c>
      <c r="T154" s="711">
        <f t="shared" si="174"/>
        <v>0</v>
      </c>
      <c r="U154" s="711">
        <f t="shared" si="174"/>
        <v>0</v>
      </c>
      <c r="V154" s="711">
        <f t="shared" si="174"/>
        <v>0</v>
      </c>
      <c r="W154" s="711">
        <f t="shared" si="174"/>
        <v>0</v>
      </c>
      <c r="X154" s="711">
        <f t="shared" si="174"/>
        <v>0</v>
      </c>
      <c r="Y154" s="711">
        <f t="shared" si="174"/>
        <v>0</v>
      </c>
      <c r="Z154" s="711">
        <f t="shared" si="174"/>
        <v>0</v>
      </c>
      <c r="AA154" s="711">
        <f t="shared" si="174"/>
        <v>0</v>
      </c>
      <c r="AB154" s="711">
        <f t="shared" si="174"/>
        <v>0</v>
      </c>
      <c r="AC154" s="711">
        <f t="shared" si="174"/>
        <v>0</v>
      </c>
      <c r="AD154" s="711">
        <f t="shared" si="174"/>
        <v>0</v>
      </c>
      <c r="AE154" s="711">
        <f t="shared" si="174"/>
        <v>0</v>
      </c>
      <c r="AF154" s="711">
        <f t="shared" si="174"/>
        <v>0</v>
      </c>
      <c r="AG154" s="711">
        <f t="shared" si="174"/>
        <v>0</v>
      </c>
      <c r="AH154" s="711">
        <f t="shared" si="174"/>
        <v>0</v>
      </c>
      <c r="AI154" s="711">
        <f t="shared" si="174"/>
        <v>0</v>
      </c>
      <c r="AJ154" s="711">
        <f t="shared" si="174"/>
        <v>0</v>
      </c>
      <c r="AK154" s="711">
        <f t="shared" si="174"/>
        <v>0</v>
      </c>
      <c r="AL154" s="711">
        <f t="shared" si="174"/>
        <v>0</v>
      </c>
      <c r="AM154" s="711">
        <f t="shared" si="174"/>
        <v>0</v>
      </c>
      <c r="AN154" s="711">
        <f t="shared" si="174"/>
        <v>0</v>
      </c>
      <c r="AO154" s="711">
        <f t="shared" si="174"/>
        <v>0</v>
      </c>
      <c r="AP154" s="711">
        <f t="shared" si="174"/>
        <v>0</v>
      </c>
      <c r="AQ154" s="711">
        <f t="shared" si="174"/>
        <v>0</v>
      </c>
      <c r="AR154" s="711">
        <f t="shared" si="174"/>
        <v>0</v>
      </c>
      <c r="AS154" s="711">
        <f t="shared" si="174"/>
        <v>0</v>
      </c>
      <c r="AT154" s="711">
        <f t="shared" si="174"/>
        <v>0</v>
      </c>
      <c r="AU154" s="711">
        <f t="shared" si="174"/>
        <v>0</v>
      </c>
      <c r="AV154" s="711">
        <f t="shared" si="174"/>
        <v>0</v>
      </c>
      <c r="AW154" s="711">
        <f t="shared" si="174"/>
        <v>0</v>
      </c>
      <c r="AX154" s="711">
        <f t="shared" si="174"/>
        <v>0</v>
      </c>
      <c r="AY154" s="711">
        <f t="shared" si="174"/>
        <v>0</v>
      </c>
      <c r="AZ154" s="711">
        <f t="shared" si="174"/>
        <v>0</v>
      </c>
      <c r="BA154" s="711">
        <f t="shared" si="174"/>
        <v>0</v>
      </c>
      <c r="BB154" s="711">
        <f t="shared" si="174"/>
        <v>0</v>
      </c>
      <c r="BC154" s="711">
        <f t="shared" si="174"/>
        <v>0</v>
      </c>
      <c r="BD154" s="711">
        <f t="shared" si="174"/>
        <v>0</v>
      </c>
      <c r="BE154" s="712">
        <f t="shared" si="174"/>
        <v>0</v>
      </c>
    </row>
    <row r="155" spans="2:57" x14ac:dyDescent="0.2">
      <c r="B155" s="1347"/>
      <c r="C155" s="700" t="str">
        <f t="shared" si="173"/>
        <v>PG4 - Langzeitpflege</v>
      </c>
      <c r="D155" s="718">
        <f t="shared" si="166"/>
        <v>0</v>
      </c>
      <c r="E155" s="738">
        <f>IFERROR(D155/ABS(D151),0)</f>
        <v>0</v>
      </c>
      <c r="F155" s="734">
        <f t="shared" si="167"/>
        <v>1</v>
      </c>
      <c r="G155" s="730">
        <f t="shared" si="175"/>
        <v>0</v>
      </c>
      <c r="H155" s="722">
        <f t="shared" si="175"/>
        <v>0</v>
      </c>
      <c r="I155" s="711">
        <f t="shared" si="174"/>
        <v>0</v>
      </c>
      <c r="J155" s="711">
        <f t="shared" si="174"/>
        <v>0</v>
      </c>
      <c r="K155" s="711">
        <f t="shared" si="174"/>
        <v>0</v>
      </c>
      <c r="L155" s="711">
        <f t="shared" si="174"/>
        <v>0</v>
      </c>
      <c r="M155" s="711">
        <f t="shared" si="174"/>
        <v>0</v>
      </c>
      <c r="N155" s="711">
        <f t="shared" si="174"/>
        <v>0</v>
      </c>
      <c r="O155" s="711">
        <f t="shared" si="174"/>
        <v>0</v>
      </c>
      <c r="P155" s="711">
        <f t="shared" si="174"/>
        <v>0</v>
      </c>
      <c r="Q155" s="711">
        <f t="shared" si="174"/>
        <v>0</v>
      </c>
      <c r="R155" s="711">
        <f t="shared" si="174"/>
        <v>0</v>
      </c>
      <c r="S155" s="711">
        <f t="shared" si="174"/>
        <v>0</v>
      </c>
      <c r="T155" s="711">
        <f t="shared" si="174"/>
        <v>0</v>
      </c>
      <c r="U155" s="711">
        <f t="shared" si="174"/>
        <v>0</v>
      </c>
      <c r="V155" s="711">
        <f t="shared" si="174"/>
        <v>0</v>
      </c>
      <c r="W155" s="711">
        <f t="shared" si="174"/>
        <v>0</v>
      </c>
      <c r="X155" s="711">
        <f t="shared" si="174"/>
        <v>0</v>
      </c>
      <c r="Y155" s="711">
        <f t="shared" si="174"/>
        <v>0</v>
      </c>
      <c r="Z155" s="711">
        <f t="shared" si="174"/>
        <v>0</v>
      </c>
      <c r="AA155" s="711">
        <f t="shared" si="174"/>
        <v>0</v>
      </c>
      <c r="AB155" s="711">
        <f t="shared" si="174"/>
        <v>0</v>
      </c>
      <c r="AC155" s="711">
        <f t="shared" si="174"/>
        <v>0</v>
      </c>
      <c r="AD155" s="711">
        <f t="shared" si="174"/>
        <v>0</v>
      </c>
      <c r="AE155" s="711">
        <f t="shared" si="174"/>
        <v>0</v>
      </c>
      <c r="AF155" s="711">
        <f t="shared" si="174"/>
        <v>0</v>
      </c>
      <c r="AG155" s="711">
        <f t="shared" si="174"/>
        <v>0</v>
      </c>
      <c r="AH155" s="711">
        <f t="shared" si="174"/>
        <v>0</v>
      </c>
      <c r="AI155" s="711">
        <f t="shared" si="174"/>
        <v>0</v>
      </c>
      <c r="AJ155" s="711">
        <f t="shared" si="174"/>
        <v>0</v>
      </c>
      <c r="AK155" s="711">
        <f t="shared" si="174"/>
        <v>0</v>
      </c>
      <c r="AL155" s="711">
        <f t="shared" si="174"/>
        <v>0</v>
      </c>
      <c r="AM155" s="711">
        <f t="shared" si="174"/>
        <v>0</v>
      </c>
      <c r="AN155" s="711">
        <f t="shared" si="174"/>
        <v>0</v>
      </c>
      <c r="AO155" s="711">
        <f t="shared" si="174"/>
        <v>0</v>
      </c>
      <c r="AP155" s="711">
        <f t="shared" si="174"/>
        <v>0</v>
      </c>
      <c r="AQ155" s="711">
        <f t="shared" si="174"/>
        <v>0</v>
      </c>
      <c r="AR155" s="711">
        <f t="shared" si="174"/>
        <v>0</v>
      </c>
      <c r="AS155" s="711">
        <f t="shared" si="174"/>
        <v>0</v>
      </c>
      <c r="AT155" s="711">
        <f t="shared" si="174"/>
        <v>0</v>
      </c>
      <c r="AU155" s="711">
        <f t="shared" si="174"/>
        <v>0</v>
      </c>
      <c r="AV155" s="711">
        <f t="shared" si="174"/>
        <v>0</v>
      </c>
      <c r="AW155" s="711">
        <f t="shared" si="174"/>
        <v>0</v>
      </c>
      <c r="AX155" s="711">
        <f t="shared" si="174"/>
        <v>0</v>
      </c>
      <c r="AY155" s="711">
        <f t="shared" si="174"/>
        <v>0</v>
      </c>
      <c r="AZ155" s="711">
        <f t="shared" si="174"/>
        <v>0</v>
      </c>
      <c r="BA155" s="711">
        <f t="shared" si="174"/>
        <v>0</v>
      </c>
      <c r="BB155" s="711">
        <f t="shared" si="174"/>
        <v>0</v>
      </c>
      <c r="BC155" s="711">
        <f t="shared" si="174"/>
        <v>0</v>
      </c>
      <c r="BD155" s="711">
        <f t="shared" si="174"/>
        <v>0</v>
      </c>
      <c r="BE155" s="712">
        <f t="shared" si="174"/>
        <v>0</v>
      </c>
    </row>
    <row r="156" spans="2:57" x14ac:dyDescent="0.2">
      <c r="B156" s="1348"/>
      <c r="C156" s="702" t="str">
        <f t="shared" si="173"/>
        <v>PG5 - Einzeltaggeldversicherung</v>
      </c>
      <c r="D156" s="719">
        <f t="shared" si="166"/>
        <v>0</v>
      </c>
      <c r="E156" s="739">
        <f>IFERROR(D156/ABS(D151),0)</f>
        <v>0</v>
      </c>
      <c r="F156" s="735">
        <f t="shared" si="167"/>
        <v>1</v>
      </c>
      <c r="G156" s="731">
        <f t="shared" si="175"/>
        <v>0</v>
      </c>
      <c r="H156" s="723">
        <f t="shared" si="175"/>
        <v>0</v>
      </c>
      <c r="I156" s="713">
        <f t="shared" si="174"/>
        <v>0</v>
      </c>
      <c r="J156" s="713">
        <f t="shared" si="174"/>
        <v>0</v>
      </c>
      <c r="K156" s="713">
        <f t="shared" si="174"/>
        <v>0</v>
      </c>
      <c r="L156" s="713">
        <f t="shared" si="174"/>
        <v>0</v>
      </c>
      <c r="M156" s="713">
        <f t="shared" si="174"/>
        <v>0</v>
      </c>
      <c r="N156" s="713">
        <f t="shared" si="174"/>
        <v>0</v>
      </c>
      <c r="O156" s="713">
        <f t="shared" si="174"/>
        <v>0</v>
      </c>
      <c r="P156" s="713">
        <f t="shared" si="174"/>
        <v>0</v>
      </c>
      <c r="Q156" s="713">
        <f t="shared" si="174"/>
        <v>0</v>
      </c>
      <c r="R156" s="713">
        <f t="shared" si="174"/>
        <v>0</v>
      </c>
      <c r="S156" s="713">
        <f t="shared" si="174"/>
        <v>0</v>
      </c>
      <c r="T156" s="713">
        <f t="shared" si="174"/>
        <v>0</v>
      </c>
      <c r="U156" s="713">
        <f t="shared" si="174"/>
        <v>0</v>
      </c>
      <c r="V156" s="713">
        <f t="shared" si="174"/>
        <v>0</v>
      </c>
      <c r="W156" s="713">
        <f t="shared" si="174"/>
        <v>0</v>
      </c>
      <c r="X156" s="713">
        <f t="shared" si="174"/>
        <v>0</v>
      </c>
      <c r="Y156" s="713">
        <f t="shared" si="174"/>
        <v>0</v>
      </c>
      <c r="Z156" s="713">
        <f t="shared" si="174"/>
        <v>0</v>
      </c>
      <c r="AA156" s="713">
        <f t="shared" si="174"/>
        <v>0</v>
      </c>
      <c r="AB156" s="713">
        <f t="shared" si="174"/>
        <v>0</v>
      </c>
      <c r="AC156" s="713">
        <f t="shared" si="174"/>
        <v>0</v>
      </c>
      <c r="AD156" s="713">
        <f t="shared" si="174"/>
        <v>0</v>
      </c>
      <c r="AE156" s="713">
        <f t="shared" si="174"/>
        <v>0</v>
      </c>
      <c r="AF156" s="713">
        <f t="shared" si="174"/>
        <v>0</v>
      </c>
      <c r="AG156" s="713">
        <f t="shared" si="174"/>
        <v>0</v>
      </c>
      <c r="AH156" s="713">
        <f t="shared" ref="AH156:BE156" si="176">AH144+AH150</f>
        <v>0</v>
      </c>
      <c r="AI156" s="713">
        <f t="shared" si="176"/>
        <v>0</v>
      </c>
      <c r="AJ156" s="713">
        <f t="shared" si="176"/>
        <v>0</v>
      </c>
      <c r="AK156" s="713">
        <f t="shared" si="176"/>
        <v>0</v>
      </c>
      <c r="AL156" s="713">
        <f t="shared" si="176"/>
        <v>0</v>
      </c>
      <c r="AM156" s="713">
        <f t="shared" si="176"/>
        <v>0</v>
      </c>
      <c r="AN156" s="713">
        <f t="shared" si="176"/>
        <v>0</v>
      </c>
      <c r="AO156" s="713">
        <f t="shared" si="176"/>
        <v>0</v>
      </c>
      <c r="AP156" s="713">
        <f t="shared" si="176"/>
        <v>0</v>
      </c>
      <c r="AQ156" s="713">
        <f t="shared" si="176"/>
        <v>0</v>
      </c>
      <c r="AR156" s="713">
        <f t="shared" si="176"/>
        <v>0</v>
      </c>
      <c r="AS156" s="713">
        <f t="shared" si="176"/>
        <v>0</v>
      </c>
      <c r="AT156" s="713">
        <f t="shared" si="176"/>
        <v>0</v>
      </c>
      <c r="AU156" s="713">
        <f t="shared" si="176"/>
        <v>0</v>
      </c>
      <c r="AV156" s="713">
        <f t="shared" si="176"/>
        <v>0</v>
      </c>
      <c r="AW156" s="713">
        <f t="shared" si="176"/>
        <v>0</v>
      </c>
      <c r="AX156" s="713">
        <f t="shared" si="176"/>
        <v>0</v>
      </c>
      <c r="AY156" s="713">
        <f t="shared" si="176"/>
        <v>0</v>
      </c>
      <c r="AZ156" s="713">
        <f t="shared" si="176"/>
        <v>0</v>
      </c>
      <c r="BA156" s="713">
        <f t="shared" si="176"/>
        <v>0</v>
      </c>
      <c r="BB156" s="713">
        <f t="shared" si="176"/>
        <v>0</v>
      </c>
      <c r="BC156" s="713">
        <f t="shared" si="176"/>
        <v>0</v>
      </c>
      <c r="BD156" s="713">
        <f t="shared" si="176"/>
        <v>0</v>
      </c>
      <c r="BE156" s="714">
        <f t="shared" si="176"/>
        <v>0</v>
      </c>
    </row>
  </sheetData>
  <mergeCells count="43">
    <mergeCell ref="B80:B85"/>
    <mergeCell ref="D103:F103"/>
    <mergeCell ref="B151:B156"/>
    <mergeCell ref="D137:D138"/>
    <mergeCell ref="E137:E138"/>
    <mergeCell ref="F137:F138"/>
    <mergeCell ref="B86:B91"/>
    <mergeCell ref="B92:B97"/>
    <mergeCell ref="D104:D105"/>
    <mergeCell ref="E104:E105"/>
    <mergeCell ref="F104:F105"/>
    <mergeCell ref="G104:G105"/>
    <mergeCell ref="B106:B114"/>
    <mergeCell ref="B145:B150"/>
    <mergeCell ref="G137:G138"/>
    <mergeCell ref="B139:B144"/>
    <mergeCell ref="B115:B123"/>
    <mergeCell ref="B124:B132"/>
    <mergeCell ref="B44:B49"/>
    <mergeCell ref="D12:D13"/>
    <mergeCell ref="E12:E13"/>
    <mergeCell ref="F12:F13"/>
    <mergeCell ref="B14:B17"/>
    <mergeCell ref="B18:B21"/>
    <mergeCell ref="B22:B25"/>
    <mergeCell ref="B32:B37"/>
    <mergeCell ref="B38:B43"/>
    <mergeCell ref="B56:B61"/>
    <mergeCell ref="B62:B67"/>
    <mergeCell ref="C77:C79"/>
    <mergeCell ref="E78:E79"/>
    <mergeCell ref="F78:F79"/>
    <mergeCell ref="B68:B73"/>
    <mergeCell ref="D78:D79"/>
    <mergeCell ref="G54:G55"/>
    <mergeCell ref="D54:D55"/>
    <mergeCell ref="G12:G13"/>
    <mergeCell ref="D30:D31"/>
    <mergeCell ref="E30:E31"/>
    <mergeCell ref="F30:F31"/>
    <mergeCell ref="G30:G31"/>
    <mergeCell ref="E54:E55"/>
    <mergeCell ref="F54:F55"/>
  </mergeCells>
  <conditionalFormatting sqref="H19:BE21 H107:BE114">
    <cfRule type="expression" dxfId="644" priority="21">
      <formula>IF(#REF!="Ground-up loss",TRUE,FALSE)</formula>
    </cfRule>
  </conditionalFormatting>
  <conditionalFormatting sqref="H15:BE17">
    <cfRule type="expression" dxfId="643" priority="19">
      <formula>IF(#REF!="Ground-up loss",TRUE,FALSE)</formula>
    </cfRule>
  </conditionalFormatting>
  <conditionalFormatting sqref="H40:BE43">
    <cfRule type="expression" dxfId="642" priority="18">
      <formula>IF(#REF!="Ground-up loss",TRUE,FALSE)</formula>
    </cfRule>
  </conditionalFormatting>
  <conditionalFormatting sqref="H33:BE37">
    <cfRule type="expression" dxfId="641" priority="17">
      <formula>IF(#REF!="Ground-up loss",TRUE,FALSE)</formula>
    </cfRule>
  </conditionalFormatting>
  <conditionalFormatting sqref="H39:BE39">
    <cfRule type="expression" dxfId="640" priority="16">
      <formula>IF(#REF!="Ground-up loss",TRUE,FALSE)</formula>
    </cfRule>
  </conditionalFormatting>
  <conditionalFormatting sqref="H88:BE91">
    <cfRule type="expression" dxfId="639" priority="15">
      <formula>IF(#REF!="Ground-up loss",TRUE,FALSE)</formula>
    </cfRule>
  </conditionalFormatting>
  <conditionalFormatting sqref="H81:BE85">
    <cfRule type="expression" dxfId="638" priority="14">
      <formula>IF(#REF!="Ground-up loss",TRUE,FALSE)</formula>
    </cfRule>
  </conditionalFormatting>
  <conditionalFormatting sqref="H87:BE87">
    <cfRule type="expression" dxfId="637" priority="13">
      <formula>IF(#REF!="Ground-up loss",TRUE,FALSE)</formula>
    </cfRule>
  </conditionalFormatting>
  <conditionalFormatting sqref="H64:BE67">
    <cfRule type="expression" dxfId="636" priority="12">
      <formula>IF(#REF!="Ground-up loss",TRUE,FALSE)</formula>
    </cfRule>
  </conditionalFormatting>
  <conditionalFormatting sqref="H57:BE61">
    <cfRule type="expression" dxfId="635" priority="11">
      <formula>IF(#REF!="Ground-up loss",TRUE,FALSE)</formula>
    </cfRule>
  </conditionalFormatting>
  <conditionalFormatting sqref="H63:BE63">
    <cfRule type="expression" dxfId="634" priority="10">
      <formula>IF(#REF!="Ground-up loss",TRUE,FALSE)</formula>
    </cfRule>
  </conditionalFormatting>
  <conditionalFormatting sqref="G81:G85">
    <cfRule type="expression" dxfId="633" priority="9">
      <formula>IF(#REF!="Ground-up loss",TRUE,FALSE)</formula>
    </cfRule>
  </conditionalFormatting>
  <conditionalFormatting sqref="G88:G91">
    <cfRule type="expression" dxfId="632" priority="8">
      <formula>IF(#REF!="Ground-up loss",TRUE,FALSE)</formula>
    </cfRule>
  </conditionalFormatting>
  <conditionalFormatting sqref="G87">
    <cfRule type="expression" dxfId="631" priority="7">
      <formula>IF(#REF!="Ground-up loss",TRUE,FALSE)</formula>
    </cfRule>
  </conditionalFormatting>
  <conditionalFormatting sqref="H121:BE123">
    <cfRule type="expression" dxfId="630" priority="6">
      <formula>IF(#REF!="Ground-up loss",TRUE,FALSE)</formula>
    </cfRule>
  </conditionalFormatting>
  <conditionalFormatting sqref="H116:BE120">
    <cfRule type="expression" dxfId="629" priority="4">
      <formula>IF(#REF!="Ground-up loss",TRUE,FALSE)</formula>
    </cfRule>
  </conditionalFormatting>
  <conditionalFormatting sqref="H147:BE150">
    <cfRule type="expression" dxfId="628" priority="3">
      <formula>IF(#REF!="Ground-up loss",TRUE,FALSE)</formula>
    </cfRule>
  </conditionalFormatting>
  <conditionalFormatting sqref="H140:BE144">
    <cfRule type="expression" dxfId="627" priority="2">
      <formula>IF(#REF!="Ground-up loss",TRUE,FALSE)</formula>
    </cfRule>
  </conditionalFormatting>
  <conditionalFormatting sqref="H146:BE146">
    <cfRule type="expression" dxfId="626" priority="1">
      <formula>IF(#REF!="Ground-up loss",TRUE,FALSE)</formula>
    </cfRule>
  </conditionalFormatting>
  <pageMargins left="0.7" right="0.7" top="0.75" bottom="0.75" header="0.3" footer="0.3"/>
  <pageSetup paperSize="9" orientation="portrait" verticalDpi="0" r:id="rId1"/>
  <ignoredErrors>
    <ignoredError sqref="C12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nma Document" ma:contentTypeID="0x0101003951D1F36BC944E987AD610ADE6A10C3002366F3BBC8CE234B84695397A2A93407" ma:contentTypeVersion="10" ma:contentTypeDescription="Ein neues Dokument erstellen." ma:contentTypeScope="" ma:versionID="0568cc6719dc77685f726e99c7c2fb4c">
  <xsd:schema xmlns:xsd="http://www.w3.org/2001/XMLSchema" xmlns:xs="http://www.w3.org/2001/XMLSchema" xmlns:p="http://schemas.microsoft.com/office/2006/metadata/properties" xmlns:ns2="82c37705-afd5-4d11-a1ea-0266d9d1a166" xmlns:ns3="http://schemas.microsoft.com/sharepoint/v3/fields" xmlns:ns4="08F44E9F-55A5-4D8C-81FA-E5E52F0C7A16" xmlns:ns5="08f44e9f-55a5-4d8c-81fa-e5e52f0c7a16" targetNamespace="http://schemas.microsoft.com/office/2006/metadata/properties" ma:root="true" ma:fieldsID="17b5d0fba45ccd7280729390c91a62fb" ns2:_="" ns3:_="" ns4:_="" ns5:_="">
    <xsd:import namespace="82c37705-afd5-4d11-a1ea-0266d9d1a166"/>
    <xsd:import namespace="http://schemas.microsoft.com/sharepoint/v3/fields"/>
    <xsd:import namespace="08F44E9F-55A5-4D8C-81FA-E5E52F0C7A16"/>
    <xsd:import namespace="08f44e9f-55a5-4d8c-81fa-e5e52f0c7a16"/>
    <xsd:element name="properties">
      <xsd:complexType>
        <xsd:sequence>
          <xsd:element name="documentManagement">
            <xsd:complexType>
              <xsd:all>
                <xsd:element ref="ns2:_dlc_DocId" minOccurs="0"/>
                <xsd:element ref="ns2:_dlc_DocIdUrl" minOccurs="0"/>
                <xsd:element ref="ns2:_dlc_DocIdPersistId" minOccurs="0"/>
                <xsd:element ref="ns3:Topic_Note" minOccurs="0"/>
                <xsd:element ref="ns3:OU_Note" minOccurs="0"/>
                <xsd:element ref="ns3:OSP_Note" minOccurs="0"/>
                <xsd:element ref="ns4:RetentionPeriod" minOccurs="0"/>
                <xsd:element ref="ns5:SeqenceNumber" minOccurs="0"/>
                <xsd:element ref="ns5:AgendaItemGUID" minOccurs="0"/>
                <xsd:element ref="ns5:ToBeArchived" minOccurs="0"/>
                <xsd:element ref="ns4: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37705-afd5-4d11-a1ea-0266d9d1a166"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opic_Note" ma:index="14" nillable="true" ma:taxonomy="true" ma:internalName="Topic_Note" ma:taxonomyFieldName="Topic" ma:displayName="Thema" ma:readOnly="false" ma:default="" ma:fieldId="{a64374eb-6e28-4d6b-ae22-c24ecbfd0ec3}" ma:sspId="27609f53-2d13-42be-a2b4-fd8d7f3f64db" ma:termSetId="7b4b023d-5e9a-475b-a148-dfe01b6a8d09" ma:anchorId="00000000-0000-0000-0000-000000000000" ma:open="true" ma:isKeyword="false">
      <xsd:complexType>
        <xsd:sequence>
          <xsd:element ref="pc:Terms" minOccurs="0" maxOccurs="1"/>
        </xsd:sequence>
      </xsd:complexType>
    </xsd:element>
    <xsd:element name="OU_Note" ma:index="16" nillable="true" ma:taxonomy="true" ma:internalName="OU_Note" ma:taxonomyFieldName="OU" ma:displayName="Organisationseinheit" ma:readOnly="false" ma:default="2;#GB-V|f8d7b412-2487-4e9a-b58d-c7490dedd0c5" ma:fieldId="{fcb30f0d-baee-4a7e-876f-d65b0367c7a8}" ma:sspId="27609f53-2d13-42be-a2b4-fd8d7f3f64db" ma:termSetId="2e7da289-48a2-42d8-b875-47a1903a1d9d" ma:anchorId="00000000-0000-0000-0000-000000000000" ma:open="false" ma:isKeyword="false">
      <xsd:complexType>
        <xsd:sequence>
          <xsd:element ref="pc:Terms" minOccurs="0" maxOccurs="1"/>
        </xsd:sequence>
      </xsd:complexType>
    </xsd:element>
    <xsd:element name="OSP_Note" ma:index="18" nillable="true" ma:taxonomy="true" ma:internalName="OSP_Note" ma:taxonomyFieldName="OSP" ma:displayName="Ordnungssystemposition" ma:readOnly="false" ma:fieldId="{47fc1aad-a32f-4b87-b398-8d261b0da966}" ma:sspId="27609f53-2d13-42be-a2b4-fd8d7f3f64db" ma:termSetId="6eefd7ee-d6f6-47de-bb49-f1d3420203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RetentionPeriod" ma:index="19" nillable="true" ma:displayName="Aufbewahrungsfrist" ma:description="Aufbewahrungsfrist des Dossiers" ma:hidden="true" ma:internalName="RetentionPeriod" ma:readOnly="false">
      <xsd:simpleType>
        <xsd:restriction base="dms:Text"/>
      </xsd:simpleType>
    </xsd:element>
    <xsd:element name="DocumentDate" ma:index="23" ma:displayName="Datum" ma:default="[today]" ma:description="Dokumentendatum" ma:format="DateOnly" ma:internalName="Documen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SeqenceNumber" ma:index="20" nillable="true" ma:displayName="Reihenfolge Nummer" ma:internalName="SeqenceNumber" ma:readOnly="false">
      <xsd:simpleType>
        <xsd:restriction base="dms:Unknown"/>
      </xsd:simpleType>
    </xsd:element>
    <xsd:element name="AgendaItemGUID" ma:index="21" nillable="true" ma:displayName="Traktandum GUID" ma:internalName="AgendaItemGUID" ma:readOnly="false">
      <xsd:simpleType>
        <xsd:restriction base="dms:Text"/>
      </xsd:simpleType>
    </xsd:element>
    <xsd:element name="ToBeArchived" ma:index="22" nillable="true" ma:displayName="Archivwürdig" ma:description="Soll das Dossier archiviert werden" ma:hidden="true" ma:internalName="ToBeArchive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opic_Note xmlns="http://schemas.microsoft.com/sharepoint/v3/fields">
      <Terms xmlns="http://schemas.microsoft.com/office/infopath/2007/PartnerControls">
        <TermInfo xmlns="http://schemas.microsoft.com/office/infopath/2007/PartnerControls">
          <TermName xmlns="http://schemas.microsoft.com/office/infopath/2007/PartnerControls">Aufsichtsabgabe</TermName>
          <TermId xmlns="http://schemas.microsoft.com/office/infopath/2007/PartnerControls">1bb1ff23-244b-430d-b77e-6c87f49b07f4</TermId>
        </TermInfo>
      </Terms>
    </Topic_Note>
    <OSP_Note xmlns="http://schemas.microsoft.com/sharepoint/v3/fields">
      <Terms xmlns="http://schemas.microsoft.com/office/infopath/2007/PartnerControls">
        <TermInfo xmlns="http://schemas.microsoft.com/office/infopath/2007/PartnerControls">
          <TermName xmlns="http://schemas.microsoft.com/office/infopath/2007/PartnerControls">4-02.9 Verschiedenes</TermName>
          <TermId xmlns="http://schemas.microsoft.com/office/infopath/2007/PartnerControls">b7add63a-7a8a-4b8a-bfff-6c9ce2cbce07</TermId>
        </TermInfo>
      </Terms>
    </OSP_Note>
    <OU_Note xmlns="http://schemas.microsoft.com/sharepoint/v3/fields">
      <Terms xmlns="http://schemas.microsoft.com/office/infopath/2007/PartnerControls">
        <TermInfo xmlns="http://schemas.microsoft.com/office/infopath/2007/PartnerControls">
          <TermName xmlns="http://schemas.microsoft.com/office/infopath/2007/PartnerControls">GB-V</TermName>
          <TermId xmlns="http://schemas.microsoft.com/office/infopath/2007/PartnerControls">f8d7b412-2487-4e9a-b58d-c7490dedd0c5</TermId>
        </TermInfo>
      </Terms>
    </OU_Note>
    <ToBeArchived xmlns="08f44e9f-55a5-4d8c-81fa-e5e52f0c7a16">Nein</ToBeArchived>
    <_dlc_DocId xmlns="82c37705-afd5-4d11-a1ea-0266d9d1a166">6009-P-2-6899</_dlc_DocId>
    <SeqenceNumber xmlns="08f44e9f-55a5-4d8c-81fa-e5e52f0c7a16" xsi:nil="true"/>
    <RetentionPeriod xmlns="08F44E9F-55A5-4D8C-81FA-E5E52F0C7A16">15</RetentionPeriod>
    <AgendaItemGUID xmlns="08f44e9f-55a5-4d8c-81fa-e5e52f0c7a16" xsi:nil="true"/>
    <DocumentDate xmlns="08F44E9F-55A5-4D8C-81FA-E5E52F0C7A16">2024-02-28T23:00:00+00:00</DocumentDate>
    <_dlc_DocIdUrl xmlns="82c37705-afd5-4d11-a1ea-0266d9d1a166">
      <Url>https://dok.finma.ch/sites/6009-P/_layouts/15/DocIdRedir.aspx?ID=6009-P-2-6899</Url>
      <Description>6009-P-2-6899</Description>
    </_dlc_DocIdUrl>
  </documentManagement>
</p:properties>
</file>

<file path=customXml/itemProps1.xml><?xml version="1.0" encoding="utf-8"?>
<ds:datastoreItem xmlns:ds="http://schemas.openxmlformats.org/officeDocument/2006/customXml" ds:itemID="{C3FE3DB8-3133-4A34-A034-46A43337A212}"/>
</file>

<file path=customXml/itemProps2.xml><?xml version="1.0" encoding="utf-8"?>
<ds:datastoreItem xmlns:ds="http://schemas.openxmlformats.org/officeDocument/2006/customXml" ds:itemID="{C586E21C-2C29-4BCD-B9E7-F685C42501F2}">
  <ds:schemaRefs>
    <ds:schemaRef ds:uri="http://schemas.microsoft.com/sharepoint/events"/>
  </ds:schemaRefs>
</ds:datastoreItem>
</file>

<file path=customXml/itemProps3.xml><?xml version="1.0" encoding="utf-8"?>
<ds:datastoreItem xmlns:ds="http://schemas.openxmlformats.org/officeDocument/2006/customXml" ds:itemID="{B3990618-DF04-4947-AE21-559DB9B1FE04}">
  <ds:schemaRefs>
    <ds:schemaRef ds:uri="http://schemas.microsoft.com/sharepoint/v3/contenttype/forms"/>
  </ds:schemaRefs>
</ds:datastoreItem>
</file>

<file path=customXml/itemProps4.xml><?xml version="1.0" encoding="utf-8"?>
<ds:datastoreItem xmlns:ds="http://schemas.openxmlformats.org/officeDocument/2006/customXml" ds:itemID="{D8946BB2-B48A-4F4F-9CA7-F115C0183213}">
  <ds:schemaRefs>
    <ds:schemaRef ds:uri="http://purl.org/dc/elements/1.1/"/>
    <ds:schemaRef ds:uri="http://schemas.microsoft.com/office/2006/metadata/properties"/>
    <ds:schemaRef ds:uri="1AB9BBCC-83C6-4736-B39B-ABA04A32D413"/>
    <ds:schemaRef ds:uri="http://schemas.microsoft.com/office/infopath/2007/PartnerControls"/>
    <ds:schemaRef ds:uri="http://purl.org/dc/terms/"/>
    <ds:schemaRef ds:uri="http://schemas.openxmlformats.org/package/2006/metadata/core-properties"/>
    <ds:schemaRef ds:uri="a13ce8e2-0bfa-4ae3-b62f-afeb61f48330"/>
    <ds:schemaRef ds:uri="http://schemas.microsoft.com/office/2006/documentManagement/types"/>
    <ds:schemaRef ds:uri="1ab9bbcc-83c6-4736-b39b-aba04a32d413"/>
    <ds:schemaRef ds:uri="http://schemas.microsoft.com/sharepoint/v3/field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55</vt:i4>
      </vt:variant>
    </vt:vector>
  </HeadingPairs>
  <TitlesOfParts>
    <vt:vector size="86" baseType="lpstr">
      <vt:lpstr>Intro_SM_Health</vt:lpstr>
      <vt:lpstr>HE_update</vt:lpstr>
      <vt:lpstr>HE_glossary</vt:lpstr>
      <vt:lpstr>HE_prescribed_parameters</vt:lpstr>
      <vt:lpstr>HE_calculation_documentation</vt:lpstr>
      <vt:lpstr>HE_contract_groups</vt:lpstr>
      <vt:lpstr>HE_VWK</vt:lpstr>
      <vt:lpstr>HE_LZV_CF_(classic)</vt:lpstr>
      <vt:lpstr>HE_LZV_CF</vt:lpstr>
      <vt:lpstr>HE_CV_Leistungen</vt:lpstr>
      <vt:lpstr>HE_ins_risk_EK</vt:lpstr>
      <vt:lpstr>HE_ins_risk_KTG</vt:lpstr>
      <vt:lpstr>HE_expected_result</vt:lpstr>
      <vt:lpstr>HE_MVM</vt:lpstr>
      <vt:lpstr>HE_input_SST_template</vt:lpstr>
      <vt:lpstr>HE_CG1</vt:lpstr>
      <vt:lpstr>HE_CG2</vt:lpstr>
      <vt:lpstr>HE_CG3</vt:lpstr>
      <vt:lpstr>HE_CG4</vt:lpstr>
      <vt:lpstr>HE_CG5</vt:lpstr>
      <vt:lpstr>HE_CG6</vt:lpstr>
      <vt:lpstr>HE_CG7</vt:lpstr>
      <vt:lpstr>HE_CG8</vt:lpstr>
      <vt:lpstr>HE_CG9</vt:lpstr>
      <vt:lpstr>HE_CG10</vt:lpstr>
      <vt:lpstr>HE_CG11</vt:lpstr>
      <vt:lpstr>HE_CG12</vt:lpstr>
      <vt:lpstr>HE_CG13</vt:lpstr>
      <vt:lpstr>HE_CG14</vt:lpstr>
      <vt:lpstr>HE_CG15</vt:lpstr>
      <vt:lpstr>Configuration</vt:lpstr>
      <vt:lpstr>HE_CV_Leistungen!Eta</vt:lpstr>
      <vt:lpstr>HE_1ToMaxEntryCG_</vt:lpstr>
      <vt:lpstr>HE_alpha</vt:lpstr>
      <vt:lpstr>HE_AsIfCY</vt:lpstr>
      <vt:lpstr>HE_CF_label</vt:lpstr>
      <vt:lpstr>HE_CG</vt:lpstr>
      <vt:lpstr>HE_CGSheetsNr</vt:lpstr>
      <vt:lpstr>HE_CoC_rate</vt:lpstr>
      <vt:lpstr>HE_company_name</vt:lpstr>
      <vt:lpstr>HE_CY</vt:lpstr>
      <vt:lpstr>HE_disc_curve</vt:lpstr>
      <vt:lpstr>HE_down_label</vt:lpstr>
      <vt:lpstr>HE_F_label</vt:lpstr>
      <vt:lpstr>HE_fact_qF</vt:lpstr>
      <vt:lpstr>HE_fact_qM</vt:lpstr>
      <vt:lpstr>HE_Kosten_label</vt:lpstr>
      <vt:lpstr>HE_label</vt:lpstr>
      <vt:lpstr>HE_language</vt:lpstr>
      <vt:lpstr>HE_Leistungen_label</vt:lpstr>
      <vt:lpstr>HE_LZV_label</vt:lpstr>
      <vt:lpstr>HE_M_label</vt:lpstr>
      <vt:lpstr>HE_MortalityLapsesCY</vt:lpstr>
      <vt:lpstr>HE_PG1_label</vt:lpstr>
      <vt:lpstr>HE_PG2_label</vt:lpstr>
      <vt:lpstr>HE_PG3_label</vt:lpstr>
      <vt:lpstr>HE_PG4_label</vt:lpstr>
      <vt:lpstr>HE_PG5_label</vt:lpstr>
      <vt:lpstr>HE_PGlist</vt:lpstr>
      <vt:lpstr>HE_PGSPGlist</vt:lpstr>
      <vt:lpstr>HE_PGTot_label</vt:lpstr>
      <vt:lpstr>HE_Praemium_label</vt:lpstr>
      <vt:lpstr>HE_PY1</vt:lpstr>
      <vt:lpstr>HE_PY2</vt:lpstr>
      <vt:lpstr>HE_PY3</vt:lpstr>
      <vt:lpstr>HE_RFCY_label</vt:lpstr>
      <vt:lpstr>HE_RFk_label</vt:lpstr>
      <vt:lpstr>HE_RFk_sensi_years</vt:lpstr>
      <vt:lpstr>HE_RFl_label</vt:lpstr>
      <vt:lpstr>HE_RFl_sensi_years</vt:lpstr>
      <vt:lpstr>HE_RFq_label</vt:lpstr>
      <vt:lpstr>HE_RFq_sensi_years</vt:lpstr>
      <vt:lpstr>HE_RFs_label</vt:lpstr>
      <vt:lpstr>HE_RFs_sensi_years</vt:lpstr>
      <vt:lpstr>HE_SPGTTlist</vt:lpstr>
      <vt:lpstr>HE_suffix</vt:lpstr>
      <vt:lpstr>HE_up_label</vt:lpstr>
      <vt:lpstr>HE_VKPY1</vt:lpstr>
      <vt:lpstr>HE_VKPY2</vt:lpstr>
      <vt:lpstr>HE_VKPY3</vt:lpstr>
      <vt:lpstr>HE_VWK_rates</vt:lpstr>
      <vt:lpstr>HE_weight_BesBegin</vt:lpstr>
      <vt:lpstr>HE_yn</vt:lpstr>
      <vt:lpstr>Health_CR</vt:lpstr>
      <vt:lpstr>Health_JahrPCap</vt:lpstr>
      <vt:lpstr>HE_CV_Leistungen!Xi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2024-03-12T06:55:11Z</dcterms:created>
  <dcterms:modified xsi:type="dcterms:W3CDTF">2025-01-22T11:20:48Z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opic">
    <vt:lpwstr>12;#Aufsichtsabgabe|1bb1ff23-244b-430d-b77e-6c87f49b07f4</vt:lpwstr>
  </property>
  <property fmtid="{D5CDD505-2E9C-101B-9397-08002B2CF9AE}" pid="3" name="OSP">
    <vt:lpwstr>13;#4-02.9 Verschiedenes|b7add63a-7a8a-4b8a-bfff-6c9ce2cbce07</vt:lpwstr>
  </property>
  <property fmtid="{D5CDD505-2E9C-101B-9397-08002B2CF9AE}" pid="4" name="OU">
    <vt:lpwstr>2;#GB-V|f8d7b412-2487-4e9a-b58d-c7490dedd0c5</vt:lpwstr>
  </property>
  <property fmtid="{D5CDD505-2E9C-101B-9397-08002B2CF9AE}" pid="5" name="ContentTypeId">
    <vt:lpwstr>0x0101003951D1F36BC944E987AD610ADE6A10C3002366F3BBC8CE234B84695397A2A93407</vt:lpwstr>
  </property>
  <property fmtid="{D5CDD505-2E9C-101B-9397-08002B2CF9AE}" pid="6" name="_dlc_DocIdItemGuid">
    <vt:lpwstr>833d7555-8acb-4053-a050-13c25d13b887</vt:lpwstr>
  </property>
  <property fmtid="{D5CDD505-2E9C-101B-9397-08002B2CF9AE}" pid="7" name="DossierStatus_Note">
    <vt:lpwstr/>
  </property>
</Properties>
</file>