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56" windowHeight="1087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'Tabelle1'!$A$1:$J$263</definedName>
    <definedName name="_xlnm.Print_Titles" localSheetId="0">'Tabelle1'!$A:$J,'Tabelle1'!$1:$14</definedName>
  </definedNames>
  <calcPr fullCalcOnLoad="1" refMode="R1C1"/>
</workbook>
</file>

<file path=xl/sharedStrings.xml><?xml version="1.0" encoding="utf-8"?>
<sst xmlns="http://schemas.openxmlformats.org/spreadsheetml/2006/main" count="228" uniqueCount="223">
  <si>
    <t xml:space="preserve"> </t>
  </si>
  <si>
    <t>Alba</t>
  </si>
  <si>
    <t>Alcover</t>
  </si>
  <si>
    <t>Allianz Risk Transfer</t>
  </si>
  <si>
    <t>Allianz Suisse</t>
  </si>
  <si>
    <t>Appenzellische Feuer</t>
  </si>
  <si>
    <t>Assista TCS</t>
  </si>
  <si>
    <t>Assura SA</t>
  </si>
  <si>
    <t>AXA</t>
  </si>
  <si>
    <t>AXA Art Versicherung AG</t>
  </si>
  <si>
    <t>Basler</t>
  </si>
  <si>
    <t>CAP</t>
  </si>
  <si>
    <t>Coop Allgemeine (ex Fribourgeoise)</t>
  </si>
  <si>
    <t>Coop Rechtsschutz</t>
  </si>
  <si>
    <t>CSS</t>
  </si>
  <si>
    <t>Dachdeckermeister</t>
  </si>
  <si>
    <t>DAS Rechtsschutz</t>
  </si>
  <si>
    <t>Elsevier Risks</t>
  </si>
  <si>
    <t>Elvia Reise</t>
  </si>
  <si>
    <t>Emmentalische</t>
  </si>
  <si>
    <t>Epona</t>
  </si>
  <si>
    <t>Europ Assistance</t>
  </si>
  <si>
    <t>Europäische Reise</t>
  </si>
  <si>
    <t>Fortuna Rechtsschutz</t>
  </si>
  <si>
    <t>FRV</t>
  </si>
  <si>
    <t>FRV Protection Juridique</t>
  </si>
  <si>
    <t>Garanta Schweiz</t>
  </si>
  <si>
    <t>Generali Assurances</t>
  </si>
  <si>
    <t>Groupe Mutuel Assurances</t>
  </si>
  <si>
    <t>Helsana Rechtsschutz</t>
  </si>
  <si>
    <t>Helsana Unfall AG</t>
  </si>
  <si>
    <t>Helsana Zusatzversicherung</t>
  </si>
  <si>
    <t>Helvetia</t>
  </si>
  <si>
    <t>Infrassure (ex Alstom)</t>
  </si>
  <si>
    <t>Innova</t>
  </si>
  <si>
    <t>Intras Assurances</t>
  </si>
  <si>
    <t>Juridica</t>
  </si>
  <si>
    <t>KPT Versicherungen AG</t>
  </si>
  <si>
    <t>Limmat</t>
  </si>
  <si>
    <t>Mannheimer</t>
  </si>
  <si>
    <t>Metzger Versicherungen</t>
  </si>
  <si>
    <t>Neptunia</t>
  </si>
  <si>
    <t>ÖKK Versicherungen AG</t>
  </si>
  <si>
    <t>OMX Capital Insurance AG</t>
  </si>
  <si>
    <t>Orion</t>
  </si>
  <si>
    <t>Phenix</t>
  </si>
  <si>
    <t>Protekta</t>
  </si>
  <si>
    <t>Sankt Christophorus</t>
  </si>
  <si>
    <t>Schützenvereine</t>
  </si>
  <si>
    <t>Schweizerische Hagel</t>
  </si>
  <si>
    <t>Schweizerische Mobiliar</t>
  </si>
  <si>
    <t>Schweizerische National</t>
  </si>
  <si>
    <t>Schwingerhilfskasse</t>
  </si>
  <si>
    <t>SLKK Versicherungen</t>
  </si>
  <si>
    <t>Solen</t>
  </si>
  <si>
    <t>Solida</t>
  </si>
  <si>
    <t>S.O.S. Evasan</t>
  </si>
  <si>
    <t>Sportversicherung</t>
  </si>
  <si>
    <t>Stena Insurance</t>
  </si>
  <si>
    <t>Sten Met Insurance</t>
  </si>
  <si>
    <t>Supra Assurances</t>
  </si>
  <si>
    <t>Swica</t>
  </si>
  <si>
    <t>TCS Assurances</t>
  </si>
  <si>
    <t>TSM Transports</t>
  </si>
  <si>
    <t>Unifun (ex VVSS)</t>
  </si>
  <si>
    <t>UNIQA Assurances SA</t>
  </si>
  <si>
    <t>Vaudoise</t>
  </si>
  <si>
    <t>Visana</t>
  </si>
  <si>
    <t>VVST</t>
  </si>
  <si>
    <t>Wincare Zusatzversicherungen</t>
  </si>
  <si>
    <t>Winterthur</t>
  </si>
  <si>
    <t>Winterthur-ARAG Rechtsschutz</t>
  </si>
  <si>
    <t>XL Versicherungen</t>
  </si>
  <si>
    <t>Zürich</t>
  </si>
  <si>
    <t>ACE Insurance SA</t>
  </si>
  <si>
    <t>Chubb</t>
  </si>
  <si>
    <t>Inter Partner</t>
  </si>
  <si>
    <t>CIGNA</t>
  </si>
  <si>
    <t>CNA Insurance Company Limited</t>
  </si>
  <si>
    <t>Euler Trade Indemnity plc</t>
  </si>
  <si>
    <t>GE Financial Insurance</t>
  </si>
  <si>
    <t>Liberty Mutual</t>
  </si>
  <si>
    <t>Lloyd's</t>
  </si>
  <si>
    <t>London General Insurance</t>
  </si>
  <si>
    <t>North of England</t>
  </si>
  <si>
    <t>Reliance National Insurance</t>
  </si>
  <si>
    <t>Royal Insurance</t>
  </si>
  <si>
    <t>SR International</t>
  </si>
  <si>
    <t>Frankona</t>
  </si>
  <si>
    <t>CG Car-Garantie</t>
  </si>
  <si>
    <t>Darag</t>
  </si>
  <si>
    <t>Delvag</t>
  </si>
  <si>
    <t>Gartenbau-Versicherung</t>
  </si>
  <si>
    <t>Gerling Allgemeine</t>
  </si>
  <si>
    <t>HDI</t>
  </si>
  <si>
    <t>AIG Europe</t>
  </si>
  <si>
    <t>Cardif</t>
  </si>
  <si>
    <t>Coface</t>
  </si>
  <si>
    <t>Euler Hermes</t>
  </si>
  <si>
    <t>GAN Risques divers</t>
  </si>
  <si>
    <t>Probus</t>
  </si>
  <si>
    <t>XL Europe</t>
  </si>
  <si>
    <t>Arisa</t>
  </si>
  <si>
    <t>Atradius Credit</t>
  </si>
  <si>
    <t>Sirius</t>
  </si>
  <si>
    <t>Solid Försäkrings</t>
  </si>
  <si>
    <t>GESA</t>
  </si>
  <si>
    <t>Houston Casualty</t>
  </si>
  <si>
    <t>Guernsey</t>
  </si>
  <si>
    <t>Inreska</t>
  </si>
  <si>
    <t>Polygon</t>
  </si>
  <si>
    <t>U.K. Mutual Steam Ship</t>
  </si>
  <si>
    <t>Aerosana APKK</t>
  </si>
  <si>
    <t>Agrisano</t>
  </si>
  <si>
    <t>Aquilana</t>
  </si>
  <si>
    <t>Atupri Krankenkasse</t>
  </si>
  <si>
    <t>Auxilia</t>
  </si>
  <si>
    <t>Avantis CM (ex Orsières)</t>
  </si>
  <si>
    <t>Avenir</t>
  </si>
  <si>
    <t>Birchmeier</t>
  </si>
  <si>
    <t>Brugg</t>
  </si>
  <si>
    <t>Caisse Vaudoise CV</t>
  </si>
  <si>
    <t>Carena Schweiz</t>
  </si>
  <si>
    <t>CMBB</t>
  </si>
  <si>
    <t>CMP Lumnezia I</t>
  </si>
  <si>
    <t>Concordia</t>
  </si>
  <si>
    <t>Eidg. Gesundheitskasse</t>
  </si>
  <si>
    <t>Easy Sana (ex Lindt und Sprüngli)</t>
  </si>
  <si>
    <t>Elm</t>
  </si>
  <si>
    <t>EOS</t>
  </si>
  <si>
    <t>Fonction Publique</t>
  </si>
  <si>
    <t>Galenos KK</t>
  </si>
  <si>
    <t>Hermes KK</t>
  </si>
  <si>
    <t>Hotela Assurances</t>
  </si>
  <si>
    <t>kmu (ex KGW)</t>
  </si>
  <si>
    <t>Kolping</t>
  </si>
  <si>
    <t>Luzerner Hinterland</t>
  </si>
  <si>
    <t>Malters</t>
  </si>
  <si>
    <t>Mutuelle Valaisanne</t>
  </si>
  <si>
    <t>Natura Assurances.ch</t>
  </si>
  <si>
    <t>ÖKK Basel</t>
  </si>
  <si>
    <t>ÖKK Lugnez II</t>
  </si>
  <si>
    <t>ÖKK Surselva</t>
  </si>
  <si>
    <t>Philos</t>
  </si>
  <si>
    <t>Provita</t>
  </si>
  <si>
    <t>Region Goms</t>
  </si>
  <si>
    <t>Rothenburg</t>
  </si>
  <si>
    <t>Sanitas</t>
  </si>
  <si>
    <t>Krankenkasse des Saastales</t>
  </si>
  <si>
    <t>St. Moritz</t>
  </si>
  <si>
    <t>Steffisburg KK</t>
  </si>
  <si>
    <t>Sumiswalder KK</t>
  </si>
  <si>
    <t>Swica KK</t>
  </si>
  <si>
    <t>Troistorrents</t>
  </si>
  <si>
    <t>Universa</t>
  </si>
  <si>
    <t>Visp und Umgebung</t>
  </si>
  <si>
    <t>Visperterminen</t>
  </si>
  <si>
    <t>Wädenswil</t>
  </si>
  <si>
    <t>Xundheit</t>
  </si>
  <si>
    <t>­</t>
  </si>
  <si>
    <t>Garant</t>
  </si>
  <si>
    <t>Max Europe</t>
  </si>
  <si>
    <t>Assuranceforeningen Gard</t>
  </si>
  <si>
    <t>Cervino</t>
  </si>
  <si>
    <t>Heerbrugg (rhenusana)</t>
  </si>
  <si>
    <t>Fortune liée des institutions d'assurance dommages 
(y compris les succursales et les caisses maladies)</t>
  </si>
  <si>
    <t>Année</t>
  </si>
  <si>
    <t>Institutions</t>
  </si>
  <si>
    <t>d'assurance (IA)</t>
  </si>
  <si>
    <t>Débit du fonds</t>
  </si>
  <si>
    <t>au 31 déc.</t>
  </si>
  <si>
    <t>Valeur des</t>
  </si>
  <si>
    <t>sûretés fournies</t>
  </si>
  <si>
    <t>février / mars</t>
  </si>
  <si>
    <t>de l'année</t>
  </si>
  <si>
    <t>suivante</t>
  </si>
  <si>
    <t>Numéraire,</t>
  </si>
  <si>
    <t>Emprunts,</t>
  </si>
  <si>
    <t>Emprunts con-</t>
  </si>
  <si>
    <t>vertibles</t>
  </si>
  <si>
    <t>Autres</t>
  </si>
  <si>
    <t>reconnaissances</t>
  </si>
  <si>
    <t>de dettes</t>
  </si>
  <si>
    <t>Immeubles</t>
  </si>
  <si>
    <t>et sociétés</t>
  </si>
  <si>
    <t>immobilières</t>
  </si>
  <si>
    <t>Actions, autres</t>
  </si>
  <si>
    <t>papiers-valeurs de</t>
  </si>
  <si>
    <t>participation,</t>
  </si>
  <si>
    <t>placements collectifs</t>
  </si>
  <si>
    <t>Placements</t>
  </si>
  <si>
    <t>alternatifs,</t>
  </si>
  <si>
    <t>produits</t>
  </si>
  <si>
    <t>structurés,</t>
  </si>
  <si>
    <t>dérivés</t>
  </si>
  <si>
    <t>Créances</t>
  </si>
  <si>
    <t>à l'encontre</t>
  </si>
  <si>
    <t>des réassureurs</t>
  </si>
  <si>
    <t>Emprunts</t>
  </si>
  <si>
    <t>convertibles</t>
  </si>
  <si>
    <t xml:space="preserve"> avec</t>
  </si>
  <si>
    <t>caractère d'actions</t>
  </si>
  <si>
    <t xml:space="preserve"> de gage</t>
  </si>
  <si>
    <t>Titres</t>
  </si>
  <si>
    <t>En milliers de CH</t>
  </si>
  <si>
    <t>Allemandes</t>
  </si>
  <si>
    <t>Remarque: Avant 2006 les placements alternatifs et les produits structurés étaient comptabilisé dans la colonne "actions"</t>
  </si>
  <si>
    <t>IA dommages</t>
  </si>
  <si>
    <t>Suisses</t>
  </si>
  <si>
    <t>Union européenne</t>
  </si>
  <si>
    <t>Belges</t>
  </si>
  <si>
    <t>Britanniques</t>
  </si>
  <si>
    <t>Danoises</t>
  </si>
  <si>
    <t>Françaises</t>
  </si>
  <si>
    <t>Irlandaises</t>
  </si>
  <si>
    <t>Luxembourgeoises</t>
  </si>
  <si>
    <t>Hollandaises</t>
  </si>
  <si>
    <t>Suédoises</t>
  </si>
  <si>
    <t>Espagnoles</t>
  </si>
  <si>
    <t>Etrangères hors de l'UE</t>
  </si>
  <si>
    <t>Bermudes</t>
  </si>
  <si>
    <t>Caisses maladie</t>
  </si>
  <si>
    <t>Norvége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</si>
</sst>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;[Red]\-#,##0;&quot;-&quot;"/>
  </numFmts>
  <fonts count="8">
    <font>
      <sz val="10"/>
      <name val="Arial"/>
      <family val="0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0" xfId="17" applyNumberFormat="1" applyFont="1" applyFill="1" applyBorder="1" applyAlignment="1">
      <alignment horizontal="right"/>
    </xf>
    <xf numFmtId="0" fontId="7" fillId="2" borderId="0" xfId="0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 quotePrefix="1">
      <alignment horizontal="right"/>
    </xf>
    <xf numFmtId="164" fontId="5" fillId="2" borderId="0" xfId="0" applyNumberFormat="1" applyFont="1" applyFill="1" applyBorder="1" applyAlignment="1" applyProtection="1" quotePrefix="1">
      <alignment horizontal="right"/>
      <protection/>
    </xf>
    <xf numFmtId="164" fontId="5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 quotePrefix="1">
      <alignment horizontal="right"/>
      <protection locked="0"/>
    </xf>
    <xf numFmtId="3" fontId="5" fillId="2" borderId="0" xfId="0" applyNumberFormat="1" applyFont="1" applyFill="1" applyBorder="1" applyAlignment="1" applyProtection="1" quotePrefix="1">
      <alignment horizontal="right"/>
      <protection/>
    </xf>
    <xf numFmtId="3" fontId="5" fillId="2" borderId="0" xfId="0" applyNumberFormat="1" applyFont="1" applyFill="1" applyBorder="1" applyAlignment="1" applyProtection="1">
      <alignment/>
      <protection/>
    </xf>
    <xf numFmtId="38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left" vertical="top"/>
      <protection/>
    </xf>
    <xf numFmtId="164" fontId="5" fillId="2" borderId="0" xfId="0" applyNumberFormat="1" applyFont="1" applyFill="1" applyAlignment="1">
      <alignment/>
    </xf>
    <xf numFmtId="0" fontId="5" fillId="2" borderId="0" xfId="0" applyFont="1" applyFill="1" applyBorder="1" applyAlignment="1" applyProtection="1">
      <alignment vertical="top"/>
      <protection/>
    </xf>
    <xf numFmtId="3" fontId="5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/>
    </xf>
    <xf numFmtId="3" fontId="5" fillId="2" borderId="0" xfId="0" applyNumberFormat="1" applyFont="1" applyFill="1" applyBorder="1" applyAlignment="1" applyProtection="1" quotePrefix="1">
      <alignment horizontal="right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Dezimal_Tabelle1" xfId="17"/>
    <cellStyle name="Percent" xfId="18"/>
    <cellStyle name="Currency" xfId="19"/>
    <cellStyle name="Currency [0]" xfId="20"/>
  </cellStyles>
  <dxfs count="1">
    <dxf>
      <font>
        <color rgb="FF00000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9</xdr:col>
      <xdr:colOff>542925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1019175"/>
          <a:ext cx="746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</xdr:row>
      <xdr:rowOff>0</xdr:rowOff>
    </xdr:from>
    <xdr:to>
      <xdr:col>9</xdr:col>
      <xdr:colOff>657225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3105150" y="1019175"/>
          <a:ext cx="4495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4</xdr:col>
      <xdr:colOff>600075</xdr:colOff>
      <xdr:row>2</xdr:row>
      <xdr:rowOff>0</xdr:rowOff>
    </xdr:to>
    <xdr:sp>
      <xdr:nvSpPr>
        <xdr:cNvPr id="3" name="Line 4"/>
        <xdr:cNvSpPr>
          <a:spLocks/>
        </xdr:cNvSpPr>
      </xdr:nvSpPr>
      <xdr:spPr>
        <a:xfrm>
          <a:off x="3095625" y="1019175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38100</xdr:rowOff>
    </xdr:from>
    <xdr:to>
      <xdr:col>9</xdr:col>
      <xdr:colOff>666750</xdr:colOff>
      <xdr:row>3</xdr:row>
      <xdr:rowOff>38100</xdr:rowOff>
    </xdr:to>
    <xdr:sp>
      <xdr:nvSpPr>
        <xdr:cNvPr id="4" name="Line 17"/>
        <xdr:cNvSpPr>
          <a:spLocks/>
        </xdr:cNvSpPr>
      </xdr:nvSpPr>
      <xdr:spPr>
        <a:xfrm>
          <a:off x="3105150" y="1200150"/>
          <a:ext cx="450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12</xdr:row>
      <xdr:rowOff>28575</xdr:rowOff>
    </xdr:from>
    <xdr:to>
      <xdr:col>9</xdr:col>
      <xdr:colOff>638175</xdr:colOff>
      <xdr:row>12</xdr:row>
      <xdr:rowOff>28575</xdr:rowOff>
    </xdr:to>
    <xdr:sp>
      <xdr:nvSpPr>
        <xdr:cNvPr id="5" name="Line 21"/>
        <xdr:cNvSpPr>
          <a:spLocks/>
        </xdr:cNvSpPr>
      </xdr:nvSpPr>
      <xdr:spPr>
        <a:xfrm flipV="1">
          <a:off x="57150" y="2476500"/>
          <a:ext cx="7524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0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27.00390625" style="42" bestFit="1" customWidth="1"/>
    <col min="2" max="2" width="9.28125" style="3" bestFit="1" customWidth="1"/>
    <col min="3" max="3" width="10.00390625" style="3" customWidth="1"/>
    <col min="4" max="4" width="9.7109375" style="3" customWidth="1"/>
    <col min="5" max="5" width="10.28125" style="3" customWidth="1"/>
    <col min="6" max="7" width="8.7109375" style="3" customWidth="1"/>
    <col min="8" max="8" width="12.28125" style="3" customWidth="1"/>
    <col min="9" max="9" width="8.140625" style="3" bestFit="1" customWidth="1"/>
    <col min="10" max="10" width="10.28125" style="1" bestFit="1" customWidth="1"/>
    <col min="11" max="16384" width="11.421875" style="1" customWidth="1"/>
  </cols>
  <sheetData>
    <row r="1" spans="1:10" s="2" customFormat="1" ht="69" customHeight="1">
      <c r="A1" s="45" t="s">
        <v>165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7" customFormat="1" ht="11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12" customFormat="1" ht="11.25" customHeight="1">
      <c r="A3" s="8" t="s">
        <v>166</v>
      </c>
      <c r="B3" s="9" t="s">
        <v>169</v>
      </c>
      <c r="C3" s="10" t="s">
        <v>171</v>
      </c>
      <c r="D3" s="11"/>
      <c r="E3" s="11"/>
      <c r="F3" s="11"/>
      <c r="G3" s="11"/>
      <c r="H3" s="11"/>
      <c r="I3" s="11"/>
      <c r="J3" s="11"/>
    </row>
    <row r="4" spans="1:10" s="7" customFormat="1" ht="11.25" customHeight="1">
      <c r="A4" s="8" t="s">
        <v>167</v>
      </c>
      <c r="B4" s="9" t="s">
        <v>170</v>
      </c>
      <c r="C4" s="10" t="s">
        <v>172</v>
      </c>
      <c r="D4" s="11"/>
      <c r="E4" s="11"/>
      <c r="F4" s="13"/>
      <c r="G4" s="13"/>
      <c r="H4" s="14"/>
      <c r="I4" s="11"/>
      <c r="J4" s="15"/>
    </row>
    <row r="5" spans="1:10" s="7" customFormat="1" ht="11.25" customHeight="1">
      <c r="A5" s="8" t="s">
        <v>168</v>
      </c>
      <c r="B5" s="14"/>
      <c r="C5" s="10" t="s">
        <v>173</v>
      </c>
      <c r="D5" s="10" t="s">
        <v>176</v>
      </c>
      <c r="E5" s="10" t="s">
        <v>180</v>
      </c>
      <c r="F5" s="10" t="s">
        <v>203</v>
      </c>
      <c r="G5" s="10" t="s">
        <v>183</v>
      </c>
      <c r="H5" s="10" t="s">
        <v>186</v>
      </c>
      <c r="I5" s="16" t="s">
        <v>190</v>
      </c>
      <c r="J5" s="16" t="s">
        <v>195</v>
      </c>
    </row>
    <row r="6" spans="1:10" s="7" customFormat="1" ht="11.25" customHeight="1">
      <c r="A6" s="11"/>
      <c r="B6" s="13"/>
      <c r="C6" s="10" t="s">
        <v>174</v>
      </c>
      <c r="D6" s="10" t="s">
        <v>177</v>
      </c>
      <c r="E6" s="10" t="s">
        <v>181</v>
      </c>
      <c r="F6" s="13" t="s">
        <v>202</v>
      </c>
      <c r="G6" s="10" t="s">
        <v>184</v>
      </c>
      <c r="H6" s="10" t="s">
        <v>187</v>
      </c>
      <c r="I6" s="10" t="s">
        <v>191</v>
      </c>
      <c r="J6" s="16" t="s">
        <v>196</v>
      </c>
    </row>
    <row r="7" spans="1:10" s="7" customFormat="1" ht="11.25" customHeight="1">
      <c r="A7" s="11"/>
      <c r="B7" s="13"/>
      <c r="C7" s="10" t="s">
        <v>175</v>
      </c>
      <c r="D7" s="10" t="s">
        <v>178</v>
      </c>
      <c r="E7" s="10" t="s">
        <v>182</v>
      </c>
      <c r="F7" s="13"/>
      <c r="G7" s="10" t="s">
        <v>185</v>
      </c>
      <c r="H7" s="10" t="s">
        <v>188</v>
      </c>
      <c r="I7" s="10" t="s">
        <v>192</v>
      </c>
      <c r="J7" s="10" t="s">
        <v>197</v>
      </c>
    </row>
    <row r="8" spans="1:10" s="7" customFormat="1" ht="11.25" customHeight="1">
      <c r="A8" s="11"/>
      <c r="B8" s="13"/>
      <c r="C8" s="13"/>
      <c r="D8" s="10" t="s">
        <v>179</v>
      </c>
      <c r="E8" s="13"/>
      <c r="F8" s="13"/>
      <c r="G8" s="13"/>
      <c r="H8" s="10" t="s">
        <v>189</v>
      </c>
      <c r="I8" s="10" t="s">
        <v>193</v>
      </c>
      <c r="J8" s="13"/>
    </row>
    <row r="9" spans="1:10" s="7" customFormat="1" ht="11.25" customHeight="1">
      <c r="A9" s="11" t="s">
        <v>0</v>
      </c>
      <c r="B9" s="13" t="s">
        <v>0</v>
      </c>
      <c r="C9" s="13"/>
      <c r="D9" s="13"/>
      <c r="E9" s="13"/>
      <c r="F9" s="13"/>
      <c r="G9" s="10"/>
      <c r="H9" s="10" t="s">
        <v>198</v>
      </c>
      <c r="I9" s="10" t="s">
        <v>194</v>
      </c>
      <c r="J9" s="13"/>
    </row>
    <row r="10" spans="1:10" s="7" customFormat="1" ht="11.25" customHeight="1">
      <c r="A10" s="11" t="s">
        <v>0</v>
      </c>
      <c r="B10" s="13"/>
      <c r="C10" s="13"/>
      <c r="D10" s="13"/>
      <c r="E10" s="13"/>
      <c r="F10" s="13"/>
      <c r="G10" s="13"/>
      <c r="H10" s="10" t="s">
        <v>199</v>
      </c>
      <c r="I10" s="13"/>
      <c r="J10" s="13"/>
    </row>
    <row r="11" spans="1:10" s="7" customFormat="1" ht="11.25" customHeight="1">
      <c r="A11" s="11"/>
      <c r="B11" s="13"/>
      <c r="C11" s="13"/>
      <c r="D11" s="13"/>
      <c r="E11" s="13"/>
      <c r="F11" s="13"/>
      <c r="G11" s="13"/>
      <c r="H11" s="10" t="s">
        <v>200</v>
      </c>
      <c r="I11" s="17"/>
      <c r="J11" s="13"/>
    </row>
    <row r="12" spans="1:10" s="7" customFormat="1" ht="11.25" customHeight="1">
      <c r="A12" s="11"/>
      <c r="B12" s="13"/>
      <c r="C12" s="13"/>
      <c r="D12" s="13"/>
      <c r="E12" s="13"/>
      <c r="F12" s="13"/>
      <c r="G12" s="13"/>
      <c r="H12" s="10" t="s">
        <v>201</v>
      </c>
      <c r="I12" s="10"/>
      <c r="J12" s="11"/>
    </row>
    <row r="13" spans="1:10" s="7" customFormat="1" ht="11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s="7" customFormat="1" ht="11.25" customHeight="1">
      <c r="A14" s="11"/>
      <c r="B14" s="18"/>
      <c r="C14" s="18"/>
      <c r="D14" s="18"/>
      <c r="E14" s="18"/>
      <c r="F14" s="18" t="s">
        <v>204</v>
      </c>
      <c r="G14" s="18"/>
      <c r="H14" s="18"/>
      <c r="I14" s="18"/>
      <c r="J14" s="18"/>
    </row>
    <row r="15" spans="1:10" s="7" customFormat="1" ht="11.25" customHeight="1">
      <c r="A15" s="11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7" customFormat="1" ht="11.25" customHeight="1">
      <c r="A16" s="14">
        <v>1996</v>
      </c>
      <c r="B16" s="18">
        <v>22954833</v>
      </c>
      <c r="C16" s="18">
        <v>26473464</v>
      </c>
      <c r="D16" s="18">
        <v>10854017</v>
      </c>
      <c r="E16" s="18">
        <v>2075661</v>
      </c>
      <c r="F16" s="18">
        <v>2801841</v>
      </c>
      <c r="G16" s="18">
        <v>4703003</v>
      </c>
      <c r="H16" s="18">
        <v>6038942</v>
      </c>
      <c r="I16" s="27">
        <v>0</v>
      </c>
      <c r="J16" s="27">
        <v>0</v>
      </c>
    </row>
    <row r="17" spans="1:10" s="7" customFormat="1" ht="11.25" customHeight="1">
      <c r="A17" s="14">
        <v>1997</v>
      </c>
      <c r="B17" s="19">
        <v>25220537</v>
      </c>
      <c r="C17" s="19">
        <v>32444347</v>
      </c>
      <c r="D17" s="19">
        <v>14617422</v>
      </c>
      <c r="E17" s="19">
        <v>1937608</v>
      </c>
      <c r="F17" s="19">
        <v>2923261</v>
      </c>
      <c r="G17" s="19">
        <v>5283230</v>
      </c>
      <c r="H17" s="19">
        <v>7682826</v>
      </c>
      <c r="I17" s="27">
        <v>0</v>
      </c>
      <c r="J17" s="27">
        <v>0</v>
      </c>
    </row>
    <row r="18" spans="1:10" s="7" customFormat="1" ht="11.25" customHeight="1">
      <c r="A18" s="14">
        <v>1998</v>
      </c>
      <c r="B18" s="19">
        <v>26404038.158999998</v>
      </c>
      <c r="C18" s="19">
        <v>33044288.82</v>
      </c>
      <c r="D18" s="19">
        <v>15319182.104999999</v>
      </c>
      <c r="E18" s="19">
        <v>2248885</v>
      </c>
      <c r="F18" s="19">
        <v>2823380</v>
      </c>
      <c r="G18" s="19">
        <v>5297121</v>
      </c>
      <c r="H18" s="19">
        <v>7355720.715</v>
      </c>
      <c r="I18" s="27">
        <v>0</v>
      </c>
      <c r="J18" s="27">
        <v>0</v>
      </c>
    </row>
    <row r="19" spans="1:10" s="7" customFormat="1" ht="11.25" customHeight="1">
      <c r="A19" s="14">
        <v>1999</v>
      </c>
      <c r="B19" s="19">
        <v>27426292.458499994</v>
      </c>
      <c r="C19" s="19">
        <v>33415652.44900001</v>
      </c>
      <c r="D19" s="19">
        <v>15662875.015999999</v>
      </c>
      <c r="E19" s="19">
        <v>1663798.6949999998</v>
      </c>
      <c r="F19" s="19">
        <v>2706008.352</v>
      </c>
      <c r="G19" s="19">
        <v>5432003.665</v>
      </c>
      <c r="H19" s="19">
        <v>7950966.720999999</v>
      </c>
      <c r="I19" s="27">
        <v>0</v>
      </c>
      <c r="J19" s="27">
        <v>0</v>
      </c>
    </row>
    <row r="20" spans="1:10" s="7" customFormat="1" ht="11.25" customHeight="1">
      <c r="A20" s="14">
        <v>2000</v>
      </c>
      <c r="B20" s="19">
        <v>29185235</v>
      </c>
      <c r="C20" s="19">
        <v>53661430</v>
      </c>
      <c r="D20" s="19">
        <v>36448761</v>
      </c>
      <c r="E20" s="19">
        <v>1321131</v>
      </c>
      <c r="F20" s="19">
        <v>2724806</v>
      </c>
      <c r="G20" s="19">
        <v>5555617</v>
      </c>
      <c r="H20" s="19">
        <v>7611112</v>
      </c>
      <c r="I20" s="27">
        <v>0</v>
      </c>
      <c r="J20" s="27">
        <v>0</v>
      </c>
    </row>
    <row r="21" spans="1:10" s="7" customFormat="1" ht="11.25" customHeight="1">
      <c r="A21" s="14">
        <v>2001</v>
      </c>
      <c r="B21" s="19">
        <v>28799120</v>
      </c>
      <c r="C21" s="19">
        <v>33198239.51</v>
      </c>
      <c r="D21" s="19">
        <v>17889387.15</v>
      </c>
      <c r="E21" s="19">
        <v>799404</v>
      </c>
      <c r="F21" s="19">
        <v>2696028</v>
      </c>
      <c r="G21" s="19">
        <v>4680778</v>
      </c>
      <c r="H21" s="19">
        <v>7132641.36</v>
      </c>
      <c r="I21" s="27">
        <v>0</v>
      </c>
      <c r="J21" s="27">
        <v>0</v>
      </c>
    </row>
    <row r="22" spans="1:10" s="7" customFormat="1" ht="11.25" customHeight="1">
      <c r="A22" s="14">
        <v>2002</v>
      </c>
      <c r="B22" s="19">
        <v>27452333</v>
      </c>
      <c r="C22" s="19">
        <v>31165319</v>
      </c>
      <c r="D22" s="19">
        <v>18352274</v>
      </c>
      <c r="E22" s="19">
        <v>552688</v>
      </c>
      <c r="F22" s="19">
        <v>2911675</v>
      </c>
      <c r="G22" s="19">
        <v>5180105</v>
      </c>
      <c r="H22" s="19">
        <v>4168577</v>
      </c>
      <c r="I22" s="27">
        <v>0</v>
      </c>
      <c r="J22" s="27">
        <v>0</v>
      </c>
    </row>
    <row r="23" spans="1:10" s="7" customFormat="1" ht="11.25" customHeight="1">
      <c r="A23" s="14">
        <v>2003</v>
      </c>
      <c r="B23" s="19">
        <v>31664931</v>
      </c>
      <c r="C23" s="19">
        <v>37155029.99</v>
      </c>
      <c r="D23" s="19">
        <v>24235710.591</v>
      </c>
      <c r="E23" s="19">
        <v>750556</v>
      </c>
      <c r="F23" s="19">
        <v>3056859</v>
      </c>
      <c r="G23" s="19">
        <v>5090083</v>
      </c>
      <c r="H23" s="19">
        <v>4021821.399</v>
      </c>
      <c r="I23" s="27">
        <v>0</v>
      </c>
      <c r="J23" s="27">
        <v>0</v>
      </c>
    </row>
    <row r="24" spans="1:10" s="7" customFormat="1" ht="11.25" customHeight="1">
      <c r="A24" s="14">
        <v>2004</v>
      </c>
      <c r="B24" s="18">
        <v>33095902</v>
      </c>
      <c r="C24" s="18">
        <v>41298629</v>
      </c>
      <c r="D24" s="18">
        <v>27514478</v>
      </c>
      <c r="E24" s="18">
        <v>858477</v>
      </c>
      <c r="F24" s="18">
        <v>2647450</v>
      </c>
      <c r="G24" s="18">
        <v>5435564</v>
      </c>
      <c r="H24" s="18">
        <v>4842660</v>
      </c>
      <c r="I24" s="27">
        <v>0</v>
      </c>
      <c r="J24" s="27">
        <v>0</v>
      </c>
    </row>
    <row r="25" spans="1:10" s="7" customFormat="1" ht="11.25" customHeight="1">
      <c r="A25" s="14">
        <v>2005</v>
      </c>
      <c r="B25" s="18">
        <v>34738539</v>
      </c>
      <c r="C25" s="18">
        <v>44695300</v>
      </c>
      <c r="D25" s="18">
        <v>29683600</v>
      </c>
      <c r="E25" s="18">
        <v>1023392</v>
      </c>
      <c r="F25" s="18">
        <v>2789291</v>
      </c>
      <c r="G25" s="18">
        <v>5445299</v>
      </c>
      <c r="H25" s="18">
        <v>5753718</v>
      </c>
      <c r="I25" s="27">
        <v>0</v>
      </c>
      <c r="J25" s="27">
        <v>0</v>
      </c>
    </row>
    <row r="26" spans="1:10" s="7" customFormat="1" ht="11.25" customHeight="1">
      <c r="A26" s="14">
        <v>2006</v>
      </c>
      <c r="B26" s="18">
        <f>SUM(B$29:B$262)</f>
        <v>44310032</v>
      </c>
      <c r="C26" s="18">
        <f aca="true" t="shared" si="0" ref="C26:J26">SUM(C$29:C$262)</f>
        <v>52768681</v>
      </c>
      <c r="D26" s="18">
        <f t="shared" si="0"/>
        <v>31278189</v>
      </c>
      <c r="E26" s="18">
        <f t="shared" si="0"/>
        <v>1212817</v>
      </c>
      <c r="F26" s="18">
        <f t="shared" si="0"/>
        <v>3343042</v>
      </c>
      <c r="G26" s="18">
        <f t="shared" si="0"/>
        <v>6094012</v>
      </c>
      <c r="H26" s="18">
        <f t="shared" si="0"/>
        <v>6692246</v>
      </c>
      <c r="I26" s="18">
        <f t="shared" si="0"/>
        <v>1700638</v>
      </c>
      <c r="J26" s="18">
        <f t="shared" si="0"/>
        <v>2460449</v>
      </c>
    </row>
    <row r="27" spans="1:10" s="7" customFormat="1" ht="11.25" customHeight="1">
      <c r="A27" s="11"/>
      <c r="B27" s="18"/>
      <c r="C27" s="18"/>
      <c r="D27" s="18"/>
      <c r="E27" s="18"/>
      <c r="F27" s="18"/>
      <c r="G27" s="18"/>
      <c r="H27" s="18"/>
      <c r="I27" s="18"/>
      <c r="J27" s="18"/>
    </row>
    <row r="28" spans="1:10" s="7" customFormat="1" ht="11.25" customHeight="1">
      <c r="A28" s="11"/>
      <c r="B28" s="18"/>
      <c r="C28" s="18"/>
      <c r="D28" s="18"/>
      <c r="E28" s="18"/>
      <c r="F28" s="18"/>
      <c r="G28" s="18"/>
      <c r="H28" s="18"/>
      <c r="I28" s="18"/>
      <c r="J28" s="18"/>
    </row>
    <row r="29" spans="1:10" s="7" customFormat="1" ht="11.25" customHeight="1">
      <c r="A29" s="20" t="s">
        <v>207</v>
      </c>
      <c r="B29" s="21"/>
      <c r="C29" s="22" t="s">
        <v>0</v>
      </c>
      <c r="D29" s="21"/>
      <c r="E29" s="23"/>
      <c r="F29" s="23"/>
      <c r="G29" s="23"/>
      <c r="H29" s="23"/>
      <c r="I29" s="23"/>
      <c r="J29" s="23"/>
    </row>
    <row r="30" spans="1:10" s="7" customFormat="1" ht="11.25" customHeight="1">
      <c r="A30" s="11"/>
      <c r="B30" s="21"/>
      <c r="C30" s="24"/>
      <c r="D30" s="21"/>
      <c r="E30" s="23"/>
      <c r="F30" s="23"/>
      <c r="G30" s="23"/>
      <c r="H30" s="23"/>
      <c r="I30" s="23"/>
      <c r="J30" s="23"/>
    </row>
    <row r="31" spans="1:10" s="7" customFormat="1" ht="11.25" customHeight="1">
      <c r="A31" s="20" t="s">
        <v>208</v>
      </c>
      <c r="B31" s="21"/>
      <c r="C31" s="25"/>
      <c r="D31" s="21"/>
      <c r="E31" s="21"/>
      <c r="F31" s="21"/>
      <c r="G31" s="21"/>
      <c r="H31" s="21"/>
      <c r="I31" s="21"/>
      <c r="J31" s="21"/>
    </row>
    <row r="32" spans="1:10" s="7" customFormat="1" ht="11.25" customHeight="1">
      <c r="A32" s="26" t="s">
        <v>1</v>
      </c>
      <c r="B32" s="27">
        <v>332292</v>
      </c>
      <c r="C32" s="18">
        <f>D32+F32+H32</f>
        <v>394885</v>
      </c>
      <c r="D32" s="27">
        <v>278315</v>
      </c>
      <c r="E32" s="27">
        <v>0</v>
      </c>
      <c r="F32" s="27">
        <v>16115</v>
      </c>
      <c r="G32" s="27">
        <v>0</v>
      </c>
      <c r="H32" s="27">
        <v>100455</v>
      </c>
      <c r="I32" s="27">
        <v>0</v>
      </c>
      <c r="J32" s="27">
        <v>0</v>
      </c>
    </row>
    <row r="33" spans="1:10" s="7" customFormat="1" ht="11.25" customHeight="1">
      <c r="A33" s="26" t="s">
        <v>2</v>
      </c>
      <c r="B33" s="27">
        <v>148461</v>
      </c>
      <c r="C33" s="28">
        <f>D33</f>
        <v>236827</v>
      </c>
      <c r="D33" s="27">
        <v>236827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</row>
    <row r="34" spans="1:10" s="7" customFormat="1" ht="11.25" customHeight="1">
      <c r="A34" s="26" t="s">
        <v>3</v>
      </c>
      <c r="B34" s="27">
        <v>142125</v>
      </c>
      <c r="C34" s="28">
        <f>D34+J34</f>
        <v>153991</v>
      </c>
      <c r="D34" s="27">
        <v>152890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1101</v>
      </c>
    </row>
    <row r="35" spans="1:10" s="7" customFormat="1" ht="11.25" customHeight="1">
      <c r="A35" s="26" t="s">
        <v>4</v>
      </c>
      <c r="B35" s="27">
        <v>3530862</v>
      </c>
      <c r="C35" s="28">
        <f>D35+E35+F35+G35+H35+J35</f>
        <v>4279333</v>
      </c>
      <c r="D35" s="27">
        <v>2330850</v>
      </c>
      <c r="E35" s="27">
        <v>143000</v>
      </c>
      <c r="F35" s="27">
        <v>201090</v>
      </c>
      <c r="G35" s="27">
        <v>990869</v>
      </c>
      <c r="H35" s="27">
        <v>397446</v>
      </c>
      <c r="I35" s="27">
        <v>0</v>
      </c>
      <c r="J35" s="27">
        <v>216078</v>
      </c>
    </row>
    <row r="36" spans="1:10" s="7" customFormat="1" ht="11.25" customHeight="1">
      <c r="A36" s="26"/>
      <c r="B36" s="24"/>
      <c r="C36" s="24"/>
      <c r="D36" s="24"/>
      <c r="E36" s="24"/>
      <c r="F36" s="25"/>
      <c r="G36" s="25"/>
      <c r="H36" s="24"/>
      <c r="I36" s="24"/>
      <c r="J36" s="24"/>
    </row>
    <row r="37" spans="1:10" s="7" customFormat="1" ht="11.25" customHeight="1">
      <c r="A37" s="26" t="s">
        <v>5</v>
      </c>
      <c r="B37" s="27">
        <v>503</v>
      </c>
      <c r="C37" s="18">
        <f>D37:D37</f>
        <v>1050</v>
      </c>
      <c r="D37" s="27">
        <v>1050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</row>
    <row r="38" spans="1:10" s="7" customFormat="1" ht="11.25" customHeight="1">
      <c r="A38" s="26" t="s">
        <v>6</v>
      </c>
      <c r="B38" s="27">
        <v>125457</v>
      </c>
      <c r="C38" s="28">
        <f>D38+H38+I38</f>
        <v>145111</v>
      </c>
      <c r="D38" s="27">
        <v>106543</v>
      </c>
      <c r="E38" s="27">
        <v>0</v>
      </c>
      <c r="F38" s="27">
        <v>0</v>
      </c>
      <c r="G38" s="27">
        <v>0</v>
      </c>
      <c r="H38" s="27">
        <v>35840</v>
      </c>
      <c r="I38" s="27">
        <v>2728</v>
      </c>
      <c r="J38" s="27">
        <v>0</v>
      </c>
    </row>
    <row r="39" spans="1:10" s="7" customFormat="1" ht="11.25" customHeight="1">
      <c r="A39" s="26" t="s">
        <v>7</v>
      </c>
      <c r="B39" s="27">
        <v>177333</v>
      </c>
      <c r="C39" s="28">
        <f>SUM(D39:J39)</f>
        <v>180934</v>
      </c>
      <c r="D39" s="27">
        <v>72544</v>
      </c>
      <c r="E39" s="27">
        <v>0</v>
      </c>
      <c r="F39" s="27">
        <v>0</v>
      </c>
      <c r="G39" s="27">
        <v>0</v>
      </c>
      <c r="H39" s="27">
        <v>108390</v>
      </c>
      <c r="I39" s="27">
        <v>0</v>
      </c>
      <c r="J39" s="27">
        <v>0</v>
      </c>
    </row>
    <row r="40" spans="1:10" s="7" customFormat="1" ht="11.25" customHeight="1">
      <c r="A40" s="29" t="s">
        <v>8</v>
      </c>
      <c r="B40" s="27">
        <v>271051</v>
      </c>
      <c r="C40" s="28">
        <f>D40+G40+H40+I40+J40</f>
        <v>320473</v>
      </c>
      <c r="D40" s="27">
        <v>174912</v>
      </c>
      <c r="E40" s="27">
        <v>0</v>
      </c>
      <c r="F40" s="27">
        <v>0</v>
      </c>
      <c r="G40" s="27">
        <v>21350</v>
      </c>
      <c r="H40" s="27">
        <v>50013</v>
      </c>
      <c r="I40" s="27">
        <v>4322</v>
      </c>
      <c r="J40" s="27">
        <v>69876</v>
      </c>
    </row>
    <row r="41" spans="1:10" s="7" customFormat="1" ht="11.25" customHeight="1">
      <c r="A41" s="26"/>
      <c r="B41" s="24"/>
      <c r="C41" s="24"/>
      <c r="D41" s="24"/>
      <c r="E41" s="24"/>
      <c r="F41" s="25"/>
      <c r="G41" s="25"/>
      <c r="H41" s="24"/>
      <c r="I41" s="24"/>
      <c r="J41" s="24"/>
    </row>
    <row r="42" spans="1:10" s="7" customFormat="1" ht="11.25" customHeight="1">
      <c r="A42" s="26" t="s">
        <v>9</v>
      </c>
      <c r="B42" s="27">
        <v>8664</v>
      </c>
      <c r="C42" s="18">
        <f>D42</f>
        <v>13882</v>
      </c>
      <c r="D42" s="27">
        <v>13882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</row>
    <row r="43" spans="1:10" s="7" customFormat="1" ht="11.25" customHeight="1">
      <c r="A43" s="26" t="s">
        <v>10</v>
      </c>
      <c r="B43" s="27">
        <v>3484956</v>
      </c>
      <c r="C43" s="28">
        <f>D43+E43+F43+G43+H43+I43</f>
        <v>4194898</v>
      </c>
      <c r="D43" s="27">
        <v>2172870</v>
      </c>
      <c r="E43" s="27">
        <v>49800</v>
      </c>
      <c r="F43" s="27">
        <v>302869</v>
      </c>
      <c r="G43" s="27">
        <v>610342</v>
      </c>
      <c r="H43" s="27">
        <v>756027</v>
      </c>
      <c r="I43" s="27">
        <v>302990</v>
      </c>
      <c r="J43" s="30"/>
    </row>
    <row r="44" spans="1:10" s="7" customFormat="1" ht="11.25" customHeight="1">
      <c r="A44" s="26" t="s">
        <v>11</v>
      </c>
      <c r="B44" s="27">
        <v>64542</v>
      </c>
      <c r="C44" s="28">
        <f>D44+H44</f>
        <v>107096</v>
      </c>
      <c r="D44" s="27">
        <v>87612</v>
      </c>
      <c r="E44" s="27">
        <v>0</v>
      </c>
      <c r="F44" s="27">
        <v>0</v>
      </c>
      <c r="G44" s="27">
        <v>0</v>
      </c>
      <c r="H44" s="27">
        <v>19484</v>
      </c>
      <c r="I44" s="27">
        <v>0</v>
      </c>
      <c r="J44" s="30" t="s">
        <v>159</v>
      </c>
    </row>
    <row r="45" spans="1:10" s="7" customFormat="1" ht="11.25" customHeight="1">
      <c r="A45" s="26" t="s">
        <v>12</v>
      </c>
      <c r="B45" s="27">
        <v>68711</v>
      </c>
      <c r="C45" s="28">
        <f>D45+H45+I45+J45</f>
        <v>90013</v>
      </c>
      <c r="D45" s="27">
        <v>63337</v>
      </c>
      <c r="E45" s="27">
        <v>0</v>
      </c>
      <c r="F45" s="27">
        <v>0</v>
      </c>
      <c r="G45" s="27">
        <v>0</v>
      </c>
      <c r="H45" s="27">
        <v>673</v>
      </c>
      <c r="I45" s="27">
        <v>201</v>
      </c>
      <c r="J45" s="27">
        <v>25802</v>
      </c>
    </row>
    <row r="46" spans="1:10" s="7" customFormat="1" ht="11.25" customHeight="1">
      <c r="A46" s="26"/>
      <c r="B46" s="24"/>
      <c r="C46" s="24"/>
      <c r="D46" s="24"/>
      <c r="E46" s="24"/>
      <c r="F46" s="25"/>
      <c r="G46" s="25"/>
      <c r="H46" s="24"/>
      <c r="I46" s="24"/>
      <c r="J46" s="24"/>
    </row>
    <row r="47" spans="1:10" s="7" customFormat="1" ht="11.25" customHeight="1">
      <c r="A47" s="26" t="s">
        <v>13</v>
      </c>
      <c r="B47" s="27">
        <v>22169</v>
      </c>
      <c r="C47" s="18">
        <f>D47+H47+I47</f>
        <v>40131</v>
      </c>
      <c r="D47" s="27">
        <v>13189</v>
      </c>
      <c r="E47" s="27">
        <v>0</v>
      </c>
      <c r="F47" s="27">
        <v>0</v>
      </c>
      <c r="G47" s="27">
        <v>0</v>
      </c>
      <c r="H47" s="27">
        <v>24881</v>
      </c>
      <c r="I47" s="27">
        <v>2061</v>
      </c>
      <c r="J47" s="27">
        <v>0</v>
      </c>
    </row>
    <row r="48" spans="1:10" s="7" customFormat="1" ht="11.25" customHeight="1">
      <c r="A48" s="26" t="s">
        <v>14</v>
      </c>
      <c r="B48" s="27">
        <v>933753</v>
      </c>
      <c r="C48" s="27">
        <f>SUM(D48:J48)</f>
        <v>943579</v>
      </c>
      <c r="D48" s="27">
        <v>742380</v>
      </c>
      <c r="E48" s="27">
        <v>0</v>
      </c>
      <c r="F48" s="27">
        <v>0</v>
      </c>
      <c r="G48" s="27">
        <v>0</v>
      </c>
      <c r="H48" s="27">
        <v>201199</v>
      </c>
      <c r="I48" s="27">
        <v>0</v>
      </c>
      <c r="J48" s="27">
        <v>0</v>
      </c>
    </row>
    <row r="49" spans="1:10" s="7" customFormat="1" ht="11.25" customHeight="1">
      <c r="A49" s="26" t="s">
        <v>15</v>
      </c>
      <c r="B49" s="27">
        <v>180</v>
      </c>
      <c r="C49" s="28">
        <f>D49</f>
        <v>503</v>
      </c>
      <c r="D49" s="27">
        <v>503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</row>
    <row r="50" spans="1:10" s="7" customFormat="1" ht="11.25" customHeight="1">
      <c r="A50" s="26" t="s">
        <v>16</v>
      </c>
      <c r="B50" s="27">
        <v>43722</v>
      </c>
      <c r="C50" s="28">
        <f>D50+H50+J50</f>
        <v>47151</v>
      </c>
      <c r="D50" s="27">
        <v>20158</v>
      </c>
      <c r="E50" s="27">
        <v>0</v>
      </c>
      <c r="F50" s="27">
        <v>0</v>
      </c>
      <c r="G50" s="27">
        <v>0</v>
      </c>
      <c r="H50" s="27">
        <v>5973</v>
      </c>
      <c r="I50" s="27">
        <v>0</v>
      </c>
      <c r="J50" s="27">
        <v>21020</v>
      </c>
    </row>
    <row r="51" spans="1:10" s="7" customFormat="1" ht="11.25" customHeight="1">
      <c r="A51" s="26"/>
      <c r="B51" s="24"/>
      <c r="C51" s="24"/>
      <c r="D51" s="24"/>
      <c r="E51" s="24"/>
      <c r="F51" s="25"/>
      <c r="G51" s="25"/>
      <c r="H51" s="24"/>
      <c r="I51" s="24"/>
      <c r="J51" s="24"/>
    </row>
    <row r="52" spans="1:10" s="7" customFormat="1" ht="11.25" customHeight="1">
      <c r="A52" s="26" t="s">
        <v>17</v>
      </c>
      <c r="B52" s="27">
        <v>650</v>
      </c>
      <c r="C52" s="18">
        <f>D52</f>
        <v>2650</v>
      </c>
      <c r="D52" s="27">
        <v>2650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</row>
    <row r="53" spans="1:10" s="7" customFormat="1" ht="11.25" customHeight="1">
      <c r="A53" s="26" t="s">
        <v>18</v>
      </c>
      <c r="B53" s="27">
        <v>16804</v>
      </c>
      <c r="C53" s="28">
        <f>D53</f>
        <v>34631</v>
      </c>
      <c r="D53" s="27">
        <v>34631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</row>
    <row r="54" spans="1:10" s="7" customFormat="1" ht="11.25" customHeight="1">
      <c r="A54" s="26" t="s">
        <v>19</v>
      </c>
      <c r="B54" s="27">
        <v>46739</v>
      </c>
      <c r="C54" s="28">
        <f>D54+H54</f>
        <v>50094</v>
      </c>
      <c r="D54" s="27">
        <v>38756</v>
      </c>
      <c r="E54" s="27">
        <v>0</v>
      </c>
      <c r="F54" s="27">
        <v>0</v>
      </c>
      <c r="G54" s="27">
        <v>0</v>
      </c>
      <c r="H54" s="27">
        <v>11338</v>
      </c>
      <c r="I54" s="27">
        <v>0</v>
      </c>
      <c r="J54" s="27">
        <v>0</v>
      </c>
    </row>
    <row r="55" spans="1:10" s="7" customFormat="1" ht="11.25" customHeight="1">
      <c r="A55" s="26" t="s">
        <v>20</v>
      </c>
      <c r="B55" s="27">
        <v>2901</v>
      </c>
      <c r="C55" s="28">
        <f>D55+G55+H55</f>
        <v>4452</v>
      </c>
      <c r="D55" s="27">
        <v>1936</v>
      </c>
      <c r="E55" s="27">
        <v>0</v>
      </c>
      <c r="F55" s="27">
        <v>0</v>
      </c>
      <c r="G55" s="27">
        <v>1715</v>
      </c>
      <c r="H55" s="27">
        <v>801</v>
      </c>
      <c r="I55" s="27">
        <v>0</v>
      </c>
      <c r="J55" s="27">
        <v>0</v>
      </c>
    </row>
    <row r="56" spans="1:10" s="7" customFormat="1" ht="11.25" customHeight="1">
      <c r="A56" s="26"/>
      <c r="B56" s="24"/>
      <c r="C56" s="24"/>
      <c r="D56" s="24"/>
      <c r="E56" s="24"/>
      <c r="F56" s="25"/>
      <c r="G56" s="25"/>
      <c r="H56" s="24"/>
      <c r="I56" s="24"/>
      <c r="J56" s="24"/>
    </row>
    <row r="57" spans="1:10" s="7" customFormat="1" ht="11.25" customHeight="1">
      <c r="A57" s="31" t="s">
        <v>21</v>
      </c>
      <c r="B57" s="27">
        <v>947</v>
      </c>
      <c r="C57" s="18">
        <f>D57</f>
        <v>2761</v>
      </c>
      <c r="D57" s="27">
        <v>2761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</row>
    <row r="58" spans="1:10" s="7" customFormat="1" ht="11.25" customHeight="1">
      <c r="A58" s="26" t="s">
        <v>22</v>
      </c>
      <c r="B58" s="27">
        <v>18991</v>
      </c>
      <c r="C58" s="28">
        <f>D58+G58</f>
        <v>30928</v>
      </c>
      <c r="D58" s="27">
        <v>15298</v>
      </c>
      <c r="E58" s="27">
        <v>0</v>
      </c>
      <c r="F58" s="27">
        <v>0</v>
      </c>
      <c r="G58" s="27">
        <v>15630</v>
      </c>
      <c r="H58" s="27">
        <v>0</v>
      </c>
      <c r="I58" s="27">
        <v>0</v>
      </c>
      <c r="J58" s="27">
        <v>0</v>
      </c>
    </row>
    <row r="59" spans="1:10" s="7" customFormat="1" ht="11.25" customHeight="1">
      <c r="A59" s="26" t="s">
        <v>23</v>
      </c>
      <c r="B59" s="27">
        <v>15899</v>
      </c>
      <c r="C59" s="28">
        <f>D59+F59+H59</f>
        <v>21807</v>
      </c>
      <c r="D59" s="27">
        <v>15952</v>
      </c>
      <c r="E59" s="27">
        <v>0</v>
      </c>
      <c r="F59" s="27">
        <v>3510</v>
      </c>
      <c r="G59" s="27">
        <v>0</v>
      </c>
      <c r="H59" s="27">
        <v>2345</v>
      </c>
      <c r="I59" s="27">
        <v>0</v>
      </c>
      <c r="J59" s="27">
        <v>0</v>
      </c>
    </row>
    <row r="60" spans="1:10" s="7" customFormat="1" ht="11.25" customHeight="1">
      <c r="A60" s="26" t="s">
        <v>24</v>
      </c>
      <c r="B60" s="27">
        <v>16676</v>
      </c>
      <c r="C60" s="28">
        <f>D60+H60+I60</f>
        <v>27720</v>
      </c>
      <c r="D60" s="27">
        <v>10709</v>
      </c>
      <c r="E60" s="27">
        <v>0</v>
      </c>
      <c r="F60" s="27">
        <v>0</v>
      </c>
      <c r="G60" s="27">
        <v>0</v>
      </c>
      <c r="H60" s="27">
        <v>13531</v>
      </c>
      <c r="I60" s="27">
        <v>3480</v>
      </c>
      <c r="J60" s="27">
        <v>0</v>
      </c>
    </row>
    <row r="61" spans="1:10" s="7" customFormat="1" ht="11.25" customHeight="1">
      <c r="A61" s="26"/>
      <c r="B61" s="24"/>
      <c r="C61" s="24"/>
      <c r="D61" s="24"/>
      <c r="E61" s="24"/>
      <c r="F61" s="25"/>
      <c r="G61" s="25"/>
      <c r="H61" s="24"/>
      <c r="I61" s="24"/>
      <c r="J61" s="24"/>
    </row>
    <row r="62" spans="1:10" s="7" customFormat="1" ht="11.25" customHeight="1">
      <c r="A62" s="26" t="s">
        <v>25</v>
      </c>
      <c r="B62" s="27">
        <v>4728</v>
      </c>
      <c r="C62" s="18">
        <f>D62+H62+I62</f>
        <v>7215</v>
      </c>
      <c r="D62" s="27">
        <v>2686</v>
      </c>
      <c r="E62" s="27">
        <v>0</v>
      </c>
      <c r="F62" s="27">
        <v>0</v>
      </c>
      <c r="G62" s="27">
        <v>0</v>
      </c>
      <c r="H62" s="27">
        <v>3413</v>
      </c>
      <c r="I62" s="27">
        <v>1116</v>
      </c>
      <c r="J62" s="27">
        <v>0</v>
      </c>
    </row>
    <row r="63" spans="1:10" s="7" customFormat="1" ht="11.25" customHeight="1">
      <c r="A63" s="26" t="s">
        <v>26</v>
      </c>
      <c r="B63" s="27">
        <v>35425</v>
      </c>
      <c r="C63" s="28">
        <f>D63+J63</f>
        <v>50878</v>
      </c>
      <c r="D63" s="27">
        <v>29172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21706</v>
      </c>
    </row>
    <row r="64" spans="1:10" s="7" customFormat="1" ht="11.25" customHeight="1">
      <c r="A64" s="26" t="s">
        <v>27</v>
      </c>
      <c r="B64" s="27">
        <v>1382023</v>
      </c>
      <c r="C64" s="28">
        <f>D64+E64+F64+G64+H64+I64</f>
        <v>1524315</v>
      </c>
      <c r="D64" s="27">
        <v>867954</v>
      </c>
      <c r="E64" s="27">
        <v>1000</v>
      </c>
      <c r="F64" s="27">
        <v>73213</v>
      </c>
      <c r="G64" s="27">
        <v>333962</v>
      </c>
      <c r="H64" s="27">
        <v>248706</v>
      </c>
      <c r="I64" s="44">
        <v>-520</v>
      </c>
      <c r="J64" s="27">
        <v>0</v>
      </c>
    </row>
    <row r="65" spans="1:10" s="7" customFormat="1" ht="11.25" customHeight="1">
      <c r="A65" s="26" t="s">
        <v>28</v>
      </c>
      <c r="B65" s="27">
        <v>90375</v>
      </c>
      <c r="C65" s="28">
        <f>SUM(D65:J65)</f>
        <v>149640</v>
      </c>
      <c r="D65" s="27">
        <f>28927+79652</f>
        <v>108579</v>
      </c>
      <c r="E65" s="27">
        <v>0</v>
      </c>
      <c r="F65" s="27">
        <v>7707</v>
      </c>
      <c r="G65" s="32">
        <v>0</v>
      </c>
      <c r="H65" s="27">
        <f>27782+1933</f>
        <v>29715</v>
      </c>
      <c r="I65" s="27">
        <v>3639</v>
      </c>
      <c r="J65" s="27">
        <v>0</v>
      </c>
    </row>
    <row r="66" spans="1:10" s="7" customFormat="1" ht="11.25" customHeight="1">
      <c r="A66" s="26"/>
      <c r="B66" s="24"/>
      <c r="C66" s="24"/>
      <c r="D66" s="24"/>
      <c r="E66" s="24"/>
      <c r="F66" s="25"/>
      <c r="G66" s="25"/>
      <c r="H66" s="24"/>
      <c r="I66" s="24"/>
      <c r="J66" s="24"/>
    </row>
    <row r="67" spans="1:10" s="7" customFormat="1" ht="11.25" customHeight="1">
      <c r="A67" s="26" t="s">
        <v>29</v>
      </c>
      <c r="B67" s="27">
        <v>11230</v>
      </c>
      <c r="C67" s="18">
        <f>D67+H67+I67</f>
        <v>19274</v>
      </c>
      <c r="D67" s="27">
        <v>6302</v>
      </c>
      <c r="E67" s="27">
        <v>0</v>
      </c>
      <c r="F67" s="27">
        <v>0</v>
      </c>
      <c r="G67" s="27">
        <v>0</v>
      </c>
      <c r="H67" s="27">
        <v>11984</v>
      </c>
      <c r="I67" s="27">
        <v>988</v>
      </c>
      <c r="J67" s="27">
        <v>0</v>
      </c>
    </row>
    <row r="68" spans="1:10" s="7" customFormat="1" ht="11.25" customHeight="1">
      <c r="A68" s="26" t="s">
        <v>30</v>
      </c>
      <c r="B68" s="27">
        <v>659927</v>
      </c>
      <c r="C68" s="28">
        <f>D68+H68+I68+J68</f>
        <v>691148</v>
      </c>
      <c r="D68" s="27">
        <v>500085</v>
      </c>
      <c r="E68" s="27">
        <v>0</v>
      </c>
      <c r="F68" s="27">
        <v>0</v>
      </c>
      <c r="G68" s="27">
        <v>0</v>
      </c>
      <c r="H68" s="27">
        <v>111975</v>
      </c>
      <c r="I68" s="27">
        <v>10318</v>
      </c>
      <c r="J68" s="27">
        <v>68770</v>
      </c>
    </row>
    <row r="69" spans="1:10" s="7" customFormat="1" ht="11.25" customHeight="1">
      <c r="A69" s="26" t="s">
        <v>31</v>
      </c>
      <c r="B69" s="27">
        <v>1140722</v>
      </c>
      <c r="C69" s="28">
        <f>SUM(D69:J69)</f>
        <v>1730916</v>
      </c>
      <c r="D69" s="27">
        <f>27273+723856</f>
        <v>751129</v>
      </c>
      <c r="E69" s="27">
        <v>0</v>
      </c>
      <c r="F69" s="27">
        <v>0</v>
      </c>
      <c r="G69" s="27">
        <v>0</v>
      </c>
      <c r="H69" s="27">
        <f>773323+87484</f>
        <v>860807</v>
      </c>
      <c r="I69" s="27">
        <f>72226+46316+438</f>
        <v>118980</v>
      </c>
      <c r="J69" s="27">
        <v>0</v>
      </c>
    </row>
    <row r="70" spans="1:10" s="7" customFormat="1" ht="11.25" customHeight="1">
      <c r="A70" s="26" t="s">
        <v>32</v>
      </c>
      <c r="B70" s="27">
        <v>1082277</v>
      </c>
      <c r="C70" s="28">
        <f>D70+E70+F70+G70+H70+I70</f>
        <v>1982079</v>
      </c>
      <c r="D70" s="27">
        <v>1394470</v>
      </c>
      <c r="E70" s="27">
        <v>104000</v>
      </c>
      <c r="F70" s="27">
        <v>139232</v>
      </c>
      <c r="G70" s="27">
        <v>204856</v>
      </c>
      <c r="H70" s="27">
        <v>96600</v>
      </c>
      <c r="I70" s="27">
        <v>42921</v>
      </c>
      <c r="J70" s="27">
        <v>0</v>
      </c>
    </row>
    <row r="71" spans="1:10" s="7" customFormat="1" ht="11.25" customHeight="1">
      <c r="A71" s="26"/>
      <c r="B71" s="24"/>
      <c r="C71" s="24"/>
      <c r="D71" s="24"/>
      <c r="E71" s="24"/>
      <c r="F71" s="25"/>
      <c r="G71" s="25"/>
      <c r="H71" s="24"/>
      <c r="I71" s="24"/>
      <c r="J71" s="24"/>
    </row>
    <row r="72" spans="1:10" s="7" customFormat="1" ht="11.25" customHeight="1">
      <c r="A72" s="26" t="s">
        <v>33</v>
      </c>
      <c r="B72" s="27">
        <v>16275</v>
      </c>
      <c r="C72" s="18">
        <f>D72</f>
        <v>32379</v>
      </c>
      <c r="D72" s="27">
        <v>32379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</row>
    <row r="73" spans="1:10" s="7" customFormat="1" ht="11.25" customHeight="1">
      <c r="A73" s="29" t="s">
        <v>34</v>
      </c>
      <c r="B73" s="27">
        <v>37196</v>
      </c>
      <c r="C73" s="28">
        <f>SUM(D73:J73)</f>
        <v>42268</v>
      </c>
      <c r="D73" s="27">
        <v>0</v>
      </c>
      <c r="E73" s="27">
        <v>0</v>
      </c>
      <c r="F73" s="27">
        <v>0</v>
      </c>
      <c r="G73" s="27">
        <v>0</v>
      </c>
      <c r="H73" s="27">
        <v>42268</v>
      </c>
      <c r="I73" s="27">
        <v>0</v>
      </c>
      <c r="J73" s="27">
        <v>0</v>
      </c>
    </row>
    <row r="74" spans="1:10" s="7" customFormat="1" ht="11.25" customHeight="1">
      <c r="A74" s="31" t="s">
        <v>35</v>
      </c>
      <c r="B74" s="27">
        <v>250296</v>
      </c>
      <c r="C74" s="28">
        <f>SUM(D74:J74)</f>
        <v>317714</v>
      </c>
      <c r="D74" s="27">
        <f>64986+207638</f>
        <v>272624</v>
      </c>
      <c r="E74" s="27">
        <v>0</v>
      </c>
      <c r="F74" s="27">
        <v>0</v>
      </c>
      <c r="G74" s="27">
        <v>0</v>
      </c>
      <c r="H74" s="27">
        <v>22846</v>
      </c>
      <c r="I74" s="27">
        <v>22244</v>
      </c>
      <c r="J74" s="27">
        <v>0</v>
      </c>
    </row>
    <row r="75" spans="1:10" s="7" customFormat="1" ht="11.25" customHeight="1">
      <c r="A75" s="26" t="s">
        <v>36</v>
      </c>
      <c r="B75" s="27">
        <v>3550</v>
      </c>
      <c r="C75" s="28">
        <f>D75+H75</f>
        <v>4425</v>
      </c>
      <c r="D75" s="27">
        <v>3794</v>
      </c>
      <c r="E75" s="27">
        <v>0</v>
      </c>
      <c r="F75" s="27">
        <v>0</v>
      </c>
      <c r="G75" s="27">
        <v>0</v>
      </c>
      <c r="H75" s="27">
        <v>631</v>
      </c>
      <c r="I75" s="27">
        <v>0</v>
      </c>
      <c r="J75" s="27">
        <v>0</v>
      </c>
    </row>
    <row r="76" spans="1:10" s="7" customFormat="1" ht="11.25" customHeight="1">
      <c r="A76" s="26"/>
      <c r="B76" s="24"/>
      <c r="C76" s="24"/>
      <c r="D76" s="24"/>
      <c r="E76" s="24"/>
      <c r="F76" s="25"/>
      <c r="G76" s="25"/>
      <c r="H76" s="24"/>
      <c r="I76" s="24"/>
      <c r="J76" s="24"/>
    </row>
    <row r="77" spans="1:10" s="7" customFormat="1" ht="11.25" customHeight="1">
      <c r="A77" s="29" t="s">
        <v>37</v>
      </c>
      <c r="B77" s="27">
        <v>411833</v>
      </c>
      <c r="C77" s="18">
        <f>SUM(D77:J77)</f>
        <v>499461</v>
      </c>
      <c r="D77" s="27">
        <f>19052+150949</f>
        <v>170001</v>
      </c>
      <c r="E77" s="27">
        <v>0</v>
      </c>
      <c r="F77" s="27">
        <v>0</v>
      </c>
      <c r="G77" s="27">
        <v>0</v>
      </c>
      <c r="H77" s="27">
        <f>35057+269505</f>
        <v>304562</v>
      </c>
      <c r="I77" s="27">
        <f>21785+3113</f>
        <v>24898</v>
      </c>
      <c r="J77" s="27">
        <v>0</v>
      </c>
    </row>
    <row r="78" spans="1:10" s="7" customFormat="1" ht="11.25" customHeight="1">
      <c r="A78" s="26" t="s">
        <v>38</v>
      </c>
      <c r="B78" s="27">
        <v>200</v>
      </c>
      <c r="C78" s="28">
        <f>SUM(D78:J78)</f>
        <v>999</v>
      </c>
      <c r="D78" s="27">
        <v>999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</row>
    <row r="79" spans="1:10" s="3" customFormat="1" ht="11.25" customHeight="1">
      <c r="A79" s="26" t="s">
        <v>39</v>
      </c>
      <c r="B79" s="27">
        <v>2858</v>
      </c>
      <c r="C79" s="28">
        <f>D79</f>
        <v>4113</v>
      </c>
      <c r="D79" s="27">
        <v>4113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</row>
    <row r="80" spans="1:10" s="7" customFormat="1" ht="11.25" customHeight="1">
      <c r="A80" s="26" t="s">
        <v>40</v>
      </c>
      <c r="B80" s="27">
        <v>106352</v>
      </c>
      <c r="C80" s="28">
        <f>D80+H80+I80</f>
        <v>108925</v>
      </c>
      <c r="D80" s="27">
        <v>51585</v>
      </c>
      <c r="E80" s="27">
        <v>0</v>
      </c>
      <c r="F80" s="27">
        <v>0</v>
      </c>
      <c r="G80" s="27">
        <v>0</v>
      </c>
      <c r="H80" s="27">
        <v>57322</v>
      </c>
      <c r="I80" s="27">
        <v>18</v>
      </c>
      <c r="J80" s="27">
        <v>0</v>
      </c>
    </row>
    <row r="81" spans="1:10" s="7" customFormat="1" ht="11.25" customHeight="1">
      <c r="A81" s="26"/>
      <c r="B81" s="24"/>
      <c r="C81" s="24"/>
      <c r="D81" s="24"/>
      <c r="E81" s="24"/>
      <c r="F81" s="25"/>
      <c r="G81" s="25"/>
      <c r="H81" s="24"/>
      <c r="I81" s="24"/>
      <c r="J81" s="24"/>
    </row>
    <row r="82" spans="1:10" s="7" customFormat="1" ht="11.25" customHeight="1">
      <c r="A82" s="26" t="s">
        <v>41</v>
      </c>
      <c r="B82" s="27">
        <v>4895</v>
      </c>
      <c r="C82" s="18">
        <f>D82</f>
        <v>5707</v>
      </c>
      <c r="D82" s="27">
        <v>5707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</row>
    <row r="83" spans="1:10" s="7" customFormat="1" ht="11.25" customHeight="1">
      <c r="A83" s="26" t="s">
        <v>42</v>
      </c>
      <c r="B83" s="27">
        <v>80510</v>
      </c>
      <c r="C83" s="28">
        <f>SUM(D83:J83)</f>
        <v>83270</v>
      </c>
      <c r="D83" s="27">
        <v>45</v>
      </c>
      <c r="E83" s="27">
        <v>0</v>
      </c>
      <c r="F83" s="27">
        <v>0</v>
      </c>
      <c r="G83" s="27">
        <v>0</v>
      </c>
      <c r="H83" s="27">
        <f>33+83192</f>
        <v>83225</v>
      </c>
      <c r="I83" s="27">
        <v>0</v>
      </c>
      <c r="J83" s="27">
        <v>0</v>
      </c>
    </row>
    <row r="84" spans="1:10" s="3" customFormat="1" ht="11.25" customHeight="1">
      <c r="A84" s="29" t="s">
        <v>43</v>
      </c>
      <c r="B84" s="27">
        <v>13644</v>
      </c>
      <c r="C84" s="28">
        <f>D84</f>
        <v>58603</v>
      </c>
      <c r="D84" s="27">
        <v>58603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</row>
    <row r="85" spans="1:10" s="7" customFormat="1" ht="11.25" customHeight="1">
      <c r="A85" s="26" t="s">
        <v>44</v>
      </c>
      <c r="B85" s="27">
        <v>36738</v>
      </c>
      <c r="C85" s="28">
        <f>D85+H85</f>
        <v>38521</v>
      </c>
      <c r="D85" s="27">
        <v>35836</v>
      </c>
      <c r="E85" s="27">
        <v>0</v>
      </c>
      <c r="F85" s="27">
        <v>0</v>
      </c>
      <c r="G85" s="27">
        <v>0</v>
      </c>
      <c r="H85" s="27">
        <v>2685</v>
      </c>
      <c r="I85" s="27">
        <v>0</v>
      </c>
      <c r="J85" s="27">
        <v>0</v>
      </c>
    </row>
    <row r="86" spans="1:10" s="7" customFormat="1" ht="11.25" customHeight="1">
      <c r="A86" s="26"/>
      <c r="B86" s="24"/>
      <c r="C86" s="24"/>
      <c r="D86" s="24"/>
      <c r="E86" s="24"/>
      <c r="F86" s="25"/>
      <c r="G86" s="25"/>
      <c r="H86" s="24"/>
      <c r="I86" s="24"/>
      <c r="J86" s="24"/>
    </row>
    <row r="87" spans="1:10" s="7" customFormat="1" ht="11.25" customHeight="1">
      <c r="A87" s="26" t="s">
        <v>45</v>
      </c>
      <c r="B87" s="27">
        <v>60588</v>
      </c>
      <c r="C87" s="18">
        <f>D87+G87+H87</f>
        <v>74589</v>
      </c>
      <c r="D87" s="27">
        <v>62884</v>
      </c>
      <c r="E87" s="27">
        <v>0</v>
      </c>
      <c r="F87" s="27">
        <v>0</v>
      </c>
      <c r="G87" s="27">
        <v>5554</v>
      </c>
      <c r="H87" s="27">
        <v>6151</v>
      </c>
      <c r="I87" s="27">
        <v>0</v>
      </c>
      <c r="J87" s="27">
        <v>0</v>
      </c>
    </row>
    <row r="88" spans="1:10" s="7" customFormat="1" ht="11.25" customHeight="1">
      <c r="A88" s="26" t="s">
        <v>46</v>
      </c>
      <c r="B88" s="27">
        <v>64624</v>
      </c>
      <c r="C88" s="28">
        <f>D88+G88+H88+I88</f>
        <v>99256</v>
      </c>
      <c r="D88" s="27">
        <v>71256</v>
      </c>
      <c r="E88" s="27">
        <v>0</v>
      </c>
      <c r="F88" s="27">
        <v>0</v>
      </c>
      <c r="G88" s="27">
        <v>5440</v>
      </c>
      <c r="H88" s="27">
        <v>20122</v>
      </c>
      <c r="I88" s="27">
        <v>2438</v>
      </c>
      <c r="J88" s="27">
        <v>0</v>
      </c>
    </row>
    <row r="89" spans="1:10" s="3" customFormat="1" ht="11.25" customHeight="1">
      <c r="A89" s="29" t="s">
        <v>47</v>
      </c>
      <c r="B89" s="27">
        <v>160</v>
      </c>
      <c r="C89" s="28">
        <f>D89</f>
        <v>166</v>
      </c>
      <c r="D89" s="27">
        <v>166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</row>
    <row r="90" spans="1:10" s="7" customFormat="1" ht="11.25" customHeight="1">
      <c r="A90" s="26" t="s">
        <v>48</v>
      </c>
      <c r="B90" s="27">
        <v>395</v>
      </c>
      <c r="C90" s="28">
        <f>D90</f>
        <v>944</v>
      </c>
      <c r="D90" s="27">
        <v>944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</row>
    <row r="91" spans="1:10" s="7" customFormat="1" ht="11.25" customHeight="1">
      <c r="A91" s="26"/>
      <c r="B91" s="24"/>
      <c r="C91" s="24"/>
      <c r="D91" s="24"/>
      <c r="E91" s="24"/>
      <c r="F91" s="24"/>
      <c r="G91" s="24"/>
      <c r="H91" s="24"/>
      <c r="I91" s="24"/>
      <c r="J91" s="24"/>
    </row>
    <row r="92" spans="1:10" s="7" customFormat="1" ht="11.25" customHeight="1">
      <c r="A92" s="26" t="s">
        <v>49</v>
      </c>
      <c r="B92" s="27">
        <v>1767</v>
      </c>
      <c r="C92" s="18">
        <f>D92</f>
        <v>4477</v>
      </c>
      <c r="D92" s="27">
        <v>4477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</row>
    <row r="93" spans="1:10" s="7" customFormat="1" ht="11.25" customHeight="1">
      <c r="A93" s="26" t="s">
        <v>50</v>
      </c>
      <c r="B93" s="27">
        <v>4296576</v>
      </c>
      <c r="C93" s="28">
        <f>D93+E93+F93+G93+H93+I93+J93</f>
        <v>5459886</v>
      </c>
      <c r="D93" s="27">
        <v>2506258</v>
      </c>
      <c r="E93" s="27">
        <v>229487</v>
      </c>
      <c r="F93" s="27">
        <v>338738</v>
      </c>
      <c r="G93" s="27">
        <v>753147</v>
      </c>
      <c r="H93" s="27">
        <v>753928</v>
      </c>
      <c r="I93" s="27">
        <v>563933</v>
      </c>
      <c r="J93" s="27">
        <v>314395</v>
      </c>
    </row>
    <row r="94" spans="1:10" s="3" customFormat="1" ht="11.25" customHeight="1">
      <c r="A94" s="26" t="s">
        <v>51</v>
      </c>
      <c r="B94" s="27">
        <v>1265024</v>
      </c>
      <c r="C94" s="28">
        <f>D94+F94+G94+H94+I94</f>
        <v>1277289</v>
      </c>
      <c r="D94" s="27">
        <v>161043</v>
      </c>
      <c r="E94" s="27">
        <v>0</v>
      </c>
      <c r="F94" s="27">
        <v>61529</v>
      </c>
      <c r="G94" s="27">
        <v>775950</v>
      </c>
      <c r="H94" s="27">
        <v>219620</v>
      </c>
      <c r="I94" s="27">
        <v>59147</v>
      </c>
      <c r="J94" s="27">
        <v>0</v>
      </c>
    </row>
    <row r="95" spans="1:10" s="7" customFormat="1" ht="11.25" customHeight="1">
      <c r="A95" s="26" t="s">
        <v>52</v>
      </c>
      <c r="B95" s="27">
        <v>300</v>
      </c>
      <c r="C95" s="28">
        <f>D95+G95+H95</f>
        <v>1013</v>
      </c>
      <c r="D95" s="27">
        <v>60</v>
      </c>
      <c r="E95" s="27">
        <v>0</v>
      </c>
      <c r="F95" s="27">
        <v>0</v>
      </c>
      <c r="G95" s="27">
        <v>800</v>
      </c>
      <c r="H95" s="27">
        <v>153</v>
      </c>
      <c r="I95" s="27">
        <v>0</v>
      </c>
      <c r="J95" s="27">
        <v>0</v>
      </c>
    </row>
    <row r="96" spans="1:10" s="7" customFormat="1" ht="11.25" customHeight="1">
      <c r="A96" s="26"/>
      <c r="B96" s="24"/>
      <c r="C96" s="24"/>
      <c r="D96" s="24"/>
      <c r="E96" s="24"/>
      <c r="F96" s="24">
        <v>0</v>
      </c>
      <c r="G96" s="24"/>
      <c r="H96" s="24"/>
      <c r="I96" s="24"/>
      <c r="J96" s="24"/>
    </row>
    <row r="97" spans="1:10" s="7" customFormat="1" ht="11.25" customHeight="1">
      <c r="A97" s="26" t="s">
        <v>53</v>
      </c>
      <c r="B97" s="27">
        <v>13939</v>
      </c>
      <c r="C97" s="18">
        <f>SUM(D97:J97)</f>
        <v>14094</v>
      </c>
      <c r="D97" s="27">
        <f>104+11450</f>
        <v>11554</v>
      </c>
      <c r="E97" s="27">
        <v>0</v>
      </c>
      <c r="F97" s="27">
        <v>0</v>
      </c>
      <c r="G97" s="27">
        <v>0</v>
      </c>
      <c r="H97" s="27">
        <v>2540</v>
      </c>
      <c r="I97" s="27">
        <v>0</v>
      </c>
      <c r="J97" s="27">
        <v>0</v>
      </c>
    </row>
    <row r="98" spans="1:10" s="7" customFormat="1" ht="11.25" customHeight="1">
      <c r="A98" s="26" t="s">
        <v>54</v>
      </c>
      <c r="B98" s="27">
        <v>249934</v>
      </c>
      <c r="C98" s="28">
        <f>D98+J98</f>
        <v>258168</v>
      </c>
      <c r="D98" s="27">
        <v>142581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115587</v>
      </c>
    </row>
    <row r="99" spans="1:10" s="3" customFormat="1" ht="11.25" customHeight="1">
      <c r="A99" s="26" t="s">
        <v>55</v>
      </c>
      <c r="B99" s="27">
        <v>215737</v>
      </c>
      <c r="C99" s="28">
        <f>D99+E99+H99</f>
        <v>270918</v>
      </c>
      <c r="D99" s="27">
        <v>196430</v>
      </c>
      <c r="E99" s="27">
        <v>1000</v>
      </c>
      <c r="F99" s="27">
        <v>0</v>
      </c>
      <c r="G99" s="27">
        <v>0</v>
      </c>
      <c r="H99" s="27">
        <v>73488</v>
      </c>
      <c r="I99" s="27">
        <v>0</v>
      </c>
      <c r="J99" s="27">
        <v>0</v>
      </c>
    </row>
    <row r="100" spans="1:10" s="7" customFormat="1" ht="11.25" customHeight="1">
      <c r="A100" s="26" t="s">
        <v>56</v>
      </c>
      <c r="B100" s="27">
        <v>159</v>
      </c>
      <c r="C100" s="28">
        <f>D100</f>
        <v>224</v>
      </c>
      <c r="D100" s="27">
        <v>224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</row>
    <row r="101" spans="1:10" s="7" customFormat="1" ht="11.25" customHeight="1">
      <c r="A101" s="26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s="7" customFormat="1" ht="11.25" customHeight="1">
      <c r="A102" s="29" t="s">
        <v>57</v>
      </c>
      <c r="B102" s="27">
        <v>1600</v>
      </c>
      <c r="C102" s="18">
        <f>D102</f>
        <v>1776</v>
      </c>
      <c r="D102" s="27">
        <v>1776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</row>
    <row r="103" spans="1:10" s="7" customFormat="1" ht="11.25" customHeight="1">
      <c r="A103" s="29" t="s">
        <v>58</v>
      </c>
      <c r="B103" s="27">
        <v>8643</v>
      </c>
      <c r="C103" s="28">
        <f>D103+J103</f>
        <v>8661</v>
      </c>
      <c r="D103" s="27">
        <v>2842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5819</v>
      </c>
    </row>
    <row r="104" spans="1:10" s="3" customFormat="1" ht="11.25" customHeight="1">
      <c r="A104" s="29" t="s">
        <v>59</v>
      </c>
      <c r="B104" s="27">
        <v>389</v>
      </c>
      <c r="C104" s="28">
        <f>D104</f>
        <v>390</v>
      </c>
      <c r="D104" s="27">
        <v>390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</row>
    <row r="105" spans="1:10" s="7" customFormat="1" ht="11.25" customHeight="1">
      <c r="A105" s="26" t="s">
        <v>60</v>
      </c>
      <c r="B105" s="27">
        <v>115196</v>
      </c>
      <c r="C105" s="28">
        <f>SUM(D105:J105)</f>
        <v>121516</v>
      </c>
      <c r="D105" s="27">
        <f>8515+48480</f>
        <v>56995</v>
      </c>
      <c r="E105" s="27">
        <v>0</v>
      </c>
      <c r="F105" s="27">
        <v>25395</v>
      </c>
      <c r="G105" s="27">
        <v>0</v>
      </c>
      <c r="H105" s="27">
        <f>14571+24555</f>
        <v>39126</v>
      </c>
      <c r="I105" s="27">
        <v>0</v>
      </c>
      <c r="J105" s="27">
        <v>0</v>
      </c>
    </row>
    <row r="106" spans="1:10" s="3" customFormat="1" ht="11.25" customHeight="1">
      <c r="A106" s="26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s="7" customFormat="1" ht="11.25" customHeight="1">
      <c r="A107" s="26" t="s">
        <v>61</v>
      </c>
      <c r="B107" s="27">
        <v>288267</v>
      </c>
      <c r="C107" s="18">
        <f>SUM(D107:J107)</f>
        <v>323553</v>
      </c>
      <c r="D107" s="27">
        <f>63375+181321</f>
        <v>244696</v>
      </c>
      <c r="E107" s="27">
        <v>0</v>
      </c>
      <c r="F107" s="27">
        <v>0</v>
      </c>
      <c r="G107" s="27">
        <v>10530</v>
      </c>
      <c r="H107" s="27">
        <f>12390+54551</f>
        <v>66941</v>
      </c>
      <c r="I107" s="27">
        <v>1386</v>
      </c>
      <c r="J107" s="27">
        <v>0</v>
      </c>
    </row>
    <row r="108" spans="1:10" s="7" customFormat="1" ht="11.25" customHeight="1">
      <c r="A108" s="26" t="s">
        <v>62</v>
      </c>
      <c r="B108" s="27">
        <v>51994</v>
      </c>
      <c r="C108" s="28">
        <f>D108+H108+I108</f>
        <v>74661</v>
      </c>
      <c r="D108" s="27">
        <v>53663</v>
      </c>
      <c r="E108" s="27">
        <v>0</v>
      </c>
      <c r="F108" s="27">
        <v>0</v>
      </c>
      <c r="G108" s="27">
        <v>0</v>
      </c>
      <c r="H108" s="27">
        <v>18709</v>
      </c>
      <c r="I108" s="27">
        <v>2289</v>
      </c>
      <c r="J108" s="27">
        <v>0</v>
      </c>
    </row>
    <row r="109" spans="1:10" s="7" customFormat="1" ht="11.25" customHeight="1">
      <c r="A109" s="26" t="s">
        <v>63</v>
      </c>
      <c r="B109" s="27">
        <v>26830</v>
      </c>
      <c r="C109" s="28">
        <f>D109+F109+H109</f>
        <v>27680</v>
      </c>
      <c r="D109" s="27">
        <v>22436</v>
      </c>
      <c r="E109" s="27">
        <v>0</v>
      </c>
      <c r="F109" s="27">
        <v>223</v>
      </c>
      <c r="G109" s="27">
        <v>0</v>
      </c>
      <c r="H109" s="27">
        <v>5021</v>
      </c>
      <c r="I109" s="27">
        <v>0</v>
      </c>
      <c r="J109" s="27">
        <v>0</v>
      </c>
    </row>
    <row r="110" spans="1:10" s="7" customFormat="1" ht="11.25" customHeight="1">
      <c r="A110" s="26" t="s">
        <v>64</v>
      </c>
      <c r="B110" s="27">
        <v>9036</v>
      </c>
      <c r="C110" s="28">
        <f>D110+H110</f>
        <v>17667</v>
      </c>
      <c r="D110" s="27">
        <v>871</v>
      </c>
      <c r="E110" s="27">
        <v>0</v>
      </c>
      <c r="F110" s="27">
        <v>0</v>
      </c>
      <c r="G110" s="27">
        <v>0</v>
      </c>
      <c r="H110" s="27">
        <v>16796</v>
      </c>
      <c r="I110" s="27">
        <v>0</v>
      </c>
      <c r="J110" s="27">
        <v>0</v>
      </c>
    </row>
    <row r="111" spans="1:10" s="7" customFormat="1" ht="11.25" customHeight="1">
      <c r="A111" s="26"/>
      <c r="B111" s="24"/>
      <c r="C111" s="24"/>
      <c r="D111" s="24"/>
      <c r="E111" s="24"/>
      <c r="F111" s="25"/>
      <c r="G111" s="25"/>
      <c r="H111" s="24"/>
      <c r="I111" s="24"/>
      <c r="J111" s="24"/>
    </row>
    <row r="112" spans="1:10" s="3" customFormat="1" ht="11.25" customHeight="1">
      <c r="A112" s="26" t="s">
        <v>65</v>
      </c>
      <c r="B112" s="27">
        <v>4172</v>
      </c>
      <c r="C112" s="18">
        <f>SUM(D112:J112)</f>
        <v>11995</v>
      </c>
      <c r="D112" s="27">
        <v>11140</v>
      </c>
      <c r="E112" s="27">
        <v>0</v>
      </c>
      <c r="F112" s="27">
        <v>0</v>
      </c>
      <c r="G112" s="27">
        <v>0</v>
      </c>
      <c r="H112" s="27">
        <v>855</v>
      </c>
      <c r="I112" s="27">
        <v>0</v>
      </c>
      <c r="J112" s="27">
        <v>0</v>
      </c>
    </row>
    <row r="113" spans="1:10" s="7" customFormat="1" ht="11.25" customHeight="1">
      <c r="A113" s="26" t="s">
        <v>66</v>
      </c>
      <c r="B113" s="27">
        <v>1921094</v>
      </c>
      <c r="C113" s="28">
        <f>D113+E113+F113+G113+H113+I113</f>
        <v>2083059</v>
      </c>
      <c r="D113" s="27">
        <v>1330334</v>
      </c>
      <c r="E113" s="27">
        <v>234389</v>
      </c>
      <c r="F113" s="27">
        <v>88143</v>
      </c>
      <c r="G113" s="27">
        <v>278780</v>
      </c>
      <c r="H113" s="27">
        <v>45453</v>
      </c>
      <c r="I113" s="27">
        <v>105960</v>
      </c>
      <c r="J113" s="27">
        <v>0</v>
      </c>
    </row>
    <row r="114" spans="1:10" s="7" customFormat="1" ht="11.25" customHeight="1">
      <c r="A114" s="26" t="s">
        <v>67</v>
      </c>
      <c r="B114" s="27">
        <v>616117</v>
      </c>
      <c r="C114" s="28">
        <f>SUM(D114:J114)</f>
        <v>663778</v>
      </c>
      <c r="D114" s="27">
        <v>506204</v>
      </c>
      <c r="E114" s="27">
        <v>0</v>
      </c>
      <c r="F114" s="27">
        <v>0</v>
      </c>
      <c r="G114" s="27">
        <v>0</v>
      </c>
      <c r="H114" s="27">
        <v>157574</v>
      </c>
      <c r="I114" s="27">
        <v>0</v>
      </c>
      <c r="J114" s="27">
        <v>0</v>
      </c>
    </row>
    <row r="115" spans="1:10" s="7" customFormat="1" ht="11.25" customHeight="1">
      <c r="A115" s="26" t="s">
        <v>68</v>
      </c>
      <c r="B115" s="27">
        <v>57843</v>
      </c>
      <c r="C115" s="28">
        <f>D115+H115</f>
        <v>82389</v>
      </c>
      <c r="D115" s="27">
        <v>41883</v>
      </c>
      <c r="E115" s="27">
        <v>0</v>
      </c>
      <c r="F115" s="27">
        <v>0</v>
      </c>
      <c r="G115" s="27">
        <v>0</v>
      </c>
      <c r="H115" s="27">
        <v>40506</v>
      </c>
      <c r="I115" s="27">
        <v>0</v>
      </c>
      <c r="J115" s="27">
        <v>0</v>
      </c>
    </row>
    <row r="116" spans="1:10" s="7" customFormat="1" ht="11.25" customHeight="1">
      <c r="A116" s="26"/>
      <c r="B116" s="24"/>
      <c r="C116" s="24"/>
      <c r="D116" s="24"/>
      <c r="E116" s="24"/>
      <c r="F116" s="25"/>
      <c r="G116" s="25"/>
      <c r="H116" s="24"/>
      <c r="I116" s="24"/>
      <c r="J116" s="24"/>
    </row>
    <row r="117" spans="1:10" s="7" customFormat="1" ht="11.25" customHeight="1">
      <c r="A117" s="26" t="s">
        <v>69</v>
      </c>
      <c r="B117" s="27">
        <v>344410</v>
      </c>
      <c r="C117" s="18">
        <f>SUM(D117:J117)</f>
        <v>355810</v>
      </c>
      <c r="D117" s="27">
        <v>289003</v>
      </c>
      <c r="E117" s="27">
        <v>0</v>
      </c>
      <c r="F117" s="27">
        <v>0</v>
      </c>
      <c r="G117" s="27">
        <v>0</v>
      </c>
      <c r="H117" s="27">
        <f>51074+12632</f>
        <v>63706</v>
      </c>
      <c r="I117" s="27">
        <v>3101</v>
      </c>
      <c r="J117" s="27">
        <v>0</v>
      </c>
    </row>
    <row r="118" spans="1:10" s="3" customFormat="1" ht="11.25" customHeight="1">
      <c r="A118" s="26" t="s">
        <v>70</v>
      </c>
      <c r="B118" s="27">
        <v>7822903</v>
      </c>
      <c r="C118" s="28">
        <f>D118+E118+F118+G118+H118+I118</f>
        <v>8279918</v>
      </c>
      <c r="D118" s="27">
        <v>5483863</v>
      </c>
      <c r="E118" s="27">
        <v>433370</v>
      </c>
      <c r="F118" s="27">
        <v>941183</v>
      </c>
      <c r="G118" s="27">
        <v>690545</v>
      </c>
      <c r="H118" s="27">
        <v>353813</v>
      </c>
      <c r="I118" s="27">
        <v>377144</v>
      </c>
      <c r="J118" s="27">
        <v>0</v>
      </c>
    </row>
    <row r="119" spans="1:10" s="7" customFormat="1" ht="11.25" customHeight="1">
      <c r="A119" s="26" t="s">
        <v>71</v>
      </c>
      <c r="B119" s="27">
        <v>104890</v>
      </c>
      <c r="C119" s="28">
        <f>D119+E119</f>
        <v>122887</v>
      </c>
      <c r="D119" s="27">
        <v>106116</v>
      </c>
      <c r="E119" s="27">
        <v>16771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</row>
    <row r="120" spans="1:10" s="7" customFormat="1" ht="11.25" customHeight="1">
      <c r="A120" s="26" t="s">
        <v>72</v>
      </c>
      <c r="B120" s="27">
        <v>1164379</v>
      </c>
      <c r="C120" s="28">
        <f>D120+J120</f>
        <v>1166323</v>
      </c>
      <c r="D120" s="27">
        <v>112276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1054047</v>
      </c>
    </row>
    <row r="121" spans="1:10" s="7" customFormat="1" ht="11.25" customHeight="1">
      <c r="A121" s="26"/>
      <c r="B121" s="24"/>
      <c r="C121" s="24"/>
      <c r="D121" s="24"/>
      <c r="E121" s="24"/>
      <c r="F121" s="25"/>
      <c r="G121" s="25"/>
      <c r="H121" s="24"/>
      <c r="I121" s="24"/>
      <c r="J121" s="24"/>
    </row>
    <row r="122" spans="1:10" s="3" customFormat="1" ht="11.25" customHeight="1">
      <c r="A122" s="26" t="s">
        <v>73</v>
      </c>
      <c r="B122" s="27">
        <v>7245406</v>
      </c>
      <c r="C122" s="18">
        <f>D122+F122+G122+H122+I122</f>
        <v>9237233</v>
      </c>
      <c r="D122" s="27">
        <v>5939744</v>
      </c>
      <c r="E122" s="27">
        <v>0</v>
      </c>
      <c r="F122" s="27">
        <v>1144095</v>
      </c>
      <c r="G122" s="27">
        <v>1387964</v>
      </c>
      <c r="H122" s="27">
        <v>723011</v>
      </c>
      <c r="I122" s="27">
        <v>42419</v>
      </c>
      <c r="J122" s="27">
        <v>0</v>
      </c>
    </row>
    <row r="123" spans="1:10" s="7" customFormat="1" ht="11.25" customHeight="1">
      <c r="A123" s="26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s="7" customFormat="1" ht="11.25" customHeight="1">
      <c r="A124" s="20" t="s">
        <v>209</v>
      </c>
      <c r="B124" s="26"/>
      <c r="C124" s="24"/>
      <c r="D124" s="26"/>
      <c r="E124" s="26"/>
      <c r="F124" s="26"/>
      <c r="G124" s="26"/>
      <c r="H124" s="26"/>
      <c r="I124" s="26"/>
      <c r="J124" s="26"/>
    </row>
    <row r="125" spans="1:10" s="7" customFormat="1" ht="11.25" customHeight="1">
      <c r="A125" s="26"/>
      <c r="B125" s="26"/>
      <c r="C125" s="24"/>
      <c r="D125" s="26"/>
      <c r="E125" s="26"/>
      <c r="F125" s="26"/>
      <c r="G125" s="26"/>
      <c r="H125" s="26"/>
      <c r="I125" s="26"/>
      <c r="J125" s="26"/>
    </row>
    <row r="126" spans="1:10" s="7" customFormat="1" ht="11.25" customHeight="1">
      <c r="A126" s="20" t="s">
        <v>205</v>
      </c>
      <c r="B126" s="26"/>
      <c r="C126" s="24"/>
      <c r="D126" s="26"/>
      <c r="E126" s="26"/>
      <c r="F126" s="26"/>
      <c r="G126" s="26"/>
      <c r="H126" s="26"/>
      <c r="I126" s="26"/>
      <c r="J126" s="26"/>
    </row>
    <row r="127" spans="1:10" s="7" customFormat="1" ht="11.25" customHeight="1">
      <c r="A127" s="26" t="s">
        <v>89</v>
      </c>
      <c r="B127" s="27">
        <v>4864</v>
      </c>
      <c r="C127" s="18">
        <f>D127</f>
        <v>9191</v>
      </c>
      <c r="D127" s="27">
        <v>9191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</row>
    <row r="128" spans="1:10" s="3" customFormat="1" ht="11.25" customHeight="1">
      <c r="A128" s="26" t="s">
        <v>90</v>
      </c>
      <c r="B128" s="27">
        <v>3367</v>
      </c>
      <c r="C128" s="28">
        <f>D128</f>
        <v>5739</v>
      </c>
      <c r="D128" s="27">
        <v>5739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</row>
    <row r="129" spans="1:10" s="7" customFormat="1" ht="11.25" customHeight="1">
      <c r="A129" s="26" t="s">
        <v>91</v>
      </c>
      <c r="B129" s="27">
        <v>6840</v>
      </c>
      <c r="C129" s="28">
        <f>D129+J129</f>
        <v>6986</v>
      </c>
      <c r="D129" s="27">
        <v>1444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5542</v>
      </c>
    </row>
    <row r="130" spans="1:10" s="7" customFormat="1" ht="11.25" customHeight="1">
      <c r="A130" s="29" t="s">
        <v>92</v>
      </c>
      <c r="B130" s="27">
        <v>162</v>
      </c>
      <c r="C130" s="28">
        <f>D130</f>
        <v>703</v>
      </c>
      <c r="D130" s="27">
        <v>703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</row>
    <row r="131" spans="1:10" s="7" customFormat="1" ht="11.25" customHeight="1">
      <c r="A131" s="26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s="7" customFormat="1" ht="11.25" customHeight="1">
      <c r="A132" s="26" t="s">
        <v>93</v>
      </c>
      <c r="B132" s="27">
        <v>394769</v>
      </c>
      <c r="C132" s="18">
        <f>D132+J132</f>
        <v>401584</v>
      </c>
      <c r="D132" s="27">
        <v>227358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174226</v>
      </c>
    </row>
    <row r="133" spans="1:10" s="7" customFormat="1" ht="11.25" customHeight="1">
      <c r="A133" s="26" t="s">
        <v>94</v>
      </c>
      <c r="B133" s="27">
        <v>148346</v>
      </c>
      <c r="C133" s="28">
        <f>D133+J133</f>
        <v>152861</v>
      </c>
      <c r="D133" s="27">
        <v>73528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79333</v>
      </c>
    </row>
    <row r="134" spans="1:10" s="7" customFormat="1" ht="11.25" customHeight="1">
      <c r="A134" s="26"/>
      <c r="B134" s="26"/>
      <c r="C134" s="24"/>
      <c r="D134" s="26"/>
      <c r="E134" s="26"/>
      <c r="F134" s="26"/>
      <c r="G134" s="26"/>
      <c r="H134" s="26"/>
      <c r="I134" s="26"/>
      <c r="J134" s="26"/>
    </row>
    <row r="135" spans="1:10" s="7" customFormat="1" ht="11.25" customHeight="1">
      <c r="A135" s="20" t="s">
        <v>210</v>
      </c>
      <c r="B135" s="26"/>
      <c r="C135" s="24"/>
      <c r="D135" s="26"/>
      <c r="E135" s="26"/>
      <c r="F135" s="26"/>
      <c r="G135" s="26"/>
      <c r="H135" s="26"/>
      <c r="I135" s="26"/>
      <c r="J135" s="26"/>
    </row>
    <row r="136" spans="1:10" s="7" customFormat="1" ht="11.25" customHeight="1">
      <c r="A136" s="26" t="s">
        <v>74</v>
      </c>
      <c r="B136" s="27">
        <v>66307</v>
      </c>
      <c r="C136" s="18">
        <f>D136+J136</f>
        <v>70964</v>
      </c>
      <c r="D136" s="27">
        <v>27533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43431</v>
      </c>
    </row>
    <row r="137" spans="1:10" s="3" customFormat="1" ht="11.25" customHeight="1">
      <c r="A137" s="26" t="s">
        <v>75</v>
      </c>
      <c r="B137" s="27">
        <v>79043</v>
      </c>
      <c r="C137" s="28">
        <f>D137</f>
        <v>90410</v>
      </c>
      <c r="D137" s="27">
        <v>90410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</row>
    <row r="138" spans="1:10" s="7" customFormat="1" ht="11.25" customHeight="1">
      <c r="A138" s="26" t="s">
        <v>76</v>
      </c>
      <c r="B138" s="27">
        <v>1534</v>
      </c>
      <c r="C138" s="28">
        <f>D138</f>
        <v>1790</v>
      </c>
      <c r="D138" s="27">
        <v>1790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</row>
    <row r="139" spans="1:10" s="7" customFormat="1" ht="11.25" customHeight="1">
      <c r="A139" s="26" t="s">
        <v>77</v>
      </c>
      <c r="B139" s="27">
        <v>1214</v>
      </c>
      <c r="C139" s="28">
        <f>SUM(D139:J139)</f>
        <v>2234</v>
      </c>
      <c r="D139" s="27">
        <f>21+2213</f>
        <v>2234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</row>
    <row r="140" spans="1:10" s="7" customFormat="1" ht="11.25" customHeight="1">
      <c r="A140" s="26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s="7" customFormat="1" ht="11.25" customHeight="1">
      <c r="A141" s="20" t="s">
        <v>211</v>
      </c>
      <c r="B141" s="26"/>
      <c r="C141" s="24"/>
      <c r="D141" s="26"/>
      <c r="E141" s="26"/>
      <c r="F141" s="26"/>
      <c r="G141" s="26"/>
      <c r="H141" s="26"/>
      <c r="I141" s="26"/>
      <c r="J141" s="26"/>
    </row>
    <row r="142" spans="1:10" s="3" customFormat="1" ht="11.25" customHeight="1">
      <c r="A142" s="26" t="s">
        <v>78</v>
      </c>
      <c r="B142" s="27">
        <v>473</v>
      </c>
      <c r="C142" s="18">
        <f>D142</f>
        <v>900</v>
      </c>
      <c r="D142" s="27">
        <v>900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</row>
    <row r="143" spans="1:10" s="7" customFormat="1" ht="11.25" customHeight="1">
      <c r="A143" s="26" t="s">
        <v>79</v>
      </c>
      <c r="B143" s="27">
        <v>100</v>
      </c>
      <c r="C143" s="27">
        <f>D143+I143</f>
        <v>695</v>
      </c>
      <c r="D143" s="27">
        <v>695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</row>
    <row r="144" spans="1:10" s="3" customFormat="1" ht="11.25" customHeight="1">
      <c r="A144" s="33" t="s">
        <v>80</v>
      </c>
      <c r="B144" s="27">
        <v>23516</v>
      </c>
      <c r="C144" s="28">
        <f>D144</f>
        <v>26066</v>
      </c>
      <c r="D144" s="27">
        <v>26066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</row>
    <row r="145" spans="1:10" s="7" customFormat="1" ht="11.25" customHeight="1">
      <c r="A145" s="33" t="s">
        <v>81</v>
      </c>
      <c r="B145" s="27">
        <v>6421</v>
      </c>
      <c r="C145" s="28">
        <f>D145+J145</f>
        <v>6422</v>
      </c>
      <c r="D145" s="27">
        <v>2394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4028</v>
      </c>
    </row>
    <row r="146" spans="1:10" s="7" customFormat="1" ht="11.25" customHeight="1">
      <c r="A146" s="26"/>
      <c r="B146" s="24"/>
      <c r="C146" s="24"/>
      <c r="D146" s="24"/>
      <c r="E146" s="24"/>
      <c r="F146" s="25"/>
      <c r="G146" s="25"/>
      <c r="H146" s="24"/>
      <c r="I146" s="24"/>
      <c r="J146" s="24"/>
    </row>
    <row r="147" spans="1:10" s="7" customFormat="1" ht="11.25" customHeight="1">
      <c r="A147" s="26" t="s">
        <v>82</v>
      </c>
      <c r="B147" s="27">
        <v>119832</v>
      </c>
      <c r="C147" s="18">
        <f>D147+J147</f>
        <v>159675</v>
      </c>
      <c r="D147" s="27">
        <v>121227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38448</v>
      </c>
    </row>
    <row r="148" spans="1:10" s="7" customFormat="1" ht="11.25" customHeight="1">
      <c r="A148" s="26" t="s">
        <v>83</v>
      </c>
      <c r="B148" s="27">
        <v>1273</v>
      </c>
      <c r="C148" s="28">
        <f>D148</f>
        <v>1458</v>
      </c>
      <c r="D148" s="27">
        <v>1458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</row>
    <row r="149" spans="1:10" s="3" customFormat="1" ht="11.25" customHeight="1">
      <c r="A149" s="26" t="s">
        <v>84</v>
      </c>
      <c r="B149" s="27">
        <v>106</v>
      </c>
      <c r="C149" s="28">
        <f>SUM(D149:J149)</f>
        <v>722</v>
      </c>
      <c r="D149" s="27">
        <v>722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</row>
    <row r="150" spans="1:10" s="7" customFormat="1" ht="11.25" customHeight="1">
      <c r="A150" s="29" t="s">
        <v>85</v>
      </c>
      <c r="B150" s="27">
        <v>100</v>
      </c>
      <c r="C150" s="28">
        <f>D150</f>
        <v>161</v>
      </c>
      <c r="D150" s="27">
        <v>161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</row>
    <row r="151" spans="1:10" s="7" customFormat="1" ht="11.25" customHeight="1">
      <c r="A151" s="26"/>
      <c r="B151" s="24"/>
      <c r="C151" s="24"/>
      <c r="D151" s="24"/>
      <c r="E151" s="24"/>
      <c r="F151" s="25"/>
      <c r="G151" s="25"/>
      <c r="H151" s="24"/>
      <c r="I151" s="24"/>
      <c r="J151" s="24"/>
    </row>
    <row r="152" spans="1:10" s="3" customFormat="1" ht="11.25" customHeight="1">
      <c r="A152" s="26" t="s">
        <v>86</v>
      </c>
      <c r="B152" s="27">
        <v>0</v>
      </c>
      <c r="C152" s="28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</row>
    <row r="153" spans="1:10" s="7" customFormat="1" ht="11.25" customHeight="1">
      <c r="A153" s="29" t="s">
        <v>87</v>
      </c>
      <c r="B153" s="27">
        <v>76655</v>
      </c>
      <c r="C153" s="28">
        <f>D153+J153</f>
        <v>86402</v>
      </c>
      <c r="D153" s="27">
        <v>21142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65260</v>
      </c>
    </row>
    <row r="154" spans="1:10" s="7" customFormat="1" ht="11.25" customHeight="1">
      <c r="A154" s="29"/>
      <c r="B154" s="24"/>
      <c r="C154" s="34" t="s">
        <v>0</v>
      </c>
      <c r="D154" s="24"/>
      <c r="E154" s="24"/>
      <c r="F154" s="24"/>
      <c r="G154" s="24"/>
      <c r="H154" s="24"/>
      <c r="I154" s="24"/>
      <c r="J154" s="24"/>
    </row>
    <row r="155" spans="1:10" s="3" customFormat="1" ht="11.25" customHeight="1">
      <c r="A155" s="20" t="s">
        <v>212</v>
      </c>
      <c r="B155" s="26"/>
      <c r="C155" s="24"/>
      <c r="D155" s="26"/>
      <c r="E155" s="26"/>
      <c r="F155" s="26"/>
      <c r="G155" s="26"/>
      <c r="H155" s="26"/>
      <c r="I155" s="26"/>
      <c r="J155" s="26"/>
    </row>
    <row r="156" spans="1:10" s="7" customFormat="1" ht="11.25" customHeight="1">
      <c r="A156" s="26" t="s">
        <v>88</v>
      </c>
      <c r="B156" s="27">
        <v>3668</v>
      </c>
      <c r="C156" s="18">
        <f>D156+J156</f>
        <v>4240</v>
      </c>
      <c r="D156" s="27">
        <v>1066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3174</v>
      </c>
    </row>
    <row r="157" spans="1:10" s="7" customFormat="1" ht="11.25" customHeight="1">
      <c r="A157" s="26"/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0" s="3" customFormat="1" ht="11.25" customHeight="1">
      <c r="A158" s="20" t="s">
        <v>218</v>
      </c>
      <c r="B158" s="26"/>
      <c r="C158" s="24"/>
      <c r="D158" s="26"/>
      <c r="E158" s="26"/>
      <c r="F158" s="26"/>
      <c r="G158" s="26"/>
      <c r="H158" s="26"/>
      <c r="I158" s="26"/>
      <c r="J158" s="26"/>
    </row>
    <row r="159" spans="1:10" s="7" customFormat="1" ht="11.25" customHeight="1">
      <c r="A159" s="26" t="s">
        <v>106</v>
      </c>
      <c r="B159" s="27">
        <v>249</v>
      </c>
      <c r="C159" s="28">
        <f>D159</f>
        <v>500</v>
      </c>
      <c r="D159" s="27">
        <v>500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</row>
    <row r="160" spans="1:10" s="7" customFormat="1" ht="11.25" customHeight="1">
      <c r="A160" s="26" t="s">
        <v>107</v>
      </c>
      <c r="B160" s="27">
        <v>12863</v>
      </c>
      <c r="C160" s="28">
        <f>D160+J160</f>
        <v>18655</v>
      </c>
      <c r="D160" s="27">
        <v>14652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4003</v>
      </c>
    </row>
    <row r="161" spans="1:10" s="7" customFormat="1" ht="11.2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1:10" s="7" customFormat="1" ht="11.25" customHeight="1">
      <c r="A162" s="20" t="s">
        <v>213</v>
      </c>
      <c r="B162" s="26"/>
      <c r="C162" s="26"/>
      <c r="D162" s="26"/>
      <c r="E162" s="26"/>
      <c r="F162" s="26"/>
      <c r="G162" s="26"/>
      <c r="H162" s="26"/>
      <c r="I162" s="26"/>
      <c r="J162" s="26"/>
    </row>
    <row r="163" spans="1:10" s="7" customFormat="1" ht="11.25" customHeight="1">
      <c r="A163" s="26" t="s">
        <v>95</v>
      </c>
      <c r="B163" s="27">
        <v>100316</v>
      </c>
      <c r="C163" s="18">
        <f>D163+G163+J163</f>
        <v>102119</v>
      </c>
      <c r="D163" s="27">
        <v>38242</v>
      </c>
      <c r="E163" s="27">
        <v>0</v>
      </c>
      <c r="F163" s="27">
        <v>0</v>
      </c>
      <c r="G163" s="27">
        <v>5016</v>
      </c>
      <c r="H163" s="27">
        <v>0</v>
      </c>
      <c r="I163" s="27">
        <v>0</v>
      </c>
      <c r="J163" s="27">
        <v>58861</v>
      </c>
    </row>
    <row r="164" spans="1:10" s="7" customFormat="1" ht="11.25" customHeight="1">
      <c r="A164" s="26" t="s">
        <v>96</v>
      </c>
      <c r="B164" s="27">
        <v>1465</v>
      </c>
      <c r="C164" s="28">
        <f>D164</f>
        <v>1570</v>
      </c>
      <c r="D164" s="27">
        <v>1570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</row>
    <row r="165" spans="1:10" s="7" customFormat="1" ht="11.25" customHeight="1">
      <c r="A165" s="26" t="s">
        <v>97</v>
      </c>
      <c r="B165" s="27">
        <v>22733</v>
      </c>
      <c r="C165" s="28">
        <f>D165+H165</f>
        <v>22852</v>
      </c>
      <c r="D165" s="27">
        <v>22371</v>
      </c>
      <c r="E165" s="27">
        <v>0</v>
      </c>
      <c r="F165" s="27">
        <v>0</v>
      </c>
      <c r="G165" s="27">
        <v>0</v>
      </c>
      <c r="H165" s="27">
        <v>481</v>
      </c>
      <c r="I165" s="27">
        <v>0</v>
      </c>
      <c r="J165" s="27">
        <v>0</v>
      </c>
    </row>
    <row r="166" spans="1:10" s="7" customFormat="1" ht="11.25" customHeight="1">
      <c r="A166" s="26" t="s">
        <v>98</v>
      </c>
      <c r="B166" s="27">
        <v>29909</v>
      </c>
      <c r="C166" s="28">
        <f>D166+J166</f>
        <v>31272</v>
      </c>
      <c r="D166" s="27">
        <v>17872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13400</v>
      </c>
    </row>
    <row r="167" spans="1:10" s="7" customFormat="1" ht="11.25" customHeight="1">
      <c r="A167" s="26"/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s="7" customFormat="1" ht="11.25" customHeight="1">
      <c r="A168" s="26" t="s">
        <v>99</v>
      </c>
      <c r="B168" s="27">
        <v>15170</v>
      </c>
      <c r="C168" s="18">
        <f>D168+G168+H168</f>
        <v>15953</v>
      </c>
      <c r="D168" s="27">
        <v>13235</v>
      </c>
      <c r="E168" s="27">
        <v>0</v>
      </c>
      <c r="F168" s="27">
        <v>0</v>
      </c>
      <c r="G168" s="27">
        <v>1562</v>
      </c>
      <c r="H168" s="27">
        <v>1156</v>
      </c>
      <c r="I168" s="27">
        <v>0</v>
      </c>
      <c r="J168" s="27">
        <v>0</v>
      </c>
    </row>
    <row r="169" spans="1:10" s="7" customFormat="1" ht="11.25" customHeight="1">
      <c r="A169" s="26" t="s">
        <v>160</v>
      </c>
      <c r="B169" s="27">
        <v>100</v>
      </c>
      <c r="C169" s="18">
        <f>D169</f>
        <v>101</v>
      </c>
      <c r="D169" s="27">
        <v>101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</row>
    <row r="170" spans="1:10" s="3" customFormat="1" ht="11.25" customHeight="1">
      <c r="A170" s="26"/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s="7" customFormat="1" ht="11.25" customHeight="1">
      <c r="A171" s="20" t="s">
        <v>214</v>
      </c>
      <c r="B171" s="26"/>
      <c r="C171" s="24"/>
      <c r="D171" s="26"/>
      <c r="E171" s="26"/>
      <c r="F171" s="26"/>
      <c r="G171" s="26"/>
      <c r="H171" s="26"/>
      <c r="I171" s="26"/>
      <c r="J171" s="26"/>
    </row>
    <row r="172" spans="1:10" s="7" customFormat="1" ht="11.25" customHeight="1">
      <c r="A172" s="26" t="s">
        <v>161</v>
      </c>
      <c r="B172" s="26">
        <v>100</v>
      </c>
      <c r="C172" s="24">
        <f>D172</f>
        <v>100</v>
      </c>
      <c r="D172" s="26">
        <v>100</v>
      </c>
      <c r="E172" s="26"/>
      <c r="F172" s="26"/>
      <c r="G172" s="26"/>
      <c r="H172" s="26"/>
      <c r="I172" s="26"/>
      <c r="J172" s="26"/>
    </row>
    <row r="173" spans="1:10" s="7" customFormat="1" ht="11.25" customHeight="1">
      <c r="A173" s="26" t="s">
        <v>100</v>
      </c>
      <c r="B173" s="27">
        <v>5293</v>
      </c>
      <c r="C173" s="28">
        <f>D173</f>
        <v>5672</v>
      </c>
      <c r="D173" s="27">
        <v>5672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</row>
    <row r="174" spans="1:10" s="7" customFormat="1" ht="11.25" customHeight="1">
      <c r="A174" s="26" t="s">
        <v>101</v>
      </c>
      <c r="B174" s="27">
        <v>54551</v>
      </c>
      <c r="C174" s="28">
        <f>D174+J174</f>
        <v>54985</v>
      </c>
      <c r="D174" s="27">
        <v>11744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43241</v>
      </c>
    </row>
    <row r="175" spans="1:10" s="7" customFormat="1" ht="11.25" customHeight="1">
      <c r="A175" s="26"/>
      <c r="B175" s="24"/>
      <c r="C175" s="24"/>
      <c r="D175" s="24"/>
      <c r="E175" s="24"/>
      <c r="F175" s="24"/>
      <c r="G175" s="24"/>
      <c r="H175" s="24"/>
      <c r="I175" s="24"/>
      <c r="J175" s="24"/>
    </row>
    <row r="176" spans="1:10" s="3" customFormat="1" ht="11.25" customHeight="1">
      <c r="A176" s="20" t="s">
        <v>215</v>
      </c>
      <c r="B176" s="26"/>
      <c r="C176" s="24"/>
      <c r="D176" s="26"/>
      <c r="E176" s="26"/>
      <c r="F176" s="26"/>
      <c r="G176" s="26"/>
      <c r="H176" s="26"/>
      <c r="I176" s="26"/>
      <c r="J176" s="26"/>
    </row>
    <row r="177" spans="1:10" s="7" customFormat="1" ht="11.25" customHeight="1">
      <c r="A177" s="26" t="s">
        <v>102</v>
      </c>
      <c r="B177" s="27">
        <v>233</v>
      </c>
      <c r="C177" s="18">
        <f>D177+H177</f>
        <v>952</v>
      </c>
      <c r="D177" s="27">
        <v>679</v>
      </c>
      <c r="E177" s="27">
        <v>0</v>
      </c>
      <c r="F177" s="27">
        <v>0</v>
      </c>
      <c r="G177" s="27">
        <v>0</v>
      </c>
      <c r="H177" s="27">
        <v>273</v>
      </c>
      <c r="I177" s="27">
        <v>0</v>
      </c>
      <c r="J177" s="27">
        <v>0</v>
      </c>
    </row>
    <row r="178" spans="1:10" s="7" customFormat="1" ht="11.25" customHeight="1">
      <c r="A178" s="26"/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0" s="7" customFormat="1" ht="11.25" customHeight="1">
      <c r="A179" s="20" t="s">
        <v>216</v>
      </c>
      <c r="B179" s="26"/>
      <c r="C179" s="24"/>
      <c r="D179" s="26"/>
      <c r="E179" s="26"/>
      <c r="F179" s="26"/>
      <c r="G179" s="26"/>
      <c r="H179" s="26"/>
      <c r="I179" s="26"/>
      <c r="J179" s="26"/>
    </row>
    <row r="180" spans="1:10" s="7" customFormat="1" ht="11.25" customHeight="1">
      <c r="A180" s="26" t="s">
        <v>103</v>
      </c>
      <c r="B180" s="27">
        <v>26033</v>
      </c>
      <c r="C180" s="18">
        <f>D180+J180</f>
        <v>26089</v>
      </c>
      <c r="D180" s="27">
        <v>12820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13269</v>
      </c>
    </row>
    <row r="181" spans="1:10" s="3" customFormat="1" ht="11.25" customHeight="1">
      <c r="A181" s="35"/>
      <c r="B181" s="4"/>
      <c r="C181" s="4"/>
      <c r="D181" s="4"/>
      <c r="E181" s="4"/>
      <c r="F181" s="4"/>
      <c r="G181" s="4"/>
      <c r="H181" s="4"/>
      <c r="I181" s="4"/>
      <c r="J181" s="4"/>
    </row>
    <row r="182" spans="1:10" s="7" customFormat="1" ht="11.25" customHeight="1">
      <c r="A182" s="20" t="s">
        <v>217</v>
      </c>
      <c r="B182" s="26"/>
      <c r="C182" s="24"/>
      <c r="D182" s="26"/>
      <c r="E182" s="26"/>
      <c r="F182" s="26"/>
      <c r="G182" s="26"/>
      <c r="H182" s="26"/>
      <c r="I182" s="26"/>
      <c r="J182" s="26"/>
    </row>
    <row r="183" spans="1:10" s="7" customFormat="1" ht="11.25" customHeight="1">
      <c r="A183" s="26" t="s">
        <v>104</v>
      </c>
      <c r="B183" s="27">
        <v>1586</v>
      </c>
      <c r="C183" s="28">
        <f>D183+J183</f>
        <v>4573</v>
      </c>
      <c r="D183" s="27">
        <v>4541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32</v>
      </c>
    </row>
    <row r="184" spans="1:10" s="7" customFormat="1" ht="11.25" customHeight="1">
      <c r="A184" s="33" t="s">
        <v>105</v>
      </c>
      <c r="B184" s="27">
        <v>1070</v>
      </c>
      <c r="C184" s="28">
        <f>D184</f>
        <v>1927</v>
      </c>
      <c r="D184" s="27">
        <v>1927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</row>
    <row r="185" spans="1:10" s="7" customFormat="1" ht="11.25" customHeight="1">
      <c r="A185" s="26"/>
      <c r="B185" s="24"/>
      <c r="C185" s="24"/>
      <c r="D185" s="24"/>
      <c r="E185" s="24"/>
      <c r="F185" s="24"/>
      <c r="G185" s="24"/>
      <c r="H185" s="24"/>
      <c r="I185" s="24"/>
      <c r="J185" s="24"/>
    </row>
    <row r="186" spans="1:10" s="7" customFormat="1" ht="11.25" customHeight="1">
      <c r="A186" s="20" t="s">
        <v>219</v>
      </c>
      <c r="B186" s="26"/>
      <c r="C186" s="24"/>
      <c r="D186" s="26"/>
      <c r="E186" s="26"/>
      <c r="F186" s="26"/>
      <c r="G186" s="26"/>
      <c r="H186" s="26"/>
      <c r="I186" s="26"/>
      <c r="J186" s="26"/>
    </row>
    <row r="187" spans="1:10" s="3" customFormat="1" ht="11.25" customHeight="1">
      <c r="A187" s="26"/>
      <c r="B187" s="24"/>
      <c r="C187" s="24"/>
      <c r="D187" s="24"/>
      <c r="E187" s="24"/>
      <c r="F187" s="24"/>
      <c r="G187" s="24"/>
      <c r="H187" s="24"/>
      <c r="I187" s="24"/>
      <c r="J187" s="24"/>
    </row>
    <row r="188" spans="1:10" s="7" customFormat="1" ht="11.25" customHeight="1">
      <c r="A188" s="20" t="s">
        <v>220</v>
      </c>
      <c r="B188" s="26"/>
      <c r="C188" s="24"/>
      <c r="D188" s="26"/>
      <c r="E188" s="26"/>
      <c r="F188" s="26"/>
      <c r="G188" s="26"/>
      <c r="H188" s="26"/>
      <c r="I188" s="26"/>
      <c r="J188" s="26"/>
    </row>
    <row r="189" spans="1:10" s="7" customFormat="1" ht="11.25" customHeight="1">
      <c r="A189" s="26" t="s">
        <v>111</v>
      </c>
      <c r="B189" s="27">
        <v>307</v>
      </c>
      <c r="C189" s="18">
        <f>SUM(D189:J189)</f>
        <v>781</v>
      </c>
      <c r="D189" s="27">
        <v>781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</row>
    <row r="190" spans="1:10" s="7" customFormat="1" ht="11.25" customHeight="1">
      <c r="A190" s="35"/>
      <c r="B190" s="4"/>
      <c r="C190" s="4"/>
      <c r="D190" s="4"/>
      <c r="E190" s="4"/>
      <c r="F190" s="4"/>
      <c r="G190" s="4"/>
      <c r="H190" s="4"/>
      <c r="I190" s="4"/>
      <c r="J190" s="4"/>
    </row>
    <row r="191" spans="1:10" s="7" customFormat="1" ht="11.25" customHeight="1">
      <c r="A191" s="20" t="s">
        <v>108</v>
      </c>
      <c r="B191" s="26"/>
      <c r="C191" s="24"/>
      <c r="D191" s="26"/>
      <c r="E191" s="26"/>
      <c r="F191" s="26"/>
      <c r="G191" s="26"/>
      <c r="H191" s="26"/>
      <c r="I191" s="26"/>
      <c r="J191" s="26"/>
    </row>
    <row r="192" spans="1:10" s="3" customFormat="1" ht="11.25" customHeight="1">
      <c r="A192" s="26" t="s">
        <v>109</v>
      </c>
      <c r="B192" s="27">
        <v>47736</v>
      </c>
      <c r="C192" s="28">
        <f>D192+H192</f>
        <v>347418</v>
      </c>
      <c r="D192" s="27">
        <v>320495</v>
      </c>
      <c r="E192" s="27">
        <v>0</v>
      </c>
      <c r="F192" s="27">
        <v>0</v>
      </c>
      <c r="G192" s="27">
        <v>0</v>
      </c>
      <c r="H192" s="27">
        <v>26923</v>
      </c>
      <c r="I192" s="27">
        <v>0</v>
      </c>
      <c r="J192" s="27">
        <v>0</v>
      </c>
    </row>
    <row r="193" spans="1:10" s="7" customFormat="1" ht="11.25" customHeight="1">
      <c r="A193" s="26" t="s">
        <v>110</v>
      </c>
      <c r="B193" s="27">
        <v>3689</v>
      </c>
      <c r="C193" s="28">
        <f>D193</f>
        <v>4654</v>
      </c>
      <c r="D193" s="27">
        <v>4654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</row>
    <row r="194" spans="1:10" s="7" customFormat="1" ht="11.25" customHeight="1">
      <c r="A194" s="35"/>
      <c r="B194" s="4"/>
      <c r="C194" s="4"/>
      <c r="D194" s="4"/>
      <c r="E194" s="4"/>
      <c r="F194" s="4"/>
      <c r="G194" s="4"/>
      <c r="H194" s="4"/>
      <c r="I194" s="4"/>
      <c r="J194" s="4"/>
    </row>
    <row r="195" spans="1:10" s="7" customFormat="1" ht="11.25" customHeight="1">
      <c r="A195" s="36" t="s">
        <v>222</v>
      </c>
      <c r="B195" s="26"/>
      <c r="C195" s="26"/>
      <c r="D195" s="26"/>
      <c r="E195" s="26"/>
      <c r="F195" s="26"/>
      <c r="G195" s="26"/>
      <c r="H195" s="26"/>
      <c r="I195" s="26"/>
      <c r="J195" s="26"/>
    </row>
    <row r="196" spans="1:10" s="7" customFormat="1" ht="11.25" customHeight="1">
      <c r="A196" s="26" t="s">
        <v>162</v>
      </c>
      <c r="B196" s="26">
        <v>170</v>
      </c>
      <c r="C196" s="26">
        <f>SUM(D196:J196)</f>
        <v>1600</v>
      </c>
      <c r="D196" s="37">
        <v>1600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</row>
    <row r="197" spans="1:10" s="3" customFormat="1" ht="11.25" customHeight="1">
      <c r="A197" s="26"/>
      <c r="B197" s="24"/>
      <c r="C197" s="24"/>
      <c r="D197" s="24"/>
      <c r="E197" s="24"/>
      <c r="F197" s="24"/>
      <c r="G197" s="24"/>
      <c r="H197" s="24"/>
      <c r="I197" s="24"/>
      <c r="J197" s="24"/>
    </row>
    <row r="198" spans="1:10" s="7" customFormat="1" ht="11.25" customHeight="1">
      <c r="A198" s="20" t="s">
        <v>221</v>
      </c>
      <c r="B198" s="26"/>
      <c r="C198" s="24"/>
      <c r="D198" s="26"/>
      <c r="E198" s="26"/>
      <c r="F198" s="26"/>
      <c r="G198" s="26"/>
      <c r="H198" s="26"/>
      <c r="I198" s="26"/>
      <c r="J198" s="26"/>
    </row>
    <row r="199" spans="1:10" s="7" customFormat="1" ht="11.25" customHeight="1">
      <c r="A199" s="38"/>
      <c r="B199" s="5"/>
      <c r="C199" s="5"/>
      <c r="D199" s="5"/>
      <c r="E199" s="5"/>
      <c r="F199" s="5"/>
      <c r="G199" s="5"/>
      <c r="H199" s="5"/>
      <c r="I199" s="5"/>
      <c r="J199" s="5"/>
    </row>
    <row r="200" spans="1:10" s="7" customFormat="1" ht="11.25" customHeight="1">
      <c r="A200" s="26" t="s">
        <v>112</v>
      </c>
      <c r="B200" s="27">
        <v>6039</v>
      </c>
      <c r="C200" s="18">
        <f>SUM(D200:J200)</f>
        <v>9596</v>
      </c>
      <c r="D200" s="27">
        <f>2108+3495</f>
        <v>5603</v>
      </c>
      <c r="E200" s="27">
        <v>0</v>
      </c>
      <c r="F200" s="27">
        <v>0</v>
      </c>
      <c r="G200" s="27">
        <v>0</v>
      </c>
      <c r="H200" s="27">
        <v>3993</v>
      </c>
      <c r="I200" s="27">
        <v>0</v>
      </c>
      <c r="J200" s="27">
        <v>0</v>
      </c>
    </row>
    <row r="201" spans="1:10" s="7" customFormat="1" ht="11.25" customHeight="1">
      <c r="A201" s="26" t="s">
        <v>113</v>
      </c>
      <c r="B201" s="27">
        <v>3031</v>
      </c>
      <c r="C201" s="28">
        <f>SUM(D201:J201)</f>
        <v>3700</v>
      </c>
      <c r="D201" s="27">
        <v>3700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</row>
    <row r="202" spans="1:10" s="3" customFormat="1" ht="11.25" customHeight="1">
      <c r="A202" s="26" t="s">
        <v>114</v>
      </c>
      <c r="B202" s="27">
        <v>77587</v>
      </c>
      <c r="C202" s="28">
        <f>SUM(D202:J202)</f>
        <v>88083</v>
      </c>
      <c r="D202" s="27">
        <f>1469+67873</f>
        <v>69342</v>
      </c>
      <c r="E202" s="27">
        <v>0</v>
      </c>
      <c r="F202" s="27">
        <v>0</v>
      </c>
      <c r="G202" s="27">
        <v>0</v>
      </c>
      <c r="H202" s="27">
        <f>2220+15016</f>
        <v>17236</v>
      </c>
      <c r="I202" s="27">
        <v>1505</v>
      </c>
      <c r="J202" s="27">
        <v>0</v>
      </c>
    </row>
    <row r="203" spans="1:10" s="7" customFormat="1" ht="11.25" customHeight="1">
      <c r="A203" s="26" t="s">
        <v>115</v>
      </c>
      <c r="B203" s="27">
        <v>113750</v>
      </c>
      <c r="C203" s="28">
        <f>SUM(D203:J203)</f>
        <v>156901</v>
      </c>
      <c r="D203" s="27">
        <f>11714+87587</f>
        <v>99301</v>
      </c>
      <c r="E203" s="27">
        <v>0</v>
      </c>
      <c r="F203" s="27">
        <v>0</v>
      </c>
      <c r="G203" s="27">
        <v>0</v>
      </c>
      <c r="H203" s="27">
        <f>48749+8851</f>
        <v>57600</v>
      </c>
      <c r="I203" s="27">
        <v>0</v>
      </c>
      <c r="J203" s="27">
        <v>0</v>
      </c>
    </row>
    <row r="204" spans="1:10" s="7" customFormat="1" ht="11.25" customHeight="1">
      <c r="A204" s="26"/>
      <c r="B204" s="24"/>
      <c r="C204" s="24"/>
      <c r="D204" s="24"/>
      <c r="E204" s="25"/>
      <c r="F204" s="25"/>
      <c r="G204" s="25"/>
      <c r="H204" s="25"/>
      <c r="I204" s="25"/>
      <c r="J204" s="25"/>
    </row>
    <row r="205" spans="1:10" s="7" customFormat="1" ht="11.25" customHeight="1">
      <c r="A205" s="26" t="s">
        <v>116</v>
      </c>
      <c r="B205" s="27">
        <v>714</v>
      </c>
      <c r="C205" s="18">
        <f>SUM(D205:J205)</f>
        <v>1450</v>
      </c>
      <c r="D205" s="27">
        <v>1450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</row>
    <row r="206" spans="1:10" s="7" customFormat="1" ht="11.25" customHeight="1">
      <c r="A206" s="26" t="s">
        <v>117</v>
      </c>
      <c r="B206" s="27">
        <v>590</v>
      </c>
      <c r="C206" s="28">
        <f>SUM(D206:J206)</f>
        <v>2194</v>
      </c>
      <c r="D206" s="27">
        <f>600+1594</f>
        <v>2194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</row>
    <row r="207" spans="1:10" s="3" customFormat="1" ht="11.25" customHeight="1">
      <c r="A207" s="26" t="s">
        <v>118</v>
      </c>
      <c r="B207" s="27">
        <v>20301</v>
      </c>
      <c r="C207" s="28">
        <f>SUM(D207:J207)</f>
        <v>21666</v>
      </c>
      <c r="D207" s="27">
        <f>2578+19088</f>
        <v>21666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</row>
    <row r="208" spans="1:10" s="7" customFormat="1" ht="11.25" customHeight="1">
      <c r="A208" s="26" t="s">
        <v>119</v>
      </c>
      <c r="B208" s="27">
        <v>271</v>
      </c>
      <c r="C208" s="28">
        <f>SUM(D208:J208)</f>
        <v>300</v>
      </c>
      <c r="D208" s="27">
        <v>300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</row>
    <row r="209" spans="1:10" s="7" customFormat="1" ht="11.25" customHeight="1">
      <c r="A209" s="38"/>
      <c r="B209" s="5"/>
      <c r="C209" s="5"/>
      <c r="D209" s="5"/>
      <c r="E209" s="5"/>
      <c r="F209" s="5"/>
      <c r="G209" s="5"/>
      <c r="H209" s="5"/>
      <c r="I209" s="5"/>
      <c r="J209" s="5"/>
    </row>
    <row r="210" spans="1:10" s="7" customFormat="1" ht="11.25" customHeight="1">
      <c r="A210" s="26" t="s">
        <v>120</v>
      </c>
      <c r="B210" s="27">
        <v>1175</v>
      </c>
      <c r="C210" s="18">
        <f>SUM(D210:J210)</f>
        <v>1297</v>
      </c>
      <c r="D210" s="27">
        <v>1297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</row>
    <row r="211" spans="1:10" s="7" customFormat="1" ht="11.25" customHeight="1">
      <c r="A211" s="26" t="s">
        <v>121</v>
      </c>
      <c r="B211" s="27">
        <v>19256</v>
      </c>
      <c r="C211" s="28">
        <f>SUM(D211:J211)</f>
        <v>19361</v>
      </c>
      <c r="D211" s="27">
        <v>19361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</row>
    <row r="212" spans="1:10" s="3" customFormat="1" ht="11.25" customHeight="1">
      <c r="A212" s="26" t="s">
        <v>122</v>
      </c>
      <c r="B212" s="27">
        <v>3057</v>
      </c>
      <c r="C212" s="28">
        <f>SUM(D212:J212)</f>
        <v>4815</v>
      </c>
      <c r="D212" s="27">
        <f>1143+1921</f>
        <v>3064</v>
      </c>
      <c r="E212" s="27">
        <v>0</v>
      </c>
      <c r="F212" s="27">
        <v>0</v>
      </c>
      <c r="G212" s="27">
        <v>0</v>
      </c>
      <c r="H212" s="27">
        <f>688+1063</f>
        <v>1751</v>
      </c>
      <c r="I212" s="27">
        <v>0</v>
      </c>
      <c r="J212" s="27">
        <v>0</v>
      </c>
    </row>
    <row r="213" spans="1:10" s="7" customFormat="1" ht="11.25" customHeight="1">
      <c r="A213" s="26" t="s">
        <v>163</v>
      </c>
      <c r="B213" s="27">
        <v>3080</v>
      </c>
      <c r="C213" s="28">
        <f>SUM(D213:J213)</f>
        <v>3259</v>
      </c>
      <c r="D213" s="27">
        <f>57+3202</f>
        <v>3259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</row>
    <row r="214" spans="1:10" s="7" customFormat="1" ht="11.25" customHeight="1">
      <c r="A214" s="35"/>
      <c r="B214" s="4"/>
      <c r="C214" s="4"/>
      <c r="D214" s="4"/>
      <c r="E214" s="4"/>
      <c r="F214" s="4"/>
      <c r="G214" s="4"/>
      <c r="H214" s="4"/>
      <c r="I214" s="4"/>
      <c r="J214" s="4"/>
    </row>
    <row r="215" spans="1:10" s="7" customFormat="1" ht="11.25" customHeight="1">
      <c r="A215" s="26" t="s">
        <v>123</v>
      </c>
      <c r="B215" s="27">
        <v>15538</v>
      </c>
      <c r="C215" s="28">
        <f>SUM(D215:J215)</f>
        <v>15797</v>
      </c>
      <c r="D215" s="27">
        <f>979+14818</f>
        <v>15797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</row>
    <row r="216" spans="1:10" s="7" customFormat="1" ht="11.25" customHeight="1">
      <c r="A216" s="26" t="s">
        <v>124</v>
      </c>
      <c r="B216" s="27">
        <v>345</v>
      </c>
      <c r="C216" s="18">
        <f>SUM(D216:J216)</f>
        <v>355</v>
      </c>
      <c r="D216" s="27">
        <v>355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</row>
    <row r="217" spans="1:10" s="3" customFormat="1" ht="11.25" customHeight="1">
      <c r="A217" s="26" t="s">
        <v>125</v>
      </c>
      <c r="B217" s="27">
        <v>229395</v>
      </c>
      <c r="C217" s="28">
        <f>SUM(D217:J217)</f>
        <v>253994</v>
      </c>
      <c r="D217" s="27">
        <f>15100+238894</f>
        <v>253994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</row>
    <row r="218" spans="1:10" s="7" customFormat="1" ht="11.25" customHeight="1">
      <c r="A218" s="26" t="s">
        <v>126</v>
      </c>
      <c r="B218" s="27">
        <v>145914</v>
      </c>
      <c r="C218" s="28">
        <f>SUM(D218:J218)</f>
        <v>156996</v>
      </c>
      <c r="D218" s="27">
        <f>45577+74448</f>
        <v>120025</v>
      </c>
      <c r="E218" s="27">
        <v>0</v>
      </c>
      <c r="F218" s="27">
        <v>0</v>
      </c>
      <c r="G218" s="27">
        <v>0</v>
      </c>
      <c r="H218" s="27">
        <f>27956+9015</f>
        <v>36971</v>
      </c>
      <c r="I218" s="27">
        <v>0</v>
      </c>
      <c r="J218" s="27">
        <v>0</v>
      </c>
    </row>
    <row r="219" spans="1:10" s="7" customFormat="1" ht="11.25" customHeight="1">
      <c r="A219" s="35"/>
      <c r="B219" s="4"/>
      <c r="C219" s="4"/>
      <c r="D219" s="4"/>
      <c r="E219" s="4"/>
      <c r="F219" s="4"/>
      <c r="G219" s="4"/>
      <c r="H219" s="4"/>
      <c r="I219" s="4"/>
      <c r="J219" s="4"/>
    </row>
    <row r="220" spans="1:10" s="7" customFormat="1" ht="11.25" customHeight="1">
      <c r="A220" s="26" t="s">
        <v>127</v>
      </c>
      <c r="B220" s="27">
        <v>1227</v>
      </c>
      <c r="C220" s="28">
        <f>SUM(D220:J220)</f>
        <v>6916</v>
      </c>
      <c r="D220" s="27">
        <f>567+6349</f>
        <v>6916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</row>
    <row r="221" spans="1:10" s="7" customFormat="1" ht="11.25" customHeight="1">
      <c r="A221" s="26" t="s">
        <v>128</v>
      </c>
      <c r="B221" s="27">
        <v>230</v>
      </c>
      <c r="C221" s="18">
        <f>SUM(D221:J221)</f>
        <v>265</v>
      </c>
      <c r="D221" s="27">
        <f>165+100</f>
        <v>265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</row>
    <row r="222" spans="1:10" s="3" customFormat="1" ht="11.25" customHeight="1">
      <c r="A222" s="26" t="s">
        <v>129</v>
      </c>
      <c r="B222" s="27">
        <v>690</v>
      </c>
      <c r="C222" s="28">
        <f>SUM(D222:J222)</f>
        <v>1145</v>
      </c>
      <c r="D222" s="27">
        <f>244+901</f>
        <v>1145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</row>
    <row r="223" spans="1:10" s="7" customFormat="1" ht="11.25" customHeight="1">
      <c r="A223" s="26" t="s">
        <v>130</v>
      </c>
      <c r="B223" s="27">
        <v>6510</v>
      </c>
      <c r="C223" s="28">
        <f>SUM(D223:J223)</f>
        <v>9103</v>
      </c>
      <c r="D223" s="27">
        <f>588+8515</f>
        <v>9103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</row>
    <row r="224" spans="1:10" s="7" customFormat="1" ht="11.25" customHeight="1">
      <c r="A224" s="35"/>
      <c r="B224" s="4"/>
      <c r="C224" s="4"/>
      <c r="D224" s="4"/>
      <c r="E224" s="4"/>
      <c r="F224" s="4"/>
      <c r="G224" s="4"/>
      <c r="H224" s="4"/>
      <c r="I224" s="4"/>
      <c r="J224" s="4"/>
    </row>
    <row r="225" spans="1:10" s="7" customFormat="1" ht="11.25" customHeight="1">
      <c r="A225" s="26" t="s">
        <v>131</v>
      </c>
      <c r="B225" s="27">
        <v>11502</v>
      </c>
      <c r="C225" s="28">
        <v>0</v>
      </c>
      <c r="D225" s="27">
        <v>12712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</row>
    <row r="226" spans="1:10" s="7" customFormat="1" ht="11.25" customHeight="1">
      <c r="A226" s="26" t="s">
        <v>164</v>
      </c>
      <c r="B226" s="27">
        <v>4425</v>
      </c>
      <c r="C226" s="18">
        <f>SUM(D226:J226)</f>
        <v>8011</v>
      </c>
      <c r="D226" s="27">
        <v>5893</v>
      </c>
      <c r="E226" s="27">
        <v>0</v>
      </c>
      <c r="F226" s="27">
        <v>0</v>
      </c>
      <c r="G226" s="27">
        <v>0</v>
      </c>
      <c r="H226" s="27">
        <f>166+1072</f>
        <v>1238</v>
      </c>
      <c r="I226" s="27">
        <v>880</v>
      </c>
      <c r="J226" s="27">
        <v>0</v>
      </c>
    </row>
    <row r="227" spans="1:10" s="3" customFormat="1" ht="11.25" customHeight="1">
      <c r="A227" s="26" t="s">
        <v>132</v>
      </c>
      <c r="B227" s="27">
        <v>24455</v>
      </c>
      <c r="C227" s="28">
        <f>SUM(D227:J227)</f>
        <v>24503</v>
      </c>
      <c r="D227" s="27">
        <f>591+23912</f>
        <v>24503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</row>
    <row r="228" spans="1:10" s="7" customFormat="1" ht="11.25" customHeight="1">
      <c r="A228" s="26" t="s">
        <v>133</v>
      </c>
      <c r="B228" s="27">
        <v>118</v>
      </c>
      <c r="C228" s="28">
        <f>SUM(D228:J228)</f>
        <v>125</v>
      </c>
      <c r="D228" s="27">
        <v>125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</row>
    <row r="229" spans="1:10" s="7" customFormat="1" ht="11.25" customHeight="1">
      <c r="A229" s="35"/>
      <c r="B229" s="4"/>
      <c r="C229" s="4"/>
      <c r="D229" s="4"/>
      <c r="E229" s="4"/>
      <c r="F229" s="4"/>
      <c r="G229" s="4"/>
      <c r="H229" s="4"/>
      <c r="I229" s="4"/>
      <c r="J229" s="4"/>
    </row>
    <row r="230" spans="1:10" s="7" customFormat="1" ht="11.25" customHeight="1">
      <c r="A230" s="26" t="s">
        <v>134</v>
      </c>
      <c r="B230" s="27">
        <v>6270</v>
      </c>
      <c r="C230" s="28">
        <f>SUM(D230:J230)</f>
        <v>6930</v>
      </c>
      <c r="D230" s="27">
        <v>52</v>
      </c>
      <c r="E230" s="27">
        <v>0</v>
      </c>
      <c r="F230" s="27">
        <v>0</v>
      </c>
      <c r="G230" s="27">
        <v>0</v>
      </c>
      <c r="H230" s="27">
        <v>6878</v>
      </c>
      <c r="I230" s="27">
        <v>0</v>
      </c>
      <c r="J230" s="27">
        <v>0</v>
      </c>
    </row>
    <row r="231" spans="1:10" s="7" customFormat="1" ht="11.25" customHeight="1">
      <c r="A231" s="26" t="s">
        <v>135</v>
      </c>
      <c r="B231" s="27">
        <v>7039</v>
      </c>
      <c r="C231" s="18">
        <f>SUM(D231:J231)</f>
        <v>8158</v>
      </c>
      <c r="D231" s="27">
        <f>601+7557</f>
        <v>8158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</row>
    <row r="232" spans="1:10" s="3" customFormat="1" ht="11.25" customHeight="1">
      <c r="A232" s="26" t="s">
        <v>136</v>
      </c>
      <c r="B232" s="27">
        <v>2951</v>
      </c>
      <c r="C232" s="28">
        <f>SUM(D232:J232)</f>
        <v>2334</v>
      </c>
      <c r="D232" s="27">
        <f>22+2312</f>
        <v>2334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</row>
    <row r="233" spans="1:10" s="7" customFormat="1" ht="11.25" customHeight="1">
      <c r="A233" s="26" t="s">
        <v>137</v>
      </c>
      <c r="B233" s="27">
        <v>404</v>
      </c>
      <c r="C233" s="28">
        <f>SUM(D233:J233)</f>
        <v>402</v>
      </c>
      <c r="D233" s="27">
        <v>402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</row>
    <row r="234" spans="1:10" s="7" customFormat="1" ht="11.25" customHeight="1">
      <c r="A234" s="35"/>
      <c r="B234" s="4"/>
      <c r="C234" s="4"/>
      <c r="D234" s="4"/>
      <c r="E234" s="4"/>
      <c r="F234" s="4"/>
      <c r="G234" s="4"/>
      <c r="H234" s="4"/>
      <c r="I234" s="4"/>
      <c r="J234" s="4"/>
    </row>
    <row r="235" spans="1:10" s="7" customFormat="1" ht="11.25" customHeight="1">
      <c r="A235" s="26" t="s">
        <v>138</v>
      </c>
      <c r="B235" s="27">
        <v>56146</v>
      </c>
      <c r="C235" s="28">
        <f>SUM(D235:J235)</f>
        <v>61373</v>
      </c>
      <c r="D235" s="27">
        <f>2435+58938</f>
        <v>61373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</row>
    <row r="236" spans="1:10" s="7" customFormat="1" ht="11.25" customHeight="1">
      <c r="A236" s="26" t="s">
        <v>139</v>
      </c>
      <c r="B236" s="27">
        <v>195</v>
      </c>
      <c r="C236" s="18">
        <f>SUM(D236:J236)</f>
        <v>776</v>
      </c>
      <c r="D236" s="27">
        <f>124+627</f>
        <v>751</v>
      </c>
      <c r="E236" s="27">
        <v>0</v>
      </c>
      <c r="F236" s="27">
        <v>0</v>
      </c>
      <c r="G236" s="27">
        <v>0</v>
      </c>
      <c r="H236" s="27">
        <v>25</v>
      </c>
      <c r="I236" s="27">
        <v>0</v>
      </c>
      <c r="J236" s="27">
        <v>0</v>
      </c>
    </row>
    <row r="237" spans="1:10" s="3" customFormat="1" ht="11.25" customHeight="1">
      <c r="A237" s="26" t="s">
        <v>140</v>
      </c>
      <c r="B237" s="27">
        <v>31584</v>
      </c>
      <c r="C237" s="28">
        <f>SUM(D237:J237)</f>
        <v>31633</v>
      </c>
      <c r="D237" s="27">
        <f>4609+27024</f>
        <v>31633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</row>
    <row r="238" spans="1:10" s="3" customFormat="1" ht="11.25" customHeight="1">
      <c r="A238" s="26" t="s">
        <v>141</v>
      </c>
      <c r="B238" s="27">
        <v>197</v>
      </c>
      <c r="C238" s="28">
        <f>SUM(D238:J238)</f>
        <v>278</v>
      </c>
      <c r="D238" s="27">
        <f>4+148</f>
        <v>152</v>
      </c>
      <c r="E238" s="27">
        <v>0</v>
      </c>
      <c r="F238" s="27">
        <v>0</v>
      </c>
      <c r="G238" s="27">
        <v>0</v>
      </c>
      <c r="H238" s="27">
        <v>126</v>
      </c>
      <c r="I238" s="27">
        <v>0</v>
      </c>
      <c r="J238" s="27">
        <v>0</v>
      </c>
    </row>
    <row r="239" spans="1:10" s="7" customFormat="1" ht="11.25" customHeight="1">
      <c r="A239" s="38"/>
      <c r="B239" s="5"/>
      <c r="C239" s="5"/>
      <c r="D239" s="5"/>
      <c r="E239" s="5"/>
      <c r="F239" s="5"/>
      <c r="G239" s="5"/>
      <c r="H239" s="5"/>
      <c r="I239" s="5"/>
      <c r="J239" s="5"/>
    </row>
    <row r="240" spans="1:10" s="7" customFormat="1" ht="11.25" customHeight="1">
      <c r="A240" s="26" t="s">
        <v>142</v>
      </c>
      <c r="B240" s="27">
        <v>255</v>
      </c>
      <c r="C240" s="18">
        <f>SUM(D240:J240)</f>
        <v>340</v>
      </c>
      <c r="D240" s="27">
        <v>340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</row>
    <row r="241" spans="1:10" s="7" customFormat="1" ht="11.25" customHeight="1">
      <c r="A241" s="26" t="s">
        <v>143</v>
      </c>
      <c r="B241" s="27">
        <v>21659</v>
      </c>
      <c r="C241" s="28">
        <f>SUM(D241:J241)</f>
        <v>23014</v>
      </c>
      <c r="D241" s="27">
        <f>3108+12122</f>
        <v>15230</v>
      </c>
      <c r="E241" s="27">
        <v>0</v>
      </c>
      <c r="F241" s="27">
        <v>0</v>
      </c>
      <c r="G241" s="27">
        <v>0</v>
      </c>
      <c r="H241" s="27">
        <v>7784</v>
      </c>
      <c r="I241" s="27">
        <v>0</v>
      </c>
      <c r="J241" s="27">
        <v>0</v>
      </c>
    </row>
    <row r="242" spans="1:10" s="7" customFormat="1" ht="11.25" customHeight="1">
      <c r="A242" s="26" t="s">
        <v>144</v>
      </c>
      <c r="B242" s="27">
        <v>18381</v>
      </c>
      <c r="C242" s="28">
        <f>SUM(D242:J242)</f>
        <v>21364</v>
      </c>
      <c r="D242" s="27">
        <v>15857</v>
      </c>
      <c r="E242" s="27">
        <v>0</v>
      </c>
      <c r="F242" s="27">
        <v>0</v>
      </c>
      <c r="G242" s="27">
        <v>0</v>
      </c>
      <c r="H242" s="27">
        <v>5507</v>
      </c>
      <c r="I242" s="27">
        <v>0</v>
      </c>
      <c r="J242" s="27">
        <v>0</v>
      </c>
    </row>
    <row r="243" spans="1:10" s="7" customFormat="1" ht="11.25" customHeight="1">
      <c r="A243" s="26" t="s">
        <v>145</v>
      </c>
      <c r="B243" s="27">
        <v>1350</v>
      </c>
      <c r="C243" s="28">
        <f>SUM(D243:J243)</f>
        <v>5008</v>
      </c>
      <c r="D243" s="27">
        <f>3508+1500</f>
        <v>5008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</row>
    <row r="244" spans="1:10" s="3" customFormat="1" ht="11.25" customHeight="1">
      <c r="A244" s="38"/>
      <c r="B244" s="5"/>
      <c r="C244" s="5"/>
      <c r="D244" s="5"/>
      <c r="E244" s="5"/>
      <c r="F244" s="5"/>
      <c r="G244" s="5"/>
      <c r="H244" s="5"/>
      <c r="I244" s="5"/>
      <c r="J244" s="5"/>
    </row>
    <row r="245" spans="1:10" s="3" customFormat="1" ht="11.25" customHeight="1">
      <c r="A245" s="26" t="s">
        <v>146</v>
      </c>
      <c r="B245" s="27">
        <v>275</v>
      </c>
      <c r="C245" s="18">
        <f>SUM(D245:J245)</f>
        <v>317</v>
      </c>
      <c r="D245" s="27">
        <v>200</v>
      </c>
      <c r="E245" s="27">
        <v>0</v>
      </c>
      <c r="F245" s="27">
        <v>0</v>
      </c>
      <c r="G245" s="27">
        <v>0</v>
      </c>
      <c r="H245" s="27">
        <v>117</v>
      </c>
      <c r="I245" s="27">
        <v>0</v>
      </c>
      <c r="J245" s="27">
        <v>0</v>
      </c>
    </row>
    <row r="246" spans="1:10" s="3" customFormat="1" ht="11.25" customHeight="1">
      <c r="A246" s="26" t="s">
        <v>147</v>
      </c>
      <c r="B246" s="27">
        <v>810131</v>
      </c>
      <c r="C246" s="28">
        <f>SUM(D246:J246)</f>
        <v>859215</v>
      </c>
      <c r="D246" s="27">
        <f>5643+658420</f>
        <v>664063</v>
      </c>
      <c r="E246" s="27">
        <v>0</v>
      </c>
      <c r="F246" s="27">
        <v>0</v>
      </c>
      <c r="G246" s="27">
        <v>0</v>
      </c>
      <c r="H246" s="27">
        <f>131910+63242</f>
        <v>195152</v>
      </c>
      <c r="I246" s="27">
        <v>0</v>
      </c>
      <c r="J246" s="27">
        <v>0</v>
      </c>
    </row>
    <row r="247" spans="1:10" s="3" customFormat="1" ht="11.25" customHeight="1">
      <c r="A247" s="26" t="s">
        <v>148</v>
      </c>
      <c r="B247" s="27">
        <v>208</v>
      </c>
      <c r="C247" s="28">
        <f>SUM(D247:J247)</f>
        <v>230</v>
      </c>
      <c r="D247" s="27">
        <f>10+100</f>
        <v>110</v>
      </c>
      <c r="E247" s="27">
        <v>0</v>
      </c>
      <c r="F247" s="27">
        <v>0</v>
      </c>
      <c r="G247" s="27">
        <v>0</v>
      </c>
      <c r="H247" s="27">
        <v>120</v>
      </c>
      <c r="I247" s="27">
        <v>0</v>
      </c>
      <c r="J247" s="27">
        <v>0</v>
      </c>
    </row>
    <row r="248" spans="1:10" s="3" customFormat="1" ht="11.25" customHeight="1">
      <c r="A248" s="26" t="s">
        <v>149</v>
      </c>
      <c r="B248" s="27">
        <v>953</v>
      </c>
      <c r="C248" s="28">
        <f>SUM(D248:J248)</f>
        <v>976</v>
      </c>
      <c r="D248" s="27">
        <f>553+423</f>
        <v>976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</row>
    <row r="249" spans="1:10" s="3" customFormat="1" ht="11.25" customHeight="1">
      <c r="A249" s="38"/>
      <c r="B249" s="5"/>
      <c r="C249" s="5"/>
      <c r="D249" s="5"/>
      <c r="E249" s="5"/>
      <c r="F249" s="5"/>
      <c r="G249" s="5"/>
      <c r="H249" s="5"/>
      <c r="I249" s="5"/>
      <c r="J249" s="5"/>
    </row>
    <row r="250" spans="1:10" s="3" customFormat="1" ht="11.25" customHeight="1">
      <c r="A250" s="26" t="s">
        <v>150</v>
      </c>
      <c r="B250" s="27">
        <v>2182</v>
      </c>
      <c r="C250" s="18">
        <f>SUM(D250:J250)</f>
        <v>2210</v>
      </c>
      <c r="D250" s="27">
        <f>600+1610</f>
        <v>2210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</row>
    <row r="251" spans="1:10" s="3" customFormat="1" ht="11.25" customHeight="1">
      <c r="A251" s="26" t="s">
        <v>151</v>
      </c>
      <c r="B251" s="27">
        <v>1150</v>
      </c>
      <c r="C251" s="28">
        <f>SUM(D251:J251)</f>
        <v>1174</v>
      </c>
      <c r="D251" s="27">
        <v>1174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</row>
    <row r="252" spans="1:10" s="3" customFormat="1" ht="11.25" customHeight="1">
      <c r="A252" s="26" t="s">
        <v>152</v>
      </c>
      <c r="B252" s="27">
        <v>560416</v>
      </c>
      <c r="C252" s="28">
        <f>SUM(D252:J252)</f>
        <v>523617</v>
      </c>
      <c r="D252" s="27">
        <f>55250+354094</f>
        <v>409344</v>
      </c>
      <c r="E252" s="27">
        <v>0</v>
      </c>
      <c r="F252" s="27">
        <v>0</v>
      </c>
      <c r="G252" s="27">
        <v>0</v>
      </c>
      <c r="H252" s="27">
        <f>16010+98263</f>
        <v>114273</v>
      </c>
      <c r="I252" s="27">
        <v>0</v>
      </c>
      <c r="J252" s="27">
        <v>0</v>
      </c>
    </row>
    <row r="253" spans="1:10" s="3" customFormat="1" ht="11.25" customHeight="1">
      <c r="A253" s="26" t="s">
        <v>153</v>
      </c>
      <c r="B253" s="27">
        <v>764</v>
      </c>
      <c r="C253" s="28">
        <f>SUM(D253:J253)</f>
        <v>2139</v>
      </c>
      <c r="D253" s="27">
        <f>189+1950</f>
        <v>2139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</row>
    <row r="254" spans="1:10" s="3" customFormat="1" ht="11.25" customHeight="1">
      <c r="A254" s="38"/>
      <c r="B254" s="5"/>
      <c r="C254" s="5"/>
      <c r="D254" s="5"/>
      <c r="E254" s="5"/>
      <c r="F254" s="5"/>
      <c r="G254" s="5"/>
      <c r="H254" s="5"/>
      <c r="I254" s="5"/>
      <c r="J254" s="5"/>
    </row>
    <row r="255" spans="1:10" s="3" customFormat="1" ht="11.25" customHeight="1">
      <c r="A255" s="26" t="s">
        <v>154</v>
      </c>
      <c r="B255" s="27">
        <v>30420</v>
      </c>
      <c r="C255" s="18">
        <f>SUM(D255:J255)</f>
        <v>30460</v>
      </c>
      <c r="D255" s="27">
        <f>593+29867</f>
        <v>30460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</row>
    <row r="256" spans="1:10" s="3" customFormat="1" ht="11.25" customHeight="1">
      <c r="A256" s="26" t="s">
        <v>155</v>
      </c>
      <c r="B256" s="27">
        <v>1413</v>
      </c>
      <c r="C256" s="28">
        <f>SUM(D256:J256)</f>
        <v>1605</v>
      </c>
      <c r="D256" s="27">
        <f>64+1541</f>
        <v>1605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</row>
    <row r="257" spans="1:10" s="3" customFormat="1" ht="11.25" customHeight="1">
      <c r="A257" s="26" t="s">
        <v>156</v>
      </c>
      <c r="B257" s="27">
        <v>293</v>
      </c>
      <c r="C257" s="28">
        <f>SUM(D257:J257)</f>
        <v>480</v>
      </c>
      <c r="D257" s="27">
        <v>0</v>
      </c>
      <c r="E257" s="27">
        <v>0</v>
      </c>
      <c r="F257" s="27">
        <v>0</v>
      </c>
      <c r="G257" s="27">
        <v>0</v>
      </c>
      <c r="H257" s="27">
        <v>480</v>
      </c>
      <c r="I257" s="27">
        <v>0</v>
      </c>
      <c r="J257" s="27">
        <v>0</v>
      </c>
    </row>
    <row r="258" spans="1:10" s="3" customFormat="1" ht="11.25" customHeight="1">
      <c r="A258" s="26" t="s">
        <v>157</v>
      </c>
      <c r="B258" s="27">
        <v>743</v>
      </c>
      <c r="C258" s="28">
        <f>SUM(D258:J258)</f>
        <v>855</v>
      </c>
      <c r="D258" s="27">
        <f>6+574</f>
        <v>580</v>
      </c>
      <c r="E258" s="27">
        <v>0</v>
      </c>
      <c r="F258" s="27">
        <v>0</v>
      </c>
      <c r="G258" s="27">
        <v>0</v>
      </c>
      <c r="H258" s="27">
        <v>223</v>
      </c>
      <c r="I258" s="27">
        <v>52</v>
      </c>
      <c r="J258" s="27">
        <v>0</v>
      </c>
    </row>
    <row r="259" spans="1:10" s="3" customFormat="1" ht="11.25" customHeight="1">
      <c r="A259" s="38"/>
      <c r="B259" s="5"/>
      <c r="C259" s="5"/>
      <c r="D259" s="5"/>
      <c r="E259" s="5"/>
      <c r="F259" s="5"/>
      <c r="G259" s="5"/>
      <c r="H259" s="5"/>
      <c r="I259" s="5"/>
      <c r="J259" s="5"/>
    </row>
    <row r="260" spans="1:10" s="3" customFormat="1" ht="11.25" customHeight="1">
      <c r="A260" s="26" t="s">
        <v>158</v>
      </c>
      <c r="B260" s="27">
        <v>5476</v>
      </c>
      <c r="C260" s="28">
        <f>SUM(D260:J260)</f>
        <v>5915</v>
      </c>
      <c r="D260" s="27">
        <f>1504+3120</f>
        <v>4624</v>
      </c>
      <c r="E260" s="27">
        <v>0</v>
      </c>
      <c r="F260" s="27">
        <v>0</v>
      </c>
      <c r="G260" s="27">
        <v>0</v>
      </c>
      <c r="H260" s="27">
        <f>1202+89</f>
        <v>1291</v>
      </c>
      <c r="I260" s="27">
        <v>0</v>
      </c>
      <c r="J260" s="27">
        <v>0</v>
      </c>
    </row>
    <row r="261" spans="1:10" s="3" customFormat="1" ht="11.25" customHeight="1">
      <c r="A261" s="35"/>
      <c r="B261" s="4"/>
      <c r="C261" s="4"/>
      <c r="D261" s="4"/>
      <c r="E261" s="4"/>
      <c r="F261" s="4"/>
      <c r="G261" s="4"/>
      <c r="H261" s="4"/>
      <c r="I261" s="4"/>
      <c r="J261" s="4"/>
    </row>
    <row r="262" spans="1:10" s="3" customFormat="1" ht="11.25" customHeight="1">
      <c r="A262" s="46" t="s">
        <v>206</v>
      </c>
      <c r="B262" s="46"/>
      <c r="C262" s="46"/>
      <c r="D262" s="46"/>
      <c r="E262" s="46"/>
      <c r="F262" s="46"/>
      <c r="G262" s="46"/>
      <c r="H262" s="24"/>
      <c r="I262" s="24"/>
      <c r="J262" s="24"/>
    </row>
    <row r="263" spans="1:10" s="3" customFormat="1" ht="11.25" customHeight="1">
      <c r="A263" s="26"/>
      <c r="B263" s="25"/>
      <c r="C263" s="25"/>
      <c r="D263" s="24"/>
      <c r="E263" s="24"/>
      <c r="F263" s="24"/>
      <c r="G263" s="24"/>
      <c r="H263" s="24"/>
      <c r="I263" s="24"/>
      <c r="J263" s="24"/>
    </row>
    <row r="264" spans="1:10" s="3" customFormat="1" ht="11.25" customHeight="1">
      <c r="A264" s="26"/>
      <c r="B264" s="25"/>
      <c r="C264" s="25" t="s">
        <v>0</v>
      </c>
      <c r="D264" s="24"/>
      <c r="E264" s="24"/>
      <c r="F264" s="24"/>
      <c r="G264" s="24"/>
      <c r="H264" s="24"/>
      <c r="I264" s="24"/>
      <c r="J264" s="24"/>
    </row>
    <row r="265" spans="1:10" s="3" customFormat="1" ht="11.25" customHeight="1">
      <c r="A265" s="26"/>
      <c r="B265" s="39"/>
      <c r="C265" s="39"/>
      <c r="D265" s="39"/>
      <c r="E265" s="39"/>
      <c r="F265" s="39"/>
      <c r="G265" s="39"/>
      <c r="H265" s="39"/>
      <c r="I265" s="39"/>
      <c r="J265" s="39"/>
    </row>
    <row r="266" spans="1:10" s="3" customFormat="1" ht="11.2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</row>
    <row r="267" spans="1:10" s="3" customFormat="1" ht="11.25" customHeight="1">
      <c r="A267" s="26"/>
      <c r="B267" s="25"/>
      <c r="C267" s="39"/>
      <c r="D267" s="39"/>
      <c r="E267" s="39"/>
      <c r="F267" s="39"/>
      <c r="G267" s="39"/>
      <c r="H267" s="39"/>
      <c r="I267" s="39"/>
      <c r="J267" s="39"/>
    </row>
    <row r="268" spans="1:10" s="3" customFormat="1" ht="11.2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</row>
    <row r="269" spans="1:10" s="3" customFormat="1" ht="11.25" customHeight="1">
      <c r="A269" s="26"/>
      <c r="B269" s="34"/>
      <c r="C269" s="34"/>
      <c r="D269" s="34"/>
      <c r="E269" s="34"/>
      <c r="F269" s="34"/>
      <c r="G269" s="34"/>
      <c r="H269" s="34"/>
      <c r="I269" s="34"/>
      <c r="J269" s="34"/>
    </row>
    <row r="270" spans="1:10" s="3" customFormat="1" ht="11.25" customHeight="1">
      <c r="A270" s="26"/>
      <c r="B270" s="34"/>
      <c r="C270" s="34"/>
      <c r="D270" s="34"/>
      <c r="E270" s="34"/>
      <c r="F270" s="34"/>
      <c r="G270" s="34"/>
      <c r="H270" s="34"/>
      <c r="I270" s="34"/>
      <c r="J270" s="34"/>
    </row>
    <row r="271" spans="1:10" s="3" customFormat="1" ht="11.25" customHeight="1">
      <c r="A271" s="26"/>
      <c r="B271" s="34"/>
      <c r="C271" s="34"/>
      <c r="D271" s="34"/>
      <c r="E271" s="34"/>
      <c r="F271" s="34"/>
      <c r="G271" s="34"/>
      <c r="H271" s="34"/>
      <c r="I271" s="34"/>
      <c r="J271" s="34"/>
    </row>
    <row r="272" spans="1:10" s="3" customFormat="1" ht="11.25" customHeight="1">
      <c r="A272" s="40"/>
      <c r="B272" s="41"/>
      <c r="C272" s="41"/>
      <c r="D272" s="41"/>
      <c r="E272" s="41"/>
      <c r="F272" s="41"/>
      <c r="G272" s="41"/>
      <c r="H272" s="41"/>
      <c r="I272" s="41"/>
      <c r="J272" s="41"/>
    </row>
    <row r="273" spans="1:10" s="3" customFormat="1" ht="11.25" customHeight="1">
      <c r="A273" s="40"/>
      <c r="B273" s="41"/>
      <c r="C273" s="41"/>
      <c r="D273" s="41"/>
      <c r="E273" s="41"/>
      <c r="F273" s="41"/>
      <c r="G273" s="41"/>
      <c r="H273" s="41"/>
      <c r="I273" s="41"/>
      <c r="J273" s="41"/>
    </row>
    <row r="274" spans="1:10" s="3" customFormat="1" ht="11.25" customHeight="1">
      <c r="A274" s="40"/>
      <c r="B274" s="41"/>
      <c r="C274" s="41"/>
      <c r="D274" s="41"/>
      <c r="E274" s="41"/>
      <c r="F274" s="41"/>
      <c r="G274" s="41"/>
      <c r="H274" s="41"/>
      <c r="I274" s="41"/>
      <c r="J274" s="41"/>
    </row>
    <row r="275" spans="1:10" s="3" customFormat="1" ht="11.25" customHeight="1">
      <c r="A275" s="40"/>
      <c r="B275" s="41"/>
      <c r="C275" s="41"/>
      <c r="D275" s="41"/>
      <c r="E275" s="41"/>
      <c r="F275" s="41"/>
      <c r="G275" s="41"/>
      <c r="H275" s="41"/>
      <c r="I275" s="41"/>
      <c r="J275" s="41"/>
    </row>
    <row r="276" spans="1:10" s="3" customFormat="1" ht="11.25" customHeight="1">
      <c r="A276" s="40"/>
      <c r="B276" s="41"/>
      <c r="C276" s="41"/>
      <c r="D276" s="41"/>
      <c r="E276" s="41"/>
      <c r="F276" s="41"/>
      <c r="G276" s="41"/>
      <c r="H276" s="41"/>
      <c r="I276" s="41"/>
      <c r="J276" s="41"/>
    </row>
    <row r="277" spans="1:10" s="3" customFormat="1" ht="11.25" customHeight="1">
      <c r="A277" s="40"/>
      <c r="B277" s="41"/>
      <c r="C277" s="41"/>
      <c r="D277" s="41"/>
      <c r="E277" s="41"/>
      <c r="F277" s="41"/>
      <c r="G277" s="41"/>
      <c r="H277" s="41"/>
      <c r="I277" s="41"/>
      <c r="J277" s="41"/>
    </row>
    <row r="278" spans="1:10" s="3" customFormat="1" ht="11.25" customHeight="1">
      <c r="A278" s="40"/>
      <c r="B278" s="41"/>
      <c r="C278" s="41"/>
      <c r="D278" s="41"/>
      <c r="E278" s="41"/>
      <c r="F278" s="41"/>
      <c r="G278" s="41"/>
      <c r="H278" s="41"/>
      <c r="I278" s="41"/>
      <c r="J278" s="41"/>
    </row>
    <row r="279" spans="1:10" s="3" customFormat="1" ht="11.25" customHeight="1">
      <c r="A279" s="40"/>
      <c r="B279" s="41"/>
      <c r="C279" s="41"/>
      <c r="D279" s="41"/>
      <c r="E279" s="41"/>
      <c r="F279" s="41"/>
      <c r="G279" s="41"/>
      <c r="H279" s="41"/>
      <c r="I279" s="41"/>
      <c r="J279" s="41"/>
    </row>
    <row r="280" spans="1:10" s="3" customFormat="1" ht="11.25" customHeight="1">
      <c r="A280" s="40"/>
      <c r="B280" s="41"/>
      <c r="C280" s="41"/>
      <c r="D280" s="41"/>
      <c r="E280" s="41"/>
      <c r="F280" s="41"/>
      <c r="G280" s="41"/>
      <c r="H280" s="41"/>
      <c r="I280" s="41"/>
      <c r="J280" s="41"/>
    </row>
    <row r="281" spans="1:10" s="3" customFormat="1" ht="11.25" customHeight="1">
      <c r="A281" s="40"/>
      <c r="B281" s="41"/>
      <c r="C281" s="41"/>
      <c r="D281" s="41"/>
      <c r="E281" s="41"/>
      <c r="F281" s="41"/>
      <c r="G281" s="41"/>
      <c r="H281" s="41"/>
      <c r="I281" s="41"/>
      <c r="J281" s="41"/>
    </row>
    <row r="282" spans="1:10" s="3" customFormat="1" ht="11.25" customHeight="1">
      <c r="A282" s="40"/>
      <c r="B282" s="41"/>
      <c r="C282" s="41"/>
      <c r="D282" s="41"/>
      <c r="E282" s="41"/>
      <c r="F282" s="41"/>
      <c r="G282" s="41"/>
      <c r="H282" s="41"/>
      <c r="I282" s="41"/>
      <c r="J282" s="41"/>
    </row>
    <row r="283" spans="1:10" s="3" customFormat="1" ht="11.25" customHeight="1">
      <c r="A283" s="40"/>
      <c r="B283" s="41"/>
      <c r="C283" s="41"/>
      <c r="D283" s="41"/>
      <c r="E283" s="41"/>
      <c r="F283" s="41"/>
      <c r="G283" s="41"/>
      <c r="H283" s="41"/>
      <c r="I283" s="41"/>
      <c r="J283" s="41"/>
    </row>
    <row r="284" spans="1:10" s="3" customFormat="1" ht="11.25" customHeight="1">
      <c r="A284" s="40"/>
      <c r="B284" s="41"/>
      <c r="C284" s="41"/>
      <c r="D284" s="41"/>
      <c r="E284" s="41"/>
      <c r="F284" s="41"/>
      <c r="G284" s="41"/>
      <c r="H284" s="41"/>
      <c r="I284" s="41"/>
      <c r="J284" s="41"/>
    </row>
    <row r="285" spans="1:10" s="3" customFormat="1" ht="11.25" customHeight="1">
      <c r="A285" s="42"/>
      <c r="B285" s="43"/>
      <c r="C285" s="43"/>
      <c r="D285" s="43"/>
      <c r="E285" s="43"/>
      <c r="F285" s="43"/>
      <c r="G285" s="43"/>
      <c r="H285" s="43"/>
      <c r="I285" s="43"/>
      <c r="J285" s="43"/>
    </row>
    <row r="286" spans="1:10" s="3" customFormat="1" ht="11.25" customHeight="1">
      <c r="A286" s="42"/>
      <c r="B286" s="43"/>
      <c r="C286" s="43"/>
      <c r="D286" s="43"/>
      <c r="E286" s="43"/>
      <c r="F286" s="43"/>
      <c r="G286" s="43"/>
      <c r="H286" s="43"/>
      <c r="I286" s="43"/>
      <c r="J286" s="43"/>
    </row>
    <row r="287" spans="1:10" s="3" customFormat="1" ht="11.25" customHeight="1">
      <c r="A287" s="42"/>
      <c r="B287" s="43"/>
      <c r="C287" s="43"/>
      <c r="D287" s="43"/>
      <c r="E287" s="43"/>
      <c r="F287" s="43"/>
      <c r="G287" s="43"/>
      <c r="H287" s="43"/>
      <c r="I287" s="43"/>
      <c r="J287" s="43"/>
    </row>
    <row r="288" spans="1:10" s="3" customFormat="1" ht="11.25" customHeight="1">
      <c r="A288" s="42"/>
      <c r="B288" s="43"/>
      <c r="C288" s="43"/>
      <c r="D288" s="43"/>
      <c r="E288" s="43"/>
      <c r="F288" s="43"/>
      <c r="G288" s="43"/>
      <c r="H288" s="43"/>
      <c r="I288" s="43"/>
      <c r="J288" s="43"/>
    </row>
    <row r="289" spans="1:10" s="3" customFormat="1" ht="11.25" customHeight="1">
      <c r="A289" s="42"/>
      <c r="B289" s="43"/>
      <c r="C289" s="43"/>
      <c r="D289" s="43"/>
      <c r="E289" s="43"/>
      <c r="F289" s="43"/>
      <c r="G289" s="43"/>
      <c r="H289" s="43"/>
      <c r="I289" s="43"/>
      <c r="J289" s="43"/>
    </row>
    <row r="290" spans="1:10" s="3" customFormat="1" ht="11.25" customHeight="1">
      <c r="A290" s="42"/>
      <c r="B290" s="43"/>
      <c r="C290" s="43"/>
      <c r="D290" s="43"/>
      <c r="E290" s="43"/>
      <c r="F290" s="43"/>
      <c r="G290" s="43"/>
      <c r="H290" s="43"/>
      <c r="I290" s="43"/>
      <c r="J290" s="43"/>
    </row>
    <row r="291" spans="1:10" s="3" customFormat="1" ht="11.25" customHeight="1">
      <c r="A291" s="42"/>
      <c r="B291" s="43"/>
      <c r="C291" s="43"/>
      <c r="D291" s="43"/>
      <c r="E291" s="43"/>
      <c r="F291" s="43"/>
      <c r="G291" s="43"/>
      <c r="H291" s="43"/>
      <c r="I291" s="43"/>
      <c r="J291" s="43"/>
    </row>
    <row r="292" spans="1:10" s="3" customFormat="1" ht="11.25" customHeight="1">
      <c r="A292" s="42"/>
      <c r="B292" s="43"/>
      <c r="C292" s="43"/>
      <c r="D292" s="43"/>
      <c r="E292" s="43"/>
      <c r="F292" s="43"/>
      <c r="G292" s="43"/>
      <c r="H292" s="43"/>
      <c r="I292" s="43"/>
      <c r="J292" s="43"/>
    </row>
    <row r="293" spans="1:10" s="3" customFormat="1" ht="11.25" customHeight="1">
      <c r="A293" s="42"/>
      <c r="B293" s="43"/>
      <c r="C293" s="43"/>
      <c r="D293" s="43"/>
      <c r="E293" s="43"/>
      <c r="F293" s="43"/>
      <c r="G293" s="43"/>
      <c r="H293" s="43"/>
      <c r="I293" s="43"/>
      <c r="J293" s="43"/>
    </row>
    <row r="294" spans="1:10" s="3" customFormat="1" ht="11.25" customHeight="1">
      <c r="A294" s="42"/>
      <c r="B294" s="43"/>
      <c r="C294" s="43"/>
      <c r="D294" s="43"/>
      <c r="E294" s="43"/>
      <c r="F294" s="43"/>
      <c r="G294" s="43"/>
      <c r="H294" s="43"/>
      <c r="I294" s="43"/>
      <c r="J294" s="43"/>
    </row>
    <row r="295" spans="1:10" s="3" customFormat="1" ht="11.25" customHeight="1">
      <c r="A295" s="42"/>
      <c r="B295" s="43"/>
      <c r="C295" s="43"/>
      <c r="D295" s="43"/>
      <c r="E295" s="43"/>
      <c r="F295" s="43"/>
      <c r="G295" s="43"/>
      <c r="H295" s="43"/>
      <c r="I295" s="43"/>
      <c r="J295" s="43"/>
    </row>
    <row r="296" spans="1:10" s="3" customFormat="1" ht="11.25" customHeight="1">
      <c r="A296" s="42"/>
      <c r="B296" s="43"/>
      <c r="C296" s="43"/>
      <c r="D296" s="43"/>
      <c r="E296" s="43"/>
      <c r="F296" s="43"/>
      <c r="G296" s="43"/>
      <c r="H296" s="43"/>
      <c r="I296" s="43"/>
      <c r="J296" s="43"/>
    </row>
    <row r="297" spans="1:10" s="3" customFormat="1" ht="11.25" customHeight="1">
      <c r="A297" s="42"/>
      <c r="B297" s="43"/>
      <c r="C297" s="43"/>
      <c r="D297" s="43"/>
      <c r="E297" s="43"/>
      <c r="F297" s="43"/>
      <c r="G297" s="43"/>
      <c r="H297" s="43"/>
      <c r="I297" s="43"/>
      <c r="J297" s="43"/>
    </row>
    <row r="298" spans="1:10" s="3" customFormat="1" ht="11.25" customHeight="1">
      <c r="A298" s="42"/>
      <c r="B298" s="43"/>
      <c r="C298" s="43"/>
      <c r="D298" s="43"/>
      <c r="E298" s="43"/>
      <c r="F298" s="43"/>
      <c r="G298" s="43"/>
      <c r="H298" s="43"/>
      <c r="I298" s="43"/>
      <c r="J298" s="43"/>
    </row>
    <row r="299" spans="1:10" s="3" customFormat="1" ht="11.25" customHeight="1">
      <c r="A299" s="42"/>
      <c r="B299" s="43"/>
      <c r="C299" s="43"/>
      <c r="D299" s="43"/>
      <c r="E299" s="43"/>
      <c r="F299" s="43"/>
      <c r="G299" s="43"/>
      <c r="H299" s="43"/>
      <c r="I299" s="43"/>
      <c r="J299" s="43"/>
    </row>
    <row r="300" spans="1:10" s="3" customFormat="1" ht="11.25" customHeight="1">
      <c r="A300" s="42"/>
      <c r="B300" s="43"/>
      <c r="C300" s="43"/>
      <c r="D300" s="43"/>
      <c r="E300" s="43"/>
      <c r="F300" s="43"/>
      <c r="G300" s="43"/>
      <c r="H300" s="43"/>
      <c r="I300" s="43"/>
      <c r="J300" s="43"/>
    </row>
    <row r="301" spans="1:10" s="3" customFormat="1" ht="11.25" customHeight="1">
      <c r="A301" s="42"/>
      <c r="B301" s="43"/>
      <c r="C301" s="43"/>
      <c r="D301" s="43"/>
      <c r="E301" s="43"/>
      <c r="F301" s="43"/>
      <c r="G301" s="43"/>
      <c r="H301" s="43"/>
      <c r="I301" s="43"/>
      <c r="J301" s="43"/>
    </row>
    <row r="302" spans="1:10" s="3" customFormat="1" ht="11.25" customHeight="1">
      <c r="A302" s="42"/>
      <c r="B302" s="43"/>
      <c r="C302" s="43"/>
      <c r="D302" s="43"/>
      <c r="E302" s="43"/>
      <c r="F302" s="43"/>
      <c r="G302" s="43"/>
      <c r="H302" s="43"/>
      <c r="I302" s="43"/>
      <c r="J302" s="43"/>
    </row>
    <row r="303" spans="1:10" s="3" customFormat="1" ht="11.25" customHeight="1">
      <c r="A303" s="42"/>
      <c r="B303" s="43"/>
      <c r="C303" s="43"/>
      <c r="D303" s="43"/>
      <c r="E303" s="43"/>
      <c r="F303" s="43"/>
      <c r="G303" s="43"/>
      <c r="H303" s="43"/>
      <c r="I303" s="43"/>
      <c r="J303" s="43"/>
    </row>
    <row r="304" spans="1:10" s="3" customFormat="1" ht="11.25" customHeight="1">
      <c r="A304" s="42"/>
      <c r="B304" s="43"/>
      <c r="C304" s="43"/>
      <c r="D304" s="43"/>
      <c r="E304" s="43"/>
      <c r="F304" s="43"/>
      <c r="G304" s="43"/>
      <c r="H304" s="43"/>
      <c r="I304" s="43"/>
      <c r="J304" s="43"/>
    </row>
    <row r="305" spans="1:10" s="3" customFormat="1" ht="11.25" customHeight="1">
      <c r="A305" s="42"/>
      <c r="B305" s="43"/>
      <c r="C305" s="43"/>
      <c r="D305" s="43"/>
      <c r="E305" s="43"/>
      <c r="F305" s="43"/>
      <c r="G305" s="43"/>
      <c r="H305" s="43"/>
      <c r="I305" s="43"/>
      <c r="J305" s="43"/>
    </row>
    <row r="306" spans="1:10" s="3" customFormat="1" ht="11.25" customHeight="1">
      <c r="A306" s="42"/>
      <c r="B306" s="43"/>
      <c r="C306" s="43"/>
      <c r="D306" s="43"/>
      <c r="E306" s="43"/>
      <c r="F306" s="43"/>
      <c r="G306" s="43"/>
      <c r="H306" s="43"/>
      <c r="I306" s="43"/>
      <c r="J306" s="43"/>
    </row>
    <row r="307" spans="1:10" s="3" customFormat="1" ht="11.25" customHeight="1">
      <c r="A307" s="42"/>
      <c r="B307" s="43"/>
      <c r="C307" s="43"/>
      <c r="D307" s="43"/>
      <c r="E307" s="43"/>
      <c r="F307" s="43"/>
      <c r="G307" s="43"/>
      <c r="H307" s="43"/>
      <c r="I307" s="43"/>
      <c r="J307" s="43"/>
    </row>
    <row r="308" spans="1:10" s="3" customFormat="1" ht="11.25" customHeight="1">
      <c r="A308" s="42"/>
      <c r="B308" s="43"/>
      <c r="C308" s="43"/>
      <c r="D308" s="43"/>
      <c r="E308" s="43"/>
      <c r="F308" s="43"/>
      <c r="G308" s="43"/>
      <c r="H308" s="43"/>
      <c r="I308" s="43"/>
      <c r="J308" s="43"/>
    </row>
    <row r="309" spans="1:10" s="3" customFormat="1" ht="11.25" customHeight="1">
      <c r="A309" s="42"/>
      <c r="B309" s="43"/>
      <c r="C309" s="43"/>
      <c r="D309" s="43"/>
      <c r="E309" s="43"/>
      <c r="F309" s="43"/>
      <c r="G309" s="43"/>
      <c r="H309" s="43"/>
      <c r="I309" s="43"/>
      <c r="J309" s="43"/>
    </row>
    <row r="310" spans="1:10" s="3" customFormat="1" ht="11.25" customHeight="1">
      <c r="A310" s="42"/>
      <c r="B310" s="43"/>
      <c r="C310" s="43"/>
      <c r="D310" s="43"/>
      <c r="E310" s="43"/>
      <c r="F310" s="43"/>
      <c r="G310" s="43"/>
      <c r="H310" s="43"/>
      <c r="I310" s="43"/>
      <c r="J310" s="43"/>
    </row>
    <row r="311" s="3" customFormat="1" ht="11.25" customHeight="1">
      <c r="A311" s="42"/>
    </row>
    <row r="312" s="3" customFormat="1" ht="11.25" customHeight="1">
      <c r="A312" s="42"/>
    </row>
    <row r="313" s="3" customFormat="1" ht="11.25" customHeight="1">
      <c r="A313" s="42"/>
    </row>
    <row r="314" s="3" customFormat="1" ht="11.25" customHeight="1">
      <c r="A314" s="42"/>
    </row>
    <row r="315" s="3" customFormat="1" ht="11.25" customHeight="1">
      <c r="A315" s="42"/>
    </row>
    <row r="316" s="3" customFormat="1" ht="11.25" customHeight="1">
      <c r="A316" s="42"/>
    </row>
    <row r="317" s="3" customFormat="1" ht="11.25" customHeight="1">
      <c r="A317" s="42"/>
    </row>
    <row r="318" s="3" customFormat="1" ht="11.25" customHeight="1">
      <c r="A318" s="42"/>
    </row>
    <row r="319" s="3" customFormat="1" ht="11.25" customHeight="1">
      <c r="A319" s="42"/>
    </row>
    <row r="320" s="3" customFormat="1" ht="11.25" customHeight="1">
      <c r="A320" s="42"/>
    </row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</sheetData>
  <mergeCells count="2">
    <mergeCell ref="A1:J1"/>
    <mergeCell ref="A262:G262"/>
  </mergeCells>
  <conditionalFormatting sqref="C256:C258 D255:J258 B255:B258 D250:J253 B260:J260 D240:J243 D245:J248 C241:C243 B240:B243 C246:C248 B245:B248 C251:C253 B250:B253 B189 D189:J189 D236:J238 D200:J203 D205:J208 D216:J218 D221:J223 D226:J228 D231:J233 C201:C203 B200:B203 C206:C208 B205:B208 C217:C218 C220:J220 B216:B218 C222:C223 C225:J225 B220:B223 C227:C228 C230:J230 B225:B228 C232:C233 C235:J235 B230:B233 C237:C238 B235:B238 B192:J193 B215:J215 B210:B212 C211:C212 D210:J212 B213:J213 D180:J180 B183:J184 B177 B180 B173:J174 D177:J177 B159:J160 I65 B163:B166 C164:C166 D163:J166 B156 C154 D147:J150 B152:J153 D142:J145 C143:C145 C137:C139 B136:B139 B142:B145 C148:C150 B147:B150 D136:J139 D156:J156 D127:J130 C128:C130 B127:B130 C133 B132:B133 D132:J133 B122 D82:J85 D37:J40 I42:I44 D52:J55 D72:J75 D77:J80 D97:J100 D107:J110 C33:C35 B32:B35 D62:F65 D122:J122 C38:C40 B37:B40 C43:C45 B42:B45 J42 B47:B50 C53:C55 B52:B55 C58:C60 B57:B60 C63:C65 B62:B65 C68:C70 B67:B70 C73:C75 B72:B75 C78:C80 B77:B80 C83:C85 B82:B85 C88:C90 B87:B90 C93:C95 B92:B95 C98:C100 B97:B100 C103:C105 B102:B105 C108:C110 B107:B110 C113:C115 B112:B115 C118:C120 B117:B120 D32:J35 D47:J50 C48:C50 D112:J115 D87:J90 D67:J70 D42:H45 I45:J45 D57:J60 D92:J95 D117:J120 D102:J105 G62:G64 H62:H65 J62:J65 I62:I63 D168:J169 B168:B169 I16:J25">
    <cfRule type="expression" priority="1" dxfId="0" stopIfTrue="1">
      <formula>IF(ISBLANK(B16),1,0)</formula>
    </cfRule>
  </conditionalFormatting>
  <printOptions horizontalCentered="1"/>
  <pageMargins left="0.3937007874015748" right="0.3937007874015748" top="0.984251968503937" bottom="0.7874015748031497" header="0.3937007874015748" footer="0.3937007874015748"/>
  <pageSetup horizontalDpi="600" verticalDpi="600" orientation="landscape" paperSize="9" r:id="rId2"/>
  <headerFooter alignWithMargins="0">
    <oddHeader>&amp;L&amp;8
Affaires suisses directes
Indications concernant la fortune liée
&amp;C&amp;"Arial,Fett"&amp;8Assurance dommages 2006
&amp;R&amp;8
AS15A</oddHeader>
  </headerFooter>
  <rowBreaks count="8" manualBreakCount="8">
    <brk id="35" max="255" man="1"/>
    <brk id="60" max="255" man="1"/>
    <brk id="105" max="255" man="1"/>
    <brk id="122" max="255" man="1"/>
    <brk id="145" max="255" man="1"/>
    <brk id="169" max="255" man="1"/>
    <brk id="193" max="255" man="1"/>
    <brk id="2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Loosli Guido BPV</cp:lastModifiedBy>
  <cp:lastPrinted>2007-11-26T10:26:07Z</cp:lastPrinted>
  <dcterms:created xsi:type="dcterms:W3CDTF">1998-06-30T12:23:00Z</dcterms:created>
  <dcterms:modified xsi:type="dcterms:W3CDTF">2007-11-26T10:26:22Z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785752910</vt:i4>
  </property>
  <property fmtid="{D5CDD505-2E9C-101B-9397-08002B2CF9AE}" pid="4" name="_EmailSubje">
    <vt:lpwstr>Änderungsanträge gem Tel-Gespräch </vt:lpwstr>
  </property>
  <property fmtid="{D5CDD505-2E9C-101B-9397-08002B2CF9AE}" pid="5" name="_AuthorEma">
    <vt:lpwstr>Guido.Loosli@bpv.admin.ch</vt:lpwstr>
  </property>
  <property fmtid="{D5CDD505-2E9C-101B-9397-08002B2CF9AE}" pid="6" name="_AuthorEmailDisplayNa">
    <vt:lpwstr>Loosli Guido BPV</vt:lpwstr>
  </property>
</Properties>
</file>