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1595" windowHeight="6150" tabRatio="816" activeTab="0"/>
  </bookViews>
  <sheets>
    <sheet name="Aggrégation" sheetId="1" r:id="rId1"/>
    <sheet name="Totalisation par assureur" sheetId="2" r:id="rId2"/>
    <sheet name="Allianz Suisse" sheetId="3" r:id="rId3"/>
    <sheet name="Axa" sheetId="4" r:id="rId4"/>
    <sheet name="Basler" sheetId="5" r:id="rId5"/>
    <sheet name="Generali" sheetId="6" r:id="rId6"/>
    <sheet name="Genevoise" sheetId="7" r:id="rId7"/>
    <sheet name="Mobiliar" sheetId="8" r:id="rId8"/>
    <sheet name="National" sheetId="9" r:id="rId9"/>
    <sheet name="Patria" sheetId="10" r:id="rId10"/>
    <sheet name="Pax" sheetId="11" r:id="rId11"/>
    <sheet name="Phenix" sheetId="12" r:id="rId12"/>
    <sheet name="Rentenanstalt" sheetId="13" r:id="rId13"/>
    <sheet name="Winterthur" sheetId="14" r:id="rId14"/>
    <sheet name="Zenith" sheetId="15" r:id="rId15"/>
    <sheet name="Zuerich" sheetId="16" r:id="rId16"/>
    <sheet name="Schéma de publication vide" sheetId="17" r:id="rId17"/>
  </sheets>
  <definedNames>
    <definedName name="AggrAuswahl">'Aggrégation'!$F$2:$G$15</definedName>
    <definedName name="_xlnm.Print_Titles" localSheetId="1">'Totalisation par assureur'!$A:$B</definedName>
  </definedNames>
  <calcPr fullCalcOnLoad="1"/>
</workbook>
</file>

<file path=xl/sharedStrings.xml><?xml version="1.0" encoding="utf-8"?>
<sst xmlns="http://schemas.openxmlformats.org/spreadsheetml/2006/main" count="1731" uniqueCount="134">
  <si>
    <t>a</t>
  </si>
  <si>
    <t>b</t>
  </si>
  <si>
    <t>c</t>
  </si>
  <si>
    <t>d</t>
  </si>
  <si>
    <t>=Z17S3+Z18S3+Z19S3</t>
  </si>
  <si>
    <t>=Z13S-Z19S-Z20S-Z22S+Z26S-Z27S+Z28S+Z29S</t>
  </si>
  <si>
    <t>=Z31S</t>
  </si>
  <si>
    <t>=Z37S3+Z38S3</t>
  </si>
  <si>
    <t>1.</t>
  </si>
  <si>
    <t>=Z26S</t>
  </si>
  <si>
    <t>2.</t>
  </si>
  <si>
    <t>3.</t>
  </si>
  <si>
    <t>4.</t>
  </si>
  <si>
    <t>=Z42S/((Z45S3+Z46S3)/2)</t>
  </si>
  <si>
    <t>5.</t>
  </si>
  <si>
    <t>=(Z42S+(Z46S4-Z46S3)-(Z45S4-Z45S3))/((Z45S+Z46S4)/2)</t>
  </si>
  <si>
    <t>6.</t>
  </si>
  <si>
    <t>7.</t>
  </si>
  <si>
    <t>8.</t>
  </si>
  <si>
    <t>9.</t>
  </si>
  <si>
    <t>=Z71S3/Z70S3</t>
  </si>
  <si>
    <t>=Z73S+Z74S</t>
  </si>
  <si>
    <t>=(a) =Z30S-Z31S</t>
  </si>
  <si>
    <t>=Z35S+Z36S-Z38S</t>
  </si>
  <si>
    <t>Patria</t>
  </si>
  <si>
    <t>Pax</t>
  </si>
  <si>
    <t>Zenith</t>
  </si>
  <si>
    <t>Rentenanstalt</t>
  </si>
  <si>
    <t>Mobiliar</t>
  </si>
  <si>
    <t>National</t>
  </si>
  <si>
    <t>Phenix</t>
  </si>
  <si>
    <t>Allianz Suisse</t>
  </si>
  <si>
    <t>Axa</t>
  </si>
  <si>
    <t>Basler</t>
  </si>
  <si>
    <t>Generali</t>
  </si>
  <si>
    <t>Genevoise</t>
  </si>
  <si>
    <t>Winterthur</t>
  </si>
  <si>
    <t>Zuerich</t>
  </si>
  <si>
    <t>En 1000 CHF</t>
  </si>
  <si>
    <t>Valeur 
comptable</t>
  </si>
  <si>
    <t>Allianz Leben</t>
  </si>
  <si>
    <t>Axa Vie</t>
  </si>
  <si>
    <t>Basler Leben</t>
  </si>
  <si>
    <t>Generali Personen</t>
  </si>
  <si>
    <t>Genevoise Vie</t>
  </si>
  <si>
    <t>Mobiliar Leben</t>
  </si>
  <si>
    <t>National Leben</t>
  </si>
  <si>
    <t>Helvetia Leben ex Patria</t>
  </si>
  <si>
    <t>Winterthur Leben</t>
  </si>
  <si>
    <t>Phenix Vie</t>
  </si>
  <si>
    <t>Zürich Leben</t>
  </si>
  <si>
    <t>Schéma de publication aux institutions de prévoyance</t>
  </si>
  <si>
    <t>Pré-colonne</t>
  </si>
  <si>
    <t>Col. principale</t>
  </si>
  <si>
    <t>I.  Données d'après le compte d'exploitation</t>
  </si>
  <si>
    <t>Encaissement des primes brutes acquises, réparti selon:</t>
  </si>
  <si>
    <t>Primes d'épargne</t>
  </si>
  <si>
    <t>Primes de risque.</t>
  </si>
  <si>
    <t>Primes de frais</t>
  </si>
  <si>
    <t>- Répartition selon les exigences du compte d'exploitation</t>
  </si>
  <si>
    <t>- Les primes des plans enveloppants sont à catégoriser aussi correctement que possible</t>
  </si>
  <si>
    <t>Prestation d'assurance</t>
  </si>
  <si>
    <t>Prestation en cas de vieillesse, de décès ou d'invalidité</t>
  </si>
  <si>
    <t>Prestations de libre passage</t>
  </si>
  <si>
    <t>Valeurs de rachat suite à des résiliations de contrat</t>
  </si>
  <si>
    <t>Variation des provisions actuarielles</t>
  </si>
  <si>
    <t>(y inclure les renforcements ; augmentation = +)</t>
  </si>
  <si>
    <t>Frais d'acquisition, de traitement des prestations et de gestion</t>
  </si>
  <si>
    <t>Produits des placements de capitaux</t>
  </si>
  <si>
    <t>Bruts, y compris bénéfices et pertes comptables</t>
  </si>
  <si>
    <t>ainsi que bénéfices et pertes réalisés</t>
  </si>
  <si>
    <t>Charges pour la gestion de la fortune</t>
  </si>
  <si>
    <t>Distribution du sur-rendement selon dispositions individuelles du contrat</t>
  </si>
  <si>
    <t>Résultat de la réassurance</t>
  </si>
  <si>
    <t>Autres produits moins charges (regroupé)</t>
  </si>
  <si>
    <t>Résultat avant attribution au fonds d'excédents</t>
  </si>
  <si>
    <t>Participation aux excédents attribuée au fonds d'excédents</t>
  </si>
  <si>
    <t>Résultat du compte d'exploitation</t>
  </si>
  <si>
    <t>II.  Fonds d'excédents</t>
  </si>
  <si>
    <t>Etat à la fin de l'exercice précédent</t>
  </si>
  <si>
    <t>Attribution du compte d'exploitation au fonds d'excédents</t>
  </si>
  <si>
    <t>Prélevé du fonds d'excédents pour couvrir un déficit du compte d'exploit.</t>
  </si>
  <si>
    <t>Distribué aux institutions de prévoyance</t>
  </si>
  <si>
    <t>Etat à la fin de l'exercice comptable</t>
  </si>
  <si>
    <t>III.  Autres chiffres indicatifs</t>
  </si>
  <si>
    <t>Produit net des placements de capitaux</t>
  </si>
  <si>
    <t>Total des placements de capitaux au début de l'exercice</t>
  </si>
  <si>
    <t>Total des placements de capitaux à la fin de l'exercice</t>
  </si>
  <si>
    <t>Rendement sur valeurs comptables ( = 1 en % de [c2 + c3] / 2 )</t>
  </si>
  <si>
    <t>Rendement sur valeurs de marché</t>
  </si>
  <si>
    <t>( = 1 + [d3 - c3] - [d2 - c2] en %  [d2 + d3] / 2 )</t>
  </si>
  <si>
    <t>Répartition des placements de capitaux en %:</t>
  </si>
  <si>
    <t>Liquidités et dépôts à terme</t>
  </si>
  <si>
    <t>Titres à taux d'intérêt fixe</t>
  </si>
  <si>
    <t>Hypothèques et autres créances nominales</t>
  </si>
  <si>
    <t>Actions et parts de fonds de placement</t>
  </si>
  <si>
    <t>Private Equity et Hedge Funds</t>
  </si>
  <si>
    <t>Placements dans des participations et des entreprises liées</t>
  </si>
  <si>
    <t>Immeubles</t>
  </si>
  <si>
    <t>Autres placements de capitaux</t>
  </si>
  <si>
    <t>Provisions actuarielles brutes en fin d'exercice</t>
  </si>
  <si>
    <t>Nombre d'assurés en fin d'exercice</t>
  </si>
  <si>
    <t>Frais</t>
  </si>
  <si>
    <t>Frais totaux par personne</t>
  </si>
  <si>
    <t>IV.  Preuves du respect de la quote-part minimum</t>
  </si>
  <si>
    <t>Données concernant les affaires soumises à la quote-part minimum</t>
  </si>
  <si>
    <t>Produit total brut</t>
  </si>
  <si>
    <t>Prestations en faveur des assurés</t>
  </si>
  <si>
    <t>Résutat du compte d'exploitation</t>
  </si>
  <si>
    <t>Part des affaires soumises à la quote-part minimum</t>
  </si>
  <si>
    <t>Part des affaires non soumises à la quote-part minimum</t>
  </si>
  <si>
    <t>Prévoyance professionnelle total,  = (a)</t>
  </si>
  <si>
    <t>Part en %</t>
  </si>
  <si>
    <t>Valeur 
de marché</t>
  </si>
  <si>
    <r>
      <t xml:space="preserve">Données en </t>
    </r>
    <r>
      <rPr>
        <b/>
        <sz val="10"/>
        <rFont val="Arial"/>
        <family val="2"/>
      </rPr>
      <t>1000 CHF</t>
    </r>
    <r>
      <rPr>
        <sz val="10"/>
        <rFont val="Arial"/>
        <family val="0"/>
      </rPr>
      <t>, d'après la taille de l'entreprise,</t>
    </r>
  </si>
  <si>
    <t>selon comptabilité statutaire</t>
  </si>
  <si>
    <t>Schéma de publication vide</t>
  </si>
  <si>
    <t>=SOMME(Z53S3:Z60S3)</t>
  </si>
  <si>
    <t>= Produit net des placements de capitaux = Z25S3-Z26S3</t>
  </si>
  <si>
    <t>Col. princip.</t>
  </si>
  <si>
    <t>Val. compt.</t>
  </si>
  <si>
    <t>Val. de marché</t>
  </si>
  <si>
    <t>Total</t>
  </si>
  <si>
    <t>Choix</t>
  </si>
  <si>
    <t>Prévoyance professionnelle total</t>
  </si>
  <si>
    <r>
      <t xml:space="preserve">Données en </t>
    </r>
    <r>
      <rPr>
        <b/>
        <sz val="10"/>
        <rFont val="Arial"/>
        <family val="2"/>
      </rPr>
      <t>1000 CHF</t>
    </r>
    <r>
      <rPr>
        <sz val="10"/>
        <rFont val="Arial"/>
        <family val="0"/>
      </rPr>
      <t>, selon comptabilité statutaire</t>
    </r>
  </si>
  <si>
    <r>
      <t xml:space="preserve">Données en </t>
    </r>
    <r>
      <rPr>
        <b/>
        <sz val="10"/>
        <rFont val="Arial"/>
        <family val="2"/>
      </rPr>
      <t>1000 CHF</t>
    </r>
    <r>
      <rPr>
        <sz val="10"/>
        <rFont val="Arial"/>
        <family val="2"/>
      </rPr>
      <t>, selon comptabilité statutaire</t>
    </r>
  </si>
  <si>
    <t>TOTALISATION par assureur-vie avec prévoyance professionnelle</t>
  </si>
  <si>
    <t>Aggrégation selon le choix</t>
  </si>
  <si>
    <t>1 = choisi, 0 = omis</t>
  </si>
  <si>
    <t>Prévoyance professionnelle 2005</t>
  </si>
  <si>
    <t>AXA Vie</t>
  </si>
  <si>
    <t>Helvetia Leben (ex Patria)</t>
  </si>
  <si>
    <t>Zenith Vie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</si>
</sst>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%;;&quot;- &quot;"/>
    <numFmt numFmtId="165" formatCode="0.0%;;&quot;- &quot;"/>
    <numFmt numFmtId="166" formatCode="0%;;&quot;- &quot;"/>
    <numFmt numFmtId="167" formatCode="[Blue]0;;[Black]0"/>
    <numFmt numFmtId="168" formatCode="0;;0"/>
    <numFmt numFmtId="169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8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medium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2" fillId="0" borderId="0" xfId="0" applyFont="1" applyAlignment="1" quotePrefix="1">
      <alignment/>
    </xf>
    <xf numFmtId="3" fontId="3" fillId="4" borderId="0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quotePrefix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quotePrefix="1">
      <alignment horizontal="right"/>
    </xf>
    <xf numFmtId="0" fontId="0" fillId="0" borderId="0" xfId="0" applyAlignment="1" quotePrefix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11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165" fontId="3" fillId="5" borderId="6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3" fontId="1" fillId="7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1" fillId="2" borderId="13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3" fillId="3" borderId="20" xfId="0" applyNumberFormat="1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0" fontId="0" fillId="0" borderId="18" xfId="0" applyBorder="1" applyAlignment="1" quotePrefix="1">
      <alignment horizontal="right"/>
    </xf>
    <xf numFmtId="3" fontId="3" fillId="5" borderId="19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5" fontId="3" fillId="5" borderId="19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1" fillId="2" borderId="20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 quotePrefix="1">
      <alignment horizontal="right"/>
    </xf>
    <xf numFmtId="3" fontId="3" fillId="5" borderId="28" xfId="0" applyNumberFormat="1" applyFont="1" applyFill="1" applyBorder="1" applyAlignment="1">
      <alignment horizontal="right"/>
    </xf>
    <xf numFmtId="3" fontId="1" fillId="7" borderId="28" xfId="0" applyNumberFormat="1" applyFont="1" applyFill="1" applyBorder="1" applyAlignment="1">
      <alignment horizontal="right"/>
    </xf>
    <xf numFmtId="165" fontId="1" fillId="2" borderId="29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3" fontId="3" fillId="6" borderId="30" xfId="0" applyNumberFormat="1" applyFont="1" applyFill="1" applyBorder="1" applyAlignment="1">
      <alignment horizontal="right"/>
    </xf>
    <xf numFmtId="3" fontId="3" fillId="6" borderId="24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3" fontId="3" fillId="4" borderId="31" xfId="0" applyNumberFormat="1" applyFont="1" applyFill="1" applyBorder="1" applyAlignment="1">
      <alignment horizontal="right"/>
    </xf>
    <xf numFmtId="3" fontId="3" fillId="4" borderId="28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3" fontId="3" fillId="4" borderId="24" xfId="0" applyNumberFormat="1" applyFont="1" applyFill="1" applyBorder="1" applyAlignment="1">
      <alignment horizontal="right"/>
    </xf>
    <xf numFmtId="3" fontId="1" fillId="2" borderId="31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9" borderId="0" xfId="0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7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38" xfId="0" applyFill="1" applyBorder="1" applyAlignment="1">
      <alignment horizontal="right"/>
    </xf>
    <xf numFmtId="0" fontId="0" fillId="9" borderId="39" xfId="0" applyFill="1" applyBorder="1" applyAlignment="1">
      <alignment horizontal="right"/>
    </xf>
    <xf numFmtId="0" fontId="0" fillId="9" borderId="22" xfId="0" applyFill="1" applyBorder="1" applyAlignment="1">
      <alignment horizontal="right"/>
    </xf>
    <xf numFmtId="0" fontId="0" fillId="9" borderId="21" xfId="0" applyFill="1" applyBorder="1" applyAlignment="1">
      <alignment horizontal="right"/>
    </xf>
    <xf numFmtId="3" fontId="3" fillId="3" borderId="33" xfId="0" applyNumberFormat="1" applyFont="1" applyFill="1" applyBorder="1" applyAlignment="1">
      <alignment horizontal="right"/>
    </xf>
    <xf numFmtId="3" fontId="3" fillId="3" borderId="40" xfId="0" applyNumberFormat="1" applyFont="1" applyFill="1" applyBorder="1" applyAlignment="1">
      <alignment horizontal="right"/>
    </xf>
    <xf numFmtId="0" fontId="2" fillId="9" borderId="0" xfId="0" applyFont="1" applyFill="1" applyAlignment="1" quotePrefix="1">
      <alignment/>
    </xf>
    <xf numFmtId="3" fontId="0" fillId="0" borderId="4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3" fillId="4" borderId="42" xfId="0" applyNumberFormat="1" applyFont="1" applyFill="1" applyBorder="1" applyAlignment="1">
      <alignment horizontal="right"/>
    </xf>
    <xf numFmtId="3" fontId="3" fillId="4" borderId="43" xfId="0" applyNumberFormat="1" applyFont="1" applyFill="1" applyBorder="1" applyAlignment="1">
      <alignment horizontal="right"/>
    </xf>
    <xf numFmtId="3" fontId="3" fillId="4" borderId="44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0" fontId="0" fillId="9" borderId="0" xfId="0" applyFill="1" applyAlignment="1" quotePrefix="1">
      <alignment/>
    </xf>
    <xf numFmtId="0" fontId="0" fillId="9" borderId="22" xfId="0" applyFill="1" applyBorder="1" applyAlignment="1" quotePrefix="1">
      <alignment horizontal="right"/>
    </xf>
    <xf numFmtId="3" fontId="3" fillId="5" borderId="24" xfId="0" applyNumberFormat="1" applyFont="1" applyFill="1" applyBorder="1" applyAlignment="1">
      <alignment horizontal="right"/>
    </xf>
    <xf numFmtId="3" fontId="1" fillId="2" borderId="31" xfId="0" applyNumberFormat="1" applyFont="1" applyFill="1" applyBorder="1" applyAlignment="1" quotePrefix="1">
      <alignment horizontal="right"/>
    </xf>
    <xf numFmtId="0" fontId="0" fillId="9" borderId="21" xfId="0" applyFill="1" applyBorder="1" applyAlignment="1" quotePrefix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3" fillId="5" borderId="32" xfId="0" applyNumberFormat="1" applyFont="1" applyFill="1" applyBorder="1" applyAlignment="1">
      <alignment horizontal="right"/>
    </xf>
    <xf numFmtId="0" fontId="0" fillId="9" borderId="0" xfId="0" applyFill="1" applyBorder="1" applyAlignment="1" quotePrefix="1">
      <alignment/>
    </xf>
    <xf numFmtId="165" fontId="3" fillId="5" borderId="33" xfId="0" applyNumberFormat="1" applyFont="1" applyFill="1" applyBorder="1" applyAlignment="1">
      <alignment horizontal="right"/>
    </xf>
    <xf numFmtId="165" fontId="3" fillId="5" borderId="12" xfId="0" applyNumberFormat="1" applyFont="1" applyFill="1" applyBorder="1" applyAlignment="1">
      <alignment horizontal="right"/>
    </xf>
    <xf numFmtId="165" fontId="3" fillId="5" borderId="40" xfId="0" applyNumberFormat="1" applyFont="1" applyFill="1" applyBorder="1" applyAlignment="1">
      <alignment horizontal="right"/>
    </xf>
    <xf numFmtId="3" fontId="1" fillId="7" borderId="24" xfId="0" applyNumberFormat="1" applyFont="1" applyFill="1" applyBorder="1" applyAlignment="1">
      <alignment horizontal="right"/>
    </xf>
    <xf numFmtId="3" fontId="1" fillId="2" borderId="40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 quotePrefix="1">
      <alignment horizontal="right"/>
    </xf>
    <xf numFmtId="3" fontId="1" fillId="2" borderId="21" xfId="0" applyNumberFormat="1" applyFont="1" applyFill="1" applyBorder="1" applyAlignment="1" quotePrefix="1">
      <alignment horizontal="right"/>
    </xf>
    <xf numFmtId="3" fontId="1" fillId="2" borderId="45" xfId="0" applyNumberFormat="1" applyFont="1" applyFill="1" applyBorder="1" applyAlignment="1">
      <alignment/>
    </xf>
    <xf numFmtId="0" fontId="0" fillId="9" borderId="46" xfId="0" applyFill="1" applyBorder="1" applyAlignment="1">
      <alignment/>
    </xf>
    <xf numFmtId="0" fontId="0" fillId="9" borderId="47" xfId="0" applyFill="1" applyBorder="1" applyAlignment="1">
      <alignment/>
    </xf>
    <xf numFmtId="169" fontId="1" fillId="2" borderId="13" xfId="0" applyNumberFormat="1" applyFont="1" applyFill="1" applyBorder="1" applyAlignment="1">
      <alignment horizontal="right"/>
    </xf>
    <xf numFmtId="169" fontId="1" fillId="2" borderId="2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20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68" fontId="4" fillId="2" borderId="1" xfId="0" applyNumberFormat="1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3" fillId="10" borderId="5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1" fillId="9" borderId="52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3" fillId="11" borderId="52" xfId="0" applyFont="1" applyFill="1" applyBorder="1" applyAlignment="1">
      <alignment horizontal="center"/>
    </xf>
    <xf numFmtId="0" fontId="3" fillId="11" borderId="5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17"/>
  </sheetPr>
  <dimension ref="A1:H78"/>
  <sheetViews>
    <sheetView tabSelected="1"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  <col min="7" max="7" width="4.00390625" style="0" customWidth="1"/>
    <col min="8" max="8" width="3.57421875" style="0" customWidth="1"/>
  </cols>
  <sheetData>
    <row r="1" spans="1:8" ht="12.75">
      <c r="A1" s="38" t="s">
        <v>130</v>
      </c>
      <c r="F1" s="127" t="s">
        <v>123</v>
      </c>
      <c r="G1" s="128"/>
      <c r="H1" s="129"/>
    </row>
    <row r="2" spans="1:8" ht="12.75">
      <c r="A2" t="s">
        <v>51</v>
      </c>
      <c r="F2" s="36" t="s">
        <v>31</v>
      </c>
      <c r="G2" s="122">
        <v>1</v>
      </c>
      <c r="H2" s="124" t="s">
        <v>129</v>
      </c>
    </row>
    <row r="3" spans="1:8" ht="12.75">
      <c r="A3" s="118" t="s">
        <v>128</v>
      </c>
      <c r="B3" s="119"/>
      <c r="F3" s="36" t="s">
        <v>32</v>
      </c>
      <c r="G3" s="122">
        <v>1</v>
      </c>
      <c r="H3" s="125"/>
    </row>
    <row r="4" spans="6:8" ht="12.75">
      <c r="F4" s="36" t="s">
        <v>33</v>
      </c>
      <c r="G4" s="122">
        <v>1</v>
      </c>
      <c r="H4" s="125"/>
    </row>
    <row r="5" spans="1:8" ht="12.75">
      <c r="A5" t="s">
        <v>125</v>
      </c>
      <c r="F5" s="36" t="s">
        <v>34</v>
      </c>
      <c r="G5" s="122">
        <v>1</v>
      </c>
      <c r="H5" s="125"/>
    </row>
    <row r="6" spans="6:8" ht="12.75">
      <c r="F6" s="36" t="s">
        <v>35</v>
      </c>
      <c r="G6" s="122">
        <v>1</v>
      </c>
      <c r="H6" s="125"/>
    </row>
    <row r="7" spans="1:8" ht="12.75">
      <c r="A7" t="s">
        <v>0</v>
      </c>
      <c r="B7" t="s">
        <v>1</v>
      </c>
      <c r="C7" s="2" t="s">
        <v>2</v>
      </c>
      <c r="D7" s="2" t="s">
        <v>3</v>
      </c>
      <c r="F7" s="36" t="s">
        <v>28</v>
      </c>
      <c r="G7" s="122">
        <v>1</v>
      </c>
      <c r="H7" s="125"/>
    </row>
    <row r="8" spans="3:8" ht="12.75">
      <c r="C8" s="3" t="s">
        <v>52</v>
      </c>
      <c r="D8" s="3" t="s">
        <v>53</v>
      </c>
      <c r="F8" s="36" t="s">
        <v>29</v>
      </c>
      <c r="G8" s="122">
        <v>1</v>
      </c>
      <c r="H8" s="125"/>
    </row>
    <row r="9" spans="1:8" ht="12.75">
      <c r="A9" s="1" t="s">
        <v>54</v>
      </c>
      <c r="F9" s="36" t="s">
        <v>24</v>
      </c>
      <c r="G9" s="122">
        <v>1</v>
      </c>
      <c r="H9" s="125"/>
    </row>
    <row r="10" spans="1:8" ht="12.75">
      <c r="A10" t="s">
        <v>55</v>
      </c>
      <c r="C10" s="2"/>
      <c r="D10" s="2"/>
      <c r="F10" s="36" t="s">
        <v>25</v>
      </c>
      <c r="G10" s="122">
        <v>1</v>
      </c>
      <c r="H10" s="125"/>
    </row>
    <row r="11" spans="2:8" ht="12.75">
      <c r="B11" t="s">
        <v>56</v>
      </c>
      <c r="C11" s="4">
        <f>$D$13-C$12-C$13</f>
        <v>15837340.38987941</v>
      </c>
      <c r="D11" s="2"/>
      <c r="F11" s="36" t="s">
        <v>30</v>
      </c>
      <c r="G11" s="122">
        <v>1</v>
      </c>
      <c r="H11" s="125"/>
    </row>
    <row r="12" spans="2:8" ht="12.75">
      <c r="B12" t="s">
        <v>57</v>
      </c>
      <c r="C12" s="6">
        <f>$G$2*'Allianz Suisse'!C12+$G$3*Axa!C12+$G$4*Basler!C12+$G$5*Generali!C12+$G$6*Genevoise!C12+$G$7*Mobiliar!C12+$G$8*National!C12+$G$9*Patria!C12+$G$10*Pax!C12+$G$11*Phenix!C12+$G$12*Rentenanstalt!C12+$G$13*Winterthur!C12+$G$14*Zenith!C12+$G$15*Zuerich!C12</f>
        <v>2945283.425955816</v>
      </c>
      <c r="D12" s="2"/>
      <c r="F12" s="36" t="s">
        <v>27</v>
      </c>
      <c r="G12" s="122">
        <v>1</v>
      </c>
      <c r="H12" s="125"/>
    </row>
    <row r="13" spans="2:8" ht="13.5" thickBot="1">
      <c r="B13" t="s">
        <v>58</v>
      </c>
      <c r="C13" s="7">
        <f>$G$2*'Allianz Suisse'!C13+$G$3*Axa!C13+$G$4*Basler!C13+$G$5*Generali!C13+$G$6*Genevoise!C13+$G$7*Mobiliar!C13+$G$8*National!C13+$G$9*Patria!C13+$G$10*Pax!C13+$G$11*Phenix!C13+$G$12*Rentenanstalt!C13+$G$13*Winterthur!C13+$G$14*Zenith!C13+$G$15*Zuerich!C13</f>
        <v>876404.2208947728</v>
      </c>
      <c r="D13" s="8">
        <f>$G$2*'Allianz Suisse'!D13+$G$3*Axa!D13+$G$4*Basler!D13+$G$5*Generali!D13+$G$6*Genevoise!D13+$G$7*Mobiliar!D13+$G$8*National!D13+$G$9*Patria!D13+$G$10*Pax!D13+$G$11*Phenix!D13+$G$12*Rentenanstalt!D13+$G$13*Winterthur!D13+$G$14*Zenith!D13+$G$15*Zuerich!D13</f>
        <v>19659028.03673</v>
      </c>
      <c r="F13" s="36" t="s">
        <v>36</v>
      </c>
      <c r="G13" s="122">
        <v>1</v>
      </c>
      <c r="H13" s="125"/>
    </row>
    <row r="14" spans="2:8" ht="12.75">
      <c r="B14" s="9" t="s">
        <v>59</v>
      </c>
      <c r="C14" s="2"/>
      <c r="D14" s="2"/>
      <c r="F14" s="36" t="s">
        <v>26</v>
      </c>
      <c r="G14" s="122">
        <v>1</v>
      </c>
      <c r="H14" s="125"/>
    </row>
    <row r="15" spans="2:8" ht="12.75">
      <c r="B15" s="9" t="s">
        <v>60</v>
      </c>
      <c r="C15" s="2"/>
      <c r="D15" s="2"/>
      <c r="F15" s="37" t="s">
        <v>37</v>
      </c>
      <c r="G15" s="123">
        <v>1</v>
      </c>
      <c r="H15" s="126"/>
    </row>
    <row r="16" spans="1:4" ht="12.75">
      <c r="A16" t="s">
        <v>61</v>
      </c>
      <c r="C16" s="2"/>
      <c r="D16" s="2">
        <f>$G$2*'Allianz Suisse'!D16+$G$3*Axa!D16+$G$4*Basler!D16+$G$5*Generali!D16+$G$6*Genevoise!D16+$G$7*Mobiliar!D16+$G$8*National!D16+$G$9*Patria!D16+$G$10*Pax!D16+$G$11*Phenix!D16+$G$12*Rentenanstalt!D16+$G$13*Winterthur!D16+$G$14*Zenith!D16+$G$15*Zuerich!D16</f>
        <v>0</v>
      </c>
    </row>
    <row r="17" spans="2:4" ht="12.75">
      <c r="B17" t="s">
        <v>62</v>
      </c>
      <c r="C17" s="10">
        <f>$G$2*'Allianz Suisse'!C17+$G$3*Axa!C17+$G$4*Basler!C17+$G$5*Generali!C17+$G$6*Genevoise!C17+$G$7*Mobiliar!C17+$G$8*National!C17+$G$9*Patria!C17+$G$10*Pax!C17+$G$11*Phenix!C17+$G$12*Rentenanstalt!C17+$G$13*Winterthur!C17+$G$14*Zenith!C17+$G$15*Zuerich!C17</f>
        <v>4522802.026529999</v>
      </c>
      <c r="D17" s="2"/>
    </row>
    <row r="18" spans="2:4" ht="12.75">
      <c r="B18" t="s">
        <v>63</v>
      </c>
      <c r="C18" s="11">
        <f>$G$2*'Allianz Suisse'!C18+$G$3*Axa!C18+$G$4*Basler!C18+$G$5*Generali!C18+$G$6*Genevoise!C18+$G$7*Mobiliar!C18+$G$8*National!C18+$G$9*Patria!C18+$G$10*Pax!C18+$G$11*Phenix!C18+$G$12*Rentenanstalt!C18+$G$13*Winterthur!C18+$G$14*Zenith!C18+$G$15*Zuerich!C18</f>
        <v>8681665.05924</v>
      </c>
      <c r="D18" s="2"/>
    </row>
    <row r="19" spans="2:6" ht="13.5" thickBot="1">
      <c r="B19" t="s">
        <v>64</v>
      </c>
      <c r="C19" s="12">
        <f>$G$2*'Allianz Suisse'!C19+$G$3*Axa!C19+$G$4*Basler!C19+$G$5*Generali!C19+$G$6*Genevoise!C19+$G$7*Mobiliar!C19+$G$8*National!C19+$G$9*Patria!C19+$G$10*Pax!C19+$G$11*Phenix!C19+$G$12*Rentenanstalt!C19+$G$13*Winterthur!C19+$G$14*Zenith!C19+$G$15*Zuerich!C19</f>
        <v>7782836.844459999</v>
      </c>
      <c r="D19" s="4">
        <f>$C$17+$C$18+$C$19</f>
        <v>20987303.93023</v>
      </c>
      <c r="F19" s="14" t="s">
        <v>4</v>
      </c>
    </row>
    <row r="20" spans="1:4" ht="12.75">
      <c r="A20" t="s">
        <v>65</v>
      </c>
      <c r="C20" s="13"/>
      <c r="D20" s="8">
        <f>$G$2*'Allianz Suisse'!D20+$G$3*Axa!D20+$G$4*Basler!D20+$G$5*Generali!D20+$G$6*Genevoise!D20+$G$7*Mobiliar!D20+$G$8*National!D20+$G$9*Patria!D20+$G$10*Pax!D20+$G$11*Phenix!D20+$G$12*Rentenanstalt!D20+$G$13*Winterthur!D20+$G$14*Zenith!D20+$G$15*Zuerich!D20</f>
        <v>609161.282940008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f>$G$2*'Allianz Suisse'!D22+$G$3*Axa!D22+$G$4*Basler!D22+$G$5*Generali!D22+$G$6*Genevoise!D22+$G$7*Mobiliar!D22+$G$8*National!D22+$G$9*Patria!D22+$G$10*Pax!D22+$G$11*Phenix!D22+$G$12*Rentenanstalt!D22+$G$13*Winterthur!D22+$G$14*Zenith!D22+$G$15*Zuerich!D22</f>
        <v>1079606.851272591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f>$G$2*'Allianz Suisse'!C25+$G$3*Axa!C25+$G$4*Basler!C25+$G$5*Generali!C25+$G$6*Genevoise!C25+$G$7*Mobiliar!C25+$G$8*National!C25+$G$9*Patria!C25+$G$10*Pax!C25+$G$11*Phenix!C25+$G$12*Rentenanstalt!C25+$G$13*Winterthur!C25+$G$14*Zenith!C25+$G$15*Zuerich!C25</f>
        <v>4814360.34554</v>
      </c>
      <c r="D25" s="2"/>
    </row>
    <row r="26" spans="2:6" ht="13.5" thickBot="1">
      <c r="B26" t="s">
        <v>71</v>
      </c>
      <c r="C26" s="12">
        <f>$G$2*'Allianz Suisse'!C26+$G$3*Axa!C26+$G$4*Basler!C26+$G$5*Generali!C26+$G$6*Genevoise!C26+$G$7*Mobiliar!C26+$G$8*National!C26+$G$9*Patria!C26+$G$10*Pax!C26+$G$11*Phenix!C26+$G$12*Rentenanstalt!C26+$G$13*Winterthur!C26+$G$14*Zenith!C26+$G$15*Zuerich!C26</f>
        <v>365391.57105</v>
      </c>
      <c r="D26" s="4">
        <f>$C$25-$C$26</f>
        <v>4448968.77449</v>
      </c>
      <c r="F26" s="14" t="s">
        <v>118</v>
      </c>
    </row>
    <row r="27" spans="1:6" ht="12.75">
      <c r="A27" t="s">
        <v>72</v>
      </c>
      <c r="C27" s="15"/>
      <c r="D27" s="11">
        <f>$G$2*'Allianz Suisse'!D27+$G$3*Axa!D27+$G$4*Basler!D27+$G$5*Generali!D27+$G$6*Genevoise!D27+$G$7*Mobiliar!D27+$G$8*National!D27+$G$9*Patria!D27+$G$10*Pax!D27+$G$11*Phenix!D27+$G$12*Rentenanstalt!D27+$G$13*Winterthur!D27+$G$14*Zenith!D27+$G$15*Zuerich!D27</f>
        <v>71145.7143</v>
      </c>
      <c r="F27" s="14"/>
    </row>
    <row r="28" spans="1:4" ht="12.75">
      <c r="A28" t="s">
        <v>73</v>
      </c>
      <c r="C28" s="2"/>
      <c r="D28" s="11">
        <f>$G$2*'Allianz Suisse'!D28+$G$3*Axa!D28+$G$4*Basler!D28+$G$5*Generali!D28+$G$6*Genevoise!D28+$G$7*Mobiliar!D28+$G$8*National!D28+$G$9*Patria!D28+$G$10*Pax!D28+$G$11*Phenix!D28+$G$12*Rentenanstalt!D28+$G$13*Winterthur!D28+$G$14*Zenith!D28+$G$15*Zuerich!D28</f>
        <v>-28936.639309999984</v>
      </c>
    </row>
    <row r="29" spans="1:4" ht="13.5" thickBot="1">
      <c r="A29" t="s">
        <v>74</v>
      </c>
      <c r="C29" s="2"/>
      <c r="D29" s="16">
        <f>$G$2*'Allianz Suisse'!D29+$G$3*Axa!D29+$G$4*Basler!D29+$G$5*Generali!D29+$G$6*Genevoise!D29+$G$7*Mobiliar!D29+$G$8*National!D29+$G$9*Patria!D29+$G$10*Pax!D29+$G$11*Phenix!D29+$G$12*Rentenanstalt!D29+$G$13*Winterthur!D29+$G$14*Zenith!D29+$G$15*Zuerich!D29</f>
        <v>-36682.72984666673</v>
      </c>
    </row>
    <row r="30" spans="1:6" ht="12.75">
      <c r="A30" t="s">
        <v>75</v>
      </c>
      <c r="D30" s="17">
        <f>D$13-D$19-D$20-D$22+D$26-D$27+D$28+D$29</f>
        <v>1295159.6633207335</v>
      </c>
      <c r="F30" s="14" t="s">
        <v>5</v>
      </c>
    </row>
    <row r="31" spans="1:4" ht="13.5" thickBot="1">
      <c r="A31" t="s">
        <v>76</v>
      </c>
      <c r="C31" s="2"/>
      <c r="D31" s="16">
        <f>$G$2*'Allianz Suisse'!D31+$G$3*Axa!D31+$G$4*Basler!D31+$G$5*Generali!D31+$G$6*Genevoise!D31+$G$7*Mobiliar!D31+$G$8*National!D31+$G$9*Patria!D31+$G$10*Pax!D31+$G$11*Phenix!D31+$G$12*Rentenanstalt!D31+$G$13*Winterthur!D31+$G$14*Zenith!D31+$G$15*Zuerich!D31</f>
        <v>695002.1578800001</v>
      </c>
    </row>
    <row r="32" spans="1:6" ht="13.5" thickBot="1">
      <c r="A32" t="s">
        <v>77</v>
      </c>
      <c r="C32" s="2"/>
      <c r="D32" s="18">
        <f>D$30-D$31</f>
        <v>600157.5054407334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f>$G$2*'Allianz Suisse'!D35+$G$3*Axa!D35+$G$4*Basler!D35+$G$5*Generali!D35+$G$6*Genevoise!D35+$G$7*Mobiliar!D35+$G$8*National!D35+$G$9*Patria!D35+$G$10*Pax!D35+$G$11*Phenix!D35+$G$12*Rentenanstalt!D35+$G$13*Winterthur!D35+$G$14*Zenith!D35+$G$15*Zuerich!D35</f>
        <v>552969.56603</v>
      </c>
    </row>
    <row r="36" spans="1:6" ht="12.75">
      <c r="A36" t="s">
        <v>80</v>
      </c>
      <c r="D36" s="20">
        <f>D$31</f>
        <v>695002.1578800001</v>
      </c>
      <c r="F36" s="14" t="s">
        <v>6</v>
      </c>
    </row>
    <row r="37" spans="1:6" ht="12.75">
      <c r="A37" t="s">
        <v>81</v>
      </c>
      <c r="C37" s="11">
        <f>$G$2*'Allianz Suisse'!C37+$G$3*Axa!C37+$G$4*Basler!C37+$G$5*Generali!C37+$G$6*Genevoise!C37+$G$7*Mobiliar!C37+$G$8*National!C37+$G$9*Patria!C37+$G$10*Pax!C37+$G$11*Phenix!C37+$G$12*Rentenanstalt!C37+$G$13*Winterthur!C37+$G$14*Zenith!C37+$G$15*Zuerich!C37</f>
        <v>145</v>
      </c>
      <c r="D37" s="21"/>
      <c r="F37" s="14"/>
    </row>
    <row r="38" spans="1:6" ht="13.5" thickBot="1">
      <c r="A38" t="s">
        <v>82</v>
      </c>
      <c r="C38" s="12">
        <f>$G$2*'Allianz Suisse'!C38+$G$3*Axa!C38+$G$4*Basler!C38+$G$5*Generali!C38+$G$6*Genevoise!C38+$G$7*Mobiliar!C38+$G$8*National!C38+$G$9*Patria!C38+$G$10*Pax!C38+$G$11*Phenix!C38+$G$12*Rentenanstalt!C38+$G$13*Winterthur!C38+$G$14*Zenith!C38+$G$15*Zuerich!C38</f>
        <v>366801.84726</v>
      </c>
      <c r="D38" s="22">
        <f>$C$37+$C$38</f>
        <v>366946.84726</v>
      </c>
      <c r="F38" s="14" t="s">
        <v>7</v>
      </c>
    </row>
    <row r="39" spans="1:6" ht="13.5" thickBot="1">
      <c r="A39" t="s">
        <v>83</v>
      </c>
      <c r="C39" s="2"/>
      <c r="D39" s="23">
        <f>$G$2*'Allianz Suisse'!D39+$G$3*Axa!D39+$G$4*Basler!D39+$G$5*Generali!D39+$G$6*Genevoise!D39+$G$7*Mobiliar!D39+$G$8*National!D39+$G$9*Patria!D39+$G$10*Pax!D39+$G$11*Phenix!D39+$G$12*Rentenanstalt!D39+$G$13*Winterthur!D39+$G$14*Zenith!D39+$G$15*Zuerich!D39</f>
        <v>881022.75447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4448968.77449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f>$G$2*'Allianz Suisse'!C45+$G$3*Axa!C45+$G$4*Basler!C45+$G$5*Generali!C45+$G$6*Genevoise!C45+$G$7*Mobiliar!C45+$G$8*National!C45+$G$9*Patria!C45+$G$10*Pax!C45+$G$11*Phenix!C45+$G$12*Rentenanstalt!C45+$G$13*Winterthur!C45+$G$14*Zenith!C45+$G$15*Zuerich!C45</f>
        <v>125492093.41722193</v>
      </c>
      <c r="D45" s="25">
        <f>$G$2*'Allianz Suisse'!D45+$G$3*Axa!D45+$G$4*Basler!D45+$G$5*Generali!D45+$G$6*Genevoise!D45+$G$7*Mobiliar!D45+$G$8*National!D45+$G$9*Patria!D45+$G$10*Pax!D45+$G$11*Phenix!D45+$G$12*Rentenanstalt!D45+$G$13*Winterthur!D45+$G$14*Zenith!D45+$G$15*Zuerich!D45</f>
        <v>130194079.70961855</v>
      </c>
    </row>
    <row r="46" spans="1:4" ht="12.75">
      <c r="A46" s="14" t="s">
        <v>11</v>
      </c>
      <c r="B46" t="s">
        <v>87</v>
      </c>
      <c r="C46" s="26">
        <f>$G$2*'Allianz Suisse'!C46+$G$3*Axa!C46+$G$4*Basler!C46+$G$5*Generali!C46+$G$6*Genevoise!C46+$G$7*Mobiliar!C46+$G$8*National!C46+$G$9*Patria!C46+$G$10*Pax!C46+$G$11*Phenix!C46+$G$12*Rentenanstalt!C46+$G$13*Winterthur!C46+$G$14*Zenith!C46+$G$15*Zuerich!C46</f>
        <v>124981595.0228069</v>
      </c>
      <c r="D46" s="25">
        <f>$G$2*'Allianz Suisse'!D46+$G$3*Axa!D46+$G$4*Basler!D46+$G$5*Generali!D46+$G$6*Genevoise!D46+$G$7*Mobiliar!D46+$G$8*National!D46+$G$9*Patria!D46+$G$10*Pax!D46+$G$11*Phenix!D46+$G$12*Rentenanstalt!D46+$G$13*Winterthur!D46+$G$14*Zenith!D46+$G$15*Zuerich!D46</f>
        <v>130399359.31980497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0.03552444012940881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0.0396383485196517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f>($G$2*'Allianz Suisse'!C53*'Allianz Suisse'!$C$46+$G$3*Axa!C53*Axa!$C$46+$G$4*Basler!C53*Basler!$C$46+$G$5*Generali!C53*Generali!$C$46+$G$6*Genevoise!C53*Genevoise!$C$46+$G$7*Mobiliar!C53*Mobiliar!$C$46+$G$8*National!C53*National!$C$46+$G$9*Patria!C53*Patria!$C$46+$G$10*Pax!C53*Pax!$C$46+$G$11*Phenix!C53*Phenix!$C$46+$G$12*Rentenanstalt!C53*Rentenanstalt!$C$46+$G$13*Winterthur!C53*Winterthur!$C$46+$G$14*Zenith!C53*Zenith!$C$46+$G$15*Zuerich!C53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0.07836114711732416</v>
      </c>
      <c r="D53" s="2"/>
    </row>
    <row r="54" spans="2:4" ht="12.75">
      <c r="B54" t="s">
        <v>93</v>
      </c>
      <c r="C54" s="28">
        <f>($G$2*'Allianz Suisse'!C54*'Allianz Suisse'!$C$46+$G$3*Axa!C54*Axa!$C$46+$G$4*Basler!C54*Basler!$C$46+$G$5*Generali!C54*Generali!$C$46+$G$6*Genevoise!C54*Genevoise!$C$46+$G$7*Mobiliar!C54*Mobiliar!$C$46+$G$8*National!C54*National!$C$46+$G$9*Patria!C54*Patria!$C$46+$G$10*Pax!C54*Pax!$C$46+$G$11*Phenix!C54*Phenix!$C$46+$G$12*Rentenanstalt!C54*Rentenanstalt!$C$46+$G$13*Winterthur!C54*Winterthur!$C$46+$G$14*Zenith!C54*Zenith!$C$46+$G$15*Zuerich!C54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0.5066091181560991</v>
      </c>
      <c r="D54" s="2"/>
    </row>
    <row r="55" spans="2:4" ht="12.75">
      <c r="B55" t="s">
        <v>94</v>
      </c>
      <c r="C55" s="28">
        <f>($G$2*'Allianz Suisse'!C55*'Allianz Suisse'!$C$46+$G$3*Axa!C55*Axa!$C$46+$G$4*Basler!C55*Basler!$C$46+$G$5*Generali!C55*Generali!$C$46+$G$6*Genevoise!C55*Genevoise!$C$46+$G$7*Mobiliar!C55*Mobiliar!$C$46+$G$8*National!C55*National!$C$46+$G$9*Patria!C55*Patria!$C$46+$G$10*Pax!C55*Pax!$C$46+$G$11*Phenix!C55*Phenix!$C$46+$G$12*Rentenanstalt!C55*Rentenanstalt!$C$46+$G$13*Winterthur!C55*Winterthur!$C$46+$G$14*Zenith!C55*Zenith!$C$46+$G$15*Zuerich!C55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0.16074861221441303</v>
      </c>
      <c r="D55" s="2"/>
    </row>
    <row r="56" spans="2:4" ht="12.75">
      <c r="B56" t="s">
        <v>95</v>
      </c>
      <c r="C56" s="28">
        <f>($G$2*'Allianz Suisse'!C56*'Allianz Suisse'!$C$46+$G$3*Axa!C56*Axa!$C$46+$G$4*Basler!C56*Basler!$C$46+$G$5*Generali!C56*Generali!$C$46+$G$6*Genevoise!C56*Genevoise!$C$46+$G$7*Mobiliar!C56*Mobiliar!$C$46+$G$8*National!C56*National!$C$46+$G$9*Patria!C56*Patria!$C$46+$G$10*Pax!C56*Pax!$C$46+$G$11*Phenix!C56*Phenix!$C$46+$G$12*Rentenanstalt!C56*Rentenanstalt!$C$46+$G$13*Winterthur!C56*Winterthur!$C$46+$G$14*Zenith!C56*Zenith!$C$46+$G$15*Zuerich!C56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0.05672313212354444</v>
      </c>
      <c r="D56" s="2"/>
    </row>
    <row r="57" spans="2:4" ht="12.75">
      <c r="B57" t="s">
        <v>96</v>
      </c>
      <c r="C57" s="28">
        <f>($G$2*'Allianz Suisse'!C57*'Allianz Suisse'!$C$46+$G$3*Axa!C57*Axa!$C$46+$G$4*Basler!C57*Basler!$C$46+$G$5*Generali!C57*Generali!$C$46+$G$6*Genevoise!C57*Genevoise!$C$46+$G$7*Mobiliar!C57*Mobiliar!$C$46+$G$8*National!C57*National!$C$46+$G$9*Patria!C57*Patria!$C$46+$G$10*Pax!C57*Pax!$C$46+$G$11*Phenix!C57*Phenix!$C$46+$G$12*Rentenanstalt!C57*Rentenanstalt!$C$46+$G$13*Winterthur!C57*Winterthur!$C$46+$G$14*Zenith!C57*Zenith!$C$46+$G$15*Zuerich!C57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0.041383264951420855</v>
      </c>
      <c r="D57" s="2"/>
    </row>
    <row r="58" spans="2:4" ht="12.75">
      <c r="B58" t="s">
        <v>97</v>
      </c>
      <c r="C58" s="28">
        <f>($G$2*'Allianz Suisse'!C58*'Allianz Suisse'!$C$46+$G$3*Axa!C58*Axa!$C$46+$G$4*Basler!C58*Basler!$C$46+$G$5*Generali!C58*Generali!$C$46+$G$6*Genevoise!C58*Genevoise!$C$46+$G$7*Mobiliar!C58*Mobiliar!$C$46+$G$8*National!C58*National!$C$46+$G$9*Patria!C58*Patria!$C$46+$G$10*Pax!C58*Pax!$C$46+$G$11*Phenix!C58*Phenix!$C$46+$G$12*Rentenanstalt!C58*Rentenanstalt!$C$46+$G$13*Winterthur!C58*Winterthur!$C$46+$G$14*Zenith!C58*Zenith!$C$46+$G$15*Zuerich!C58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0.033921238249570766</v>
      </c>
      <c r="D58" s="2"/>
    </row>
    <row r="59" spans="2:4" ht="12.75">
      <c r="B59" t="s">
        <v>98</v>
      </c>
      <c r="C59" s="28">
        <f>($G$2*'Allianz Suisse'!C59*'Allianz Suisse'!$C$46+$G$3*Axa!C59*Axa!$C$46+$G$4*Basler!C59*Basler!$C$46+$G$5*Generali!C59*Generali!$C$46+$G$6*Genevoise!C59*Genevoise!$C$46+$G$7*Mobiliar!C59*Mobiliar!$C$46+$G$8*National!C59*National!$C$46+$G$9*Patria!C59*Patria!$C$46+$G$10*Pax!C59*Pax!$C$46+$G$11*Phenix!C59*Phenix!$C$46+$G$12*Rentenanstalt!C59*Rentenanstalt!$C$46+$G$13*Winterthur!C59*Winterthur!$C$46+$G$14*Zenith!C59*Zenith!$C$46+$G$15*Zuerich!C59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0.11743349867715888</v>
      </c>
      <c r="D59" s="2"/>
    </row>
    <row r="60" spans="2:6" ht="13.5" thickBot="1">
      <c r="B60" t="s">
        <v>99</v>
      </c>
      <c r="C60" s="29">
        <f>($G$2*'Allianz Suisse'!C60*'Allianz Suisse'!$C$46+$G$3*Axa!C60*Axa!$C$46+$G$4*Basler!C60*Basler!$C$46+$G$5*Generali!C60*Generali!$C$46+$G$6*Genevoise!C60*Genevoise!$C$46+$G$7*Mobiliar!C60*Mobiliar!$C$46+$G$8*National!C60*National!$C$46+$G$9*Patria!C60*Patria!$C$46+$G$10*Pax!C60*Pax!$C$46+$G$11*Phenix!C60*Phenix!$C$46+$G$12*Rentenanstalt!C60*Rentenanstalt!$C$46+$G$13*Winterthur!C60*Winterthur!$C$46+$G$14*Zenith!C60*Zenith!$C$46+$G$15*Zuerich!C60*Zuerich!$C$46)/($G$2*'Allianz Suisse'!$C$46+$G$3*Axa!$C$46+$G$4*Basler!$C$46+$G$5*Generali!$C$46+$G$6*Genevoise!$C$46+$G$7*Mobiliar!$C$46+$G$8*National!$C$46+$G$9*Patria!$C$46+$G$10*Pax!$C$46+$G$11*Phenix!$C$46+$G$12*Rentenanstalt!$C$46+$G$13*Winterthur!$C$46+$G$14*Zenith!$C$46+$G$15*Zuerich!$C$46)</f>
        <v>0.00481998851046885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f>$G$2*'Allianz Suisse'!D62+$G$3*Axa!D62+$G$4*Basler!D62+$G$5*Generali!D62+$G$6*Genevoise!D62+$G$7*Mobiliar!D62+$G$8*National!D62+$G$9*Patria!D62+$G$10*Pax!D62+$G$11*Phenix!D62+$G$12*Rentenanstalt!D62+$G$13*Winterthur!D62+$G$14*Zenith!D62+$G$15*Zuerich!D62</f>
        <v>121827470.7693933</v>
      </c>
    </row>
    <row r="63" spans="1:4" ht="12.75">
      <c r="A63" s="14" t="s">
        <v>18</v>
      </c>
      <c r="B63" t="s">
        <v>101</v>
      </c>
      <c r="D63" s="31">
        <f>$G$2*'Allianz Suisse'!D63+$G$3*Axa!D63+$G$4*Basler!D63+$G$5*Generali!D63+$G$6*Genevoise!D63+$G$7*Mobiliar!D63+$G$8*National!D63+$G$9*Patria!D63+$G$10*Pax!D63+$G$11*Phenix!D63+$G$12*Rentenanstalt!D63+$G$13*Winterthur!D63+$G$14*Zenith!D63+$G$15*Zuerich!D63</f>
        <v>2151009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365391.57105</v>
      </c>
      <c r="D66" s="2"/>
    </row>
    <row r="67" spans="1:4" ht="12.75">
      <c r="A67" s="14"/>
      <c r="B67" s="73" t="s">
        <v>67</v>
      </c>
      <c r="C67" s="72">
        <f>D22</f>
        <v>1079606.851272591</v>
      </c>
      <c r="D67" s="20">
        <f>C67+C66</f>
        <v>1444998.4223225908</v>
      </c>
    </row>
    <row r="68" spans="1:4" ht="12.75">
      <c r="A68" s="14"/>
      <c r="B68" t="s">
        <v>103</v>
      </c>
      <c r="D68" s="20">
        <f>(1000*D67)/D63</f>
        <v>671.7770229332331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f>$G$2*'Allianz Suisse'!C73+$G$3*Axa!C73+$G$4*Basler!C73+$G$5*Generali!C73+$G$6*Genevoise!C73+$G$7*Mobiliar!C73+$G$8*National!C73+$G$9*Patria!C73+$G$10*Pax!C73+$G$11*Phenix!C73+$G$12*Rentenanstalt!C73+$G$13*Winterthur!C73+$G$14*Zenith!C73+$G$15*Zuerich!C73</f>
        <v>6593376.7223884165</v>
      </c>
      <c r="D73" s="116">
        <v>1</v>
      </c>
    </row>
    <row r="74" spans="1:6" ht="12.75">
      <c r="A74" t="s">
        <v>107</v>
      </c>
      <c r="C74" s="32">
        <f>$G$2*'Allianz Suisse'!C74+$G$3*Axa!C74+$G$4*Basler!C74+$G$5*Generali!C74+$G$6*Genevoise!C74+$G$7*Mobiliar!C74+$G$8*National!C74+$G$9*Patria!C74+$G$10*Pax!C74+$G$11*Phenix!C74+$G$12*Rentenanstalt!C74+$G$13*Winterthur!C74+$G$14*Zenith!C74+$G$15*Zuerich!C74</f>
        <v>6068189.84648177</v>
      </c>
      <c r="D74" s="116">
        <f>$C$74/$C$73</f>
        <v>0.9203462962880119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f>$G$2*'Allianz Suisse'!C76+$G$3*Axa!C76+$G$4*Basler!C76+$G$5*Generali!C76+$G$6*Genevoise!C76+$G$7*Mobiliar!C76+$G$8*National!C76+$G$9*Patria!C76+$G$10*Pax!C76+$G$11*Phenix!C76+$G$12*Rentenanstalt!C76+$G$13*Winterthur!C76+$G$14*Zenith!C76+$G$15*Zuerich!C76</f>
        <v>525186.8759066454</v>
      </c>
      <c r="D76" s="2"/>
    </row>
    <row r="77" spans="2:4" ht="13.5" thickBot="1">
      <c r="B77" t="s">
        <v>110</v>
      </c>
      <c r="C77" s="34">
        <f>$G$2*'Allianz Suisse'!C77+$G$3*Axa!C77+$G$4*Basler!C77+$G$5*Generali!C77+$G$6*Genevoise!C77+$G$7*Mobiliar!C77+$G$8*National!C77+$G$9*Patria!C77+$G$10*Pax!C77+$G$11*Phenix!C77+$G$12*Rentenanstalt!C77+$G$13*Winterthur!C77+$G$14*Zenith!C77+$G$15*Zuerich!C77</f>
        <v>74970.84195915062</v>
      </c>
      <c r="D77" s="2"/>
    </row>
    <row r="78" spans="2:6" ht="13.5" thickBot="1">
      <c r="B78" t="s">
        <v>124</v>
      </c>
      <c r="C78" s="35">
        <f>C$76+C$77</f>
        <v>600157.7178657961</v>
      </c>
      <c r="D78" s="2"/>
      <c r="F78" s="5" t="s">
        <v>21</v>
      </c>
    </row>
  </sheetData>
  <sheetProtection sheet="1" objects="1" scenarios="1"/>
  <mergeCells count="2">
    <mergeCell ref="H2:H15"/>
    <mergeCell ref="F1:H1"/>
  </mergeCells>
  <conditionalFormatting sqref="G2:G15">
    <cfRule type="cellIs" priority="1" dxfId="0" operator="equal" stopIfTrue="1">
      <formula>1</formula>
    </cfRule>
  </conditionalFormatting>
  <conditionalFormatting sqref="C78">
    <cfRule type="expression" priority="2" dxfId="1" stopIfTrue="1">
      <formula>IF(ABS(C78-$D$32)&lt;10,0,1)</formula>
    </cfRule>
  </conditionalFormatting>
  <printOptions/>
  <pageMargins left="0.42" right="0.16" top="0.71" bottom="0.55" header="0.4921259845" footer="0.18"/>
  <pageSetup horizontalDpi="300" verticalDpi="300" orientation="portrait" paperSize="9" scale="70" r:id="rId1"/>
  <headerFooter alignWithMargins="0">
    <oddFooter>&amp;L&amp;D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132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1176078.9296941594</v>
      </c>
      <c r="D11" s="2"/>
    </row>
    <row r="12" spans="2:4" ht="12.75">
      <c r="B12" t="s">
        <v>57</v>
      </c>
      <c r="C12" s="6">
        <v>257686.68073727004</v>
      </c>
      <c r="D12" s="2"/>
    </row>
    <row r="13" spans="2:4" ht="13.5" thickBot="1">
      <c r="B13" t="s">
        <v>58</v>
      </c>
      <c r="C13" s="7">
        <v>96426.40260857012</v>
      </c>
      <c r="D13" s="8">
        <v>1530192.0130399996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362070.70141000004</v>
      </c>
      <c r="D17" s="2"/>
    </row>
    <row r="18" spans="2:4" ht="12.75">
      <c r="B18" t="s">
        <v>63</v>
      </c>
      <c r="C18" s="11">
        <v>706796.4739199998</v>
      </c>
      <c r="D18" s="2"/>
    </row>
    <row r="19" spans="2:6" ht="13.5" thickBot="1">
      <c r="B19" t="s">
        <v>64</v>
      </c>
      <c r="C19" s="12">
        <v>315580.70519</v>
      </c>
      <c r="D19" s="4">
        <f>$C$17+$C$18+$C$19</f>
        <v>1384447.8805199997</v>
      </c>
      <c r="F19" s="14" t="s">
        <v>4</v>
      </c>
    </row>
    <row r="20" spans="1:4" ht="12.75">
      <c r="A20" t="s">
        <v>65</v>
      </c>
      <c r="C20" s="13"/>
      <c r="D20" s="8">
        <v>202936.603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78549.99955999985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297679.71899</v>
      </c>
      <c r="D25" s="2"/>
    </row>
    <row r="26" spans="2:6" ht="13.5" thickBot="1">
      <c r="B26" t="s">
        <v>71</v>
      </c>
      <c r="C26" s="12">
        <v>29694.144</v>
      </c>
      <c r="D26" s="4">
        <f>$C$25-$C$26</f>
        <v>267985.57499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-8382.405899999998</v>
      </c>
    </row>
    <row r="29" spans="1:4" ht="13.5" thickBot="1">
      <c r="A29" t="s">
        <v>74</v>
      </c>
      <c r="C29" s="2"/>
      <c r="D29" s="16">
        <v>-10444.59868</v>
      </c>
    </row>
    <row r="30" spans="1:6" ht="12.75">
      <c r="A30" t="s">
        <v>75</v>
      </c>
      <c r="D30" s="17">
        <f>D$13-D$19-D$20-D$22+D$26-D$27+D$28+D$29</f>
        <v>113416.10037000013</v>
      </c>
      <c r="F30" s="14" t="s">
        <v>5</v>
      </c>
    </row>
    <row r="31" spans="1:4" ht="13.5" thickBot="1">
      <c r="A31" t="s">
        <v>76</v>
      </c>
      <c r="C31" s="2"/>
      <c r="D31" s="16">
        <v>88677.55542</v>
      </c>
    </row>
    <row r="32" spans="1:6" ht="13.5" thickBot="1">
      <c r="A32" t="s">
        <v>77</v>
      </c>
      <c r="C32" s="2"/>
      <c r="D32" s="18">
        <f>D$30-D$31</f>
        <v>24738.544950000127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32206.90556</v>
      </c>
    </row>
    <row r="36" spans="1:6" ht="12.75">
      <c r="A36" t="s">
        <v>80</v>
      </c>
      <c r="D36" s="20">
        <f>D$31</f>
        <v>88677.55542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33536.62094</v>
      </c>
      <c r="D38" s="22">
        <f>$C$37+$C$38</f>
        <v>33536.62094</v>
      </c>
      <c r="F38" s="14" t="s">
        <v>7</v>
      </c>
    </row>
    <row r="39" spans="1:6" ht="13.5" thickBot="1">
      <c r="A39" t="s">
        <v>83</v>
      </c>
      <c r="C39" s="2"/>
      <c r="D39" s="23">
        <v>87347.84004000001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267985.57499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8827187</v>
      </c>
      <c r="D45" s="25">
        <v>9102381.4199</v>
      </c>
    </row>
    <row r="46" spans="1:4" ht="12.75">
      <c r="A46" s="14" t="s">
        <v>11</v>
      </c>
      <c r="B46" t="s">
        <v>87</v>
      </c>
      <c r="C46" s="26">
        <v>9517690</v>
      </c>
      <c r="D46" s="25">
        <v>9874751.1003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0.02921639376377394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0.036870929263691725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0.05841343855494348</v>
      </c>
      <c r="D53" s="2"/>
    </row>
    <row r="54" spans="2:4" ht="12.75">
      <c r="B54" t="s">
        <v>93</v>
      </c>
      <c r="C54" s="28">
        <v>0.542682520653646</v>
      </c>
      <c r="D54" s="2"/>
    </row>
    <row r="55" spans="2:4" ht="12.75">
      <c r="B55" t="s">
        <v>94</v>
      </c>
      <c r="C55" s="28">
        <v>0.18653843527158376</v>
      </c>
      <c r="D55" s="2"/>
    </row>
    <row r="56" spans="2:4" ht="12.75">
      <c r="B56" t="s">
        <v>95</v>
      </c>
      <c r="C56" s="28">
        <v>0.05886564912284388</v>
      </c>
      <c r="D56" s="2"/>
    </row>
    <row r="57" spans="2:4" ht="12.75">
      <c r="B57" t="s">
        <v>96</v>
      </c>
      <c r="C57" s="28">
        <v>0.019288083558090252</v>
      </c>
      <c r="D57" s="2"/>
    </row>
    <row r="58" spans="2:4" ht="12.75">
      <c r="B58" t="s">
        <v>97</v>
      </c>
      <c r="C58" s="28">
        <v>0.0053872315656425035</v>
      </c>
      <c r="D58" s="2"/>
    </row>
    <row r="59" spans="2:4" ht="12.75">
      <c r="B59" t="s">
        <v>98</v>
      </c>
      <c r="C59" s="28">
        <v>0.12879995040813474</v>
      </c>
      <c r="D59" s="2"/>
    </row>
    <row r="60" spans="2:6" ht="13.5" thickBot="1">
      <c r="B60" t="s">
        <v>99</v>
      </c>
      <c r="C60" s="29">
        <v>2.4690865115379886E-05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9104891.7059133</v>
      </c>
    </row>
    <row r="63" spans="1:4" ht="12.75">
      <c r="A63" s="14" t="s">
        <v>18</v>
      </c>
      <c r="B63" t="s">
        <v>101</v>
      </c>
      <c r="D63" s="31">
        <v>156908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29694.144</v>
      </c>
      <c r="D66" s="2"/>
    </row>
    <row r="67" spans="1:4" ht="12.75">
      <c r="A67" s="14"/>
      <c r="B67" s="73" t="s">
        <v>67</v>
      </c>
      <c r="C67" s="72">
        <f>D22</f>
        <v>78549.99955999985</v>
      </c>
      <c r="D67" s="20">
        <f>C67+C66</f>
        <v>108244.14355999985</v>
      </c>
    </row>
    <row r="68" spans="1:4" ht="12.75">
      <c r="A68" s="14"/>
      <c r="B68" t="s">
        <v>103</v>
      </c>
      <c r="D68" s="20">
        <f>(1000*D67)/D63</f>
        <v>689.8573913375982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436674.1551689802</v>
      </c>
      <c r="D73" s="116">
        <v>1</v>
      </c>
    </row>
    <row r="74" spans="1:6" ht="12.75">
      <c r="A74" t="s">
        <v>107</v>
      </c>
      <c r="C74" s="32">
        <v>410194.5170592628</v>
      </c>
      <c r="D74" s="116">
        <f>$C$74/$C$73</f>
        <v>0.939360647301257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26479.6381097174</v>
      </c>
      <c r="D76" s="2"/>
    </row>
    <row r="77" spans="2:4" ht="13.5" thickBot="1">
      <c r="B77" t="s">
        <v>110</v>
      </c>
      <c r="C77" s="34">
        <v>-1740.901105906989</v>
      </c>
      <c r="D77" s="2"/>
    </row>
    <row r="78" spans="2:6" ht="13.5" thickBot="1">
      <c r="B78" t="s">
        <v>111</v>
      </c>
      <c r="C78" s="35">
        <f>C$76+C$77</f>
        <v>24738.737003810413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5" right="0.38" top="1" bottom="1" header="0.4921259845" footer="0.4921259845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25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440019.6</v>
      </c>
      <c r="D11" s="2"/>
    </row>
    <row r="12" spans="2:4" ht="12.75">
      <c r="B12" t="s">
        <v>57</v>
      </c>
      <c r="C12" s="6">
        <v>49082</v>
      </c>
      <c r="D12" s="2"/>
    </row>
    <row r="13" spans="2:4" ht="13.5" thickBot="1">
      <c r="B13" t="s">
        <v>58</v>
      </c>
      <c r="C13" s="7">
        <v>20873</v>
      </c>
      <c r="D13" s="8">
        <v>509974.6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75951.3</v>
      </c>
      <c r="D17" s="2"/>
    </row>
    <row r="18" spans="2:4" ht="12.75">
      <c r="B18" t="s">
        <v>63</v>
      </c>
      <c r="C18" s="11">
        <v>199241.2</v>
      </c>
      <c r="D18" s="2"/>
    </row>
    <row r="19" spans="2:6" ht="13.5" thickBot="1">
      <c r="B19" t="s">
        <v>64</v>
      </c>
      <c r="C19" s="12">
        <v>314768.6</v>
      </c>
      <c r="D19" s="4">
        <f>$C$17+$C$18+$C$19</f>
        <v>589961.1</v>
      </c>
      <c r="F19" s="14" t="s">
        <v>4</v>
      </c>
    </row>
    <row r="20" spans="1:4" ht="12.75">
      <c r="A20" t="s">
        <v>65</v>
      </c>
      <c r="C20" s="13"/>
      <c r="D20" s="8">
        <v>-49744.1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25288.5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80880.2</v>
      </c>
      <c r="D25" s="2"/>
    </row>
    <row r="26" spans="2:6" ht="13.5" thickBot="1">
      <c r="B26" t="s">
        <v>71</v>
      </c>
      <c r="C26" s="12">
        <v>5467.3</v>
      </c>
      <c r="D26" s="4">
        <f>$C$25-$C$26</f>
        <v>75412.9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-876.1</v>
      </c>
    </row>
    <row r="29" spans="1:4" ht="13.5" thickBot="1">
      <c r="A29" t="s">
        <v>74</v>
      </c>
      <c r="C29" s="2"/>
      <c r="D29" s="16">
        <v>-4504</v>
      </c>
    </row>
    <row r="30" spans="1:6" ht="12.75">
      <c r="A30" t="s">
        <v>75</v>
      </c>
      <c r="D30" s="17">
        <f>D$13-D$19-D$20-D$22+D$26-D$27+D$28+D$29</f>
        <v>14501.899999999994</v>
      </c>
      <c r="F30" s="14" t="s">
        <v>5</v>
      </c>
    </row>
    <row r="31" spans="1:4" ht="13.5" thickBot="1">
      <c r="A31" t="s">
        <v>76</v>
      </c>
      <c r="C31" s="2"/>
      <c r="D31" s="16">
        <v>0</v>
      </c>
    </row>
    <row r="32" spans="1:6" ht="13.5" thickBot="1">
      <c r="A32" t="s">
        <v>77</v>
      </c>
      <c r="C32" s="2"/>
      <c r="D32" s="18">
        <f>D$30-D$31</f>
        <v>14501.899999999994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1099</v>
      </c>
    </row>
    <row r="36" spans="1:6" ht="12.75">
      <c r="A36" t="s">
        <v>80</v>
      </c>
      <c r="D36" s="20">
        <f>D$31</f>
        <v>0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182</v>
      </c>
      <c r="D38" s="22">
        <f>$C$37+$C$38</f>
        <v>182</v>
      </c>
      <c r="F38" s="14" t="s">
        <v>7</v>
      </c>
    </row>
    <row r="39" spans="1:6" ht="13.5" thickBot="1">
      <c r="A39" t="s">
        <v>83</v>
      </c>
      <c r="C39" s="2"/>
      <c r="D39" s="23">
        <v>917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75412.9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2275133.6</v>
      </c>
      <c r="D45" s="25">
        <v>2349707.4</v>
      </c>
    </row>
    <row r="46" spans="1:4" ht="12.75">
      <c r="A46" s="14" t="s">
        <v>11</v>
      </c>
      <c r="B46" t="s">
        <v>87</v>
      </c>
      <c r="C46" s="26">
        <v>2143667.3</v>
      </c>
      <c r="D46" s="25">
        <v>2264687.3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0.0341327440211212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0.052816938264947384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0.060630303965545404</v>
      </c>
      <c r="D53" s="2"/>
    </row>
    <row r="54" spans="2:4" ht="12.75">
      <c r="B54" t="s">
        <v>93</v>
      </c>
      <c r="C54" s="28">
        <v>0.5566628272960081</v>
      </c>
      <c r="D54" s="2"/>
    </row>
    <row r="55" spans="2:4" ht="12.75">
      <c r="B55" t="s">
        <v>94</v>
      </c>
      <c r="C55" s="28">
        <v>0.15525459571081765</v>
      </c>
      <c r="D55" s="2"/>
    </row>
    <row r="56" spans="2:4" ht="12.75">
      <c r="B56" t="s">
        <v>95</v>
      </c>
      <c r="C56" s="28">
        <v>0.05016137532162757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0.00031562733638750755</v>
      </c>
      <c r="D58" s="2"/>
    </row>
    <row r="59" spans="2:4" ht="12.75">
      <c r="B59" t="s">
        <v>98</v>
      </c>
      <c r="C59" s="28">
        <v>0.1769752703696138</v>
      </c>
      <c r="D59" s="2"/>
    </row>
    <row r="60" spans="2:6" ht="13.5" thickBot="1">
      <c r="B60" t="s">
        <v>99</v>
      </c>
      <c r="C60" s="29">
        <v>0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2244531</v>
      </c>
    </row>
    <row r="63" spans="1:4" ht="12.75">
      <c r="A63" s="14" t="s">
        <v>18</v>
      </c>
      <c r="B63" t="s">
        <v>101</v>
      </c>
      <c r="D63" s="31">
        <v>39183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5467.3</v>
      </c>
      <c r="D66" s="2"/>
    </row>
    <row r="67" spans="1:4" ht="12.75">
      <c r="A67" s="14"/>
      <c r="B67" s="73" t="s">
        <v>67</v>
      </c>
      <c r="C67" s="72">
        <f>D22</f>
        <v>25288.5</v>
      </c>
      <c r="D67" s="20">
        <f>C67+C66</f>
        <v>30755.8</v>
      </c>
    </row>
    <row r="68" spans="1:4" ht="12.75">
      <c r="A68" s="14"/>
      <c r="B68" t="s">
        <v>103</v>
      </c>
      <c r="D68" s="20">
        <f>(1000*D67)/D63</f>
        <v>784.9271367684966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144551</v>
      </c>
      <c r="D73" s="116">
        <v>1</v>
      </c>
    </row>
    <row r="74" spans="1:6" ht="12.75">
      <c r="A74" t="s">
        <v>107</v>
      </c>
      <c r="C74" s="32">
        <v>130882.9</v>
      </c>
      <c r="D74" s="116">
        <f>$C$74/$C$73</f>
        <v>0.9054444452131082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13668.1</v>
      </c>
      <c r="D76" s="2"/>
    </row>
    <row r="77" spans="2:4" ht="13.5" thickBot="1">
      <c r="B77" t="s">
        <v>110</v>
      </c>
      <c r="C77" s="34">
        <v>834</v>
      </c>
      <c r="D77" s="2"/>
    </row>
    <row r="78" spans="2:6" ht="13.5" thickBot="1">
      <c r="B78" t="s">
        <v>111</v>
      </c>
      <c r="C78" s="35">
        <f>C$76+C$77</f>
        <v>14502.1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8" right="0.43" top="1" bottom="1" header="0.4921259845" footer="0.4921259845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49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16545</v>
      </c>
      <c r="D11" s="2"/>
    </row>
    <row r="12" spans="2:4" ht="12.75">
      <c r="B12" t="s">
        <v>57</v>
      </c>
      <c r="C12" s="6">
        <v>2395</v>
      </c>
      <c r="D12" s="2"/>
    </row>
    <row r="13" spans="2:4" ht="13.5" thickBot="1">
      <c r="B13" t="s">
        <v>58</v>
      </c>
      <c r="C13" s="7">
        <v>1142</v>
      </c>
      <c r="D13" s="8">
        <v>20082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3475</v>
      </c>
      <c r="D17" s="2"/>
    </row>
    <row r="18" spans="2:4" ht="12.75">
      <c r="B18" t="s">
        <v>63</v>
      </c>
      <c r="C18" s="11">
        <v>9412</v>
      </c>
      <c r="D18" s="2"/>
    </row>
    <row r="19" spans="2:6" ht="13.5" thickBot="1">
      <c r="B19" t="s">
        <v>64</v>
      </c>
      <c r="C19" s="12">
        <v>0</v>
      </c>
      <c r="D19" s="4">
        <f>$C$17+$C$18+$C$19</f>
        <v>12887</v>
      </c>
      <c r="F19" s="14" t="s">
        <v>4</v>
      </c>
    </row>
    <row r="20" spans="1:4" ht="12.75">
      <c r="A20" t="s">
        <v>65</v>
      </c>
      <c r="C20" s="13"/>
      <c r="D20" s="8">
        <v>7502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1982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3065</v>
      </c>
      <c r="D25" s="2"/>
    </row>
    <row r="26" spans="2:6" ht="13.5" thickBot="1">
      <c r="B26" t="s">
        <v>71</v>
      </c>
      <c r="C26" s="12">
        <v>171</v>
      </c>
      <c r="D26" s="4">
        <f>$C$25-$C$26</f>
        <v>2894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233</v>
      </c>
    </row>
    <row r="29" spans="1:4" ht="13.5" thickBot="1">
      <c r="A29" t="s">
        <v>74</v>
      </c>
      <c r="C29" s="2"/>
      <c r="D29" s="16">
        <v>-185</v>
      </c>
    </row>
    <row r="30" spans="1:6" ht="12.75">
      <c r="A30" t="s">
        <v>75</v>
      </c>
      <c r="D30" s="17">
        <f>D$13-D$19-D$20-D$22+D$26-D$27+D$28+D$29</f>
        <v>653</v>
      </c>
      <c r="F30" s="14" t="s">
        <v>5</v>
      </c>
    </row>
    <row r="31" spans="1:4" ht="13.5" thickBot="1">
      <c r="A31" t="s">
        <v>76</v>
      </c>
      <c r="C31" s="2"/>
      <c r="D31" s="16">
        <v>74</v>
      </c>
    </row>
    <row r="32" spans="1:6" ht="13.5" thickBot="1">
      <c r="A32" t="s">
        <v>77</v>
      </c>
      <c r="C32" s="2"/>
      <c r="D32" s="18">
        <f>D$30-D$31</f>
        <v>579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8</v>
      </c>
    </row>
    <row r="36" spans="1:6" ht="12.75">
      <c r="A36" t="s">
        <v>80</v>
      </c>
      <c r="D36" s="20">
        <f>D$31</f>
        <v>74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0</v>
      </c>
      <c r="D38" s="22">
        <f>$C$37+$C$38</f>
        <v>0</v>
      </c>
      <c r="F38" s="14" t="s">
        <v>7</v>
      </c>
    </row>
    <row r="39" spans="1:6" ht="13.5" thickBot="1">
      <c r="A39" t="s">
        <v>83</v>
      </c>
      <c r="C39" s="2"/>
      <c r="D39" s="23">
        <v>82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2894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93079</v>
      </c>
      <c r="D45" s="25">
        <v>97043</v>
      </c>
    </row>
    <row r="46" spans="1:4" ht="12.75">
      <c r="A46" s="14" t="s">
        <v>11</v>
      </c>
      <c r="B46" t="s">
        <v>87</v>
      </c>
      <c r="C46" s="26">
        <v>97308</v>
      </c>
      <c r="D46" s="25">
        <v>101472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0.030401235378465966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0.031171448001410473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0.016905084885107082</v>
      </c>
      <c r="D53" s="2"/>
    </row>
    <row r="54" spans="2:4" ht="12.75">
      <c r="B54" t="s">
        <v>93</v>
      </c>
      <c r="C54" s="28">
        <v>0.8645229580301722</v>
      </c>
      <c r="D54" s="2"/>
    </row>
    <row r="55" spans="2:4" ht="12.75">
      <c r="B55" t="s">
        <v>94</v>
      </c>
      <c r="C55" s="28">
        <v>0.004901960784313725</v>
      </c>
      <c r="D55" s="2"/>
    </row>
    <row r="56" spans="2:4" ht="12.75">
      <c r="B56" t="s">
        <v>95</v>
      </c>
      <c r="C56" s="28">
        <v>0.004305915238212685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</v>
      </c>
      <c r="D58" s="2"/>
    </row>
    <row r="59" spans="2:4" ht="12.75">
      <c r="B59" t="s">
        <v>98</v>
      </c>
      <c r="C59" s="28">
        <v>0.10936408106219427</v>
      </c>
      <c r="D59" s="2"/>
    </row>
    <row r="60" spans="2:6" ht="13.5" thickBot="1">
      <c r="B60" t="s">
        <v>99</v>
      </c>
      <c r="C60" s="29">
        <v>0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99397</v>
      </c>
    </row>
    <row r="63" spans="1:4" ht="12.75">
      <c r="A63" s="14" t="s">
        <v>18</v>
      </c>
      <c r="B63" t="s">
        <v>101</v>
      </c>
      <c r="D63" s="31">
        <v>2643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171</v>
      </c>
      <c r="D66" s="2"/>
    </row>
    <row r="67" spans="1:4" ht="12.75">
      <c r="A67" s="14"/>
      <c r="B67" s="73" t="s">
        <v>67</v>
      </c>
      <c r="C67" s="72">
        <f>D22</f>
        <v>1982</v>
      </c>
      <c r="D67" s="20">
        <f>C67+C66</f>
        <v>2153</v>
      </c>
    </row>
    <row r="68" spans="1:4" ht="12.75">
      <c r="A68" s="14"/>
      <c r="B68" t="s">
        <v>103</v>
      </c>
      <c r="D68" s="20">
        <f>(1000*D67)/D63</f>
        <v>814.6046159667045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6246</v>
      </c>
      <c r="D73" s="116">
        <v>1</v>
      </c>
    </row>
    <row r="74" spans="1:6" ht="12.75">
      <c r="A74" t="s">
        <v>107</v>
      </c>
      <c r="C74" s="32">
        <v>5667</v>
      </c>
      <c r="D74" s="116">
        <f>$C$74/$C$73</f>
        <v>0.9073006724303554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579</v>
      </c>
      <c r="D76" s="2"/>
    </row>
    <row r="77" spans="2:4" ht="13.5" thickBot="1">
      <c r="B77" t="s">
        <v>110</v>
      </c>
      <c r="C77" s="34">
        <v>0</v>
      </c>
      <c r="D77" s="2"/>
    </row>
    <row r="78" spans="2:6" ht="13.5" thickBot="1">
      <c r="B78" t="s">
        <v>111</v>
      </c>
      <c r="C78" s="35">
        <f>C$76+C$77</f>
        <v>579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6" right="0.38" top="1" bottom="1" header="0.4921259845" footer="0.4921259845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27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5057977.863824</v>
      </c>
      <c r="D11" s="2"/>
    </row>
    <row r="12" spans="2:4" ht="12.75">
      <c r="B12" t="s">
        <v>57</v>
      </c>
      <c r="C12" s="6">
        <v>818829.5981999999</v>
      </c>
      <c r="D12" s="2"/>
    </row>
    <row r="13" spans="2:4" ht="13.5" thickBot="1">
      <c r="B13" t="s">
        <v>58</v>
      </c>
      <c r="C13" s="7">
        <v>253799.92978600002</v>
      </c>
      <c r="D13" s="8">
        <v>6130607.39181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1669329.20198</v>
      </c>
      <c r="D17" s="2"/>
    </row>
    <row r="18" spans="2:4" ht="12.75">
      <c r="B18" t="s">
        <v>63</v>
      </c>
      <c r="C18" s="11">
        <v>2439065.22446</v>
      </c>
      <c r="D18" s="2"/>
    </row>
    <row r="19" spans="2:6" ht="13.5" thickBot="1">
      <c r="B19" t="s">
        <v>64</v>
      </c>
      <c r="C19" s="12">
        <v>2367169.0080999997</v>
      </c>
      <c r="D19" s="4">
        <f>$C$17+$C$18+$C$19</f>
        <v>6475563.43454</v>
      </c>
      <c r="F19" s="14" t="s">
        <v>4</v>
      </c>
    </row>
    <row r="20" spans="1:4" ht="12.75">
      <c r="A20" t="s">
        <v>65</v>
      </c>
      <c r="C20" s="13"/>
      <c r="D20" s="8">
        <v>576998.8219600094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377032.04027999996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1785317.72808</v>
      </c>
      <c r="D25" s="2"/>
    </row>
    <row r="26" spans="2:6" ht="13.5" thickBot="1">
      <c r="B26" t="s">
        <v>71</v>
      </c>
      <c r="C26" s="12">
        <v>112518.16500000001</v>
      </c>
      <c r="D26" s="4">
        <f>$C$25-$C$26</f>
        <v>1672799.56308</v>
      </c>
      <c r="F26" s="14" t="s">
        <v>118</v>
      </c>
    </row>
    <row r="27" spans="1:6" ht="12.75">
      <c r="A27" t="s">
        <v>72</v>
      </c>
      <c r="C27" s="15"/>
      <c r="D27" s="11">
        <v>71145.7143</v>
      </c>
      <c r="F27" s="14"/>
    </row>
    <row r="28" spans="1:4" ht="12.75">
      <c r="A28" t="s">
        <v>73</v>
      </c>
      <c r="C28" s="2"/>
      <c r="D28" s="11">
        <v>-17830.923059999997</v>
      </c>
    </row>
    <row r="29" spans="1:4" ht="13.5" thickBot="1">
      <c r="A29" t="s">
        <v>74</v>
      </c>
      <c r="C29" s="2"/>
      <c r="D29" s="16">
        <v>119117.84010999993</v>
      </c>
    </row>
    <row r="30" spans="1:6" ht="12.75">
      <c r="A30" t="s">
        <v>75</v>
      </c>
      <c r="D30" s="17">
        <f>D$13-D$19-D$20-D$22+D$26-D$27+D$28+D$29</f>
        <v>403953.8608599906</v>
      </c>
      <c r="F30" s="14" t="s">
        <v>5</v>
      </c>
    </row>
    <row r="31" spans="1:4" ht="13.5" thickBot="1">
      <c r="A31" t="s">
        <v>76</v>
      </c>
      <c r="C31" s="2"/>
      <c r="D31" s="16">
        <v>252289.91716</v>
      </c>
    </row>
    <row r="32" spans="1:6" ht="13.5" thickBot="1">
      <c r="A32" t="s">
        <v>77</v>
      </c>
      <c r="C32" s="2"/>
      <c r="D32" s="18">
        <f>D$30-D$31</f>
        <v>151663.94369999057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153961.14697</v>
      </c>
    </row>
    <row r="36" spans="1:6" ht="12.75">
      <c r="A36" t="s">
        <v>80</v>
      </c>
      <c r="D36" s="20">
        <f>D$31</f>
        <v>252289.91716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98954.89211</v>
      </c>
      <c r="D38" s="22">
        <f>$C$37+$C$38</f>
        <v>98954.89211</v>
      </c>
      <c r="F38" s="14" t="s">
        <v>7</v>
      </c>
    </row>
    <row r="39" spans="1:6" ht="13.5" thickBot="1">
      <c r="A39" t="s">
        <v>83</v>
      </c>
      <c r="C39" s="2"/>
      <c r="D39" s="23">
        <v>307296.172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1672799.56308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43175718</v>
      </c>
      <c r="D45" s="25">
        <v>44950250</v>
      </c>
    </row>
    <row r="46" spans="1:4" ht="12.75">
      <c r="A46" s="14" t="s">
        <v>11</v>
      </c>
      <c r="B46" t="s">
        <v>87</v>
      </c>
      <c r="C46" s="26">
        <v>44164946.45476</v>
      </c>
      <c r="D46" s="25">
        <v>45816107.53143199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0.03830517144614724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0.034141033790309964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0.17657443005185633</v>
      </c>
      <c r="D53" s="2"/>
    </row>
    <row r="54" spans="2:4" ht="12.75">
      <c r="B54" t="s">
        <v>93</v>
      </c>
      <c r="C54" s="28">
        <v>0.4041617554339</v>
      </c>
      <c r="D54" s="2"/>
    </row>
    <row r="55" spans="2:4" ht="12.75">
      <c r="B55" t="s">
        <v>94</v>
      </c>
      <c r="C55" s="28">
        <v>0.16816127015567914</v>
      </c>
      <c r="D55" s="2"/>
    </row>
    <row r="56" spans="2:4" ht="12.75">
      <c r="B56" t="s">
        <v>95</v>
      </c>
      <c r="C56" s="28">
        <v>0.0576400389364818</v>
      </c>
      <c r="D56" s="2"/>
    </row>
    <row r="57" spans="2:4" ht="12.75">
      <c r="B57" t="s">
        <v>96</v>
      </c>
      <c r="C57" s="28">
        <v>0.07125517581807972</v>
      </c>
      <c r="D57" s="2"/>
    </row>
    <row r="58" spans="2:4" ht="12.75">
      <c r="B58" t="s">
        <v>97</v>
      </c>
      <c r="C58" s="28">
        <v>0.011297193097043263</v>
      </c>
      <c r="D58" s="2"/>
    </row>
    <row r="59" spans="2:4" ht="12.75">
      <c r="B59" t="s">
        <v>98</v>
      </c>
      <c r="C59" s="28">
        <v>0.10549000313862869</v>
      </c>
      <c r="D59" s="2"/>
    </row>
    <row r="60" spans="2:6" ht="13.5" thickBot="1">
      <c r="B60" t="s">
        <v>99</v>
      </c>
      <c r="C60" s="29">
        <v>0.005420133368331078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41918646.04442</v>
      </c>
    </row>
    <row r="63" spans="1:4" ht="12.75">
      <c r="A63" s="14" t="s">
        <v>18</v>
      </c>
      <c r="B63" t="s">
        <v>101</v>
      </c>
      <c r="D63" s="31">
        <v>620144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112518.16500000001</v>
      </c>
      <c r="D66" s="2"/>
    </row>
    <row r="67" spans="1:4" ht="12.75">
      <c r="A67" s="14"/>
      <c r="B67" s="73" t="s">
        <v>67</v>
      </c>
      <c r="C67" s="72">
        <f>D22</f>
        <v>377032.04027999996</v>
      </c>
      <c r="D67" s="20">
        <f>C67+C66</f>
        <v>489550.20528</v>
      </c>
    </row>
    <row r="68" spans="1:4" ht="12.75">
      <c r="A68" s="14"/>
      <c r="B68" t="s">
        <v>103</v>
      </c>
      <c r="D68" s="20">
        <f>(1000*D67)/D63</f>
        <v>789.4137575788849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2211252.16079</v>
      </c>
      <c r="D73" s="116">
        <v>1</v>
      </c>
    </row>
    <row r="74" spans="1:6" ht="12.75">
      <c r="A74" t="s">
        <v>107</v>
      </c>
      <c r="C74" s="32">
        <v>2052263.23642</v>
      </c>
      <c r="D74" s="116">
        <f>$C$74/$C$73</f>
        <v>0.9281000479324804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158988.92437000014</v>
      </c>
      <c r="D76" s="2"/>
    </row>
    <row r="77" spans="2:4" ht="13.5" thickBot="1">
      <c r="B77" t="s">
        <v>110</v>
      </c>
      <c r="C77" s="34">
        <v>-7324.428490000377</v>
      </c>
      <c r="D77" s="2"/>
    </row>
    <row r="78" spans="2:6" ht="13.5" thickBot="1">
      <c r="B78" t="s">
        <v>111</v>
      </c>
      <c r="C78" s="35">
        <f>C$76+C$77</f>
        <v>151664.49587999977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6" right="0.39" top="1" bottom="1" header="0.4921259845" footer="0.4921259845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48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4951450</v>
      </c>
      <c r="D11" s="2"/>
    </row>
    <row r="12" spans="2:4" ht="12.75">
      <c r="B12" t="s">
        <v>57</v>
      </c>
      <c r="C12" s="6">
        <v>787849</v>
      </c>
      <c r="D12" s="2"/>
    </row>
    <row r="13" spans="2:4" ht="13.5" thickBot="1">
      <c r="B13" t="s">
        <v>58</v>
      </c>
      <c r="C13" s="7">
        <v>226712</v>
      </c>
      <c r="D13" s="8">
        <v>5966011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956184</v>
      </c>
      <c r="D17" s="2"/>
    </row>
    <row r="18" spans="2:4" ht="12.75">
      <c r="B18" t="s">
        <v>63</v>
      </c>
      <c r="C18" s="11">
        <v>3509980</v>
      </c>
      <c r="D18" s="2"/>
    </row>
    <row r="19" spans="2:6" ht="13.5" thickBot="1">
      <c r="B19" t="s">
        <v>64</v>
      </c>
      <c r="C19" s="12">
        <v>659282</v>
      </c>
      <c r="D19" s="4">
        <f>$C$17+$C$18+$C$19</f>
        <v>5125446</v>
      </c>
      <c r="F19" s="14" t="s">
        <v>4</v>
      </c>
    </row>
    <row r="20" spans="1:4" ht="12.75">
      <c r="A20" t="s">
        <v>65</v>
      </c>
      <c r="C20" s="13"/>
      <c r="D20" s="8">
        <v>1397140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220949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1317365</v>
      </c>
      <c r="D25" s="2"/>
    </row>
    <row r="26" spans="2:6" ht="13.5" thickBot="1">
      <c r="B26" t="s">
        <v>71</v>
      </c>
      <c r="C26" s="12">
        <v>135687</v>
      </c>
      <c r="D26" s="4">
        <f>$C$25-$C$26</f>
        <v>1181678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27602</v>
      </c>
    </row>
    <row r="29" spans="1:4" ht="13.5" thickBot="1">
      <c r="A29" t="s">
        <v>74</v>
      </c>
      <c r="C29" s="2"/>
      <c r="D29" s="16">
        <v>-69737</v>
      </c>
    </row>
    <row r="30" spans="1:6" ht="12.75">
      <c r="A30" t="s">
        <v>75</v>
      </c>
      <c r="D30" s="17">
        <f>D$13-D$19-D$20-D$22+D$26-D$27+D$28+D$29</f>
        <v>362019</v>
      </c>
      <c r="F30" s="14" t="s">
        <v>5</v>
      </c>
    </row>
    <row r="31" spans="1:4" ht="13.5" thickBot="1">
      <c r="A31" t="s">
        <v>76</v>
      </c>
      <c r="C31" s="2"/>
      <c r="D31" s="16">
        <v>193827</v>
      </c>
    </row>
    <row r="32" spans="1:6" ht="13.5" thickBot="1">
      <c r="A32" t="s">
        <v>77</v>
      </c>
      <c r="C32" s="2"/>
      <c r="D32" s="18">
        <f>D$30-D$31</f>
        <v>168192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212534</v>
      </c>
    </row>
    <row r="36" spans="1:6" ht="12.75">
      <c r="A36" t="s">
        <v>80</v>
      </c>
      <c r="D36" s="20">
        <f>D$31</f>
        <v>193827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130710</v>
      </c>
      <c r="D38" s="22">
        <f>$C$37+$C$38</f>
        <v>130710</v>
      </c>
      <c r="F38" s="14" t="s">
        <v>7</v>
      </c>
    </row>
    <row r="39" spans="1:6" ht="13.5" thickBot="1">
      <c r="A39" t="s">
        <v>83</v>
      </c>
      <c r="C39" s="2"/>
      <c r="D39" s="23">
        <f>SUM(D35+D36-D38)</f>
        <v>275651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1181678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34453823</v>
      </c>
      <c r="D45" s="25">
        <v>35437660</v>
      </c>
    </row>
    <row r="46" spans="1:4" ht="12.75">
      <c r="A46" s="14" t="s">
        <v>11</v>
      </c>
      <c r="B46" t="s">
        <v>87</v>
      </c>
      <c r="C46" s="26">
        <v>35378636</v>
      </c>
      <c r="D46" s="25">
        <v>36661002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0.03384323040951486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0.041060595548916015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0.01983304274364902</v>
      </c>
      <c r="D53" s="2"/>
    </row>
    <row r="54" spans="2:4" ht="12.75">
      <c r="B54" t="s">
        <v>93</v>
      </c>
      <c r="C54" s="28">
        <v>0.5824359932926753</v>
      </c>
      <c r="D54" s="2"/>
    </row>
    <row r="55" spans="2:4" ht="12.75">
      <c r="B55" t="s">
        <v>94</v>
      </c>
      <c r="C55" s="28">
        <v>0.1430316024620056</v>
      </c>
      <c r="D55" s="2"/>
    </row>
    <row r="56" spans="2:4" ht="12.75">
      <c r="B56" t="s">
        <v>95</v>
      </c>
      <c r="C56" s="28">
        <v>0.04712335433169328</v>
      </c>
      <c r="D56" s="2"/>
    </row>
    <row r="57" spans="2:4" ht="12.75">
      <c r="B57" t="s">
        <v>96</v>
      </c>
      <c r="C57" s="28">
        <v>0.02864593196866041</v>
      </c>
      <c r="D57" s="2"/>
    </row>
    <row r="58" spans="2:4" ht="12.75">
      <c r="B58" t="s">
        <v>97</v>
      </c>
      <c r="C58" s="28">
        <v>0.018867799199494294</v>
      </c>
      <c r="D58" s="2"/>
    </row>
    <row r="59" spans="2:4" ht="12.75">
      <c r="B59" t="s">
        <v>98</v>
      </c>
      <c r="C59" s="28">
        <v>0.15908883542033672</v>
      </c>
      <c r="D59" s="2"/>
    </row>
    <row r="60" spans="2:6" ht="13.5" thickBot="1">
      <c r="B60" t="s">
        <v>99</v>
      </c>
      <c r="C60" s="29">
        <v>0.0009734405814853913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34474347</v>
      </c>
    </row>
    <row r="63" spans="1:4" ht="12.75">
      <c r="A63" s="14" t="s">
        <v>18</v>
      </c>
      <c r="B63" t="s">
        <v>101</v>
      </c>
      <c r="D63" s="31">
        <v>604494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135687</v>
      </c>
      <c r="D66" s="2"/>
    </row>
    <row r="67" spans="1:4" ht="12.75">
      <c r="A67" s="14"/>
      <c r="B67" s="73" t="s">
        <v>67</v>
      </c>
      <c r="C67" s="72">
        <f>D22</f>
        <v>220949</v>
      </c>
      <c r="D67" s="20">
        <f>C67+C66</f>
        <v>356636</v>
      </c>
    </row>
    <row r="68" spans="1:4" ht="12.75">
      <c r="A68" s="14"/>
      <c r="B68" t="s">
        <v>103</v>
      </c>
      <c r="D68" s="20">
        <f>(1000*D67)/D63</f>
        <v>589.9744248909005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1960586</v>
      </c>
      <c r="D73" s="116">
        <v>1</v>
      </c>
    </row>
    <row r="74" spans="1:6" ht="12.75">
      <c r="A74" t="s">
        <v>107</v>
      </c>
      <c r="C74" s="32">
        <v>1793936</v>
      </c>
      <c r="D74" s="116">
        <f>$C$74/$C$73</f>
        <v>0.9149999030901985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166650</v>
      </c>
      <c r="D76" s="2"/>
    </row>
    <row r="77" spans="2:4" ht="13.5" thickBot="1">
      <c r="B77" t="s">
        <v>110</v>
      </c>
      <c r="C77" s="34">
        <v>1542</v>
      </c>
      <c r="D77" s="2"/>
    </row>
    <row r="78" spans="2:6" ht="13.5" thickBot="1">
      <c r="B78" t="s">
        <v>111</v>
      </c>
      <c r="C78" s="35">
        <f>C$76+C$77</f>
        <v>168192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6" right="0.47" top="1" bottom="1" header="0.4921259845" footer="0.4921259845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133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v>28433</v>
      </c>
      <c r="D11" s="2"/>
    </row>
    <row r="12" spans="2:4" ht="12.75">
      <c r="B12" t="s">
        <v>57</v>
      </c>
      <c r="C12" s="6">
        <v>7659</v>
      </c>
      <c r="D12" s="2"/>
    </row>
    <row r="13" spans="2:4" ht="13.5" thickBot="1">
      <c r="B13" t="s">
        <v>58</v>
      </c>
      <c r="C13" s="7">
        <v>10933</v>
      </c>
      <c r="D13" s="8">
        <v>47025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15881</v>
      </c>
      <c r="D17" s="2"/>
    </row>
    <row r="18" spans="2:4" ht="12.75">
      <c r="B18" t="s">
        <v>63</v>
      </c>
      <c r="C18" s="11">
        <v>42322</v>
      </c>
      <c r="D18" s="2"/>
    </row>
    <row r="19" spans="2:6" ht="13.5" thickBot="1">
      <c r="B19" t="s">
        <v>64</v>
      </c>
      <c r="C19" s="12">
        <v>64001</v>
      </c>
      <c r="D19" s="4">
        <f>$C$17+$C$18+$C$19</f>
        <v>122204</v>
      </c>
      <c r="F19" s="14" t="s">
        <v>4</v>
      </c>
    </row>
    <row r="20" spans="1:4" ht="12.75">
      <c r="A20" t="s">
        <v>65</v>
      </c>
      <c r="C20" s="13"/>
      <c r="D20" s="8">
        <v>-66605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2723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11535</v>
      </c>
      <c r="D25" s="2"/>
    </row>
    <row r="26" spans="2:6" ht="13.5" thickBot="1">
      <c r="B26" t="s">
        <v>71</v>
      </c>
      <c r="C26" s="12">
        <v>796</v>
      </c>
      <c r="D26" s="4">
        <f>$C$25-$C$26</f>
        <v>10739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-1593</v>
      </c>
    </row>
    <row r="29" spans="1:4" ht="13.5" thickBot="1">
      <c r="A29" t="s">
        <v>74</v>
      </c>
      <c r="C29" s="2"/>
      <c r="D29" s="16">
        <v>-597</v>
      </c>
    </row>
    <row r="30" spans="1:6" ht="12.75">
      <c r="A30" t="s">
        <v>75</v>
      </c>
      <c r="D30" s="17">
        <f>D$13-D$19-D$20-D$22+D$26-D$27+D$28+D$29</f>
        <v>-2748</v>
      </c>
      <c r="F30" s="14" t="s">
        <v>5</v>
      </c>
    </row>
    <row r="31" spans="1:4" ht="13.5" thickBot="1">
      <c r="A31" t="s">
        <v>76</v>
      </c>
      <c r="C31" s="2"/>
      <c r="D31" s="16">
        <v>0</v>
      </c>
    </row>
    <row r="32" spans="1:6" ht="13.5" thickBot="1">
      <c r="A32" t="s">
        <v>77</v>
      </c>
      <c r="C32" s="2"/>
      <c r="D32" s="18">
        <f>D$30-D$31</f>
        <v>-2748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5159</v>
      </c>
    </row>
    <row r="36" spans="1:6" ht="12.75">
      <c r="A36" t="s">
        <v>80</v>
      </c>
      <c r="D36" s="20">
        <f>D$31</f>
        <v>0</v>
      </c>
      <c r="F36" s="14" t="s">
        <v>6</v>
      </c>
    </row>
    <row r="37" spans="1:6" ht="12.75">
      <c r="A37" t="s">
        <v>81</v>
      </c>
      <c r="C37" s="11">
        <v>145</v>
      </c>
      <c r="D37" s="21"/>
      <c r="F37" s="14"/>
    </row>
    <row r="38" spans="1:6" ht="13.5" thickBot="1">
      <c r="A38" t="s">
        <v>82</v>
      </c>
      <c r="C38" s="12">
        <v>1031</v>
      </c>
      <c r="D38" s="22">
        <f>$C$37+$C$38</f>
        <v>1176</v>
      </c>
      <c r="F38" s="14" t="s">
        <v>7</v>
      </c>
    </row>
    <row r="39" spans="1:6" ht="13.5" thickBot="1">
      <c r="A39" t="s">
        <v>83</v>
      </c>
      <c r="C39" s="2"/>
      <c r="D39" s="23">
        <v>3982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10739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351100</v>
      </c>
      <c r="D45" s="25">
        <v>354700</v>
      </c>
    </row>
    <row r="46" spans="1:4" ht="12.75">
      <c r="A46" s="14" t="s">
        <v>11</v>
      </c>
      <c r="B46" t="s">
        <v>87</v>
      </c>
      <c r="C46" s="26">
        <v>259147</v>
      </c>
      <c r="D46" s="25">
        <v>267655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0.03519558473863862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0.05028319849603522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0.142</v>
      </c>
      <c r="D53" s="2"/>
    </row>
    <row r="54" spans="2:4" ht="12.75">
      <c r="B54" t="s">
        <v>93</v>
      </c>
      <c r="C54" s="28">
        <v>0.566</v>
      </c>
      <c r="D54" s="2"/>
    </row>
    <row r="55" spans="2:4" ht="12.75">
      <c r="B55" t="s">
        <v>94</v>
      </c>
      <c r="C55" s="28">
        <v>0</v>
      </c>
      <c r="D55" s="2"/>
    </row>
    <row r="56" spans="2:4" ht="12.75">
      <c r="B56" t="s">
        <v>95</v>
      </c>
      <c r="C56" s="28">
        <v>0.2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</v>
      </c>
      <c r="D58" s="2"/>
    </row>
    <row r="59" spans="2:4" ht="12.75">
      <c r="B59" t="s">
        <v>98</v>
      </c>
      <c r="C59" s="28">
        <v>0.092</v>
      </c>
      <c r="D59" s="2"/>
    </row>
    <row r="60" spans="2:6" ht="13.5" thickBot="1">
      <c r="B60" t="s">
        <v>99</v>
      </c>
      <c r="C60" s="29">
        <v>0</v>
      </c>
      <c r="D60" s="30">
        <f>SUM($C$53:$C$60)</f>
        <v>0.9999999999999999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261676</v>
      </c>
    </row>
    <row r="63" spans="1:4" ht="12.75">
      <c r="A63" s="14" t="s">
        <v>18</v>
      </c>
      <c r="B63" t="s">
        <v>101</v>
      </c>
      <c r="D63" s="31">
        <v>4479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796</v>
      </c>
      <c r="D66" s="2"/>
    </row>
    <row r="67" spans="1:4" ht="12.75">
      <c r="A67" s="14"/>
      <c r="B67" s="73" t="s">
        <v>67</v>
      </c>
      <c r="C67" s="72">
        <f>D22</f>
        <v>2723</v>
      </c>
      <c r="D67" s="20">
        <f>C67+C66</f>
        <v>3519</v>
      </c>
    </row>
    <row r="68" spans="1:4" ht="12.75">
      <c r="A68" s="14"/>
      <c r="B68" t="s">
        <v>103</v>
      </c>
      <c r="D68" s="20">
        <f>(1000*D67)/D63</f>
        <v>785.6664434025452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28784</v>
      </c>
      <c r="D73" s="116">
        <v>1</v>
      </c>
    </row>
    <row r="74" spans="1:6" ht="12.75">
      <c r="A74" t="s">
        <v>107</v>
      </c>
      <c r="C74" s="32">
        <v>31532</v>
      </c>
      <c r="D74" s="116">
        <f>$C$74/$C$73</f>
        <v>1.0954697053918845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-2748</v>
      </c>
      <c r="D76" s="2"/>
    </row>
    <row r="77" spans="2:4" ht="13.5" thickBot="1">
      <c r="B77" t="s">
        <v>110</v>
      </c>
      <c r="C77" s="34">
        <v>0</v>
      </c>
      <c r="D77" s="2"/>
    </row>
    <row r="78" spans="2:6" ht="13.5" thickBot="1">
      <c r="B78" t="s">
        <v>111</v>
      </c>
      <c r="C78" s="35">
        <f>C$76+C$77</f>
        <v>-2748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5" right="0.36" top="1" bottom="1" header="0.4921259845" footer="0.4921259845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50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1149007.83</v>
      </c>
      <c r="D11" s="2"/>
    </row>
    <row r="12" spans="2:4" ht="12.75">
      <c r="B12" t="s">
        <v>57</v>
      </c>
      <c r="C12" s="6">
        <v>303374.17</v>
      </c>
      <c r="D12" s="2"/>
    </row>
    <row r="13" spans="2:4" ht="13.5" thickBot="1">
      <c r="B13" t="s">
        <v>58</v>
      </c>
      <c r="C13" s="7">
        <v>72770</v>
      </c>
      <c r="D13" s="8">
        <v>1525152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557382</v>
      </c>
      <c r="D17" s="2"/>
    </row>
    <row r="18" spans="2:4" ht="12.75">
      <c r="B18" t="s">
        <v>63</v>
      </c>
      <c r="C18" s="11">
        <v>0</v>
      </c>
      <c r="D18" s="2"/>
    </row>
    <row r="19" spans="2:6" ht="13.5" thickBot="1">
      <c r="B19" t="s">
        <v>64</v>
      </c>
      <c r="C19" s="12">
        <v>2203292</v>
      </c>
      <c r="D19" s="4">
        <f>$C$17+$C$18+$C$19</f>
        <v>2760674</v>
      </c>
      <c r="F19" s="14" t="s">
        <v>4</v>
      </c>
    </row>
    <row r="20" spans="1:4" ht="12.75">
      <c r="A20" t="s">
        <v>65</v>
      </c>
      <c r="C20" s="13"/>
      <c r="D20" s="8">
        <v>-1096037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127289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403441</v>
      </c>
      <c r="D25" s="2"/>
    </row>
    <row r="26" spans="2:6" ht="13.5" thickBot="1">
      <c r="B26" t="s">
        <v>71</v>
      </c>
      <c r="C26" s="12">
        <v>7054</v>
      </c>
      <c r="D26" s="4">
        <f>$C$25-$C$26</f>
        <v>396387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-1778</v>
      </c>
    </row>
    <row r="29" spans="1:4" ht="13.5" thickBot="1">
      <c r="A29" t="s">
        <v>74</v>
      </c>
      <c r="C29" s="2"/>
      <c r="D29" s="16">
        <v>-33380</v>
      </c>
    </row>
    <row r="30" spans="1:6" ht="12.75">
      <c r="A30" t="s">
        <v>75</v>
      </c>
      <c r="D30" s="17">
        <f>D$13-D$19-D$20-D$22+D$26-D$27+D$28+D$29</f>
        <v>94455</v>
      </c>
      <c r="F30" s="14" t="s">
        <v>5</v>
      </c>
    </row>
    <row r="31" spans="1:4" ht="13.5" thickBot="1">
      <c r="A31" t="s">
        <v>76</v>
      </c>
      <c r="C31" s="2"/>
      <c r="D31" s="16">
        <v>28164</v>
      </c>
    </row>
    <row r="32" spans="1:6" ht="13.5" thickBot="1">
      <c r="A32" t="s">
        <v>77</v>
      </c>
      <c r="C32" s="2"/>
      <c r="D32" s="18">
        <f>D$30-D$31</f>
        <v>66291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6623</v>
      </c>
    </row>
    <row r="36" spans="1:6" ht="12.75">
      <c r="A36" t="s">
        <v>80</v>
      </c>
      <c r="D36" s="20">
        <f>D$31</f>
        <v>28164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19983</v>
      </c>
      <c r="D38" s="22">
        <f>$C$37+$C$38</f>
        <v>19983</v>
      </c>
      <c r="F38" s="14" t="s">
        <v>7</v>
      </c>
    </row>
    <row r="39" spans="1:6" ht="13.5" thickBot="1">
      <c r="A39" t="s">
        <v>83</v>
      </c>
      <c r="C39" s="2"/>
      <c r="D39" s="23">
        <v>14804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396387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11602873</v>
      </c>
      <c r="D45" s="25">
        <v>12079040.703</v>
      </c>
    </row>
    <row r="46" spans="1:4" ht="12.75">
      <c r="A46" s="14" t="s">
        <v>11</v>
      </c>
      <c r="B46" t="s">
        <v>87</v>
      </c>
      <c r="C46" s="26">
        <v>9097567</v>
      </c>
      <c r="D46" s="25">
        <v>9644543.328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0.03829744681755557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0.04301275740994693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0.009948484028751862</v>
      </c>
      <c r="D53" s="2"/>
    </row>
    <row r="54" spans="2:4" ht="12.75">
      <c r="B54" t="s">
        <v>93</v>
      </c>
      <c r="C54" s="28">
        <v>0.5758055972547386</v>
      </c>
      <c r="D54" s="2"/>
    </row>
    <row r="55" spans="2:4" ht="12.75">
      <c r="B55" t="s">
        <v>94</v>
      </c>
      <c r="C55" s="28">
        <v>0.15234314844837088</v>
      </c>
      <c r="D55" s="2"/>
    </row>
    <row r="56" spans="2:4" ht="12.75">
      <c r="B56" t="s">
        <v>95</v>
      </c>
      <c r="C56" s="28">
        <v>0.05385923511198104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0.2077542270367451</v>
      </c>
      <c r="D58" s="2"/>
    </row>
    <row r="59" spans="2:4" ht="12.75">
      <c r="B59" t="s">
        <v>98</v>
      </c>
      <c r="C59" s="28">
        <v>0</v>
      </c>
      <c r="D59" s="2"/>
    </row>
    <row r="60" spans="2:6" ht="13.5" thickBot="1">
      <c r="B60" t="s">
        <v>99</v>
      </c>
      <c r="C60" s="29">
        <v>0.0002893081194125858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10373510</v>
      </c>
    </row>
    <row r="63" spans="1:4" ht="12.75">
      <c r="A63" s="14" t="s">
        <v>18</v>
      </c>
      <c r="B63" t="s">
        <v>101</v>
      </c>
      <c r="D63" s="31">
        <v>186003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7054</v>
      </c>
      <c r="D66" s="2"/>
    </row>
    <row r="67" spans="1:4" ht="12.75">
      <c r="A67" s="14"/>
      <c r="B67" s="73" t="s">
        <v>67</v>
      </c>
      <c r="C67" s="72">
        <f>D22</f>
        <v>127289</v>
      </c>
      <c r="D67" s="20">
        <f>C67+C66</f>
        <v>134343</v>
      </c>
    </row>
    <row r="68" spans="1:4" ht="12.75">
      <c r="A68" s="14"/>
      <c r="B68" t="s">
        <v>103</v>
      </c>
      <c r="D68" s="20">
        <f>(1000*D67)/D63</f>
        <v>722.2625441525137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541622.2704925692</v>
      </c>
      <c r="D73" s="116">
        <v>1</v>
      </c>
    </row>
    <row r="74" spans="1:6" ht="12.75">
      <c r="A74" t="s">
        <v>107</v>
      </c>
      <c r="C74" s="32">
        <v>487459.6409589595</v>
      </c>
      <c r="D74" s="116">
        <f>$C$74/$C$73</f>
        <v>0.8999992568910573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54162.629533609674</v>
      </c>
      <c r="D76" s="2"/>
    </row>
    <row r="77" spans="2:4" ht="13.5" thickBot="1">
      <c r="B77" t="s">
        <v>110</v>
      </c>
      <c r="C77" s="34">
        <v>12128.440466390617</v>
      </c>
      <c r="D77" s="2"/>
    </row>
    <row r="78" spans="2:6" ht="13.5" thickBot="1">
      <c r="B78" t="s">
        <v>111</v>
      </c>
      <c r="C78" s="35">
        <f>C$76+C$77</f>
        <v>66291.0700000003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5" right="0.38" top="1" bottom="1" header="0.4921259845" footer="0.4921259845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">
    <tabColor indexed="22"/>
  </sheetPr>
  <dimension ref="A1:F1378"/>
  <sheetViews>
    <sheetView workbookViewId="0" topLeftCell="A1">
      <selection activeCell="D42" sqref="D42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1" t="s">
        <v>116</v>
      </c>
    </row>
    <row r="5" ht="12.75">
      <c r="A5" t="s">
        <v>114</v>
      </c>
    </row>
    <row r="6" ht="12.75">
      <c r="A6" t="s">
        <v>115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0</v>
      </c>
      <c r="D11" s="2"/>
    </row>
    <row r="12" spans="2:4" ht="12.75">
      <c r="B12" t="s">
        <v>57</v>
      </c>
      <c r="C12" s="6"/>
      <c r="D12" s="2"/>
    </row>
    <row r="13" spans="2:4" ht="13.5" thickBot="1">
      <c r="B13" t="s">
        <v>58</v>
      </c>
      <c r="C13" s="7"/>
      <c r="D13" s="8"/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/>
      <c r="D17" s="2"/>
    </row>
    <row r="18" spans="2:4" ht="12.75">
      <c r="B18" t="s">
        <v>63</v>
      </c>
      <c r="C18" s="11"/>
      <c r="D18" s="2"/>
    </row>
    <row r="19" spans="2:6" ht="13.5" thickBot="1">
      <c r="B19" t="s">
        <v>64</v>
      </c>
      <c r="C19" s="12"/>
      <c r="D19" s="4">
        <f>$C$17+$C$18+$C$19</f>
        <v>0</v>
      </c>
      <c r="F19" s="14" t="s">
        <v>4</v>
      </c>
    </row>
    <row r="20" spans="1:4" ht="12.75">
      <c r="A20" t="s">
        <v>65</v>
      </c>
      <c r="C20" s="13"/>
      <c r="D20" s="8"/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/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/>
      <c r="D25" s="2"/>
    </row>
    <row r="26" spans="2:6" ht="13.5" thickBot="1">
      <c r="B26" t="s">
        <v>71</v>
      </c>
      <c r="C26" s="12"/>
      <c r="D26" s="4">
        <f>$C$25-$C$26</f>
        <v>0</v>
      </c>
      <c r="F26" s="14" t="s">
        <v>118</v>
      </c>
    </row>
    <row r="27" spans="1:6" ht="12.75">
      <c r="A27" t="s">
        <v>72</v>
      </c>
      <c r="C27" s="15"/>
      <c r="D27" s="11"/>
      <c r="F27" s="14"/>
    </row>
    <row r="28" spans="1:4" ht="12.75">
      <c r="A28" t="s">
        <v>73</v>
      </c>
      <c r="C28" s="2"/>
      <c r="D28" s="11"/>
    </row>
    <row r="29" spans="1:4" ht="13.5" thickBot="1">
      <c r="A29" t="s">
        <v>74</v>
      </c>
      <c r="C29" s="2"/>
      <c r="D29" s="16"/>
    </row>
    <row r="30" spans="1:6" ht="12.75">
      <c r="A30" t="s">
        <v>75</v>
      </c>
      <c r="D30" s="17">
        <f>D$13-D$19-D$20-D$22+D$26-D$27+D$28+D$29</f>
        <v>0</v>
      </c>
      <c r="F30" s="14" t="s">
        <v>5</v>
      </c>
    </row>
    <row r="31" spans="1:4" ht="13.5" thickBot="1">
      <c r="A31" t="s">
        <v>76</v>
      </c>
      <c r="C31" s="2"/>
      <c r="D31" s="16"/>
    </row>
    <row r="32" spans="1:6" ht="13.5" thickBot="1">
      <c r="A32" t="s">
        <v>77</v>
      </c>
      <c r="C32" s="2"/>
      <c r="D32" s="18">
        <f>D$30-D$31</f>
        <v>0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/>
    </row>
    <row r="36" spans="1:6" ht="12.75">
      <c r="A36" t="s">
        <v>80</v>
      </c>
      <c r="D36" s="20">
        <f>D$31</f>
        <v>0</v>
      </c>
      <c r="F36" s="14" t="s">
        <v>6</v>
      </c>
    </row>
    <row r="37" spans="1:6" ht="12.75">
      <c r="A37" t="s">
        <v>81</v>
      </c>
      <c r="C37" s="11"/>
      <c r="D37" s="21"/>
      <c r="F37" s="14"/>
    </row>
    <row r="38" spans="1:6" ht="13.5" thickBot="1">
      <c r="A38" t="s">
        <v>82</v>
      </c>
      <c r="C38" s="12"/>
      <c r="D38" s="22">
        <f>$C$37+$C$38</f>
        <v>0</v>
      </c>
      <c r="F38" s="14" t="s">
        <v>7</v>
      </c>
    </row>
    <row r="39" spans="1:6" ht="13.5" thickBot="1">
      <c r="A39" t="s">
        <v>83</v>
      </c>
      <c r="C39" s="2"/>
      <c r="D39" s="23"/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0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/>
      <c r="D45" s="25"/>
    </row>
    <row r="46" spans="1:4" ht="12.75">
      <c r="A46" s="14" t="s">
        <v>11</v>
      </c>
      <c r="B46" t="s">
        <v>87</v>
      </c>
      <c r="C46" s="26"/>
      <c r="D46" s="25"/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 t="e">
        <f>D$42/(($C$45+$C$46)/2)</f>
        <v>#DIV/0!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 t="e">
        <f>(D$42+($D$46-$C$46)-($D$45-$C$45))/((D$45+$D$46)/2)</f>
        <v>#DIV/0!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/>
      <c r="D53" s="2"/>
    </row>
    <row r="54" spans="2:4" ht="12.75">
      <c r="B54" t="s">
        <v>93</v>
      </c>
      <c r="C54" s="28"/>
      <c r="D54" s="2"/>
    </row>
    <row r="55" spans="2:4" ht="12.75">
      <c r="B55" t="s">
        <v>94</v>
      </c>
      <c r="C55" s="28"/>
      <c r="D55" s="2"/>
    </row>
    <row r="56" spans="2:4" ht="12.75">
      <c r="B56" t="s">
        <v>95</v>
      </c>
      <c r="C56" s="28"/>
      <c r="D56" s="2"/>
    </row>
    <row r="57" spans="2:4" ht="12.75">
      <c r="B57" t="s">
        <v>96</v>
      </c>
      <c r="C57" s="28"/>
      <c r="D57" s="2"/>
    </row>
    <row r="58" spans="2:4" ht="12.75">
      <c r="B58" t="s">
        <v>97</v>
      </c>
      <c r="C58" s="28"/>
      <c r="D58" s="2"/>
    </row>
    <row r="59" spans="2:4" ht="12.75">
      <c r="B59" t="s">
        <v>98</v>
      </c>
      <c r="C59" s="28"/>
      <c r="D59" s="2"/>
    </row>
    <row r="60" spans="2:6" ht="13.5" thickBot="1">
      <c r="B60" t="s">
        <v>99</v>
      </c>
      <c r="C60" s="29"/>
      <c r="D60" s="30">
        <f>SUM($C$53:$C$60)</f>
        <v>0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/>
    </row>
    <row r="63" spans="1:4" ht="12.75">
      <c r="A63" s="14" t="s">
        <v>18</v>
      </c>
      <c r="B63" t="s">
        <v>101</v>
      </c>
      <c r="D63" s="31"/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0</v>
      </c>
      <c r="D66" s="2"/>
    </row>
    <row r="67" spans="1:4" ht="12.75">
      <c r="A67" s="14"/>
      <c r="B67" s="73" t="s">
        <v>67</v>
      </c>
      <c r="C67" s="72">
        <f>D22</f>
        <v>0</v>
      </c>
      <c r="D67" s="20">
        <f>C67+C66</f>
        <v>0</v>
      </c>
    </row>
    <row r="68" spans="1:4" ht="12.75">
      <c r="A68" s="14"/>
      <c r="B68" t="s">
        <v>103</v>
      </c>
      <c r="D68" s="20" t="e">
        <f>(1000*D67)/D63</f>
        <v>#DIV/0!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/>
      <c r="D73" s="33">
        <v>1</v>
      </c>
    </row>
    <row r="74" spans="1:6" ht="12.75">
      <c r="A74" t="s">
        <v>107</v>
      </c>
      <c r="C74" s="32"/>
      <c r="D74" s="33" t="e">
        <f>$C$74/$C$73</f>
        <v>#DIV/0!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/>
      <c r="D76" s="2"/>
    </row>
    <row r="77" spans="2:4" ht="13.5" thickBot="1">
      <c r="B77" t="s">
        <v>110</v>
      </c>
      <c r="C77" s="34"/>
      <c r="D77" s="2"/>
    </row>
    <row r="78" spans="2:6" ht="13.5" thickBot="1">
      <c r="B78" t="s">
        <v>111</v>
      </c>
      <c r="C78" s="35">
        <f>C$76+C$77</f>
        <v>0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1" right="0.4" top="1" bottom="1" header="0.4921259845" footer="0.492125984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indexed="13"/>
  </sheetPr>
  <dimension ref="A1:AF79"/>
  <sheetViews>
    <sheetView workbookViewId="0" topLeftCell="A1">
      <pane xSplit="2" topLeftCell="Q1" activePane="topRight" state="frozen"/>
      <selection pane="topLeft" activeCell="B7" sqref="B7"/>
      <selection pane="topRight"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2.28125" style="0" customWidth="1"/>
    <col min="4" max="4" width="13.28125" style="0" customWidth="1"/>
    <col min="5" max="32" width="11.7109375" style="0" customWidth="1"/>
  </cols>
  <sheetData>
    <row r="1" spans="1:32" ht="12.75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12.75">
      <c r="A2" s="79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3.5" thickBot="1">
      <c r="A3" s="80" t="s">
        <v>127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13.5" thickBot="1">
      <c r="A4" s="79"/>
      <c r="B4" s="78"/>
      <c r="C4" s="130" t="s">
        <v>40</v>
      </c>
      <c r="D4" s="131"/>
      <c r="E4" s="130" t="s">
        <v>41</v>
      </c>
      <c r="F4" s="131"/>
      <c r="G4" s="130" t="s">
        <v>42</v>
      </c>
      <c r="H4" s="131"/>
      <c r="I4" s="130" t="s">
        <v>43</v>
      </c>
      <c r="J4" s="131"/>
      <c r="K4" s="130" t="s">
        <v>44</v>
      </c>
      <c r="L4" s="131"/>
      <c r="M4" s="130" t="s">
        <v>45</v>
      </c>
      <c r="N4" s="131"/>
      <c r="O4" s="130" t="s">
        <v>46</v>
      </c>
      <c r="P4" s="131"/>
      <c r="Q4" s="130" t="s">
        <v>47</v>
      </c>
      <c r="R4" s="131"/>
      <c r="S4" s="130" t="s">
        <v>25</v>
      </c>
      <c r="T4" s="131"/>
      <c r="U4" s="130" t="s">
        <v>49</v>
      </c>
      <c r="V4" s="131"/>
      <c r="W4" s="130" t="s">
        <v>27</v>
      </c>
      <c r="X4" s="131"/>
      <c r="Y4" s="130" t="s">
        <v>48</v>
      </c>
      <c r="Z4" s="131"/>
      <c r="AA4" s="130" t="s">
        <v>26</v>
      </c>
      <c r="AB4" s="131"/>
      <c r="AC4" s="130" t="s">
        <v>50</v>
      </c>
      <c r="AD4" s="131"/>
      <c r="AE4" s="132" t="s">
        <v>122</v>
      </c>
      <c r="AF4" s="133"/>
    </row>
    <row r="5" spans="1:32" ht="12.75">
      <c r="A5" s="79" t="s">
        <v>126</v>
      </c>
      <c r="B5" s="78"/>
      <c r="C5" s="81"/>
      <c r="D5" s="82"/>
      <c r="E5" s="81"/>
      <c r="F5" s="82"/>
      <c r="G5" s="81"/>
      <c r="H5" s="82"/>
      <c r="I5" s="81"/>
      <c r="J5" s="82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81"/>
      <c r="X5" s="82"/>
      <c r="Y5" s="81"/>
      <c r="Z5" s="82"/>
      <c r="AA5" s="81"/>
      <c r="AB5" s="82"/>
      <c r="AC5" s="81"/>
      <c r="AD5" s="82"/>
      <c r="AE5" s="75"/>
      <c r="AF5" s="41"/>
    </row>
    <row r="6" spans="1:32" ht="12.75">
      <c r="A6" s="79"/>
      <c r="B6" s="78"/>
      <c r="C6" s="83"/>
      <c r="D6" s="84"/>
      <c r="E6" s="83"/>
      <c r="F6" s="84"/>
      <c r="G6" s="83"/>
      <c r="H6" s="84"/>
      <c r="I6" s="83"/>
      <c r="J6" s="84"/>
      <c r="K6" s="83"/>
      <c r="L6" s="84"/>
      <c r="M6" s="83"/>
      <c r="N6" s="84"/>
      <c r="O6" s="83"/>
      <c r="P6" s="84"/>
      <c r="Q6" s="83"/>
      <c r="R6" s="84"/>
      <c r="S6" s="83"/>
      <c r="T6" s="84"/>
      <c r="U6" s="83"/>
      <c r="V6" s="84"/>
      <c r="W6" s="83"/>
      <c r="X6" s="84"/>
      <c r="Y6" s="83"/>
      <c r="Z6" s="84"/>
      <c r="AA6" s="83"/>
      <c r="AB6" s="84"/>
      <c r="AC6" s="83"/>
      <c r="AD6" s="84"/>
      <c r="AE6" s="73"/>
      <c r="AF6" s="42"/>
    </row>
    <row r="7" spans="1:32" ht="12.75">
      <c r="A7" s="79"/>
      <c r="B7" s="78"/>
      <c r="C7" s="83"/>
      <c r="D7" s="84"/>
      <c r="E7" s="83"/>
      <c r="F7" s="84"/>
      <c r="G7" s="83"/>
      <c r="H7" s="84"/>
      <c r="I7" s="83"/>
      <c r="J7" s="84"/>
      <c r="K7" s="83"/>
      <c r="L7" s="84"/>
      <c r="M7" s="83"/>
      <c r="N7" s="84"/>
      <c r="O7" s="83"/>
      <c r="P7" s="84"/>
      <c r="Q7" s="83"/>
      <c r="R7" s="84"/>
      <c r="S7" s="83"/>
      <c r="T7" s="84"/>
      <c r="U7" s="83"/>
      <c r="V7" s="84"/>
      <c r="W7" s="83"/>
      <c r="X7" s="84"/>
      <c r="Y7" s="83"/>
      <c r="Z7" s="84"/>
      <c r="AA7" s="83"/>
      <c r="AB7" s="84"/>
      <c r="AC7" s="83"/>
      <c r="AD7" s="84"/>
      <c r="AE7" s="73"/>
      <c r="AF7" s="42"/>
    </row>
    <row r="8" spans="1:32" ht="12.75">
      <c r="A8" s="79"/>
      <c r="B8" s="78"/>
      <c r="C8" s="85" t="s">
        <v>52</v>
      </c>
      <c r="D8" s="86" t="s">
        <v>53</v>
      </c>
      <c r="E8" s="85" t="s">
        <v>52</v>
      </c>
      <c r="F8" s="86" t="s">
        <v>53</v>
      </c>
      <c r="G8" s="85" t="s">
        <v>52</v>
      </c>
      <c r="H8" s="86" t="s">
        <v>53</v>
      </c>
      <c r="I8" s="85" t="s">
        <v>52</v>
      </c>
      <c r="J8" s="86" t="s">
        <v>53</v>
      </c>
      <c r="K8" s="85" t="s">
        <v>52</v>
      </c>
      <c r="L8" s="86" t="s">
        <v>53</v>
      </c>
      <c r="M8" s="85" t="s">
        <v>52</v>
      </c>
      <c r="N8" s="86" t="s">
        <v>53</v>
      </c>
      <c r="O8" s="85" t="s">
        <v>52</v>
      </c>
      <c r="P8" s="86" t="s">
        <v>53</v>
      </c>
      <c r="Q8" s="85" t="s">
        <v>52</v>
      </c>
      <c r="R8" s="86" t="s">
        <v>53</v>
      </c>
      <c r="S8" s="85" t="s">
        <v>52</v>
      </c>
      <c r="T8" s="86" t="s">
        <v>119</v>
      </c>
      <c r="U8" s="85" t="s">
        <v>52</v>
      </c>
      <c r="V8" s="86" t="s">
        <v>119</v>
      </c>
      <c r="W8" s="85" t="s">
        <v>52</v>
      </c>
      <c r="X8" s="86" t="s">
        <v>119</v>
      </c>
      <c r="Y8" s="85" t="s">
        <v>52</v>
      </c>
      <c r="Z8" s="86" t="s">
        <v>119</v>
      </c>
      <c r="AA8" s="85" t="s">
        <v>52</v>
      </c>
      <c r="AB8" s="86" t="s">
        <v>119</v>
      </c>
      <c r="AC8" s="85" t="s">
        <v>52</v>
      </c>
      <c r="AD8" s="86" t="s">
        <v>119</v>
      </c>
      <c r="AE8" s="85" t="s">
        <v>52</v>
      </c>
      <c r="AF8" s="86" t="s">
        <v>119</v>
      </c>
    </row>
    <row r="9" spans="1:32" ht="12.75">
      <c r="A9" s="80" t="s">
        <v>54</v>
      </c>
      <c r="B9" s="78"/>
      <c r="C9" s="83"/>
      <c r="D9" s="84"/>
      <c r="E9" s="83"/>
      <c r="F9" s="84"/>
      <c r="G9" s="83"/>
      <c r="H9" s="84"/>
      <c r="I9" s="83"/>
      <c r="J9" s="84"/>
      <c r="K9" s="83"/>
      <c r="L9" s="84"/>
      <c r="M9" s="83"/>
      <c r="N9" s="84"/>
      <c r="O9" s="83"/>
      <c r="P9" s="84"/>
      <c r="Q9" s="83"/>
      <c r="R9" s="84"/>
      <c r="S9" s="83"/>
      <c r="T9" s="84"/>
      <c r="U9" s="83"/>
      <c r="V9" s="84"/>
      <c r="W9" s="83"/>
      <c r="X9" s="84"/>
      <c r="Y9" s="83"/>
      <c r="Z9" s="84"/>
      <c r="AA9" s="83"/>
      <c r="AB9" s="84"/>
      <c r="AC9" s="83"/>
      <c r="AD9" s="84"/>
      <c r="AE9" s="73"/>
      <c r="AF9" s="42"/>
    </row>
    <row r="10" spans="1:32" ht="12.75">
      <c r="A10" s="79" t="s">
        <v>55</v>
      </c>
      <c r="B10" s="78"/>
      <c r="C10" s="87"/>
      <c r="D10" s="88"/>
      <c r="E10" s="87"/>
      <c r="F10" s="88"/>
      <c r="G10" s="87"/>
      <c r="H10" s="88"/>
      <c r="I10" s="87"/>
      <c r="J10" s="88"/>
      <c r="K10" s="87"/>
      <c r="L10" s="88"/>
      <c r="M10" s="87"/>
      <c r="N10" s="88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13"/>
      <c r="AF10" s="43"/>
    </row>
    <row r="11" spans="1:32" ht="12.75">
      <c r="A11" s="79"/>
      <c r="B11" s="78" t="s">
        <v>56</v>
      </c>
      <c r="C11" s="44">
        <f>$D$13-C$12-C$13</f>
        <v>768382.0324200001</v>
      </c>
      <c r="D11" s="88"/>
      <c r="E11" s="44">
        <f>F$13-E$12-E$13</f>
        <v>39790.627932499716</v>
      </c>
      <c r="F11" s="88"/>
      <c r="G11" s="44">
        <f>H$13-G$12-G$13</f>
        <v>1542329.3359700001</v>
      </c>
      <c r="H11" s="88"/>
      <c r="I11" s="44">
        <f>J$13-I$12-I$13</f>
        <v>36498.64772875121</v>
      </c>
      <c r="J11" s="88"/>
      <c r="K11" s="44">
        <f>L$13-K$12-K$13</f>
        <v>365684.075</v>
      </c>
      <c r="L11" s="88"/>
      <c r="M11" s="44">
        <f>N$13-M$12-M$13</f>
        <v>74871.44731</v>
      </c>
      <c r="N11" s="88"/>
      <c r="O11" s="44">
        <f>P$13-O$12-O$13</f>
        <v>190272</v>
      </c>
      <c r="P11" s="88"/>
      <c r="Q11" s="44">
        <f>R$13-Q$12-Q$13</f>
        <v>1176078.9296941594</v>
      </c>
      <c r="R11" s="88"/>
      <c r="S11" s="44">
        <f>T$13-S$12-S$13</f>
        <v>440019.6</v>
      </c>
      <c r="T11" s="88"/>
      <c r="U11" s="44">
        <f>V$13-U$12-U$13</f>
        <v>16545</v>
      </c>
      <c r="V11" s="88"/>
      <c r="W11" s="44">
        <f>X$13-W$12-W$13</f>
        <v>5057977.863824</v>
      </c>
      <c r="X11" s="88"/>
      <c r="Y11" s="44">
        <f>Z$13-Y$12-Y$13</f>
        <v>4951450</v>
      </c>
      <c r="Z11" s="88"/>
      <c r="AA11" s="44">
        <f>AB$13-AA$12-AA$13</f>
        <v>28433</v>
      </c>
      <c r="AB11" s="88"/>
      <c r="AC11" s="44">
        <f>AD$13-AC$12-AC$13</f>
        <v>1149007.83</v>
      </c>
      <c r="AD11" s="88"/>
      <c r="AE11" s="72">
        <f>AF$13-AE$12-AE$13</f>
        <v>15837340.38987941</v>
      </c>
      <c r="AF11" s="43"/>
    </row>
    <row r="12" spans="1:32" ht="12.75">
      <c r="A12" s="79"/>
      <c r="B12" s="78" t="s">
        <v>57</v>
      </c>
      <c r="C12" s="45">
        <f>'Allianz Suisse'!C12</f>
        <v>140813</v>
      </c>
      <c r="D12" s="88"/>
      <c r="E12" s="45">
        <f>Axa!$C12</f>
        <v>6454.85249</v>
      </c>
      <c r="F12" s="88"/>
      <c r="G12" s="45">
        <f>Basler!$C12</f>
        <v>195344.12334999998</v>
      </c>
      <c r="H12" s="88"/>
      <c r="I12" s="45">
        <f>Generali!$C12</f>
        <v>6071.0952785460995</v>
      </c>
      <c r="J12" s="88"/>
      <c r="K12" s="45">
        <f>Genevoise!$C12</f>
        <v>82842.794</v>
      </c>
      <c r="L12" s="88"/>
      <c r="M12" s="45">
        <f>Mobiliar!$C12</f>
        <v>255611.11190000002</v>
      </c>
      <c r="N12" s="88"/>
      <c r="O12" s="45">
        <f>National!$C12</f>
        <v>31271</v>
      </c>
      <c r="P12" s="88"/>
      <c r="Q12" s="45">
        <f>Patria!$C12</f>
        <v>257686.68073727004</v>
      </c>
      <c r="R12" s="88"/>
      <c r="S12" s="45">
        <f>Pax!$C12</f>
        <v>49082</v>
      </c>
      <c r="T12" s="88"/>
      <c r="U12" s="45">
        <f>Phenix!$C12</f>
        <v>2395</v>
      </c>
      <c r="V12" s="88"/>
      <c r="W12" s="45">
        <f>Rentenanstalt!$C12</f>
        <v>818829.5981999999</v>
      </c>
      <c r="X12" s="88"/>
      <c r="Y12" s="45">
        <f>Winterthur!$C12</f>
        <v>787849</v>
      </c>
      <c r="Z12" s="88"/>
      <c r="AA12" s="45">
        <f>Zenith!$C12</f>
        <v>7659</v>
      </c>
      <c r="AB12" s="88"/>
      <c r="AC12" s="45">
        <f>Zuerich!$C12</f>
        <v>303374.17</v>
      </c>
      <c r="AD12" s="88"/>
      <c r="AE12" s="89">
        <f>C12+E12+G12+I12+K12+M12+O12+Q12+S12+U12+W12+Y12+AA12+AC12</f>
        <v>2945283.425955816</v>
      </c>
      <c r="AF12" s="43"/>
    </row>
    <row r="13" spans="1:32" ht="12.75">
      <c r="A13" s="79"/>
      <c r="B13" s="78" t="s">
        <v>58</v>
      </c>
      <c r="C13" s="90">
        <f>'Allianz Suisse'!C13</f>
        <v>52192</v>
      </c>
      <c r="D13" s="46">
        <f>'Allianz Suisse'!D13</f>
        <v>961387.0324200001</v>
      </c>
      <c r="E13" s="90">
        <f>Axa!$C13</f>
        <v>2774.2248175</v>
      </c>
      <c r="F13" s="46">
        <f>Axa!$D13</f>
        <v>49019.70523999971</v>
      </c>
      <c r="G13" s="90">
        <f>Basler!$C13</f>
        <v>75924.2759</v>
      </c>
      <c r="H13" s="46">
        <f>Basler!$D13</f>
        <v>1813597.7352200001</v>
      </c>
      <c r="I13" s="90">
        <f>Generali!$C13</f>
        <v>2166.4159927026913</v>
      </c>
      <c r="J13" s="46">
        <f>Generali!$D13</f>
        <v>44736.159</v>
      </c>
      <c r="K13" s="90">
        <f>Genevoise!$C13</f>
        <v>32181.131</v>
      </c>
      <c r="L13" s="46">
        <f>Genevoise!$D13</f>
        <v>480708</v>
      </c>
      <c r="M13" s="90">
        <f>Mobiliar!$C13</f>
        <v>17525.840790000002</v>
      </c>
      <c r="N13" s="46">
        <f>Mobiliar!$D13</f>
        <v>348008.4</v>
      </c>
      <c r="O13" s="90">
        <f>National!$C13</f>
        <v>10984</v>
      </c>
      <c r="P13" s="46">
        <f>National!$D13</f>
        <v>232527</v>
      </c>
      <c r="Q13" s="90">
        <f>Patria!$C13</f>
        <v>96426.40260857012</v>
      </c>
      <c r="R13" s="46">
        <f>Patria!$D13</f>
        <v>1530192.0130399996</v>
      </c>
      <c r="S13" s="90">
        <f>Pax!$C13</f>
        <v>20873</v>
      </c>
      <c r="T13" s="46">
        <f>Pax!$D13</f>
        <v>509974.6</v>
      </c>
      <c r="U13" s="90">
        <f>Phenix!$C13</f>
        <v>1142</v>
      </c>
      <c r="V13" s="46">
        <f>Phenix!$D13</f>
        <v>20082</v>
      </c>
      <c r="W13" s="90">
        <f>Rentenanstalt!$C13</f>
        <v>253799.92978600002</v>
      </c>
      <c r="X13" s="46">
        <f>Rentenanstalt!$D13</f>
        <v>6130607.39181</v>
      </c>
      <c r="Y13" s="90">
        <f>Winterthur!$C13</f>
        <v>226712</v>
      </c>
      <c r="Z13" s="46">
        <f>Winterthur!$D13</f>
        <v>5966011</v>
      </c>
      <c r="AA13" s="90">
        <f>Zenith!$C13</f>
        <v>10933</v>
      </c>
      <c r="AB13" s="46">
        <f>Zenith!$D13</f>
        <v>47025</v>
      </c>
      <c r="AC13" s="90">
        <f>Zuerich!$C13</f>
        <v>72770</v>
      </c>
      <c r="AD13" s="46">
        <f>Zuerich!$D13</f>
        <v>1525152</v>
      </c>
      <c r="AE13" s="6">
        <f>C13+E13+G13+I13+K13+M13+O13+Q13+S13+U13+W13+Y13+AA13+AC13</f>
        <v>876404.2208947728</v>
      </c>
      <c r="AF13" s="67">
        <f>D13+F13+H13+J13+L13+N13+P13+R13+T13+V13+X13+Z13+AB13+AD13</f>
        <v>19659028.03673</v>
      </c>
    </row>
    <row r="14" spans="1:32" ht="12.75">
      <c r="A14" s="79"/>
      <c r="B14" s="91" t="s">
        <v>59</v>
      </c>
      <c r="C14" s="87"/>
      <c r="D14" s="88"/>
      <c r="E14" s="87"/>
      <c r="F14" s="88"/>
      <c r="G14" s="87"/>
      <c r="H14" s="88"/>
      <c r="I14" s="87"/>
      <c r="J14" s="88"/>
      <c r="K14" s="87"/>
      <c r="L14" s="88"/>
      <c r="M14" s="87"/>
      <c r="N14" s="88"/>
      <c r="O14" s="87"/>
      <c r="P14" s="88"/>
      <c r="Q14" s="87"/>
      <c r="R14" s="88"/>
      <c r="S14" s="87"/>
      <c r="T14" s="88"/>
      <c r="U14" s="87"/>
      <c r="V14" s="88"/>
      <c r="W14" s="87"/>
      <c r="X14" s="88"/>
      <c r="Y14" s="87"/>
      <c r="Z14" s="88"/>
      <c r="AA14" s="87"/>
      <c r="AB14" s="88"/>
      <c r="AC14" s="87"/>
      <c r="AD14" s="88"/>
      <c r="AE14" s="92"/>
      <c r="AF14" s="43"/>
    </row>
    <row r="15" spans="1:32" ht="12.75">
      <c r="A15" s="79"/>
      <c r="B15" s="91" t="s">
        <v>60</v>
      </c>
      <c r="C15" s="87"/>
      <c r="D15" s="88"/>
      <c r="E15" s="87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93"/>
      <c r="AF15" s="43"/>
    </row>
    <row r="16" spans="1:32" ht="12.75">
      <c r="A16" s="79" t="s">
        <v>61</v>
      </c>
      <c r="B16" s="78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8"/>
      <c r="O16" s="87"/>
      <c r="P16" s="88"/>
      <c r="Q16" s="87"/>
      <c r="R16" s="88"/>
      <c r="S16" s="87"/>
      <c r="T16" s="88"/>
      <c r="U16" s="87"/>
      <c r="V16" s="88"/>
      <c r="W16" s="87"/>
      <c r="X16" s="88"/>
      <c r="Y16" s="87"/>
      <c r="Z16" s="88"/>
      <c r="AA16" s="87"/>
      <c r="AB16" s="88"/>
      <c r="AC16" s="87"/>
      <c r="AD16" s="88"/>
      <c r="AE16" s="13"/>
      <c r="AF16" s="43"/>
    </row>
    <row r="17" spans="1:32" ht="12.75">
      <c r="A17" s="79"/>
      <c r="B17" s="78" t="s">
        <v>62</v>
      </c>
      <c r="C17" s="47">
        <f>'Allianz Suisse'!C17</f>
        <v>202234.48797999998</v>
      </c>
      <c r="D17" s="88"/>
      <c r="E17" s="47">
        <f>Axa!$C17</f>
        <v>7829.959260000007</v>
      </c>
      <c r="F17" s="88"/>
      <c r="G17" s="47">
        <f>Basler!$C17</f>
        <v>346852.44</v>
      </c>
      <c r="H17" s="88"/>
      <c r="I17" s="47">
        <f>Generali!$C17</f>
        <v>43472.035899999995</v>
      </c>
      <c r="J17" s="88"/>
      <c r="K17" s="47">
        <f>Genevoise!$C17</f>
        <v>120668</v>
      </c>
      <c r="L17" s="88"/>
      <c r="M17" s="47">
        <f>Mobiliar!$C17</f>
        <v>109590.9</v>
      </c>
      <c r="N17" s="88"/>
      <c r="O17" s="47">
        <f>National!$C17</f>
        <v>51881</v>
      </c>
      <c r="P17" s="88"/>
      <c r="Q17" s="47">
        <f>Patria!$C17</f>
        <v>362070.70141000004</v>
      </c>
      <c r="R17" s="88"/>
      <c r="S17" s="47">
        <f>Pax!$C17</f>
        <v>75951.3</v>
      </c>
      <c r="T17" s="88"/>
      <c r="U17" s="47">
        <f>Phenix!$C17</f>
        <v>3475</v>
      </c>
      <c r="V17" s="88"/>
      <c r="W17" s="47">
        <f>Rentenanstalt!$C17</f>
        <v>1669329.20198</v>
      </c>
      <c r="X17" s="88"/>
      <c r="Y17" s="47">
        <f>Winterthur!$C17</f>
        <v>956184</v>
      </c>
      <c r="Z17" s="88"/>
      <c r="AA17" s="47">
        <f>Zenith!$C17</f>
        <v>15881</v>
      </c>
      <c r="AB17" s="88"/>
      <c r="AC17" s="47">
        <f>Zuerich!$C17</f>
        <v>557382</v>
      </c>
      <c r="AD17" s="88"/>
      <c r="AE17" s="94">
        <f>C17+E17+G17+I17+K17+M17+O17+Q17+S17+U17+W17+Y17+AA17+AC17</f>
        <v>4522802.026529999</v>
      </c>
      <c r="AF17" s="43"/>
    </row>
    <row r="18" spans="1:32" ht="12.75">
      <c r="A18" s="79"/>
      <c r="B18" s="78" t="s">
        <v>63</v>
      </c>
      <c r="C18" s="47">
        <f>'Allianz Suisse'!C18</f>
        <v>436115.6891</v>
      </c>
      <c r="D18" s="88"/>
      <c r="E18" s="47">
        <f>Axa!$C18</f>
        <v>8257.6205</v>
      </c>
      <c r="F18" s="88"/>
      <c r="G18" s="47">
        <f>Basler!$C18</f>
        <v>787437.548</v>
      </c>
      <c r="H18" s="88"/>
      <c r="I18" s="47">
        <f>Generali!$C18</f>
        <v>239544.30326000002</v>
      </c>
      <c r="J18" s="88"/>
      <c r="K18" s="47">
        <f>Genevoise!$C18</f>
        <v>195900</v>
      </c>
      <c r="L18" s="88"/>
      <c r="M18" s="47">
        <f>Mobiliar!$C18</f>
        <v>0</v>
      </c>
      <c r="N18" s="88"/>
      <c r="O18" s="47">
        <f>National!$C18</f>
        <v>107593</v>
      </c>
      <c r="P18" s="88"/>
      <c r="Q18" s="47">
        <f>Patria!$C18</f>
        <v>706796.4739199998</v>
      </c>
      <c r="R18" s="88"/>
      <c r="S18" s="47">
        <f>Pax!$C18</f>
        <v>199241.2</v>
      </c>
      <c r="T18" s="88"/>
      <c r="U18" s="47">
        <f>Phenix!$C18</f>
        <v>9412</v>
      </c>
      <c r="V18" s="88"/>
      <c r="W18" s="47">
        <f>Rentenanstalt!$C18</f>
        <v>2439065.22446</v>
      </c>
      <c r="X18" s="88"/>
      <c r="Y18" s="47">
        <f>Winterthur!$C18</f>
        <v>3509980</v>
      </c>
      <c r="Z18" s="88"/>
      <c r="AA18" s="47">
        <f>Zenith!$C18</f>
        <v>42322</v>
      </c>
      <c r="AB18" s="88"/>
      <c r="AC18" s="47">
        <f>Zuerich!$C18</f>
        <v>0</v>
      </c>
      <c r="AD18" s="88"/>
      <c r="AE18" s="95">
        <f>C18+E18+G18+I18+K18+M18+O18+Q18+S18+U18+W18+Y18+AA18+AC18</f>
        <v>8681665.05924</v>
      </c>
      <c r="AF18" s="43"/>
    </row>
    <row r="19" spans="1:32" ht="12.75">
      <c r="A19" s="79"/>
      <c r="B19" s="78" t="s">
        <v>64</v>
      </c>
      <c r="C19" s="96">
        <f>'Allianz Suisse'!C19</f>
        <v>382809.52302</v>
      </c>
      <c r="D19" s="97">
        <f>$C$17+$C$18+$C$19</f>
        <v>1021159.7001</v>
      </c>
      <c r="E19" s="96">
        <f>Axa!$C19</f>
        <v>24569.043449999896</v>
      </c>
      <c r="F19" s="97">
        <f>E$17+E$18+E$19</f>
        <v>40656.6232099999</v>
      </c>
      <c r="G19" s="96">
        <f>Basler!$C19</f>
        <v>911194.0160000001</v>
      </c>
      <c r="H19" s="97">
        <f>G$17+G$18+G$19</f>
        <v>2045484.004</v>
      </c>
      <c r="I19" s="96">
        <f>Generali!$C19</f>
        <v>4383.4487</v>
      </c>
      <c r="J19" s="97">
        <f>I$17+I$18+I$19</f>
        <v>287399.78786000004</v>
      </c>
      <c r="K19" s="96">
        <f>Genevoise!$C19</f>
        <v>348768</v>
      </c>
      <c r="L19" s="97">
        <f>K$17+K$18+K$19</f>
        <v>665336</v>
      </c>
      <c r="M19" s="96">
        <f>Mobiliar!$C19</f>
        <v>83375.5</v>
      </c>
      <c r="N19" s="97">
        <f>M$17+M$18+M$19</f>
        <v>192966.4</v>
      </c>
      <c r="O19" s="96">
        <f>National!$C19</f>
        <v>103644</v>
      </c>
      <c r="P19" s="97">
        <f>O$17+O$18+O$19</f>
        <v>263118</v>
      </c>
      <c r="Q19" s="96">
        <f>Patria!$C19</f>
        <v>315580.70519</v>
      </c>
      <c r="R19" s="97">
        <f>Q$17+Q$18+Q$19</f>
        <v>1384447.8805199997</v>
      </c>
      <c r="S19" s="96">
        <f>Pax!$C19</f>
        <v>314768.6</v>
      </c>
      <c r="T19" s="97">
        <f>S$17+S$18+S$19</f>
        <v>589961.1</v>
      </c>
      <c r="U19" s="96">
        <f>Phenix!$C19</f>
        <v>0</v>
      </c>
      <c r="V19" s="97">
        <f>U$17+U$18+U$19</f>
        <v>12887</v>
      </c>
      <c r="W19" s="96">
        <f>Rentenanstalt!$C19</f>
        <v>2367169.0080999997</v>
      </c>
      <c r="X19" s="97">
        <f>W$17+W$18+W$19</f>
        <v>6475563.43454</v>
      </c>
      <c r="Y19" s="96">
        <f>Winterthur!$C19</f>
        <v>659282</v>
      </c>
      <c r="Z19" s="97">
        <f>Y$17+Y$18+Y$19</f>
        <v>5125446</v>
      </c>
      <c r="AA19" s="96">
        <f>Zenith!$C19</f>
        <v>64001</v>
      </c>
      <c r="AB19" s="97">
        <f>AA$17+AA$18+AA$19</f>
        <v>122204</v>
      </c>
      <c r="AC19" s="96">
        <f>Zuerich!$C19</f>
        <v>2203292</v>
      </c>
      <c r="AD19" s="97">
        <f>AC$17+AC$18+AC$19</f>
        <v>2760674</v>
      </c>
      <c r="AE19" s="96">
        <f>C19+E19+G19+I19+K19+M19+O19+Q19+S19+U19+W19+Y19+AA19+AC19</f>
        <v>7782836.844459999</v>
      </c>
      <c r="AF19" s="68">
        <f>AE$17+AE$18+AE$19</f>
        <v>20987303.93023</v>
      </c>
    </row>
    <row r="20" spans="1:32" ht="12.75">
      <c r="A20" s="79" t="s">
        <v>65</v>
      </c>
      <c r="B20" s="78"/>
      <c r="C20" s="87"/>
      <c r="D20" s="46">
        <f>'Allianz Suisse'!D20</f>
        <v>-4403.967849999813</v>
      </c>
      <c r="E20" s="87"/>
      <c r="F20" s="46">
        <f>Axa!$D20</f>
        <v>9800.639400000051</v>
      </c>
      <c r="G20" s="87"/>
      <c r="H20" s="46">
        <f>Basler!$D20</f>
        <v>-34819.326570001605</v>
      </c>
      <c r="I20" s="87"/>
      <c r="J20" s="46">
        <f>Generali!$D20</f>
        <v>-227249.88700000002</v>
      </c>
      <c r="K20" s="87"/>
      <c r="L20" s="46">
        <f>Genevoise!$D20</f>
        <v>-189086</v>
      </c>
      <c r="M20" s="87"/>
      <c r="N20" s="46">
        <f>Mobiliar!$D20</f>
        <v>72773.5</v>
      </c>
      <c r="O20" s="87"/>
      <c r="P20" s="46">
        <f>National!$D20</f>
        <v>9955</v>
      </c>
      <c r="Q20" s="87"/>
      <c r="R20" s="46">
        <f>Patria!$D20</f>
        <v>202936.603</v>
      </c>
      <c r="S20" s="87"/>
      <c r="T20" s="46">
        <f>Pax!$D20</f>
        <v>-49744.1</v>
      </c>
      <c r="U20" s="87"/>
      <c r="V20" s="46">
        <f>Phenix!$D20</f>
        <v>7502</v>
      </c>
      <c r="W20" s="87"/>
      <c r="X20" s="46">
        <f>Rentenanstalt!$D20</f>
        <v>576998.8219600094</v>
      </c>
      <c r="Y20" s="87"/>
      <c r="Z20" s="46">
        <f>Winterthur!$D20</f>
        <v>1397140</v>
      </c>
      <c r="AA20" s="87"/>
      <c r="AB20" s="46">
        <f>Zenith!$D20</f>
        <v>-66605</v>
      </c>
      <c r="AC20" s="87"/>
      <c r="AD20" s="46">
        <f>Zuerich!$D20</f>
        <v>-1096037</v>
      </c>
      <c r="AE20" s="13"/>
      <c r="AF20" s="67">
        <f>D20+F20+H20+J20+L20+N20+P20+R20+T20+V20+X20+Z20+AB20+AD20</f>
        <v>609161.282940008</v>
      </c>
    </row>
    <row r="21" spans="1:32" ht="12.75">
      <c r="A21" s="79"/>
      <c r="B21" s="98" t="s">
        <v>66</v>
      </c>
      <c r="C21" s="87"/>
      <c r="D21" s="88"/>
      <c r="E21" s="87"/>
      <c r="F21" s="88"/>
      <c r="G21" s="87"/>
      <c r="H21" s="88"/>
      <c r="I21" s="87"/>
      <c r="J21" s="88"/>
      <c r="K21" s="87"/>
      <c r="L21" s="88"/>
      <c r="M21" s="87"/>
      <c r="N21" s="88"/>
      <c r="O21" s="87"/>
      <c r="P21" s="88"/>
      <c r="Q21" s="87"/>
      <c r="R21" s="88"/>
      <c r="S21" s="87"/>
      <c r="T21" s="88"/>
      <c r="U21" s="87"/>
      <c r="V21" s="88"/>
      <c r="W21" s="87"/>
      <c r="X21" s="88"/>
      <c r="Y21" s="87"/>
      <c r="Z21" s="88"/>
      <c r="AA21" s="87"/>
      <c r="AB21" s="88"/>
      <c r="AC21" s="87"/>
      <c r="AD21" s="88"/>
      <c r="AE21" s="13"/>
      <c r="AF21" s="43"/>
    </row>
    <row r="22" spans="1:32" ht="12.75">
      <c r="A22" s="79" t="s">
        <v>67</v>
      </c>
      <c r="B22" s="78"/>
      <c r="C22" s="87"/>
      <c r="D22" s="46">
        <f>'Allianz Suisse'!D22</f>
        <v>60921.97665</v>
      </c>
      <c r="E22" s="87"/>
      <c r="F22" s="46">
        <f>Axa!$D22</f>
        <v>3312.429222591241</v>
      </c>
      <c r="G22" s="87"/>
      <c r="H22" s="46">
        <f>Basler!$D22</f>
        <v>93186.72681000001</v>
      </c>
      <c r="I22" s="87"/>
      <c r="J22" s="46">
        <f>Generali!$D22</f>
        <v>4861.454</v>
      </c>
      <c r="K22" s="87"/>
      <c r="L22" s="46">
        <f>Genevoise!$D22</f>
        <v>38222.82475</v>
      </c>
      <c r="M22" s="87"/>
      <c r="N22" s="46">
        <f>Mobiliar!$D22</f>
        <v>31100.9</v>
      </c>
      <c r="O22" s="87"/>
      <c r="P22" s="46">
        <f>National!$D22</f>
        <v>14187</v>
      </c>
      <c r="Q22" s="87"/>
      <c r="R22" s="46">
        <f>Patria!$D22</f>
        <v>78549.99955999985</v>
      </c>
      <c r="S22" s="87"/>
      <c r="T22" s="46">
        <f>Pax!$D22</f>
        <v>25288.5</v>
      </c>
      <c r="U22" s="87"/>
      <c r="V22" s="46">
        <f>Phenix!$D22</f>
        <v>1982</v>
      </c>
      <c r="W22" s="87"/>
      <c r="X22" s="46">
        <f>Rentenanstalt!$D22</f>
        <v>377032.04027999996</v>
      </c>
      <c r="Y22" s="87"/>
      <c r="Z22" s="46">
        <f>Winterthur!$D22</f>
        <v>220949</v>
      </c>
      <c r="AA22" s="87"/>
      <c r="AB22" s="46">
        <f>Zenith!$D22</f>
        <v>2723</v>
      </c>
      <c r="AC22" s="87"/>
      <c r="AD22" s="46">
        <f>Zuerich!$D22</f>
        <v>127289</v>
      </c>
      <c r="AE22" s="13"/>
      <c r="AF22" s="67">
        <f>D22+F22+H22+J22+L22+N22+P22+R22+T22+V22+X22+Z22+AB22+AD22</f>
        <v>1079606.851272591</v>
      </c>
    </row>
    <row r="23" spans="1:32" ht="12.75">
      <c r="A23" s="79" t="s">
        <v>68</v>
      </c>
      <c r="B23" s="78"/>
      <c r="C23" s="87"/>
      <c r="D23" s="88"/>
      <c r="E23" s="87"/>
      <c r="F23" s="88"/>
      <c r="G23" s="87"/>
      <c r="H23" s="88"/>
      <c r="I23" s="87"/>
      <c r="J23" s="88"/>
      <c r="K23" s="87"/>
      <c r="L23" s="88"/>
      <c r="M23" s="87"/>
      <c r="N23" s="88"/>
      <c r="O23" s="87"/>
      <c r="P23" s="88"/>
      <c r="Q23" s="87"/>
      <c r="R23" s="88"/>
      <c r="S23" s="87"/>
      <c r="T23" s="88"/>
      <c r="U23" s="87"/>
      <c r="V23" s="88"/>
      <c r="W23" s="87"/>
      <c r="X23" s="88"/>
      <c r="Y23" s="87"/>
      <c r="Z23" s="88"/>
      <c r="AA23" s="87"/>
      <c r="AB23" s="88"/>
      <c r="AC23" s="87"/>
      <c r="AD23" s="88"/>
      <c r="AE23" s="13"/>
      <c r="AF23" s="43"/>
    </row>
    <row r="24" spans="1:32" ht="12.75">
      <c r="A24" s="79"/>
      <c r="B24" s="78" t="s">
        <v>69</v>
      </c>
      <c r="C24" s="87"/>
      <c r="D24" s="88"/>
      <c r="E24" s="87"/>
      <c r="F24" s="88"/>
      <c r="G24" s="87"/>
      <c r="H24" s="88"/>
      <c r="I24" s="87"/>
      <c r="J24" s="88"/>
      <c r="K24" s="87"/>
      <c r="L24" s="88"/>
      <c r="M24" s="87"/>
      <c r="N24" s="88"/>
      <c r="O24" s="87"/>
      <c r="P24" s="88"/>
      <c r="Q24" s="87"/>
      <c r="R24" s="88"/>
      <c r="S24" s="87"/>
      <c r="T24" s="88"/>
      <c r="U24" s="87"/>
      <c r="V24" s="88"/>
      <c r="W24" s="87"/>
      <c r="X24" s="88"/>
      <c r="Y24" s="87"/>
      <c r="Z24" s="88"/>
      <c r="AA24" s="87"/>
      <c r="AB24" s="88"/>
      <c r="AC24" s="87"/>
      <c r="AD24" s="88"/>
      <c r="AE24" s="13"/>
      <c r="AF24" s="43"/>
    </row>
    <row r="25" spans="1:32" ht="12.75">
      <c r="A25" s="79"/>
      <c r="B25" s="78" t="s">
        <v>70</v>
      </c>
      <c r="C25" s="47">
        <f>'Allianz Suisse'!C25</f>
        <v>212310.88919000007</v>
      </c>
      <c r="D25" s="88"/>
      <c r="E25" s="47">
        <f>Axa!$C25</f>
        <v>6518.379309999999</v>
      </c>
      <c r="F25" s="88"/>
      <c r="G25" s="47">
        <f>Basler!$C25</f>
        <v>431718.82797000004</v>
      </c>
      <c r="H25" s="88"/>
      <c r="I25" s="47">
        <f>Generali!$C25</f>
        <v>22001.802000000003</v>
      </c>
      <c r="J25" s="88"/>
      <c r="K25" s="47">
        <f>Genevoise!$C25</f>
        <v>98103</v>
      </c>
      <c r="L25" s="88"/>
      <c r="M25" s="47">
        <f>Mobiliar!$C25</f>
        <v>55784.8</v>
      </c>
      <c r="N25" s="88"/>
      <c r="O25" s="47">
        <f>National!$C25</f>
        <v>88639</v>
      </c>
      <c r="P25" s="88"/>
      <c r="Q25" s="47">
        <f>Patria!$C25</f>
        <v>297679.71899</v>
      </c>
      <c r="R25" s="88"/>
      <c r="S25" s="47">
        <f>Pax!$C25</f>
        <v>80880.2</v>
      </c>
      <c r="T25" s="88"/>
      <c r="U25" s="47">
        <f>Phenix!$C25</f>
        <v>3065</v>
      </c>
      <c r="V25" s="88"/>
      <c r="W25" s="47">
        <f>Rentenanstalt!$C25</f>
        <v>1785317.72808</v>
      </c>
      <c r="X25" s="88"/>
      <c r="Y25" s="47">
        <f>Winterthur!$C25</f>
        <v>1317365</v>
      </c>
      <c r="Z25" s="88"/>
      <c r="AA25" s="47">
        <f>Zenith!$C25</f>
        <v>11535</v>
      </c>
      <c r="AB25" s="88"/>
      <c r="AC25" s="47">
        <f>Zuerich!$C25</f>
        <v>403441</v>
      </c>
      <c r="AD25" s="88"/>
      <c r="AE25" s="94">
        <f>C25+E25+G25+I25+K25+M25+O25+Q25+S25+U25+W25+Y25+AA25+AC25</f>
        <v>4814360.34554</v>
      </c>
      <c r="AF25" s="43"/>
    </row>
    <row r="26" spans="1:32" ht="12.75">
      <c r="A26" s="79"/>
      <c r="B26" s="78" t="s">
        <v>71</v>
      </c>
      <c r="C26" s="96">
        <f>'Allianz Suisse'!C26</f>
        <v>17410.205739999998</v>
      </c>
      <c r="D26" s="97">
        <f>$C$25-$C$26</f>
        <v>194900.68345000007</v>
      </c>
      <c r="E26" s="96">
        <f>Axa!$C26</f>
        <v>674.4284</v>
      </c>
      <c r="F26" s="97">
        <f>E$25-E$26</f>
        <v>5843.95091</v>
      </c>
      <c r="G26" s="96">
        <f>Basler!$C26</f>
        <v>41092.52791</v>
      </c>
      <c r="H26" s="97">
        <f>G$25-G$26</f>
        <v>390626.30006000004</v>
      </c>
      <c r="I26" s="96">
        <f>Generali!$C26</f>
        <v>3853</v>
      </c>
      <c r="J26" s="97">
        <f>I$25-I$26</f>
        <v>18148.802000000003</v>
      </c>
      <c r="K26" s="96">
        <f>Genevoise!$C26</f>
        <v>2430</v>
      </c>
      <c r="L26" s="97">
        <f>K$25-K$26</f>
        <v>95673</v>
      </c>
      <c r="M26" s="96">
        <f>Mobiliar!$C26</f>
        <v>4814.8</v>
      </c>
      <c r="N26" s="97">
        <f>M$25-M$26</f>
        <v>50970</v>
      </c>
      <c r="O26" s="96">
        <f>National!$C26</f>
        <v>3729</v>
      </c>
      <c r="P26" s="97">
        <f>O$25-O$26</f>
        <v>84910</v>
      </c>
      <c r="Q26" s="96">
        <f>Patria!$C26</f>
        <v>29694.144</v>
      </c>
      <c r="R26" s="97">
        <f>Q$25-Q$26</f>
        <v>267985.57499</v>
      </c>
      <c r="S26" s="96">
        <f>Pax!$C26</f>
        <v>5467.3</v>
      </c>
      <c r="T26" s="97">
        <f>S$25-S$26</f>
        <v>75412.9</v>
      </c>
      <c r="U26" s="96">
        <f>Phenix!$C26</f>
        <v>171</v>
      </c>
      <c r="V26" s="97">
        <f>U$25-U$26</f>
        <v>2894</v>
      </c>
      <c r="W26" s="96">
        <f>Rentenanstalt!$C26</f>
        <v>112518.16500000001</v>
      </c>
      <c r="X26" s="97">
        <f>W$25-W$26</f>
        <v>1672799.56308</v>
      </c>
      <c r="Y26" s="96">
        <f>Winterthur!$C26</f>
        <v>135687</v>
      </c>
      <c r="Z26" s="97">
        <f>Y$25-Y$26</f>
        <v>1181678</v>
      </c>
      <c r="AA26" s="96">
        <f>Zenith!$C26</f>
        <v>796</v>
      </c>
      <c r="AB26" s="97">
        <f>AA$25-AA$26</f>
        <v>10739</v>
      </c>
      <c r="AC26" s="96">
        <f>Zuerich!$C26</f>
        <v>7054</v>
      </c>
      <c r="AD26" s="97">
        <f>AC$25-AC$26</f>
        <v>396387</v>
      </c>
      <c r="AE26" s="96">
        <f>C26+E26+G26+I26+K26+M26+O26+Q26+S26+U26+W26+Y26+AA26+AC26</f>
        <v>365391.57105</v>
      </c>
      <c r="AF26" s="48">
        <f>AE$25-AE$26</f>
        <v>4448968.77449</v>
      </c>
    </row>
    <row r="27" spans="1:32" ht="12.75">
      <c r="A27" s="79" t="s">
        <v>72</v>
      </c>
      <c r="B27" s="78"/>
      <c r="C27" s="99"/>
      <c r="D27" s="46">
        <f>'Allianz Suisse'!D27</f>
        <v>0</v>
      </c>
      <c r="E27" s="99"/>
      <c r="F27" s="46">
        <f>Axa!$D27</f>
        <v>0</v>
      </c>
      <c r="G27" s="99"/>
      <c r="H27" s="46">
        <f>Basler!$D27</f>
        <v>0</v>
      </c>
      <c r="I27" s="99"/>
      <c r="J27" s="46">
        <f>Generali!$D27</f>
        <v>0</v>
      </c>
      <c r="K27" s="99"/>
      <c r="L27" s="46">
        <f>Genevoise!$D27</f>
        <v>0</v>
      </c>
      <c r="M27" s="99"/>
      <c r="N27" s="46">
        <f>Mobiliar!$D27</f>
        <v>0</v>
      </c>
      <c r="O27" s="99"/>
      <c r="P27" s="46">
        <f>National!$D27</f>
        <v>0</v>
      </c>
      <c r="Q27" s="99"/>
      <c r="R27" s="46">
        <f>Patria!$D27</f>
        <v>0</v>
      </c>
      <c r="S27" s="99"/>
      <c r="T27" s="46">
        <f>Pax!$D27</f>
        <v>0</v>
      </c>
      <c r="U27" s="99"/>
      <c r="V27" s="46">
        <f>Phenix!$D27</f>
        <v>0</v>
      </c>
      <c r="W27" s="99"/>
      <c r="X27" s="46">
        <f>Rentenanstalt!$D27</f>
        <v>71145.7143</v>
      </c>
      <c r="Y27" s="99"/>
      <c r="Z27" s="46">
        <f>Winterthur!$D27</f>
        <v>0</v>
      </c>
      <c r="AA27" s="99"/>
      <c r="AB27" s="46">
        <f>Zenith!$D27</f>
        <v>0</v>
      </c>
      <c r="AC27" s="99"/>
      <c r="AD27" s="46">
        <f>Zuerich!$D27</f>
        <v>0</v>
      </c>
      <c r="AE27" s="15"/>
      <c r="AF27" s="66">
        <f>D27+F27+H27+J27+L27+N27+P27+R27+T27+V27+X27+Z27+AB27+AD27</f>
        <v>71145.7143</v>
      </c>
    </row>
    <row r="28" spans="1:32" ht="12.75">
      <c r="A28" s="79" t="s">
        <v>73</v>
      </c>
      <c r="B28" s="78"/>
      <c r="C28" s="87"/>
      <c r="D28" s="46">
        <f>'Allianz Suisse'!D28</f>
        <v>-9526.312859999996</v>
      </c>
      <c r="E28" s="87"/>
      <c r="F28" s="46">
        <f>Axa!$D28</f>
        <v>-469.4510900000005</v>
      </c>
      <c r="G28" s="87"/>
      <c r="H28" s="46">
        <f>Basler!$D28</f>
        <v>-6719.1634</v>
      </c>
      <c r="I28" s="87"/>
      <c r="J28" s="46">
        <f>Generali!$D28</f>
        <v>4406.917</v>
      </c>
      <c r="K28" s="87"/>
      <c r="L28" s="46">
        <f>Genevoise!$D28</f>
        <v>-8252</v>
      </c>
      <c r="M28" s="87"/>
      <c r="N28" s="46">
        <f>Mobiliar!$D28</f>
        <v>-2527.2</v>
      </c>
      <c r="O28" s="87"/>
      <c r="P28" s="46">
        <f>National!$D28</f>
        <v>-3224</v>
      </c>
      <c r="Q28" s="87"/>
      <c r="R28" s="46">
        <f>Patria!$D28</f>
        <v>-8382.405899999998</v>
      </c>
      <c r="S28" s="87"/>
      <c r="T28" s="46">
        <f>Pax!$D28</f>
        <v>-876.1</v>
      </c>
      <c r="U28" s="87"/>
      <c r="V28" s="46">
        <f>Phenix!$D28</f>
        <v>233</v>
      </c>
      <c r="W28" s="87"/>
      <c r="X28" s="46">
        <f>Rentenanstalt!$D28</f>
        <v>-17830.923059999997</v>
      </c>
      <c r="Y28" s="87"/>
      <c r="Z28" s="46">
        <f>Winterthur!$D28</f>
        <v>27602</v>
      </c>
      <c r="AA28" s="87"/>
      <c r="AB28" s="46">
        <f>Zenith!$D28</f>
        <v>-1593</v>
      </c>
      <c r="AC28" s="87"/>
      <c r="AD28" s="46">
        <f>Zuerich!$D28</f>
        <v>-1778</v>
      </c>
      <c r="AE28" s="13"/>
      <c r="AF28" s="46">
        <f>D28+F28+H28+J28+L28+N28+P28+R28+T28+V28+X28+Z28+AB28+AD28</f>
        <v>-28936.639309999984</v>
      </c>
    </row>
    <row r="29" spans="1:32" ht="12.75">
      <c r="A29" s="79" t="s">
        <v>74</v>
      </c>
      <c r="B29" s="78"/>
      <c r="C29" s="87"/>
      <c r="D29" s="46">
        <f>'Allianz Suisse'!D29</f>
        <v>-17033.036209999995</v>
      </c>
      <c r="E29" s="87"/>
      <c r="F29" s="46">
        <f>Axa!$D29</f>
        <v>-194.49643666666663</v>
      </c>
      <c r="G29" s="87"/>
      <c r="H29" s="46">
        <f>Basler!$D29</f>
        <v>-1230.9024299999983</v>
      </c>
      <c r="I29" s="87"/>
      <c r="J29" s="46">
        <f>Generali!$D29</f>
        <v>-1530.9361999999999</v>
      </c>
      <c r="K29" s="87"/>
      <c r="L29" s="46">
        <f>Genevoise!$D29</f>
        <v>-4942</v>
      </c>
      <c r="M29" s="87"/>
      <c r="N29" s="46">
        <f>Mobiliar!$D29</f>
        <v>-443.6</v>
      </c>
      <c r="O29" s="87"/>
      <c r="P29" s="46">
        <f>National!$D29</f>
        <v>-11578</v>
      </c>
      <c r="Q29" s="87"/>
      <c r="R29" s="46">
        <f>Patria!$D29</f>
        <v>-10444.59868</v>
      </c>
      <c r="S29" s="87"/>
      <c r="T29" s="46">
        <f>Pax!$D29</f>
        <v>-4504</v>
      </c>
      <c r="U29" s="87"/>
      <c r="V29" s="46">
        <f>Phenix!$D29</f>
        <v>-185</v>
      </c>
      <c r="W29" s="87"/>
      <c r="X29" s="46">
        <f>Rentenanstalt!$D29</f>
        <v>119117.84010999993</v>
      </c>
      <c r="Y29" s="87"/>
      <c r="Z29" s="46">
        <f>Winterthur!$D29</f>
        <v>-69737</v>
      </c>
      <c r="AA29" s="87"/>
      <c r="AB29" s="46">
        <f>Zenith!$D29</f>
        <v>-597</v>
      </c>
      <c r="AC29" s="87"/>
      <c r="AD29" s="46">
        <f>Zuerich!$D29</f>
        <v>-33380</v>
      </c>
      <c r="AE29" s="13"/>
      <c r="AF29" s="69">
        <f>D29+F29+H29+J29+L29+N29+P29+R29+T29+V29+X29+Z29+AB29+AD29</f>
        <v>-36682.72984666673</v>
      </c>
    </row>
    <row r="30" spans="1:32" ht="12.75">
      <c r="A30" s="79" t="s">
        <v>75</v>
      </c>
      <c r="B30" s="78"/>
      <c r="C30" s="83"/>
      <c r="D30" s="68">
        <f>D$13-D$19-D$20-D$22+D$26-D$27+D$28+D$29</f>
        <v>52050.65789999995</v>
      </c>
      <c r="E30" s="83"/>
      <c r="F30" s="68">
        <f>F$13-F$19-F$20-F$22+F$26-F$27+F$28+F$29</f>
        <v>430.01679074184875</v>
      </c>
      <c r="G30" s="83"/>
      <c r="H30" s="68">
        <f>H$13-H$19-H$20-H$22+H$26-H$27+H$28+H$29</f>
        <v>92422.5652100018</v>
      </c>
      <c r="I30" s="83"/>
      <c r="J30" s="68">
        <f>J$13-J$19-J$20-J$22+J$26-J$27+J$28+J$29</f>
        <v>749.5869399999676</v>
      </c>
      <c r="K30" s="83"/>
      <c r="L30" s="68">
        <f>L$13-L$19-L$20-L$22+L$26-L$27+L$28+L$29</f>
        <v>48714.17525</v>
      </c>
      <c r="M30" s="83"/>
      <c r="N30" s="68">
        <f>N$13-N$19-N$20-N$22+N$26-N$27+N$28+N$29</f>
        <v>99166.80000000003</v>
      </c>
      <c r="O30" s="83"/>
      <c r="P30" s="68">
        <f>P$13-P$19-P$20-P$22+P$26-P$27+P$28+P$29</f>
        <v>15375</v>
      </c>
      <c r="Q30" s="83"/>
      <c r="R30" s="68">
        <f>R$13-R$19-R$20-R$22+R$26-R$27+R$28+R$29</f>
        <v>113416.10037000013</v>
      </c>
      <c r="S30" s="83"/>
      <c r="T30" s="68">
        <f>T$13-T$19-T$20-T$22+T$26-T$27+T$28+T$29</f>
        <v>14501.899999999994</v>
      </c>
      <c r="U30" s="83"/>
      <c r="V30" s="68">
        <f>V$13-V$19-V$20-V$22+V$26-V$27+V$28+V$29</f>
        <v>653</v>
      </c>
      <c r="W30" s="83"/>
      <c r="X30" s="68">
        <f>X$13-X$19-X$20-X$22+X$26-X$27+X$28+X$29</f>
        <v>403953.8608599906</v>
      </c>
      <c r="Y30" s="83"/>
      <c r="Z30" s="68">
        <f>Z$13-Z$19-Z$20-Z$22+Z$26-Z$27+Z$28+Z$29</f>
        <v>362019</v>
      </c>
      <c r="AA30" s="83"/>
      <c r="AB30" s="68">
        <f>AB$13-AB$19-AB$20-AB$22+AB$26-AB$27+AB$28+AB$29</f>
        <v>-2748</v>
      </c>
      <c r="AC30" s="83"/>
      <c r="AD30" s="68">
        <f>AD$13-AD$19-AD$20-AD$22+AD$26-AD$27+AD$28+AD$29</f>
        <v>94455</v>
      </c>
      <c r="AE30" s="73"/>
      <c r="AF30" s="70">
        <f>AF$13-AF$19-AF$20-AF$22+AF$26-AF$27+AF$28+AF$29</f>
        <v>1295159.6633207335</v>
      </c>
    </row>
    <row r="31" spans="1:32" ht="13.5" thickBot="1">
      <c r="A31" s="79" t="s">
        <v>76</v>
      </c>
      <c r="B31" s="78"/>
      <c r="C31" s="87"/>
      <c r="D31" s="46">
        <f>'Allianz Suisse'!D31</f>
        <v>14087.413299999998</v>
      </c>
      <c r="E31" s="87"/>
      <c r="F31" s="46">
        <f>Axa!$D31</f>
        <v>77.446</v>
      </c>
      <c r="G31" s="87"/>
      <c r="H31" s="46">
        <f>Basler!$D31</f>
        <v>29500</v>
      </c>
      <c r="I31" s="87"/>
      <c r="J31" s="46">
        <f>Generali!$D31</f>
        <v>58.326</v>
      </c>
      <c r="K31" s="87"/>
      <c r="L31" s="46">
        <f>Genevoise!$D31</f>
        <v>23992</v>
      </c>
      <c r="M31" s="87"/>
      <c r="N31" s="46">
        <f>Mobiliar!$D31</f>
        <v>61471.5</v>
      </c>
      <c r="O31" s="87"/>
      <c r="P31" s="46">
        <f>National!$D31</f>
        <v>2783</v>
      </c>
      <c r="Q31" s="87"/>
      <c r="R31" s="46">
        <f>Patria!$D31</f>
        <v>88677.55542</v>
      </c>
      <c r="S31" s="87"/>
      <c r="T31" s="46">
        <f>Pax!$D31</f>
        <v>0</v>
      </c>
      <c r="U31" s="87"/>
      <c r="V31" s="46">
        <f>Phenix!$D31</f>
        <v>74</v>
      </c>
      <c r="W31" s="87"/>
      <c r="X31" s="46">
        <f>Rentenanstalt!$D31</f>
        <v>252289.91716</v>
      </c>
      <c r="Y31" s="87"/>
      <c r="Z31" s="46">
        <f>Winterthur!$D31</f>
        <v>193827</v>
      </c>
      <c r="AA31" s="87"/>
      <c r="AB31" s="46">
        <f>Zenith!$D31</f>
        <v>0</v>
      </c>
      <c r="AC31" s="87"/>
      <c r="AD31" s="46">
        <f>Zuerich!$D31</f>
        <v>28164</v>
      </c>
      <c r="AE31" s="13"/>
      <c r="AF31" s="46">
        <f>D31+F31+H31+J31+L31+N31+P31+R31+T31+V31+X31+Z31+AB31+AD31</f>
        <v>695002.1578800001</v>
      </c>
    </row>
    <row r="32" spans="1:32" ht="13.5" thickBot="1">
      <c r="A32" s="79" t="s">
        <v>77</v>
      </c>
      <c r="B32" s="78"/>
      <c r="C32" s="87"/>
      <c r="D32" s="71">
        <f>D$30-D$31</f>
        <v>37963.24459999995</v>
      </c>
      <c r="E32" s="87"/>
      <c r="F32" s="71">
        <f>F$30-F$31</f>
        <v>352.5707907418488</v>
      </c>
      <c r="G32" s="87"/>
      <c r="H32" s="71">
        <f>H$30-H$31</f>
        <v>62922.565210001805</v>
      </c>
      <c r="I32" s="87"/>
      <c r="J32" s="71">
        <f>J$30-J$31</f>
        <v>691.2609399999676</v>
      </c>
      <c r="K32" s="87"/>
      <c r="L32" s="71">
        <f>L$30-L$31</f>
        <v>24722.17525</v>
      </c>
      <c r="M32" s="87"/>
      <c r="N32" s="71">
        <f>N$30-N$31</f>
        <v>37695.30000000003</v>
      </c>
      <c r="O32" s="87"/>
      <c r="P32" s="71">
        <f>P$30-P$31</f>
        <v>12592</v>
      </c>
      <c r="Q32" s="87"/>
      <c r="R32" s="71">
        <f>R$30-R$31</f>
        <v>24738.544950000127</v>
      </c>
      <c r="S32" s="87"/>
      <c r="T32" s="71">
        <f>T$30-T$31</f>
        <v>14501.899999999994</v>
      </c>
      <c r="U32" s="87"/>
      <c r="V32" s="71">
        <f>V$30-V$31</f>
        <v>579</v>
      </c>
      <c r="W32" s="87"/>
      <c r="X32" s="71">
        <f>X$30-X$31</f>
        <v>151663.94369999057</v>
      </c>
      <c r="Y32" s="87"/>
      <c r="Z32" s="71">
        <f>Z$30-Z$31</f>
        <v>168192</v>
      </c>
      <c r="AA32" s="87"/>
      <c r="AB32" s="71">
        <f>AB$30-AB$31</f>
        <v>-2748</v>
      </c>
      <c r="AC32" s="87"/>
      <c r="AD32" s="71">
        <f>AD$30-AD$31</f>
        <v>66291</v>
      </c>
      <c r="AE32" s="13"/>
      <c r="AF32" s="71">
        <f>AF$30-AF$31</f>
        <v>600157.5054407334</v>
      </c>
    </row>
    <row r="33" spans="1:32" ht="12.75">
      <c r="A33" s="79"/>
      <c r="B33" s="78"/>
      <c r="C33" s="87"/>
      <c r="D33" s="88"/>
      <c r="E33" s="87"/>
      <c r="F33" s="88"/>
      <c r="G33" s="87"/>
      <c r="H33" s="88"/>
      <c r="I33" s="87"/>
      <c r="J33" s="88"/>
      <c r="K33" s="87"/>
      <c r="L33" s="88"/>
      <c r="M33" s="87"/>
      <c r="N33" s="88"/>
      <c r="O33" s="87"/>
      <c r="P33" s="88"/>
      <c r="Q33" s="87"/>
      <c r="R33" s="88"/>
      <c r="S33" s="87"/>
      <c r="T33" s="88"/>
      <c r="U33" s="87"/>
      <c r="V33" s="88"/>
      <c r="W33" s="87"/>
      <c r="X33" s="88"/>
      <c r="Y33" s="87"/>
      <c r="Z33" s="88"/>
      <c r="AA33" s="87"/>
      <c r="AB33" s="88"/>
      <c r="AC33" s="87"/>
      <c r="AD33" s="88"/>
      <c r="AE33" s="13"/>
      <c r="AF33" s="43"/>
    </row>
    <row r="34" spans="1:32" ht="12.75">
      <c r="A34" s="80" t="s">
        <v>78</v>
      </c>
      <c r="B34" s="78"/>
      <c r="C34" s="87"/>
      <c r="D34" s="88"/>
      <c r="E34" s="87"/>
      <c r="F34" s="88"/>
      <c r="G34" s="87"/>
      <c r="H34" s="88"/>
      <c r="I34" s="87"/>
      <c r="J34" s="88"/>
      <c r="K34" s="87"/>
      <c r="L34" s="88"/>
      <c r="M34" s="87"/>
      <c r="N34" s="88"/>
      <c r="O34" s="87"/>
      <c r="P34" s="88"/>
      <c r="Q34" s="87"/>
      <c r="R34" s="88"/>
      <c r="S34" s="87"/>
      <c r="T34" s="88"/>
      <c r="U34" s="87"/>
      <c r="V34" s="88"/>
      <c r="W34" s="87"/>
      <c r="X34" s="88"/>
      <c r="Y34" s="87"/>
      <c r="Z34" s="88"/>
      <c r="AA34" s="87"/>
      <c r="AB34" s="88"/>
      <c r="AC34" s="87"/>
      <c r="AD34" s="88"/>
      <c r="AE34" s="13"/>
      <c r="AF34" s="43"/>
    </row>
    <row r="35" spans="1:32" ht="12.75">
      <c r="A35" s="79" t="s">
        <v>79</v>
      </c>
      <c r="B35" s="78"/>
      <c r="C35" s="87"/>
      <c r="D35" s="100">
        <f>'Allianz Suisse'!D35</f>
        <v>17164</v>
      </c>
      <c r="E35" s="87"/>
      <c r="F35" s="100">
        <f>Axa!$D35</f>
        <v>395.0135</v>
      </c>
      <c r="G35" s="87"/>
      <c r="H35" s="100">
        <f>Basler!$D35</f>
        <v>38612</v>
      </c>
      <c r="I35" s="87"/>
      <c r="J35" s="100">
        <f>Generali!$D35</f>
        <v>0</v>
      </c>
      <c r="K35" s="87"/>
      <c r="L35" s="100">
        <f>Genevoise!$D35</f>
        <v>11000</v>
      </c>
      <c r="M35" s="87"/>
      <c r="N35" s="100">
        <f>Mobiliar!$D35</f>
        <v>72707.5</v>
      </c>
      <c r="O35" s="87"/>
      <c r="P35" s="100">
        <f>National!$D35</f>
        <v>1500</v>
      </c>
      <c r="Q35" s="87"/>
      <c r="R35" s="100">
        <f>Patria!$D35</f>
        <v>32206.90556</v>
      </c>
      <c r="S35" s="87"/>
      <c r="T35" s="100">
        <f>Pax!$D35</f>
        <v>1099</v>
      </c>
      <c r="U35" s="87"/>
      <c r="V35" s="100">
        <f>Phenix!$D35</f>
        <v>8</v>
      </c>
      <c r="W35" s="87"/>
      <c r="X35" s="100">
        <f>Rentenanstalt!$D35</f>
        <v>153961.14697</v>
      </c>
      <c r="Y35" s="87"/>
      <c r="Z35" s="100">
        <f>Winterthur!$D35</f>
        <v>212534</v>
      </c>
      <c r="AA35" s="87"/>
      <c r="AB35" s="100">
        <f>Zenith!$D35</f>
        <v>5159</v>
      </c>
      <c r="AC35" s="87"/>
      <c r="AD35" s="100">
        <f>Zuerich!$D35</f>
        <v>6623</v>
      </c>
      <c r="AE35" s="13"/>
      <c r="AF35" s="59">
        <f>D35+F35+H35+J35+L35+N35+P35+R35+T35+V35+X35+Z35+AB35+AD35</f>
        <v>552969.56603</v>
      </c>
    </row>
    <row r="36" spans="1:32" ht="12.75">
      <c r="A36" s="79" t="s">
        <v>80</v>
      </c>
      <c r="B36" s="78"/>
      <c r="C36" s="83"/>
      <c r="D36" s="101">
        <f>D$31</f>
        <v>14087.413299999998</v>
      </c>
      <c r="E36" s="83"/>
      <c r="F36" s="101">
        <f>F$31</f>
        <v>77.446</v>
      </c>
      <c r="G36" s="83"/>
      <c r="H36" s="101">
        <f>H$31</f>
        <v>29500</v>
      </c>
      <c r="I36" s="83"/>
      <c r="J36" s="101">
        <f>J$31</f>
        <v>58.326</v>
      </c>
      <c r="K36" s="83"/>
      <c r="L36" s="101">
        <f>L$31</f>
        <v>23992</v>
      </c>
      <c r="M36" s="83"/>
      <c r="N36" s="101">
        <f>N$31</f>
        <v>61471.5</v>
      </c>
      <c r="O36" s="83"/>
      <c r="P36" s="101">
        <f>P$31</f>
        <v>2783</v>
      </c>
      <c r="Q36" s="83"/>
      <c r="R36" s="101">
        <f>R$31</f>
        <v>88677.55542</v>
      </c>
      <c r="S36" s="83"/>
      <c r="T36" s="101">
        <f>T$31</f>
        <v>0</v>
      </c>
      <c r="U36" s="83"/>
      <c r="V36" s="101">
        <f>V$31</f>
        <v>74</v>
      </c>
      <c r="W36" s="83"/>
      <c r="X36" s="101">
        <f>X$31</f>
        <v>252289.91716</v>
      </c>
      <c r="Y36" s="83"/>
      <c r="Z36" s="101">
        <f>Z$31</f>
        <v>193827</v>
      </c>
      <c r="AA36" s="83"/>
      <c r="AB36" s="101">
        <f>AB$31</f>
        <v>0</v>
      </c>
      <c r="AC36" s="83"/>
      <c r="AD36" s="101">
        <f>AD$31</f>
        <v>28164</v>
      </c>
      <c r="AE36" s="73"/>
      <c r="AF36" s="58">
        <f>AF$31</f>
        <v>695002.1578800001</v>
      </c>
    </row>
    <row r="37" spans="1:32" ht="12.75">
      <c r="A37" s="79" t="s">
        <v>81</v>
      </c>
      <c r="B37" s="78"/>
      <c r="C37" s="47">
        <f>'Allianz Suisse'!C37</f>
        <v>0</v>
      </c>
      <c r="D37" s="102"/>
      <c r="E37" s="47">
        <f>Axa!$C37</f>
        <v>0</v>
      </c>
      <c r="F37" s="102"/>
      <c r="G37" s="47">
        <f>Basler!$C37</f>
        <v>0</v>
      </c>
      <c r="H37" s="102"/>
      <c r="I37" s="47">
        <f>Generali!$C37</f>
        <v>0</v>
      </c>
      <c r="J37" s="102"/>
      <c r="K37" s="47">
        <f>Genevoise!$C37</f>
        <v>0</v>
      </c>
      <c r="L37" s="102"/>
      <c r="M37" s="47">
        <f>Mobiliar!$C37</f>
        <v>0</v>
      </c>
      <c r="N37" s="102"/>
      <c r="O37" s="47">
        <f>National!$C37</f>
        <v>0</v>
      </c>
      <c r="P37" s="102"/>
      <c r="Q37" s="47">
        <f>Patria!$C37</f>
        <v>0</v>
      </c>
      <c r="R37" s="102"/>
      <c r="S37" s="47">
        <f>Pax!$C37</f>
        <v>0</v>
      </c>
      <c r="T37" s="102"/>
      <c r="U37" s="47">
        <f>Phenix!$C37</f>
        <v>0</v>
      </c>
      <c r="V37" s="102"/>
      <c r="W37" s="47">
        <f>Rentenanstalt!$C37</f>
        <v>0</v>
      </c>
      <c r="X37" s="102"/>
      <c r="Y37" s="47">
        <f>Winterthur!$C37</f>
        <v>0</v>
      </c>
      <c r="Z37" s="102"/>
      <c r="AA37" s="47">
        <f>Zenith!$C37</f>
        <v>145</v>
      </c>
      <c r="AB37" s="102"/>
      <c r="AC37" s="47">
        <f>Zuerich!$C37</f>
        <v>0</v>
      </c>
      <c r="AD37" s="102"/>
      <c r="AE37" s="94">
        <f>C37+E37+G37+I37+K37+M37+O37+Q37+S37+U37+W37+Y37+AA37+AC37</f>
        <v>145</v>
      </c>
      <c r="AF37" s="49"/>
    </row>
    <row r="38" spans="1:32" ht="13.5" thickBot="1">
      <c r="A38" s="79" t="s">
        <v>82</v>
      </c>
      <c r="B38" s="78"/>
      <c r="C38" s="96">
        <f>'Allianz Suisse'!C38</f>
        <v>2786.4213</v>
      </c>
      <c r="D38" s="103">
        <f>$C$37+$C$38</f>
        <v>2786.4213</v>
      </c>
      <c r="E38" s="96">
        <f>Axa!$C38</f>
        <v>104</v>
      </c>
      <c r="F38" s="103">
        <f>E$37+E$38</f>
        <v>104</v>
      </c>
      <c r="G38" s="96">
        <f>Basler!$C38</f>
        <v>47479.48691</v>
      </c>
      <c r="H38" s="103">
        <f>G$37+G$38</f>
        <v>47479.48691</v>
      </c>
      <c r="I38" s="96">
        <f>Generali!$C38</f>
        <v>58.326</v>
      </c>
      <c r="J38" s="103">
        <f>I$37+I$38</f>
        <v>58.326</v>
      </c>
      <c r="K38" s="96">
        <f>Genevoise!$C38</f>
        <v>9584</v>
      </c>
      <c r="L38" s="103">
        <f>K$37+K$38</f>
        <v>9584</v>
      </c>
      <c r="M38" s="96">
        <f>Mobiliar!$C38</f>
        <v>21809.1</v>
      </c>
      <c r="N38" s="103">
        <f>M$37+M$38</f>
        <v>21809.1</v>
      </c>
      <c r="O38" s="96">
        <f>National!$C38</f>
        <v>583</v>
      </c>
      <c r="P38" s="103">
        <f>O$37+O$38</f>
        <v>583</v>
      </c>
      <c r="Q38" s="96">
        <f>Patria!$C38</f>
        <v>33536.62094</v>
      </c>
      <c r="R38" s="103">
        <f>Q$37+Q$38</f>
        <v>33536.62094</v>
      </c>
      <c r="S38" s="96">
        <f>Pax!$C38</f>
        <v>182</v>
      </c>
      <c r="T38" s="103">
        <f>S$37+S$38</f>
        <v>182</v>
      </c>
      <c r="U38" s="96">
        <f>Phenix!$C38</f>
        <v>0</v>
      </c>
      <c r="V38" s="103">
        <f>U$37+U$38</f>
        <v>0</v>
      </c>
      <c r="W38" s="96">
        <f>Rentenanstalt!$C38</f>
        <v>98954.89211</v>
      </c>
      <c r="X38" s="103">
        <f>W$37+W$38</f>
        <v>98954.89211</v>
      </c>
      <c r="Y38" s="96">
        <f>Winterthur!$C38</f>
        <v>130710</v>
      </c>
      <c r="Z38" s="103">
        <f>Y$37+Y$38</f>
        <v>130710</v>
      </c>
      <c r="AA38" s="96">
        <f>Zenith!$C38</f>
        <v>1031</v>
      </c>
      <c r="AB38" s="103">
        <f>AA$37+AA$38</f>
        <v>1176</v>
      </c>
      <c r="AC38" s="96">
        <f>Zuerich!$C38</f>
        <v>19983</v>
      </c>
      <c r="AD38" s="103">
        <f>AC$37+AC$38</f>
        <v>19983</v>
      </c>
      <c r="AE38" s="96">
        <f>C38+E38+G38+I38+K38+M38+O38+Q38+S38+U38+W38+Y38+AA38+AC38</f>
        <v>366801.84726</v>
      </c>
      <c r="AF38" s="65">
        <f>AE$37+AE$38</f>
        <v>366946.84726</v>
      </c>
    </row>
    <row r="39" spans="1:32" ht="13.5" thickBot="1">
      <c r="A39" s="79" t="s">
        <v>83</v>
      </c>
      <c r="B39" s="78"/>
      <c r="C39" s="87"/>
      <c r="D39" s="104">
        <f>'Allianz Suisse'!D39</f>
        <v>28465.081420000002</v>
      </c>
      <c r="E39" s="87"/>
      <c r="F39" s="104">
        <f>Axa!$D39</f>
        <v>367.88335</v>
      </c>
      <c r="G39" s="87"/>
      <c r="H39" s="104">
        <f>Basler!$D39</f>
        <v>20632.177659999983</v>
      </c>
      <c r="I39" s="87"/>
      <c r="J39" s="104">
        <f>Generali!$D39</f>
        <v>0</v>
      </c>
      <c r="K39" s="87"/>
      <c r="L39" s="104">
        <f>Genevoise!$D39</f>
        <v>25408</v>
      </c>
      <c r="M39" s="87"/>
      <c r="N39" s="104">
        <f>Mobiliar!$D39</f>
        <v>112369.6</v>
      </c>
      <c r="O39" s="87"/>
      <c r="P39" s="104">
        <f>National!$D39</f>
        <v>3700</v>
      </c>
      <c r="Q39" s="87"/>
      <c r="R39" s="104">
        <f>Patria!$D39</f>
        <v>87347.84004000001</v>
      </c>
      <c r="S39" s="87"/>
      <c r="T39" s="104">
        <f>Pax!$D39</f>
        <v>917</v>
      </c>
      <c r="U39" s="87"/>
      <c r="V39" s="104">
        <f>Phenix!$D39</f>
        <v>82</v>
      </c>
      <c r="W39" s="87"/>
      <c r="X39" s="104">
        <f>Rentenanstalt!$D39</f>
        <v>307296.172</v>
      </c>
      <c r="Y39" s="87"/>
      <c r="Z39" s="104">
        <f>Winterthur!$D39</f>
        <v>275651</v>
      </c>
      <c r="AA39" s="87"/>
      <c r="AB39" s="104">
        <f>Zenith!$D39</f>
        <v>3982</v>
      </c>
      <c r="AC39" s="87"/>
      <c r="AD39" s="104">
        <f>Zuerich!$D39</f>
        <v>14804</v>
      </c>
      <c r="AE39" s="13"/>
      <c r="AF39" s="104">
        <f>D39+F39+H39+J39+L39+N39+P39+R39+T39+V39+X39+Z39+AB39+AD39</f>
        <v>881022.75447</v>
      </c>
    </row>
    <row r="40" spans="1:32" ht="12.75">
      <c r="A40" s="79"/>
      <c r="B40" s="78"/>
      <c r="C40" s="87"/>
      <c r="D40" s="88"/>
      <c r="E40" s="87"/>
      <c r="F40" s="88"/>
      <c r="G40" s="87"/>
      <c r="H40" s="88"/>
      <c r="I40" s="87"/>
      <c r="J40" s="88"/>
      <c r="K40" s="87"/>
      <c r="L40" s="88"/>
      <c r="M40" s="87"/>
      <c r="N40" s="88"/>
      <c r="O40" s="87"/>
      <c r="P40" s="88"/>
      <c r="Q40" s="87"/>
      <c r="R40" s="88"/>
      <c r="S40" s="87"/>
      <c r="T40" s="88"/>
      <c r="U40" s="87"/>
      <c r="V40" s="88"/>
      <c r="W40" s="87"/>
      <c r="X40" s="88"/>
      <c r="Y40" s="87"/>
      <c r="Z40" s="88"/>
      <c r="AA40" s="87"/>
      <c r="AB40" s="88"/>
      <c r="AC40" s="87"/>
      <c r="AD40" s="88"/>
      <c r="AE40" s="13"/>
      <c r="AF40" s="43"/>
    </row>
    <row r="41" spans="1:32" ht="12.75">
      <c r="A41" s="80" t="s">
        <v>84</v>
      </c>
      <c r="B41" s="78"/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87"/>
      <c r="T41" s="88"/>
      <c r="U41" s="87"/>
      <c r="V41" s="88"/>
      <c r="W41" s="87"/>
      <c r="X41" s="88"/>
      <c r="Y41" s="87"/>
      <c r="Z41" s="88"/>
      <c r="AA41" s="87"/>
      <c r="AB41" s="88"/>
      <c r="AC41" s="87"/>
      <c r="AD41" s="88"/>
      <c r="AE41" s="13"/>
      <c r="AF41" s="43"/>
    </row>
    <row r="42" spans="1:32" ht="13.5" thickBot="1">
      <c r="A42" s="105" t="s">
        <v>8</v>
      </c>
      <c r="B42" s="78" t="s">
        <v>85</v>
      </c>
      <c r="C42" s="87"/>
      <c r="D42" s="103">
        <f>D$26</f>
        <v>194900.68345000007</v>
      </c>
      <c r="E42" s="87"/>
      <c r="F42" s="103">
        <f>F$26</f>
        <v>5843.95091</v>
      </c>
      <c r="G42" s="87"/>
      <c r="H42" s="103">
        <f>H$26</f>
        <v>390626.30006000004</v>
      </c>
      <c r="I42" s="87"/>
      <c r="J42" s="103">
        <f>J$26</f>
        <v>18148.802000000003</v>
      </c>
      <c r="K42" s="87"/>
      <c r="L42" s="103">
        <f>L$26</f>
        <v>95673</v>
      </c>
      <c r="M42" s="87"/>
      <c r="N42" s="103">
        <f>N$26</f>
        <v>50970</v>
      </c>
      <c r="O42" s="87"/>
      <c r="P42" s="103">
        <f>P$26</f>
        <v>84910</v>
      </c>
      <c r="Q42" s="87"/>
      <c r="R42" s="103">
        <f>R$26</f>
        <v>267985.57499</v>
      </c>
      <c r="S42" s="87"/>
      <c r="T42" s="103">
        <f>T$26</f>
        <v>75412.9</v>
      </c>
      <c r="U42" s="87"/>
      <c r="V42" s="103">
        <f>V$26</f>
        <v>2894</v>
      </c>
      <c r="W42" s="87"/>
      <c r="X42" s="103">
        <f>X$26</f>
        <v>1672799.56308</v>
      </c>
      <c r="Y42" s="87"/>
      <c r="Z42" s="103">
        <f>Z$26</f>
        <v>1181678</v>
      </c>
      <c r="AA42" s="87"/>
      <c r="AB42" s="103">
        <f>AB$26</f>
        <v>10739</v>
      </c>
      <c r="AC42" s="87"/>
      <c r="AD42" s="103">
        <f>AD$26</f>
        <v>396387</v>
      </c>
      <c r="AE42" s="13"/>
      <c r="AF42" s="65">
        <f>AF$26</f>
        <v>4448968.77449</v>
      </c>
    </row>
    <row r="43" spans="1:32" ht="12.75">
      <c r="A43" s="79"/>
      <c r="B43" s="78"/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87"/>
      <c r="R43" s="88"/>
      <c r="S43" s="87"/>
      <c r="T43" s="88"/>
      <c r="U43" s="87"/>
      <c r="V43" s="88"/>
      <c r="W43" s="87"/>
      <c r="X43" s="88"/>
      <c r="Y43" s="87"/>
      <c r="Z43" s="88"/>
      <c r="AA43" s="87"/>
      <c r="AB43" s="88"/>
      <c r="AC43" s="87"/>
      <c r="AD43" s="88"/>
      <c r="AE43" s="13"/>
      <c r="AF43" s="43"/>
    </row>
    <row r="44" spans="1:32" ht="12.75">
      <c r="A44" s="79"/>
      <c r="B44" s="78"/>
      <c r="C44" s="85" t="s">
        <v>120</v>
      </c>
      <c r="D44" s="86" t="s">
        <v>121</v>
      </c>
      <c r="E44" s="85" t="s">
        <v>120</v>
      </c>
      <c r="F44" s="86" t="s">
        <v>121</v>
      </c>
      <c r="G44" s="85" t="s">
        <v>120</v>
      </c>
      <c r="H44" s="86" t="s">
        <v>121</v>
      </c>
      <c r="I44" s="85" t="s">
        <v>120</v>
      </c>
      <c r="J44" s="86" t="s">
        <v>121</v>
      </c>
      <c r="K44" s="85" t="s">
        <v>120</v>
      </c>
      <c r="L44" s="86" t="s">
        <v>121</v>
      </c>
      <c r="M44" s="85" t="s">
        <v>120</v>
      </c>
      <c r="N44" s="86" t="s">
        <v>121</v>
      </c>
      <c r="O44" s="85" t="s">
        <v>120</v>
      </c>
      <c r="P44" s="86" t="s">
        <v>121</v>
      </c>
      <c r="Q44" s="85" t="s">
        <v>120</v>
      </c>
      <c r="R44" s="86" t="s">
        <v>121</v>
      </c>
      <c r="S44" s="85" t="s">
        <v>120</v>
      </c>
      <c r="T44" s="86" t="s">
        <v>121</v>
      </c>
      <c r="U44" s="85" t="s">
        <v>120</v>
      </c>
      <c r="V44" s="86" t="s">
        <v>121</v>
      </c>
      <c r="W44" s="85" t="s">
        <v>120</v>
      </c>
      <c r="X44" s="86" t="s">
        <v>121</v>
      </c>
      <c r="Y44" s="85" t="s">
        <v>120</v>
      </c>
      <c r="Z44" s="86" t="s">
        <v>121</v>
      </c>
      <c r="AA44" s="85" t="s">
        <v>120</v>
      </c>
      <c r="AB44" s="86" t="s">
        <v>121</v>
      </c>
      <c r="AC44" s="85" t="s">
        <v>120</v>
      </c>
      <c r="AD44" s="86" t="s">
        <v>121</v>
      </c>
      <c r="AE44" s="85" t="s">
        <v>120</v>
      </c>
      <c r="AF44" s="86" t="s">
        <v>121</v>
      </c>
    </row>
    <row r="45" spans="1:32" ht="12.75">
      <c r="A45" s="105" t="s">
        <v>10</v>
      </c>
      <c r="B45" s="78" t="s">
        <v>86</v>
      </c>
      <c r="C45" s="50">
        <f>'Allianz Suisse'!C45</f>
        <v>5756000</v>
      </c>
      <c r="D45" s="64">
        <f>'Allianz Suisse'!D45</f>
        <v>5906000</v>
      </c>
      <c r="E45" s="50">
        <f>Axa!$C45</f>
        <v>247469.91722192432</v>
      </c>
      <c r="F45" s="64">
        <f>Axa!$D45</f>
        <v>259027.886718551</v>
      </c>
      <c r="G45" s="50">
        <f>Basler!$C45</f>
        <v>11415690</v>
      </c>
      <c r="H45" s="64">
        <f>Basler!$D45</f>
        <v>12114735</v>
      </c>
      <c r="I45" s="50">
        <f>Generali!$C45</f>
        <v>791118</v>
      </c>
      <c r="J45" s="64">
        <f>Generali!$D45</f>
        <v>808284</v>
      </c>
      <c r="K45" s="50">
        <f>Genevoise!$C45</f>
        <v>3290650</v>
      </c>
      <c r="L45" s="64">
        <f>Genevoise!$D45</f>
        <v>3420123</v>
      </c>
      <c r="M45" s="50">
        <f>Mobiliar!$C45</f>
        <v>1697408.9</v>
      </c>
      <c r="N45" s="64">
        <f>Mobiliar!$D45</f>
        <v>1757445.3</v>
      </c>
      <c r="O45" s="50">
        <f>National!$C45</f>
        <v>1514843</v>
      </c>
      <c r="P45" s="64">
        <f>National!$D45</f>
        <v>1557682</v>
      </c>
      <c r="Q45" s="50">
        <f>Patria!$C45</f>
        <v>8827187</v>
      </c>
      <c r="R45" s="64">
        <f>Patria!$D45</f>
        <v>9102381.4199</v>
      </c>
      <c r="S45" s="50">
        <f>Pax!$C45</f>
        <v>2275133.6</v>
      </c>
      <c r="T45" s="64">
        <f>Pax!$D45</f>
        <v>2349707.4</v>
      </c>
      <c r="U45" s="50">
        <f>Phenix!$C45</f>
        <v>93079</v>
      </c>
      <c r="V45" s="64">
        <f>Phenix!$D45</f>
        <v>97043</v>
      </c>
      <c r="W45" s="50">
        <f>Rentenanstalt!$C45</f>
        <v>43175718</v>
      </c>
      <c r="X45" s="64">
        <f>Rentenanstalt!$D45</f>
        <v>44950250</v>
      </c>
      <c r="Y45" s="50">
        <f>Winterthur!$C45</f>
        <v>34453823</v>
      </c>
      <c r="Z45" s="64">
        <f>Winterthur!$D45</f>
        <v>35437660</v>
      </c>
      <c r="AA45" s="50">
        <f>Zenith!$C45</f>
        <v>351100</v>
      </c>
      <c r="AB45" s="64">
        <f>Zenith!$D45</f>
        <v>354700</v>
      </c>
      <c r="AC45" s="50">
        <f>Zuerich!$C45</f>
        <v>11602873</v>
      </c>
      <c r="AD45" s="64">
        <f>Zuerich!$D45</f>
        <v>12079040.703</v>
      </c>
      <c r="AE45" s="19">
        <f>C45+E45+G45+I45+K45+M45+O45+Q45+S45+U45+W45+Y45+AA45+AC45</f>
        <v>125492093.41722193</v>
      </c>
      <c r="AF45" s="63">
        <f>D45+F45+H45+J45+L45+N45+P45+R45+T45+V45+X45+Z45+AB45+AD45</f>
        <v>130194079.70961855</v>
      </c>
    </row>
    <row r="46" spans="1:32" ht="12.75">
      <c r="A46" s="105" t="s">
        <v>11</v>
      </c>
      <c r="B46" s="78" t="s">
        <v>87</v>
      </c>
      <c r="C46" s="50">
        <f>'Allianz Suisse'!C46</f>
        <v>5816027.99989</v>
      </c>
      <c r="D46" s="64">
        <f>'Allianz Suisse'!D46</f>
        <v>6012780.27572</v>
      </c>
      <c r="E46" s="50">
        <f>Axa!$C46</f>
        <v>255655.44043690455</v>
      </c>
      <c r="F46" s="64">
        <f>Axa!$D46</f>
        <v>283597.2843529881</v>
      </c>
      <c r="G46" s="50">
        <f>Basler!$C46</f>
        <v>11318832.42772</v>
      </c>
      <c r="H46" s="64">
        <f>Basler!$D46</f>
        <v>12246860</v>
      </c>
      <c r="I46" s="50">
        <f>Generali!$C46</f>
        <v>570214</v>
      </c>
      <c r="J46" s="64">
        <f>Generali!$D46</f>
        <v>575350</v>
      </c>
      <c r="K46" s="50">
        <f>Genevoise!$C46</f>
        <v>3025158</v>
      </c>
      <c r="L46" s="64">
        <f>Genevoise!$D46</f>
        <v>3184295</v>
      </c>
      <c r="M46" s="50">
        <f>Mobiliar!$C46</f>
        <v>1849794.4</v>
      </c>
      <c r="N46" s="64">
        <f>Mobiliar!$D46</f>
        <v>1943212.5</v>
      </c>
      <c r="O46" s="50">
        <f>National!$C46</f>
        <v>1486951</v>
      </c>
      <c r="P46" s="64">
        <f>National!$D46</f>
        <v>1523046</v>
      </c>
      <c r="Q46" s="50">
        <f>Patria!$C46</f>
        <v>9517690</v>
      </c>
      <c r="R46" s="64">
        <f>Patria!$D46</f>
        <v>9874751.1003</v>
      </c>
      <c r="S46" s="50">
        <f>Pax!$C46</f>
        <v>2143667.3</v>
      </c>
      <c r="T46" s="64">
        <f>Pax!$D46</f>
        <v>2264687.3</v>
      </c>
      <c r="U46" s="50">
        <f>Phenix!$C46</f>
        <v>97308</v>
      </c>
      <c r="V46" s="64">
        <f>Phenix!$D46</f>
        <v>101472</v>
      </c>
      <c r="W46" s="50">
        <f>Rentenanstalt!$C46</f>
        <v>44164946.45476</v>
      </c>
      <c r="X46" s="64">
        <f>Rentenanstalt!$D46</f>
        <v>45816107.53143199</v>
      </c>
      <c r="Y46" s="50">
        <f>Winterthur!$C46</f>
        <v>35378636</v>
      </c>
      <c r="Z46" s="64">
        <f>Winterthur!$D46</f>
        <v>36661002</v>
      </c>
      <c r="AA46" s="50">
        <f>Zenith!$C46</f>
        <v>259147</v>
      </c>
      <c r="AB46" s="64">
        <f>Zenith!$D46</f>
        <v>267655</v>
      </c>
      <c r="AC46" s="50">
        <f>Zuerich!$C46</f>
        <v>9097567</v>
      </c>
      <c r="AD46" s="64">
        <f>Zuerich!$D46</f>
        <v>9644543.328</v>
      </c>
      <c r="AE46" s="19">
        <f>C46+E46+G46+I46+K46+M46+O46+Q46+S46+U46+W46+Y46+AA46+AC46</f>
        <v>124981595.0228069</v>
      </c>
      <c r="AF46" s="64">
        <f>D46+F46+H46+J46+L46+N46+P46+R46+T46+V46+X46+Z46+AB46+AD46</f>
        <v>130399359.31980497</v>
      </c>
    </row>
    <row r="47" spans="1:32" ht="12.75">
      <c r="A47" s="79"/>
      <c r="B47" s="78"/>
      <c r="C47" s="87"/>
      <c r="D47" s="88"/>
      <c r="E47" s="87"/>
      <c r="F47" s="88"/>
      <c r="G47" s="87"/>
      <c r="H47" s="88"/>
      <c r="I47" s="87"/>
      <c r="J47" s="88"/>
      <c r="K47" s="87"/>
      <c r="L47" s="88"/>
      <c r="M47" s="87"/>
      <c r="N47" s="88"/>
      <c r="O47" s="87"/>
      <c r="P47" s="88"/>
      <c r="Q47" s="87"/>
      <c r="R47" s="88"/>
      <c r="S47" s="87"/>
      <c r="T47" s="88"/>
      <c r="U47" s="87"/>
      <c r="V47" s="88"/>
      <c r="W47" s="87"/>
      <c r="X47" s="88"/>
      <c r="Y47" s="87"/>
      <c r="Z47" s="88"/>
      <c r="AA47" s="87"/>
      <c r="AB47" s="88"/>
      <c r="AC47" s="87"/>
      <c r="AD47" s="88"/>
      <c r="AE47" s="13"/>
      <c r="AF47" s="43"/>
    </row>
    <row r="48" spans="1:32" ht="12.75">
      <c r="A48" s="105" t="s">
        <v>12</v>
      </c>
      <c r="B48" s="78" t="s">
        <v>88</v>
      </c>
      <c r="C48" s="120"/>
      <c r="D48" s="51">
        <f>D$42/(($C$45+$C$46)/2)</f>
        <v>0.03368479292512129</v>
      </c>
      <c r="E48" s="120"/>
      <c r="F48" s="51">
        <f>F$42/((E$45+E$46)/2)</f>
        <v>0.02323059579900087</v>
      </c>
      <c r="G48" s="120"/>
      <c r="H48" s="51">
        <f>H$42/((G$45+G$46)/2)</f>
        <v>0.03436415269350131</v>
      </c>
      <c r="I48" s="120"/>
      <c r="J48" s="51">
        <f>J$42/((I$45+I$46)/2)</f>
        <v>0.026663300355827972</v>
      </c>
      <c r="K48" s="120"/>
      <c r="L48" s="51">
        <f>L$42/((K$45+K$46)/2)</f>
        <v>0.030296361130674018</v>
      </c>
      <c r="M48" s="120"/>
      <c r="N48" s="51">
        <f>N$42/((M$45+M$46)/2)</f>
        <v>0.028738132939828964</v>
      </c>
      <c r="O48" s="120"/>
      <c r="P48" s="51">
        <f>P$42/((O$45+O$46)/2)</f>
        <v>0.056572836110672486</v>
      </c>
      <c r="Q48" s="120"/>
      <c r="R48" s="51">
        <f>R$42/((Q$45+Q$46)/2)</f>
        <v>0.02921639376377394</v>
      </c>
      <c r="S48" s="120"/>
      <c r="T48" s="51">
        <f>T$42/((S$45+S$46)/2)</f>
        <v>0.0341327440211212</v>
      </c>
      <c r="U48" s="120"/>
      <c r="V48" s="51">
        <f>V$42/((U$45+U$46)/2)</f>
        <v>0.030401235378465966</v>
      </c>
      <c r="W48" s="120"/>
      <c r="X48" s="51">
        <f>X$42/((W$45+W$46)/2)</f>
        <v>0.03830517144614724</v>
      </c>
      <c r="Y48" s="120"/>
      <c r="Z48" s="51">
        <f>Z$42/((Y$45+Y$46)/2)</f>
        <v>0.03384323040951486</v>
      </c>
      <c r="AA48" s="120"/>
      <c r="AB48" s="51">
        <f>AB$42/((AA$45+AA$46)/2)</f>
        <v>0.03519558473863862</v>
      </c>
      <c r="AC48" s="120"/>
      <c r="AD48" s="51">
        <f>AD$42/((AC$45+AC$46)/2)</f>
        <v>0.03829744681755557</v>
      </c>
      <c r="AE48" s="13"/>
      <c r="AF48" s="62">
        <f>AF$42/((AE$45+AE$46)/2)</f>
        <v>0.03552444012940881</v>
      </c>
    </row>
    <row r="49" spans="1:32" ht="12.75">
      <c r="A49" s="105" t="s">
        <v>14</v>
      </c>
      <c r="B49" s="78" t="s">
        <v>89</v>
      </c>
      <c r="C49" s="121"/>
      <c r="D49" s="51">
        <f>(D$42+($D$46-$C$46)-($D$45-$C$45))/((D$45+$D$46)/2)</f>
        <v>0.04054994784529707</v>
      </c>
      <c r="E49" s="121"/>
      <c r="F49" s="51">
        <f>(F$42+(F$46-E$46)-(F$45-E$45))/((F$45+F$46)/2)</f>
        <v>0.08192699680909718</v>
      </c>
      <c r="G49" s="121"/>
      <c r="H49" s="51">
        <f>(H$42+(H$46-G$46)-(H$45-G$45))/((H$45+H$46)/2)</f>
        <v>0.05086767695957518</v>
      </c>
      <c r="I49" s="121"/>
      <c r="J49" s="51">
        <f>(J$42+(J$46-I$46)-(J$45-I$45))/((J$45+J$46)/2)</f>
        <v>0.008844538367805363</v>
      </c>
      <c r="K49" s="121"/>
      <c r="L49" s="51">
        <f>(L$42+(L$46-K$46)-(L$45-K$45))/((L$45+L$46)/2)</f>
        <v>0.03795550190796525</v>
      </c>
      <c r="M49" s="121"/>
      <c r="N49" s="51">
        <f>(N$42+(N$46-M$46)-(N$45-M$45))/((N$45+N$46)/2)</f>
        <v>0.045587408811482086</v>
      </c>
      <c r="O49" s="121"/>
      <c r="P49" s="51">
        <f>(P$42+(P$46-O$46)-(P$45-O$45))/((P$45+P$46)/2)</f>
        <v>0.05074514854930393</v>
      </c>
      <c r="Q49" s="121"/>
      <c r="R49" s="51">
        <f>(R$42+(R$46-Q$46)-(R$45-Q$45))/((R$45+R$46)/2)</f>
        <v>0.036870929263691725</v>
      </c>
      <c r="S49" s="121"/>
      <c r="T49" s="51">
        <f>(T$42+(T$46-S$46)-(T$45-S$45))/((T$45+T$46)/2)</f>
        <v>0.052816938264947384</v>
      </c>
      <c r="U49" s="121"/>
      <c r="V49" s="51">
        <f>(V$42+(V$46-U$46)-(V$45-U$45))/((V$45+V$46)/2)</f>
        <v>0.031171448001410473</v>
      </c>
      <c r="W49" s="121"/>
      <c r="X49" s="51">
        <f>(X$42+(X$46-W$46)-(X$45-W$45))/((X$45+X$46)/2)</f>
        <v>0.034141033790309964</v>
      </c>
      <c r="Y49" s="121"/>
      <c r="Z49" s="51">
        <f>(Z$42+(Z$46-Y$46)-(Z$45-Y$45))/((Z$45+Z$46)/2)</f>
        <v>0.041060595548916015</v>
      </c>
      <c r="AA49" s="121"/>
      <c r="AB49" s="51">
        <f>(AB$42+(AB$46-AA$46)-(AB$45-AA$45))/((AB$45+AB$46)/2)</f>
        <v>0.05028319849603522</v>
      </c>
      <c r="AC49" s="121"/>
      <c r="AD49" s="51">
        <f>(AD$42+(AD$46-AC$46)-(AD$45-AC$45))/((AD$45+AD$46)/2)</f>
        <v>0.04301275740994693</v>
      </c>
      <c r="AE49" s="13"/>
      <c r="AF49" s="51">
        <f>(AF$42+(AF$46-AE$46)-(AF$45-AE$45))/((AF$45+AF$46)/2)</f>
        <v>0.0396383485196517</v>
      </c>
    </row>
    <row r="50" spans="1:32" ht="12.75">
      <c r="A50" s="79"/>
      <c r="B50" s="98" t="s">
        <v>90</v>
      </c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87"/>
      <c r="P50" s="88"/>
      <c r="Q50" s="87"/>
      <c r="R50" s="88"/>
      <c r="S50" s="87"/>
      <c r="T50" s="88"/>
      <c r="U50" s="87"/>
      <c r="V50" s="88"/>
      <c r="W50" s="87"/>
      <c r="X50" s="88"/>
      <c r="Y50" s="87"/>
      <c r="Z50" s="88"/>
      <c r="AA50" s="87"/>
      <c r="AB50" s="88"/>
      <c r="AC50" s="87"/>
      <c r="AD50" s="88"/>
      <c r="AE50" s="13"/>
      <c r="AF50" s="43"/>
    </row>
    <row r="51" spans="1:32" ht="12.75">
      <c r="A51" s="79"/>
      <c r="B51" s="98"/>
      <c r="C51" s="87"/>
      <c r="D51" s="88"/>
      <c r="E51" s="87"/>
      <c r="F51" s="88"/>
      <c r="G51" s="87"/>
      <c r="H51" s="88"/>
      <c r="I51" s="87"/>
      <c r="J51" s="88"/>
      <c r="K51" s="87"/>
      <c r="L51" s="88"/>
      <c r="M51" s="87"/>
      <c r="N51" s="88"/>
      <c r="O51" s="87"/>
      <c r="P51" s="88"/>
      <c r="Q51" s="87"/>
      <c r="R51" s="88"/>
      <c r="S51" s="87"/>
      <c r="T51" s="88"/>
      <c r="U51" s="87"/>
      <c r="V51" s="88"/>
      <c r="W51" s="87"/>
      <c r="X51" s="88"/>
      <c r="Y51" s="87"/>
      <c r="Z51" s="88"/>
      <c r="AA51" s="87"/>
      <c r="AB51" s="88"/>
      <c r="AC51" s="87"/>
      <c r="AD51" s="88"/>
      <c r="AE51" s="13"/>
      <c r="AF51" s="43"/>
    </row>
    <row r="52" spans="1:32" ht="12.75">
      <c r="A52" s="105" t="s">
        <v>16</v>
      </c>
      <c r="B52" s="78" t="s">
        <v>91</v>
      </c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87"/>
      <c r="P52" s="88"/>
      <c r="Q52" s="87"/>
      <c r="R52" s="88"/>
      <c r="S52" s="87"/>
      <c r="T52" s="88"/>
      <c r="U52" s="87"/>
      <c r="V52" s="88"/>
      <c r="W52" s="87"/>
      <c r="X52" s="88"/>
      <c r="Y52" s="87"/>
      <c r="Z52" s="88"/>
      <c r="AA52" s="87"/>
      <c r="AB52" s="88"/>
      <c r="AC52" s="87"/>
      <c r="AD52" s="88"/>
      <c r="AE52" s="13"/>
      <c r="AF52" s="43"/>
    </row>
    <row r="53" spans="1:32" ht="12.75">
      <c r="A53" s="79"/>
      <c r="B53" s="78" t="s">
        <v>92</v>
      </c>
      <c r="C53" s="52">
        <f>'Allianz Suisse'!C53</f>
        <v>0.02277880567158646</v>
      </c>
      <c r="D53" s="88"/>
      <c r="E53" s="52">
        <f>Axa!$C53</f>
        <v>0.08487986785227648</v>
      </c>
      <c r="F53" s="88"/>
      <c r="G53" s="52">
        <f>Basler!$C53</f>
        <v>0.014146164054683623</v>
      </c>
      <c r="H53" s="88"/>
      <c r="I53" s="52">
        <f>Generali!$C53</f>
        <v>0.07730431031156723</v>
      </c>
      <c r="J53" s="88"/>
      <c r="K53" s="52">
        <f>Genevoise!$C53</f>
        <v>0.020146385742496754</v>
      </c>
      <c r="L53" s="88"/>
      <c r="M53" s="52">
        <f>Mobiliar!$C53</f>
        <v>0.010840447997896414</v>
      </c>
      <c r="N53" s="88"/>
      <c r="O53" s="52">
        <f>National!$C53</f>
        <v>0.026479016457166375</v>
      </c>
      <c r="P53" s="88"/>
      <c r="Q53" s="52">
        <f>Patria!$C53</f>
        <v>0.05841343855494348</v>
      </c>
      <c r="R53" s="88"/>
      <c r="S53" s="52">
        <f>Pax!$C53</f>
        <v>0.060630303965545404</v>
      </c>
      <c r="T53" s="88"/>
      <c r="U53" s="52">
        <f>Phenix!$C53</f>
        <v>0.016905084885107082</v>
      </c>
      <c r="V53" s="88"/>
      <c r="W53" s="52">
        <f>Rentenanstalt!$C53</f>
        <v>0.17657443005185633</v>
      </c>
      <c r="X53" s="88"/>
      <c r="Y53" s="52">
        <f>Winterthur!$C53</f>
        <v>0.01983304274364902</v>
      </c>
      <c r="Z53" s="88"/>
      <c r="AA53" s="52">
        <f>Zenith!$C53</f>
        <v>0.142</v>
      </c>
      <c r="AB53" s="88"/>
      <c r="AC53" s="52">
        <f>Zuerich!$C53</f>
        <v>0.009948484028751862</v>
      </c>
      <c r="AD53" s="88"/>
      <c r="AE53" s="106">
        <f>(C53*C$46+E53*E$46+G53*G$46+I53*I$46+K53*K$46+M53*M$46+O53*O$46+Q53*Q$46+S53*S$46+U53*U$46+W53*W$46+Y53*Y$46+AA53*AA$46+AC53*AC$46)/AE$46</f>
        <v>0.07836114711732416</v>
      </c>
      <c r="AF53" s="43"/>
    </row>
    <row r="54" spans="1:32" ht="12.75">
      <c r="A54" s="79"/>
      <c r="B54" s="78" t="s">
        <v>93</v>
      </c>
      <c r="C54" s="52">
        <f>'Allianz Suisse'!C54</f>
        <v>0.4462493993785944</v>
      </c>
      <c r="D54" s="88"/>
      <c r="E54" s="52">
        <f>Axa!$C54</f>
        <v>0.7424390142941202</v>
      </c>
      <c r="F54" s="88"/>
      <c r="G54" s="52">
        <f>Basler!$C54</f>
        <v>0.48384045002008713</v>
      </c>
      <c r="H54" s="88"/>
      <c r="I54" s="52">
        <f>Generali!$C54</f>
        <v>0.48446723510822254</v>
      </c>
      <c r="J54" s="88"/>
      <c r="K54" s="52">
        <f>Genevoise!$C54</f>
        <v>0.6680665935465189</v>
      </c>
      <c r="L54" s="88"/>
      <c r="M54" s="52">
        <f>Mobiliar!$C54</f>
        <v>0.7905233684348921</v>
      </c>
      <c r="N54" s="88"/>
      <c r="O54" s="52">
        <f>National!$C54</f>
        <v>0.6808206860885126</v>
      </c>
      <c r="P54" s="88"/>
      <c r="Q54" s="52">
        <f>Patria!$C54</f>
        <v>0.542682520653646</v>
      </c>
      <c r="R54" s="88"/>
      <c r="S54" s="52">
        <f>Pax!$C54</f>
        <v>0.5566628272960081</v>
      </c>
      <c r="T54" s="88"/>
      <c r="U54" s="52">
        <f>Phenix!$C54</f>
        <v>0.8645229580301722</v>
      </c>
      <c r="V54" s="88"/>
      <c r="W54" s="52">
        <f>Rentenanstalt!$C54</f>
        <v>0.4041617554339</v>
      </c>
      <c r="X54" s="88"/>
      <c r="Y54" s="52">
        <f>Winterthur!$C54</f>
        <v>0.5824359932926753</v>
      </c>
      <c r="Z54" s="88"/>
      <c r="AA54" s="52">
        <f>Zenith!$C54</f>
        <v>0.566</v>
      </c>
      <c r="AB54" s="88"/>
      <c r="AC54" s="52">
        <f>Zuerich!$C54</f>
        <v>0.5758055972547386</v>
      </c>
      <c r="AD54" s="88"/>
      <c r="AE54" s="107">
        <f aca="true" t="shared" si="0" ref="AE54:AE60">(C54*C$46+E54*E$46+G54*G$46+I54*I$46+K54*K$46+M54*M$46+O54*O$46+Q54*Q$46+S54*S$46+U54*U$46+W54*W$46+Y54*Y$46+AA54*AA$46+AC54*AC$46)/AE$46</f>
        <v>0.5066091181560991</v>
      </c>
      <c r="AF54" s="43"/>
    </row>
    <row r="55" spans="1:32" ht="12.75">
      <c r="A55" s="79"/>
      <c r="B55" s="78" t="s">
        <v>94</v>
      </c>
      <c r="C55" s="52">
        <f>'Allianz Suisse'!C55</f>
        <v>0.2261256326869255</v>
      </c>
      <c r="D55" s="88"/>
      <c r="E55" s="52">
        <f>Axa!$C55</f>
        <v>0</v>
      </c>
      <c r="F55" s="88"/>
      <c r="G55" s="52">
        <f>Basler!$C55</f>
        <v>0.17523456253425027</v>
      </c>
      <c r="H55" s="88"/>
      <c r="I55" s="52">
        <f>Generali!$C55</f>
        <v>0.21849516146569534</v>
      </c>
      <c r="J55" s="88"/>
      <c r="K55" s="52">
        <f>Genevoise!$C55</f>
        <v>0.1315580872139571</v>
      </c>
      <c r="L55" s="88"/>
      <c r="M55" s="52">
        <f>Mobiliar!$C55</f>
        <v>0.07331279627616995</v>
      </c>
      <c r="N55" s="88"/>
      <c r="O55" s="52">
        <f>National!$C55</f>
        <v>0.1022716955703315</v>
      </c>
      <c r="P55" s="88"/>
      <c r="Q55" s="52">
        <f>Patria!$C55</f>
        <v>0.18653843527158376</v>
      </c>
      <c r="R55" s="88"/>
      <c r="S55" s="52">
        <f>Pax!$C55</f>
        <v>0.15525459571081765</v>
      </c>
      <c r="T55" s="88"/>
      <c r="U55" s="52">
        <f>Phenix!$C55</f>
        <v>0.004901960784313725</v>
      </c>
      <c r="V55" s="88"/>
      <c r="W55" s="52">
        <f>Rentenanstalt!$C55</f>
        <v>0.16816127015567914</v>
      </c>
      <c r="X55" s="88"/>
      <c r="Y55" s="52">
        <f>Winterthur!$C55</f>
        <v>0.1430316024620056</v>
      </c>
      <c r="Z55" s="88"/>
      <c r="AA55" s="52">
        <f>Zenith!$C55</f>
        <v>0</v>
      </c>
      <c r="AB55" s="88"/>
      <c r="AC55" s="52">
        <f>Zuerich!$C55</f>
        <v>0.15234314844837088</v>
      </c>
      <c r="AD55" s="88"/>
      <c r="AE55" s="107">
        <f t="shared" si="0"/>
        <v>0.16074861221441303</v>
      </c>
      <c r="AF55" s="43"/>
    </row>
    <row r="56" spans="1:32" ht="12.75">
      <c r="A56" s="79"/>
      <c r="B56" s="78" t="s">
        <v>95</v>
      </c>
      <c r="C56" s="52">
        <f>'Allianz Suisse'!C56</f>
        <v>0.07810174166778275</v>
      </c>
      <c r="D56" s="88"/>
      <c r="E56" s="52">
        <f>Axa!$C56</f>
        <v>0.1420839682422673</v>
      </c>
      <c r="F56" s="88"/>
      <c r="G56" s="52">
        <f>Basler!$C56</f>
        <v>0.06735824063291454</v>
      </c>
      <c r="H56" s="88"/>
      <c r="I56" s="52">
        <f>Generali!$C56</f>
        <v>0</v>
      </c>
      <c r="J56" s="88"/>
      <c r="K56" s="52">
        <f>Genevoise!$C56</f>
        <v>0.059061047389921455</v>
      </c>
      <c r="L56" s="88"/>
      <c r="M56" s="52">
        <f>Mobiliar!$C56</f>
        <v>0.0848015865979484</v>
      </c>
      <c r="N56" s="88"/>
      <c r="O56" s="52">
        <f>National!$C56</f>
        <v>0.052436159631353015</v>
      </c>
      <c r="P56" s="88"/>
      <c r="Q56" s="52">
        <f>Patria!$C56</f>
        <v>0.05886564912284388</v>
      </c>
      <c r="R56" s="88"/>
      <c r="S56" s="52">
        <f>Pax!$C56</f>
        <v>0.05016137532162757</v>
      </c>
      <c r="T56" s="88"/>
      <c r="U56" s="52">
        <f>Phenix!$C56</f>
        <v>0.004305915238212685</v>
      </c>
      <c r="V56" s="88"/>
      <c r="W56" s="52">
        <f>Rentenanstalt!$C56</f>
        <v>0.0576400389364818</v>
      </c>
      <c r="X56" s="88"/>
      <c r="Y56" s="52">
        <f>Winterthur!$C56</f>
        <v>0.04712335433169328</v>
      </c>
      <c r="Z56" s="88"/>
      <c r="AA56" s="52">
        <f>Zenith!$C56</f>
        <v>0.2</v>
      </c>
      <c r="AB56" s="88"/>
      <c r="AC56" s="52">
        <f>Zuerich!$C56</f>
        <v>0.05385923511198104</v>
      </c>
      <c r="AD56" s="88"/>
      <c r="AE56" s="107">
        <f t="shared" si="0"/>
        <v>0.05672313212354444</v>
      </c>
      <c r="AF56" s="43"/>
    </row>
    <row r="57" spans="1:32" ht="12.75">
      <c r="A57" s="79"/>
      <c r="B57" s="78" t="s">
        <v>96</v>
      </c>
      <c r="C57" s="52">
        <f>'Allianz Suisse'!C57</f>
        <v>0</v>
      </c>
      <c r="D57" s="88"/>
      <c r="E57" s="52">
        <f>Axa!$C57</f>
        <v>0.006020778229360167</v>
      </c>
      <c r="F57" s="88"/>
      <c r="G57" s="52">
        <f>Basler!$C57</f>
        <v>0.066892252038801</v>
      </c>
      <c r="H57" s="88"/>
      <c r="I57" s="52">
        <f>Generali!$C57</f>
        <v>0</v>
      </c>
      <c r="J57" s="88"/>
      <c r="K57" s="52">
        <f>Genevoise!$C57</f>
        <v>0</v>
      </c>
      <c r="L57" s="88"/>
      <c r="M57" s="52">
        <f>Mobiliar!$C57</f>
        <v>0</v>
      </c>
      <c r="N57" s="88"/>
      <c r="O57" s="52">
        <f>National!$C57</f>
        <v>0.04670765882668629</v>
      </c>
      <c r="P57" s="88"/>
      <c r="Q57" s="52">
        <f>Patria!$C57</f>
        <v>0.019288083558090252</v>
      </c>
      <c r="R57" s="88"/>
      <c r="S57" s="52">
        <f>Pax!$C57</f>
        <v>0</v>
      </c>
      <c r="T57" s="88"/>
      <c r="U57" s="52">
        <f>Phenix!$C57</f>
        <v>0</v>
      </c>
      <c r="V57" s="88"/>
      <c r="W57" s="52">
        <f>Rentenanstalt!$C57</f>
        <v>0.07125517581807972</v>
      </c>
      <c r="X57" s="88"/>
      <c r="Y57" s="52">
        <f>Winterthur!$C57</f>
        <v>0.02864593196866041</v>
      </c>
      <c r="Z57" s="88"/>
      <c r="AA57" s="52">
        <f>Zenith!$C57</f>
        <v>0</v>
      </c>
      <c r="AB57" s="88"/>
      <c r="AC57" s="52">
        <f>Zuerich!$C57</f>
        <v>0</v>
      </c>
      <c r="AD57" s="88"/>
      <c r="AE57" s="107">
        <f t="shared" si="0"/>
        <v>0.041383264951420855</v>
      </c>
      <c r="AF57" s="43"/>
    </row>
    <row r="58" spans="1:32" ht="12.75">
      <c r="A58" s="79"/>
      <c r="B58" s="78" t="s">
        <v>97</v>
      </c>
      <c r="C58" s="52">
        <f>'Allianz Suisse'!C58</f>
        <v>0.09370656400043255</v>
      </c>
      <c r="D58" s="88"/>
      <c r="E58" s="52">
        <f>Axa!$C58</f>
        <v>0</v>
      </c>
      <c r="F58" s="88"/>
      <c r="G58" s="52">
        <f>Basler!$C58</f>
        <v>0.019447494674531576</v>
      </c>
      <c r="H58" s="88"/>
      <c r="I58" s="52">
        <f>Generali!$C58</f>
        <v>0</v>
      </c>
      <c r="J58" s="88"/>
      <c r="K58" s="52">
        <f>Genevoise!$C58</f>
        <v>0.12096624374660761</v>
      </c>
      <c r="L58" s="88"/>
      <c r="M58" s="52">
        <f>Mobiliar!$C58</f>
        <v>0</v>
      </c>
      <c r="N58" s="88"/>
      <c r="O58" s="52">
        <f>National!$C58</f>
        <v>0</v>
      </c>
      <c r="P58" s="88"/>
      <c r="Q58" s="52">
        <f>Patria!$C58</f>
        <v>0.0053872315656425035</v>
      </c>
      <c r="R58" s="88"/>
      <c r="S58" s="52">
        <f>Pax!$C58</f>
        <v>0.00031562733638750755</v>
      </c>
      <c r="T58" s="88"/>
      <c r="U58" s="52">
        <f>Phenix!$C58</f>
        <v>0</v>
      </c>
      <c r="V58" s="88"/>
      <c r="W58" s="52">
        <f>Rentenanstalt!$C58</f>
        <v>0.011297193097043263</v>
      </c>
      <c r="X58" s="88"/>
      <c r="Y58" s="52">
        <f>Winterthur!$C58</f>
        <v>0.018867799199494294</v>
      </c>
      <c r="Z58" s="88"/>
      <c r="AA58" s="52">
        <f>Zenith!$C58</f>
        <v>0</v>
      </c>
      <c r="AB58" s="88"/>
      <c r="AC58" s="52">
        <f>Zuerich!$C58</f>
        <v>0.2077542270367451</v>
      </c>
      <c r="AD58" s="88"/>
      <c r="AE58" s="107">
        <f t="shared" si="0"/>
        <v>0.033921238249570766</v>
      </c>
      <c r="AF58" s="43"/>
    </row>
    <row r="59" spans="1:32" ht="12.75">
      <c r="A59" s="79"/>
      <c r="B59" s="78" t="s">
        <v>98</v>
      </c>
      <c r="C59" s="52">
        <f>'Allianz Suisse'!C59</f>
        <v>0.1330378565946784</v>
      </c>
      <c r="D59" s="88"/>
      <c r="E59" s="52">
        <f>Axa!$C59</f>
        <v>0.024576371381975957</v>
      </c>
      <c r="F59" s="88"/>
      <c r="G59" s="52">
        <f>Basler!$C59</f>
        <v>0.14435755967182698</v>
      </c>
      <c r="H59" s="88"/>
      <c r="I59" s="52">
        <f>Generali!$C59</f>
        <v>0.2197332931145149</v>
      </c>
      <c r="J59" s="88"/>
      <c r="K59" s="52">
        <f>Genevoise!$C59</f>
        <v>0</v>
      </c>
      <c r="L59" s="88"/>
      <c r="M59" s="52">
        <f>Mobiliar!$C59</f>
        <v>0.040521800693093246</v>
      </c>
      <c r="N59" s="88"/>
      <c r="O59" s="52">
        <f>National!$C59</f>
        <v>0.09128478342595014</v>
      </c>
      <c r="P59" s="88"/>
      <c r="Q59" s="52">
        <f>Patria!$C59</f>
        <v>0.12879995040813474</v>
      </c>
      <c r="R59" s="88"/>
      <c r="S59" s="52">
        <f>Pax!$C59</f>
        <v>0.1769752703696138</v>
      </c>
      <c r="T59" s="88"/>
      <c r="U59" s="52">
        <f>Phenix!$C59</f>
        <v>0.10936408106219427</v>
      </c>
      <c r="V59" s="88"/>
      <c r="W59" s="52">
        <f>Rentenanstalt!$C59</f>
        <v>0.10549000313862869</v>
      </c>
      <c r="X59" s="88"/>
      <c r="Y59" s="52">
        <f>Winterthur!$C59</f>
        <v>0.15908883542033672</v>
      </c>
      <c r="Z59" s="88"/>
      <c r="AA59" s="52">
        <f>Zenith!$C59</f>
        <v>0.092</v>
      </c>
      <c r="AB59" s="88"/>
      <c r="AC59" s="52">
        <f>Zuerich!$C59</f>
        <v>0</v>
      </c>
      <c r="AD59" s="88"/>
      <c r="AE59" s="107">
        <f t="shared" si="0"/>
        <v>0.11743349867715888</v>
      </c>
      <c r="AF59" s="43"/>
    </row>
    <row r="60" spans="1:32" ht="13.5" thickBot="1">
      <c r="A60" s="79"/>
      <c r="B60" s="78" t="s">
        <v>99</v>
      </c>
      <c r="C60" s="108">
        <f>'Allianz Suisse'!C60</f>
        <v>0</v>
      </c>
      <c r="D60" s="53">
        <f>SUM($C$53:$C$60)</f>
        <v>1</v>
      </c>
      <c r="E60" s="108">
        <f>Axa!$C60</f>
        <v>0</v>
      </c>
      <c r="F60" s="53">
        <f>SUM(E$53:E$60)</f>
        <v>1.0000000000000002</v>
      </c>
      <c r="G60" s="108">
        <f>Basler!$C60</f>
        <v>0.028723276372904935</v>
      </c>
      <c r="H60" s="53">
        <f>SUM(G$53:G$60)</f>
        <v>1</v>
      </c>
      <c r="I60" s="108">
        <f>Generali!$C60</f>
        <v>0</v>
      </c>
      <c r="J60" s="53">
        <f>SUM(I$53:I$60)</f>
        <v>1</v>
      </c>
      <c r="K60" s="108">
        <f>Genevoise!$C60</f>
        <v>0.00020164236049819546</v>
      </c>
      <c r="L60" s="53">
        <f>SUM(K$53:K$60)</f>
        <v>1</v>
      </c>
      <c r="M60" s="108">
        <f>Mobiliar!$C60</f>
        <v>0</v>
      </c>
      <c r="N60" s="53">
        <f>SUM(M$53:M$60)</f>
        <v>1</v>
      </c>
      <c r="O60" s="108">
        <f>National!$C60</f>
        <v>0</v>
      </c>
      <c r="P60" s="53">
        <f>SUM(O$53:O$60)</f>
        <v>0.9999999999999999</v>
      </c>
      <c r="Q60" s="108">
        <f>Patria!$C60</f>
        <v>2.4690865115379886E-05</v>
      </c>
      <c r="R60" s="53">
        <f>SUM(Q$53:Q$60)</f>
        <v>1</v>
      </c>
      <c r="S60" s="108">
        <f>Pax!$C60</f>
        <v>0</v>
      </c>
      <c r="T60" s="53">
        <f>SUM(S$53:S$60)</f>
        <v>1</v>
      </c>
      <c r="U60" s="108">
        <f>Phenix!$C60</f>
        <v>0</v>
      </c>
      <c r="V60" s="53">
        <f>SUM(U$53:U$60)</f>
        <v>1</v>
      </c>
      <c r="W60" s="108">
        <f>Rentenanstalt!$C60</f>
        <v>0.005420133368331078</v>
      </c>
      <c r="X60" s="53">
        <f>SUM(W$53:W$60)</f>
        <v>1</v>
      </c>
      <c r="Y60" s="108">
        <f>Winterthur!$C60</f>
        <v>0.0009734405814853913</v>
      </c>
      <c r="Z60" s="53">
        <f>SUM(Y$53:Y$60)</f>
        <v>1</v>
      </c>
      <c r="AA60" s="108">
        <f>Zenith!$C60</f>
        <v>0</v>
      </c>
      <c r="AB60" s="53">
        <f>SUM(AA$53:AA$60)</f>
        <v>0.9999999999999999</v>
      </c>
      <c r="AC60" s="108">
        <f>Zuerich!$C60</f>
        <v>0.0002893081194125858</v>
      </c>
      <c r="AD60" s="53">
        <f>SUM(AC$53:AC$60)</f>
        <v>1</v>
      </c>
      <c r="AE60" s="108">
        <f t="shared" si="0"/>
        <v>0.00481998851046885</v>
      </c>
      <c r="AF60" s="61">
        <f>SUM(AE$53:AE$60)</f>
        <v>1</v>
      </c>
    </row>
    <row r="61" spans="1:32" ht="12.75">
      <c r="A61" s="79"/>
      <c r="B61" s="78"/>
      <c r="C61" s="87"/>
      <c r="D61" s="88"/>
      <c r="E61" s="87"/>
      <c r="F61" s="88"/>
      <c r="G61" s="87"/>
      <c r="H61" s="88"/>
      <c r="I61" s="87"/>
      <c r="J61" s="88"/>
      <c r="K61" s="87"/>
      <c r="L61" s="88"/>
      <c r="M61" s="87"/>
      <c r="N61" s="88"/>
      <c r="O61" s="87"/>
      <c r="P61" s="88"/>
      <c r="Q61" s="87"/>
      <c r="R61" s="88"/>
      <c r="S61" s="87"/>
      <c r="T61" s="88"/>
      <c r="U61" s="87"/>
      <c r="V61" s="88"/>
      <c r="W61" s="87"/>
      <c r="X61" s="88"/>
      <c r="Y61" s="87"/>
      <c r="Z61" s="88"/>
      <c r="AA61" s="87"/>
      <c r="AB61" s="88"/>
      <c r="AC61" s="87"/>
      <c r="AD61" s="88"/>
      <c r="AE61" s="13"/>
      <c r="AF61" s="43"/>
    </row>
    <row r="62" spans="1:32" ht="12.75">
      <c r="A62" s="105" t="s">
        <v>17</v>
      </c>
      <c r="B62" s="78" t="s">
        <v>100</v>
      </c>
      <c r="C62" s="83"/>
      <c r="D62" s="100">
        <f>'Allianz Suisse'!D62</f>
        <v>5324455.488000001</v>
      </c>
      <c r="E62" s="83"/>
      <c r="F62" s="100">
        <f>Axa!$D62</f>
        <v>246859.17558999997</v>
      </c>
      <c r="G62" s="83"/>
      <c r="H62" s="100">
        <f>Basler!$D62</f>
        <v>11179238.040570002</v>
      </c>
      <c r="I62" s="83"/>
      <c r="J62" s="100">
        <f>Generali!$D62</f>
        <v>548916.3149</v>
      </c>
      <c r="K62" s="83"/>
      <c r="L62" s="100">
        <f>Genevoise!$D62</f>
        <v>2930208</v>
      </c>
      <c r="M62" s="83"/>
      <c r="N62" s="100">
        <f>Mobiliar!$D62</f>
        <v>1674135</v>
      </c>
      <c r="O62" s="83"/>
      <c r="P62" s="100">
        <f>National!$D62</f>
        <v>1446660</v>
      </c>
      <c r="Q62" s="83"/>
      <c r="R62" s="100">
        <f>Patria!$D62</f>
        <v>9104891.7059133</v>
      </c>
      <c r="S62" s="83"/>
      <c r="T62" s="100">
        <f>Pax!$D62</f>
        <v>2244531</v>
      </c>
      <c r="U62" s="83"/>
      <c r="V62" s="100">
        <f>Phenix!$D62</f>
        <v>99397</v>
      </c>
      <c r="W62" s="83"/>
      <c r="X62" s="100">
        <f>Rentenanstalt!$D62</f>
        <v>41918646.04442</v>
      </c>
      <c r="Y62" s="83"/>
      <c r="Z62" s="100">
        <f>Winterthur!$D62</f>
        <v>34474347</v>
      </c>
      <c r="AA62" s="83"/>
      <c r="AB62" s="100">
        <f>Zenith!$D62</f>
        <v>261676</v>
      </c>
      <c r="AC62" s="83"/>
      <c r="AD62" s="100">
        <f>Zuerich!$D62</f>
        <v>10373510</v>
      </c>
      <c r="AE62" s="73"/>
      <c r="AF62" s="59">
        <f>D62+F62+H62+J62+L62+N62+P62+R62+T62+V62+X62+Z62+AB62+AD62</f>
        <v>121827470.7693933</v>
      </c>
    </row>
    <row r="63" spans="1:32" ht="12.75">
      <c r="A63" s="105" t="s">
        <v>18</v>
      </c>
      <c r="B63" s="78" t="s">
        <v>101</v>
      </c>
      <c r="C63" s="83"/>
      <c r="D63" s="109">
        <f>'Allianz Suisse'!D63</f>
        <v>115265</v>
      </c>
      <c r="E63" s="83"/>
      <c r="F63" s="109">
        <f>Axa!$D63</f>
        <v>4849</v>
      </c>
      <c r="G63" s="83"/>
      <c r="H63" s="109">
        <f>Basler!$D63</f>
        <v>189238</v>
      </c>
      <c r="I63" s="83"/>
      <c r="J63" s="109">
        <f>Generali!$D63</f>
        <v>13272</v>
      </c>
      <c r="K63" s="83"/>
      <c r="L63" s="109">
        <f>Genevoise!$D63</f>
        <v>55902</v>
      </c>
      <c r="M63" s="83"/>
      <c r="N63" s="109">
        <f>Mobiliar!$D63</f>
        <v>133730</v>
      </c>
      <c r="O63" s="83"/>
      <c r="P63" s="109">
        <f>National!$D63</f>
        <v>24899</v>
      </c>
      <c r="Q63" s="83"/>
      <c r="R63" s="109">
        <f>Patria!$D63</f>
        <v>156908</v>
      </c>
      <c r="S63" s="83"/>
      <c r="T63" s="109">
        <f>Pax!$D63</f>
        <v>39183</v>
      </c>
      <c r="U63" s="83"/>
      <c r="V63" s="109">
        <f>Phenix!$D63</f>
        <v>2643</v>
      </c>
      <c r="W63" s="83"/>
      <c r="X63" s="109">
        <f>Rentenanstalt!$D63</f>
        <v>620144</v>
      </c>
      <c r="Y63" s="83"/>
      <c r="Z63" s="109">
        <f>Winterthur!$D63</f>
        <v>604494</v>
      </c>
      <c r="AA63" s="83"/>
      <c r="AB63" s="109">
        <f>Zenith!$D63</f>
        <v>4479</v>
      </c>
      <c r="AC63" s="83"/>
      <c r="AD63" s="109">
        <f>Zuerich!$D63</f>
        <v>186003</v>
      </c>
      <c r="AE63" s="73"/>
      <c r="AF63" s="60">
        <f>D63+F63+H63+J63+L63+N63+P63+R63+T63+V63+X63+Z63+AB63+AD63</f>
        <v>2151009</v>
      </c>
    </row>
    <row r="64" spans="1:32" ht="12.75">
      <c r="A64" s="79"/>
      <c r="B64" s="78"/>
      <c r="C64" s="83"/>
      <c r="D64" s="88"/>
      <c r="E64" s="83"/>
      <c r="F64" s="88"/>
      <c r="G64" s="83"/>
      <c r="H64" s="88"/>
      <c r="I64" s="83"/>
      <c r="J64" s="88"/>
      <c r="K64" s="83"/>
      <c r="L64" s="88"/>
      <c r="M64" s="83"/>
      <c r="N64" s="88"/>
      <c r="O64" s="83"/>
      <c r="P64" s="88"/>
      <c r="Q64" s="83"/>
      <c r="R64" s="88"/>
      <c r="S64" s="83"/>
      <c r="T64" s="88"/>
      <c r="U64" s="83"/>
      <c r="V64" s="88"/>
      <c r="W64" s="83"/>
      <c r="X64" s="88"/>
      <c r="Y64" s="83"/>
      <c r="Z64" s="88"/>
      <c r="AA64" s="83"/>
      <c r="AB64" s="88"/>
      <c r="AC64" s="83"/>
      <c r="AD64" s="88"/>
      <c r="AE64" s="73"/>
      <c r="AF64" s="43"/>
    </row>
    <row r="65" spans="1:32" ht="12.75">
      <c r="A65" s="105" t="s">
        <v>19</v>
      </c>
      <c r="B65" s="78" t="s">
        <v>102</v>
      </c>
      <c r="C65" s="83"/>
      <c r="D65" s="88"/>
      <c r="E65" s="83"/>
      <c r="F65" s="88"/>
      <c r="G65" s="83"/>
      <c r="H65" s="88"/>
      <c r="I65" s="83"/>
      <c r="J65" s="88"/>
      <c r="K65" s="83"/>
      <c r="L65" s="88"/>
      <c r="M65" s="83"/>
      <c r="N65" s="88"/>
      <c r="O65" s="83"/>
      <c r="P65" s="88"/>
      <c r="Q65" s="83"/>
      <c r="R65" s="88"/>
      <c r="S65" s="83"/>
      <c r="T65" s="88"/>
      <c r="U65" s="83"/>
      <c r="V65" s="88"/>
      <c r="W65" s="83"/>
      <c r="X65" s="88"/>
      <c r="Y65" s="83"/>
      <c r="Z65" s="88"/>
      <c r="AA65" s="83"/>
      <c r="AB65" s="88"/>
      <c r="AC65" s="83"/>
      <c r="AD65" s="88"/>
      <c r="AE65" s="73"/>
      <c r="AF65" s="43"/>
    </row>
    <row r="66" spans="1:32" ht="12.75">
      <c r="A66" s="105"/>
      <c r="B66" s="78" t="s">
        <v>71</v>
      </c>
      <c r="C66" s="57">
        <f>C26</f>
        <v>17410.205739999998</v>
      </c>
      <c r="D66" s="88"/>
      <c r="E66" s="57">
        <f>E26</f>
        <v>674.4284</v>
      </c>
      <c r="F66" s="88"/>
      <c r="G66" s="57">
        <f>G26</f>
        <v>41092.52791</v>
      </c>
      <c r="H66" s="88"/>
      <c r="I66" s="57">
        <f>I26</f>
        <v>3853</v>
      </c>
      <c r="J66" s="88"/>
      <c r="K66" s="57">
        <f>K26</f>
        <v>2430</v>
      </c>
      <c r="L66" s="88"/>
      <c r="M66" s="57">
        <f>M26</f>
        <v>4814.8</v>
      </c>
      <c r="N66" s="88"/>
      <c r="O66" s="57">
        <f>O26</f>
        <v>3729</v>
      </c>
      <c r="P66" s="88"/>
      <c r="Q66" s="57">
        <f>Q26</f>
        <v>29694.144</v>
      </c>
      <c r="R66" s="88"/>
      <c r="S66" s="57">
        <f>S26</f>
        <v>5467.3</v>
      </c>
      <c r="T66" s="88"/>
      <c r="U66" s="57">
        <f>U26</f>
        <v>171</v>
      </c>
      <c r="V66" s="88"/>
      <c r="W66" s="57">
        <f>W26</f>
        <v>112518.16500000001</v>
      </c>
      <c r="X66" s="88"/>
      <c r="Y66" s="57">
        <f>Y26</f>
        <v>135687</v>
      </c>
      <c r="Z66" s="88"/>
      <c r="AA66" s="57">
        <f>AA26</f>
        <v>796</v>
      </c>
      <c r="AB66" s="88"/>
      <c r="AC66" s="57">
        <f>AC26</f>
        <v>7054</v>
      </c>
      <c r="AD66" s="88"/>
      <c r="AE66" s="72">
        <f>AE26</f>
        <v>365391.57105</v>
      </c>
      <c r="AF66" s="43"/>
    </row>
    <row r="67" spans="1:32" ht="13.5" thickBot="1">
      <c r="A67" s="105"/>
      <c r="B67" s="78" t="s">
        <v>67</v>
      </c>
      <c r="C67" s="110">
        <f>D22</f>
        <v>60921.97665</v>
      </c>
      <c r="D67" s="111">
        <f>C67+C66</f>
        <v>78332.18239</v>
      </c>
      <c r="E67" s="110">
        <f>F22</f>
        <v>3312.429222591241</v>
      </c>
      <c r="F67" s="111">
        <f>E67+E66</f>
        <v>3986.857622591241</v>
      </c>
      <c r="G67" s="110">
        <f>H22</f>
        <v>93186.72681000001</v>
      </c>
      <c r="H67" s="111">
        <f>G67+G66</f>
        <v>134279.25472</v>
      </c>
      <c r="I67" s="110">
        <f>J22</f>
        <v>4861.454</v>
      </c>
      <c r="J67" s="111">
        <f>I67+I66</f>
        <v>8714.454</v>
      </c>
      <c r="K67" s="110">
        <f>L22</f>
        <v>38222.82475</v>
      </c>
      <c r="L67" s="111">
        <f>K67+K66</f>
        <v>40652.82475</v>
      </c>
      <c r="M67" s="110">
        <f>N22</f>
        <v>31100.9</v>
      </c>
      <c r="N67" s="111">
        <f>M67+M66</f>
        <v>35915.700000000004</v>
      </c>
      <c r="O67" s="110">
        <f>P22</f>
        <v>14187</v>
      </c>
      <c r="P67" s="111">
        <f>O67+O66</f>
        <v>17916</v>
      </c>
      <c r="Q67" s="110">
        <f>R22</f>
        <v>78549.99955999985</v>
      </c>
      <c r="R67" s="111">
        <f>Q67+Q66</f>
        <v>108244.14355999985</v>
      </c>
      <c r="S67" s="110">
        <f>T22</f>
        <v>25288.5</v>
      </c>
      <c r="T67" s="111">
        <f>S67+S66</f>
        <v>30755.8</v>
      </c>
      <c r="U67" s="110">
        <f>V22</f>
        <v>1982</v>
      </c>
      <c r="V67" s="111">
        <f>U67+U66</f>
        <v>2153</v>
      </c>
      <c r="W67" s="110">
        <f>X22</f>
        <v>377032.04027999996</v>
      </c>
      <c r="X67" s="111">
        <f>W67+W66</f>
        <v>489550.20528</v>
      </c>
      <c r="Y67" s="110">
        <f>Z22</f>
        <v>220949</v>
      </c>
      <c r="Z67" s="111">
        <f>Y67+Y66</f>
        <v>356636</v>
      </c>
      <c r="AA67" s="110">
        <f>AB22</f>
        <v>2723</v>
      </c>
      <c r="AB67" s="111">
        <f>AA67+AA66</f>
        <v>3519</v>
      </c>
      <c r="AC67" s="110">
        <f>AD22</f>
        <v>127289</v>
      </c>
      <c r="AD67" s="111">
        <f>AC67+AC66</f>
        <v>134343</v>
      </c>
      <c r="AE67" s="110">
        <f>AF22</f>
        <v>1079606.851272591</v>
      </c>
      <c r="AF67" s="111">
        <f>AE67+AE66</f>
        <v>1444998.4223225908</v>
      </c>
    </row>
    <row r="68" spans="1:32" ht="12.75">
      <c r="A68" s="105"/>
      <c r="B68" s="78" t="s">
        <v>103</v>
      </c>
      <c r="C68" s="83"/>
      <c r="D68" s="112">
        <f>(1000*D67)/D63</f>
        <v>679.5834155207565</v>
      </c>
      <c r="E68" s="83"/>
      <c r="F68" s="112">
        <f>(1000*F67)/F63</f>
        <v>822.2020256942135</v>
      </c>
      <c r="G68" s="83"/>
      <c r="H68" s="112">
        <f>(1000*H67)/H63</f>
        <v>709.5787036430315</v>
      </c>
      <c r="I68" s="83"/>
      <c r="J68" s="112">
        <f>(1000*J67)/J63</f>
        <v>656.6044303797469</v>
      </c>
      <c r="K68" s="83"/>
      <c r="L68" s="112">
        <f>(1000*L67)/L63</f>
        <v>727.2159269793567</v>
      </c>
      <c r="M68" s="83"/>
      <c r="N68" s="112">
        <f>(1000*N67)/N63</f>
        <v>268.56875794511336</v>
      </c>
      <c r="O68" s="83"/>
      <c r="P68" s="112">
        <f>(1000*P67)/P63</f>
        <v>719.5469697578216</v>
      </c>
      <c r="Q68" s="83"/>
      <c r="R68" s="112">
        <f>(1000*R67)/R63</f>
        <v>689.8573913375982</v>
      </c>
      <c r="S68" s="83"/>
      <c r="T68" s="112">
        <f>(1000*T67)/T63</f>
        <v>784.9271367684966</v>
      </c>
      <c r="U68" s="83"/>
      <c r="V68" s="112">
        <f>(1000*V67)/V63</f>
        <v>814.6046159667045</v>
      </c>
      <c r="W68" s="83"/>
      <c r="X68" s="112">
        <f>(1000*X67)/X63</f>
        <v>789.4137575788849</v>
      </c>
      <c r="Y68" s="83"/>
      <c r="Z68" s="112">
        <f>(1000*Z67)/Z63</f>
        <v>589.9744248909005</v>
      </c>
      <c r="AA68" s="83"/>
      <c r="AB68" s="112">
        <f>(1000*AB67)/AB63</f>
        <v>785.6664434025452</v>
      </c>
      <c r="AC68" s="83"/>
      <c r="AD68" s="112">
        <f>(1000*AD67)/AD63</f>
        <v>722.2625441525137</v>
      </c>
      <c r="AE68" s="73"/>
      <c r="AF68" s="58">
        <f>(1000*AF67)/AF63</f>
        <v>671.7770229332331</v>
      </c>
    </row>
    <row r="69" spans="1:32" ht="12.75">
      <c r="A69" s="79"/>
      <c r="B69" s="78"/>
      <c r="C69" s="83"/>
      <c r="D69" s="88"/>
      <c r="E69" s="83"/>
      <c r="F69" s="88"/>
      <c r="G69" s="83"/>
      <c r="H69" s="88"/>
      <c r="I69" s="83"/>
      <c r="J69" s="88"/>
      <c r="K69" s="83"/>
      <c r="L69" s="88"/>
      <c r="M69" s="83"/>
      <c r="N69" s="88"/>
      <c r="O69" s="83"/>
      <c r="P69" s="88"/>
      <c r="Q69" s="83"/>
      <c r="R69" s="88"/>
      <c r="S69" s="83"/>
      <c r="T69" s="88"/>
      <c r="U69" s="83"/>
      <c r="V69" s="88"/>
      <c r="W69" s="83"/>
      <c r="X69" s="88"/>
      <c r="Y69" s="83"/>
      <c r="Z69" s="88"/>
      <c r="AA69" s="83"/>
      <c r="AB69" s="88"/>
      <c r="AC69" s="83"/>
      <c r="AD69" s="88"/>
      <c r="AE69" s="73"/>
      <c r="AF69" s="43"/>
    </row>
    <row r="70" spans="1:32" ht="12.75">
      <c r="A70" s="80" t="s">
        <v>104</v>
      </c>
      <c r="B70" s="78"/>
      <c r="C70" s="83"/>
      <c r="D70" s="84"/>
      <c r="E70" s="83"/>
      <c r="F70" s="84"/>
      <c r="G70" s="83"/>
      <c r="H70" s="84"/>
      <c r="I70" s="83"/>
      <c r="J70" s="84"/>
      <c r="K70" s="83"/>
      <c r="L70" s="84"/>
      <c r="M70" s="83"/>
      <c r="N70" s="84"/>
      <c r="O70" s="83"/>
      <c r="P70" s="84"/>
      <c r="Q70" s="83"/>
      <c r="R70" s="84"/>
      <c r="S70" s="83"/>
      <c r="T70" s="84"/>
      <c r="U70" s="83"/>
      <c r="V70" s="84"/>
      <c r="W70" s="83"/>
      <c r="X70" s="84"/>
      <c r="Y70" s="83"/>
      <c r="Z70" s="84"/>
      <c r="AA70" s="83"/>
      <c r="AB70" s="84"/>
      <c r="AC70" s="83"/>
      <c r="AD70" s="84"/>
      <c r="AE70" s="73"/>
      <c r="AF70" s="42"/>
    </row>
    <row r="71" spans="1:32" ht="12.75">
      <c r="A71" s="79" t="s">
        <v>105</v>
      </c>
      <c r="B71" s="78"/>
      <c r="C71" s="87" t="s">
        <v>38</v>
      </c>
      <c r="D71" s="88" t="s">
        <v>112</v>
      </c>
      <c r="E71" s="87" t="s">
        <v>38</v>
      </c>
      <c r="F71" s="88" t="s">
        <v>112</v>
      </c>
      <c r="G71" s="87" t="s">
        <v>38</v>
      </c>
      <c r="H71" s="88" t="s">
        <v>112</v>
      </c>
      <c r="I71" s="87" t="s">
        <v>38</v>
      </c>
      <c r="J71" s="88" t="s">
        <v>112</v>
      </c>
      <c r="K71" s="87" t="s">
        <v>38</v>
      </c>
      <c r="L71" s="88" t="s">
        <v>112</v>
      </c>
      <c r="M71" s="87" t="s">
        <v>38</v>
      </c>
      <c r="N71" s="88" t="s">
        <v>112</v>
      </c>
      <c r="O71" s="87" t="s">
        <v>38</v>
      </c>
      <c r="P71" s="88" t="s">
        <v>112</v>
      </c>
      <c r="Q71" s="87" t="s">
        <v>38</v>
      </c>
      <c r="R71" s="88" t="s">
        <v>112</v>
      </c>
      <c r="S71" s="87" t="s">
        <v>38</v>
      </c>
      <c r="T71" s="88" t="s">
        <v>112</v>
      </c>
      <c r="U71" s="87" t="s">
        <v>38</v>
      </c>
      <c r="V71" s="88" t="s">
        <v>112</v>
      </c>
      <c r="W71" s="87" t="s">
        <v>38</v>
      </c>
      <c r="X71" s="88" t="s">
        <v>112</v>
      </c>
      <c r="Y71" s="87" t="s">
        <v>38</v>
      </c>
      <c r="Z71" s="88" t="s">
        <v>112</v>
      </c>
      <c r="AA71" s="87" t="s">
        <v>38</v>
      </c>
      <c r="AB71" s="88" t="s">
        <v>112</v>
      </c>
      <c r="AC71" s="87" t="s">
        <v>38</v>
      </c>
      <c r="AD71" s="88" t="s">
        <v>112</v>
      </c>
      <c r="AE71" s="13" t="s">
        <v>38</v>
      </c>
      <c r="AF71" s="43" t="s">
        <v>112</v>
      </c>
    </row>
    <row r="72" spans="1:32" ht="12.75">
      <c r="A72" s="79"/>
      <c r="B72" s="78"/>
      <c r="C72" s="87"/>
      <c r="D72" s="88"/>
      <c r="E72" s="87"/>
      <c r="F72" s="88"/>
      <c r="G72" s="87"/>
      <c r="H72" s="88"/>
      <c r="I72" s="87"/>
      <c r="J72" s="88"/>
      <c r="K72" s="87"/>
      <c r="L72" s="88"/>
      <c r="M72" s="87"/>
      <c r="N72" s="88"/>
      <c r="O72" s="87"/>
      <c r="P72" s="88"/>
      <c r="Q72" s="87"/>
      <c r="R72" s="88"/>
      <c r="S72" s="87"/>
      <c r="T72" s="88"/>
      <c r="U72" s="87"/>
      <c r="V72" s="88"/>
      <c r="W72" s="87"/>
      <c r="X72" s="88"/>
      <c r="Y72" s="87"/>
      <c r="Z72" s="88"/>
      <c r="AA72" s="87"/>
      <c r="AB72" s="88"/>
      <c r="AC72" s="87"/>
      <c r="AD72" s="88"/>
      <c r="AE72" s="13"/>
      <c r="AF72" s="43"/>
    </row>
    <row r="73" spans="1:32" ht="12.75">
      <c r="A73" s="79" t="s">
        <v>106</v>
      </c>
      <c r="B73" s="78"/>
      <c r="C73" s="54">
        <f>'Allianz Suisse'!C73</f>
        <v>352973</v>
      </c>
      <c r="D73" s="117">
        <v>1</v>
      </c>
      <c r="E73" s="54">
        <f>Axa!$C73</f>
        <v>13959.586235982748</v>
      </c>
      <c r="F73" s="117">
        <v>1</v>
      </c>
      <c r="G73" s="54">
        <f>Basler!$C73</f>
        <v>490135.86243255786</v>
      </c>
      <c r="H73" s="117">
        <v>1</v>
      </c>
      <c r="I73" s="54">
        <f>Generali!$C73</f>
        <v>24852.368271248793</v>
      </c>
      <c r="J73" s="117">
        <v>1</v>
      </c>
      <c r="K73" s="54">
        <f>Genevoise!$C73</f>
        <v>167742.27814731488</v>
      </c>
      <c r="L73" s="117">
        <v>1</v>
      </c>
      <c r="M73" s="54">
        <f>Mobiliar!$C73</f>
        <v>105568.125301024</v>
      </c>
      <c r="N73" s="117">
        <v>1</v>
      </c>
      <c r="O73" s="54">
        <f>National!$C73</f>
        <v>108429.9155487384</v>
      </c>
      <c r="P73" s="117">
        <v>1</v>
      </c>
      <c r="Q73" s="54">
        <f>Patria!$C73</f>
        <v>436674.1551689802</v>
      </c>
      <c r="R73" s="117">
        <v>1</v>
      </c>
      <c r="S73" s="54">
        <f>Pax!$C73</f>
        <v>144551</v>
      </c>
      <c r="T73" s="117">
        <v>1</v>
      </c>
      <c r="U73" s="54">
        <f>Phenix!$C73</f>
        <v>6246</v>
      </c>
      <c r="V73" s="117">
        <v>1</v>
      </c>
      <c r="W73" s="54">
        <f>Rentenanstalt!$C73</f>
        <v>2211252.16079</v>
      </c>
      <c r="X73" s="117">
        <v>1</v>
      </c>
      <c r="Y73" s="54">
        <f>Winterthur!$C73</f>
        <v>1960586</v>
      </c>
      <c r="Z73" s="117">
        <v>1</v>
      </c>
      <c r="AA73" s="54">
        <f>Zenith!$C73</f>
        <v>28784</v>
      </c>
      <c r="AB73" s="117">
        <v>1</v>
      </c>
      <c r="AC73" s="54">
        <f>Zuerich!$C73</f>
        <v>541622.2704925692</v>
      </c>
      <c r="AD73" s="117">
        <v>1</v>
      </c>
      <c r="AE73" s="6">
        <f>C73+E73+G73+I73+K73+M73+O73+Q73+S73+U73+W73+Y73+AA73+AC73</f>
        <v>6593376.7223884165</v>
      </c>
      <c r="AF73" s="117">
        <v>1</v>
      </c>
    </row>
    <row r="74" spans="1:32" ht="12.75">
      <c r="A74" s="79" t="s">
        <v>107</v>
      </c>
      <c r="B74" s="78"/>
      <c r="C74" s="54">
        <f>'Allianz Suisse'!C74</f>
        <v>317675.98095</v>
      </c>
      <c r="D74" s="117">
        <f>$C$74/$C$73</f>
        <v>0.9000007959532316</v>
      </c>
      <c r="E74" s="54">
        <f>Axa!$C74</f>
        <v>13533.705070229398</v>
      </c>
      <c r="F74" s="117">
        <f>E$74/E$73</f>
        <v>0.9694918489306236</v>
      </c>
      <c r="G74" s="54">
        <f>Basler!$C74</f>
        <v>442747.91893999977</v>
      </c>
      <c r="H74" s="117">
        <f>G$74/G$73</f>
        <v>0.9033167186392557</v>
      </c>
      <c r="I74" s="54">
        <f>Generali!$C74</f>
        <v>31425.140341248858</v>
      </c>
      <c r="J74" s="117">
        <f>I$74/I$73</f>
        <v>1.264472665070072</v>
      </c>
      <c r="K74" s="54">
        <f>Genevoise!$C74</f>
        <v>150968.3129788312</v>
      </c>
      <c r="L74" s="117">
        <f>K$74/K$73</f>
        <v>0.9000015657725096</v>
      </c>
      <c r="M74" s="54">
        <f>Mobiliar!$C74</f>
        <v>100147.49376323924</v>
      </c>
      <c r="N74" s="117">
        <f>M$74/M$73</f>
        <v>0.948652763110759</v>
      </c>
      <c r="O74" s="54">
        <f>National!$C74</f>
        <v>99756</v>
      </c>
      <c r="P74" s="117">
        <f>O$74/O$73</f>
        <v>0.9200044055661046</v>
      </c>
      <c r="Q74" s="54">
        <f>Patria!$C74</f>
        <v>410194.5170592628</v>
      </c>
      <c r="R74" s="117">
        <f>Q$74/Q$73</f>
        <v>0.939360647301257</v>
      </c>
      <c r="S74" s="54">
        <f>Pax!$C74</f>
        <v>130882.9</v>
      </c>
      <c r="T74" s="117">
        <f>S$74/S$73</f>
        <v>0.9054444452131082</v>
      </c>
      <c r="U74" s="54">
        <f>Phenix!$C74</f>
        <v>5667</v>
      </c>
      <c r="V74" s="117">
        <f>U$74/U$73</f>
        <v>0.9073006724303554</v>
      </c>
      <c r="W74" s="54">
        <f>Rentenanstalt!$C74</f>
        <v>2052263.23642</v>
      </c>
      <c r="X74" s="117">
        <f>W$74/W$73</f>
        <v>0.9281000479324804</v>
      </c>
      <c r="Y74" s="54">
        <f>Winterthur!$C74</f>
        <v>1793936</v>
      </c>
      <c r="Z74" s="117">
        <f>Y$74/Y$73</f>
        <v>0.9149999030901985</v>
      </c>
      <c r="AA74" s="54">
        <f>Zenith!$C74</f>
        <v>31532</v>
      </c>
      <c r="AB74" s="117">
        <f>AA$74/AA$73</f>
        <v>1.0954697053918845</v>
      </c>
      <c r="AC74" s="54">
        <f>Zuerich!$C74</f>
        <v>487459.6409589595</v>
      </c>
      <c r="AD74" s="117">
        <f>AC$74/AC$73</f>
        <v>0.8999992568910573</v>
      </c>
      <c r="AE74" s="32">
        <f>C74+E74+G74+I74+K74+M74+O74+Q74+S74+U74+W74+Y74+AA74+AC74</f>
        <v>6068189.84648177</v>
      </c>
      <c r="AF74" s="117">
        <f>AE$74/AE$73</f>
        <v>0.9203462962880119</v>
      </c>
    </row>
    <row r="75" spans="1:32" ht="12.75">
      <c r="A75" s="79" t="s">
        <v>108</v>
      </c>
      <c r="B75" s="78"/>
      <c r="C75" s="87"/>
      <c r="D75" s="88"/>
      <c r="E75" s="87"/>
      <c r="F75" s="88"/>
      <c r="G75" s="87"/>
      <c r="H75" s="88"/>
      <c r="I75" s="87"/>
      <c r="J75" s="88"/>
      <c r="K75" s="87"/>
      <c r="L75" s="88"/>
      <c r="M75" s="87"/>
      <c r="N75" s="88"/>
      <c r="O75" s="87"/>
      <c r="P75" s="88"/>
      <c r="Q75" s="87"/>
      <c r="R75" s="88"/>
      <c r="S75" s="87"/>
      <c r="T75" s="88"/>
      <c r="U75" s="87"/>
      <c r="V75" s="88"/>
      <c r="W75" s="87"/>
      <c r="X75" s="88"/>
      <c r="Y75" s="87"/>
      <c r="Z75" s="88"/>
      <c r="AA75" s="87"/>
      <c r="AB75" s="88"/>
      <c r="AC75" s="87"/>
      <c r="AD75" s="88"/>
      <c r="AE75" s="13"/>
      <c r="AF75" s="43"/>
    </row>
    <row r="76" spans="1:32" ht="12.75">
      <c r="A76" s="79"/>
      <c r="B76" s="78" t="s">
        <v>109</v>
      </c>
      <c r="C76" s="54">
        <f>'Allianz Suisse'!C76</f>
        <v>35297.01905</v>
      </c>
      <c r="D76" s="88"/>
      <c r="E76" s="54">
        <f>Axa!$C76</f>
        <v>425.8811657533497</v>
      </c>
      <c r="F76" s="88"/>
      <c r="G76" s="54">
        <f>Basler!$C76</f>
        <v>47387.943492558086</v>
      </c>
      <c r="H76" s="88"/>
      <c r="I76" s="54">
        <f>Generali!$C76</f>
        <v>-6572.772070000065</v>
      </c>
      <c r="J76" s="88"/>
      <c r="K76" s="54">
        <f>Genevoise!$C76</f>
        <v>16773.965168483664</v>
      </c>
      <c r="L76" s="88"/>
      <c r="M76" s="54">
        <f>Mobiliar!$C76</f>
        <v>5420.631537784764</v>
      </c>
      <c r="N76" s="88"/>
      <c r="O76" s="54">
        <f>National!$C76</f>
        <v>8673.915548738398</v>
      </c>
      <c r="P76" s="88"/>
      <c r="Q76" s="54">
        <f>Patria!$C76</f>
        <v>26479.6381097174</v>
      </c>
      <c r="R76" s="88"/>
      <c r="S76" s="54">
        <f>Pax!$C76</f>
        <v>13668.1</v>
      </c>
      <c r="T76" s="88"/>
      <c r="U76" s="54">
        <f>Phenix!$C76</f>
        <v>579</v>
      </c>
      <c r="V76" s="88"/>
      <c r="W76" s="54">
        <f>Rentenanstalt!$C76</f>
        <v>158988.92437000014</v>
      </c>
      <c r="X76" s="88"/>
      <c r="Y76" s="54">
        <f>Winterthur!$C76</f>
        <v>166650</v>
      </c>
      <c r="Z76" s="88"/>
      <c r="AA76" s="54">
        <f>Zenith!$C76</f>
        <v>-2748</v>
      </c>
      <c r="AB76" s="88"/>
      <c r="AC76" s="54">
        <f>Zuerich!$C76</f>
        <v>54162.629533609674</v>
      </c>
      <c r="AD76" s="88"/>
      <c r="AE76" s="89">
        <f>C76+E76+G76+I76+K76+M76+O76+Q76+S76+U76+W76+Y76+AA76+AC76</f>
        <v>525186.8759066454</v>
      </c>
      <c r="AF76" s="43"/>
    </row>
    <row r="77" spans="1:32" ht="13.5" thickBot="1">
      <c r="A77" s="79"/>
      <c r="B77" s="78" t="s">
        <v>110</v>
      </c>
      <c r="C77" s="54">
        <f>'Allianz Suisse'!C77</f>
        <v>2665.665879999993</v>
      </c>
      <c r="D77" s="88"/>
      <c r="E77" s="54">
        <f>Axa!$C77</f>
        <v>-72.75235849851572</v>
      </c>
      <c r="F77" s="88"/>
      <c r="G77" s="54">
        <f>Basler!$C77</f>
        <v>15534.333527442563</v>
      </c>
      <c r="H77" s="88"/>
      <c r="I77" s="54">
        <f>Generali!$C77</f>
        <v>7264.03344</v>
      </c>
      <c r="J77" s="88"/>
      <c r="K77" s="54">
        <f>Genevoise!$C77</f>
        <v>7948.298255685793</v>
      </c>
      <c r="L77" s="88"/>
      <c r="M77" s="54">
        <f>Mobiliar!$C77</f>
        <v>32274.067892775958</v>
      </c>
      <c r="N77" s="88"/>
      <c r="O77" s="54">
        <f>National!$C77</f>
        <v>3918.084451261595</v>
      </c>
      <c r="P77" s="88"/>
      <c r="Q77" s="54">
        <f>Patria!$C77</f>
        <v>-1740.901105906989</v>
      </c>
      <c r="R77" s="88"/>
      <c r="S77" s="54">
        <f>Pax!$C77</f>
        <v>834</v>
      </c>
      <c r="T77" s="88"/>
      <c r="U77" s="54">
        <f>Phenix!$C77</f>
        <v>0</v>
      </c>
      <c r="V77" s="88"/>
      <c r="W77" s="54">
        <f>Rentenanstalt!$C77</f>
        <v>-7324.428490000377</v>
      </c>
      <c r="X77" s="88"/>
      <c r="Y77" s="54">
        <f>Winterthur!$C77</f>
        <v>1542</v>
      </c>
      <c r="Z77" s="88"/>
      <c r="AA77" s="54">
        <f>Zenith!$C77</f>
        <v>0</v>
      </c>
      <c r="AB77" s="88"/>
      <c r="AC77" s="54">
        <f>Zuerich!$C77</f>
        <v>12128.440466390617</v>
      </c>
      <c r="AD77" s="88"/>
      <c r="AE77" s="89">
        <f>C77+E77+G77+I77+K77+M77+O77+Q77+S77+U77+W77+Y77+AA77+AC77</f>
        <v>74970.84195915062</v>
      </c>
      <c r="AF77" s="43"/>
    </row>
    <row r="78" spans="1:32" ht="13.5" thickBot="1">
      <c r="A78" s="79"/>
      <c r="B78" s="78" t="s">
        <v>124</v>
      </c>
      <c r="C78" s="55">
        <f>C$76+C$77</f>
        <v>37962.684929999996</v>
      </c>
      <c r="D78" s="88"/>
      <c r="E78" s="55">
        <f>E$76+E$77</f>
        <v>353.128807254834</v>
      </c>
      <c r="F78" s="88"/>
      <c r="G78" s="55">
        <f>G$76+G$77</f>
        <v>62922.27702000065</v>
      </c>
      <c r="H78" s="88"/>
      <c r="I78" s="55">
        <f>I$76+I$77</f>
        <v>691.2613699999356</v>
      </c>
      <c r="J78" s="88"/>
      <c r="K78" s="55">
        <f>K$76+K$77</f>
        <v>24722.263424169458</v>
      </c>
      <c r="L78" s="88"/>
      <c r="M78" s="55">
        <f>M$76+M$77</f>
        <v>37694.69943056072</v>
      </c>
      <c r="N78" s="88"/>
      <c r="O78" s="55">
        <f>O$76+O$77</f>
        <v>12591.999999999993</v>
      </c>
      <c r="P78" s="88"/>
      <c r="Q78" s="55">
        <f>Q$76+Q$77</f>
        <v>24738.737003810413</v>
      </c>
      <c r="R78" s="88"/>
      <c r="S78" s="55">
        <f>S$76+S$77</f>
        <v>14502.1</v>
      </c>
      <c r="T78" s="88"/>
      <c r="U78" s="55">
        <f>U$76+U$77</f>
        <v>579</v>
      </c>
      <c r="V78" s="88"/>
      <c r="W78" s="55">
        <f>W$76+W$77</f>
        <v>151664.49587999977</v>
      </c>
      <c r="X78" s="88"/>
      <c r="Y78" s="55">
        <f>Y$76+Y$77</f>
        <v>168192</v>
      </c>
      <c r="Z78" s="88"/>
      <c r="AA78" s="55">
        <f>AA$76+AA$77</f>
        <v>-2748</v>
      </c>
      <c r="AB78" s="88"/>
      <c r="AC78" s="55">
        <f>AC$76+AC$77</f>
        <v>66291.0700000003</v>
      </c>
      <c r="AD78" s="88"/>
      <c r="AE78" s="113">
        <f>AE$76+AE$77</f>
        <v>600157.7178657961</v>
      </c>
      <c r="AF78" s="43"/>
    </row>
    <row r="79" spans="1:32" ht="13.5" thickBot="1">
      <c r="A79" s="79"/>
      <c r="B79" s="78"/>
      <c r="C79" s="114"/>
      <c r="D79" s="115"/>
      <c r="E79" s="114"/>
      <c r="F79" s="115"/>
      <c r="G79" s="114"/>
      <c r="H79" s="115"/>
      <c r="I79" s="114"/>
      <c r="J79" s="115"/>
      <c r="K79" s="114"/>
      <c r="L79" s="115"/>
      <c r="M79" s="114"/>
      <c r="N79" s="115"/>
      <c r="O79" s="114"/>
      <c r="P79" s="115"/>
      <c r="Q79" s="114"/>
      <c r="R79" s="115"/>
      <c r="S79" s="114"/>
      <c r="T79" s="115"/>
      <c r="U79" s="114"/>
      <c r="V79" s="115"/>
      <c r="W79" s="114"/>
      <c r="X79" s="115"/>
      <c r="Y79" s="114"/>
      <c r="Z79" s="115"/>
      <c r="AA79" s="114"/>
      <c r="AB79" s="115"/>
      <c r="AC79" s="114"/>
      <c r="AD79" s="115"/>
      <c r="AE79" s="76"/>
      <c r="AF79" s="56"/>
    </row>
  </sheetData>
  <sheetProtection sheet="1" objects="1" scenarios="1"/>
  <mergeCells count="15">
    <mergeCell ref="AE4:AF4"/>
    <mergeCell ref="AA4:AB4"/>
    <mergeCell ref="AC4:AD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</mergeCells>
  <conditionalFormatting sqref="AC78 C78 E78 G78 I78 K78 M78 O78 Q78 S78 U78 W78 Y78 AA78">
    <cfRule type="expression" priority="1" dxfId="1" stopIfTrue="1">
      <formula>IF(ABS(C78-D$32)&lt;10,0,1)</formula>
    </cfRule>
  </conditionalFormatting>
  <conditionalFormatting sqref="AE5:AF7 AF40:AF43 AF68:AF72 AE9:AE43 AF45:AF66 AF9:AF38 AF75:AF79 AE45:AE79">
    <cfRule type="expression" priority="2" dxfId="2" stopIfTrue="1">
      <formula>IF(ISBLANK(AE5),1,0)</formula>
    </cfRule>
  </conditionalFormatting>
  <printOptions/>
  <pageMargins left="0.17" right="0.17" top="1" bottom="1" header="0.4921259845" footer="0.4921259845"/>
  <pageSetup fitToWidth="2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40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768382.0324200001</v>
      </c>
      <c r="D11" s="2"/>
    </row>
    <row r="12" spans="2:4" ht="12.75">
      <c r="B12" t="s">
        <v>57</v>
      </c>
      <c r="C12" s="6">
        <v>140813</v>
      </c>
      <c r="D12" s="2"/>
    </row>
    <row r="13" spans="2:4" ht="13.5" thickBot="1">
      <c r="B13" t="s">
        <v>58</v>
      </c>
      <c r="C13" s="7">
        <v>52192</v>
      </c>
      <c r="D13" s="8">
        <v>961387.0324200001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202234.48797999998</v>
      </c>
      <c r="D17" s="2"/>
    </row>
    <row r="18" spans="2:4" ht="12.75">
      <c r="B18" t="s">
        <v>63</v>
      </c>
      <c r="C18" s="11">
        <v>436115.6891</v>
      </c>
      <c r="D18" s="2"/>
    </row>
    <row r="19" spans="2:6" ht="13.5" thickBot="1">
      <c r="B19" t="s">
        <v>64</v>
      </c>
      <c r="C19" s="12">
        <v>382809.52302</v>
      </c>
      <c r="D19" s="4">
        <f>$C$17+$C$18+$C$19</f>
        <v>1021159.7001</v>
      </c>
      <c r="F19" s="14" t="s">
        <v>4</v>
      </c>
    </row>
    <row r="20" spans="1:4" ht="12.75">
      <c r="A20" t="s">
        <v>65</v>
      </c>
      <c r="C20" s="13"/>
      <c r="D20" s="8">
        <v>-4403.967849999813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60921.97665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212310.88919000007</v>
      </c>
      <c r="D25" s="2"/>
    </row>
    <row r="26" spans="2:6" ht="13.5" thickBot="1">
      <c r="B26" t="s">
        <v>71</v>
      </c>
      <c r="C26" s="12">
        <v>17410.205739999998</v>
      </c>
      <c r="D26" s="4">
        <f>$C$25-$C$26</f>
        <v>194900.68345000007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-9526.312859999996</v>
      </c>
    </row>
    <row r="29" spans="1:4" ht="13.5" thickBot="1">
      <c r="A29" t="s">
        <v>74</v>
      </c>
      <c r="C29" s="2"/>
      <c r="D29" s="16">
        <v>-17033.036209999995</v>
      </c>
    </row>
    <row r="30" spans="1:6" ht="12.75">
      <c r="A30" t="s">
        <v>75</v>
      </c>
      <c r="D30" s="17">
        <f>D$13-D$19-D$20-D$22+D$26-D$27+D$28+D$29</f>
        <v>52050.65789999995</v>
      </c>
      <c r="F30" s="14" t="s">
        <v>5</v>
      </c>
    </row>
    <row r="31" spans="1:4" ht="13.5" thickBot="1">
      <c r="A31" t="s">
        <v>76</v>
      </c>
      <c r="C31" s="2"/>
      <c r="D31" s="16">
        <v>14087.413299999998</v>
      </c>
    </row>
    <row r="32" spans="1:6" ht="13.5" thickBot="1">
      <c r="A32" t="s">
        <v>77</v>
      </c>
      <c r="C32" s="2"/>
      <c r="D32" s="18">
        <f>D$30-D$31</f>
        <v>37963.24459999995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17164</v>
      </c>
    </row>
    <row r="36" spans="1:6" ht="12.75">
      <c r="A36" t="s">
        <v>80</v>
      </c>
      <c r="D36" s="20">
        <f>D$31</f>
        <v>14087.413299999998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2786.4213</v>
      </c>
      <c r="D38" s="22">
        <f>$C$37+$C$38</f>
        <v>2786.4213</v>
      </c>
      <c r="F38" s="14" t="s">
        <v>7</v>
      </c>
    </row>
    <row r="39" spans="1:6" ht="13.5" thickBot="1">
      <c r="A39" t="s">
        <v>83</v>
      </c>
      <c r="C39" s="2"/>
      <c r="D39" s="23">
        <v>28465.081420000002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194900.68345000007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5756000</v>
      </c>
      <c r="D45" s="25">
        <v>5906000</v>
      </c>
    </row>
    <row r="46" spans="1:4" ht="12.75">
      <c r="A46" s="14" t="s">
        <v>11</v>
      </c>
      <c r="B46" t="s">
        <v>87</v>
      </c>
      <c r="C46" s="26">
        <v>5816027.99989</v>
      </c>
      <c r="D46" s="25">
        <v>6012780.27572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0.03368479292512129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0.04054994784529707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0.02277880567158646</v>
      </c>
      <c r="D53" s="2"/>
    </row>
    <row r="54" spans="2:4" ht="12.75">
      <c r="B54" t="s">
        <v>93</v>
      </c>
      <c r="C54" s="28">
        <v>0.4462493993785944</v>
      </c>
      <c r="D54" s="2"/>
    </row>
    <row r="55" spans="2:4" ht="12.75">
      <c r="B55" t="s">
        <v>94</v>
      </c>
      <c r="C55" s="28">
        <v>0.2261256326869255</v>
      </c>
      <c r="D55" s="2"/>
    </row>
    <row r="56" spans="2:4" ht="12.75">
      <c r="B56" t="s">
        <v>95</v>
      </c>
      <c r="C56" s="28">
        <v>0.07810174166778275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0.09370656400043255</v>
      </c>
      <c r="D58" s="2"/>
    </row>
    <row r="59" spans="2:4" ht="12.75">
      <c r="B59" t="s">
        <v>98</v>
      </c>
      <c r="C59" s="28">
        <v>0.1330378565946784</v>
      </c>
      <c r="D59" s="2"/>
    </row>
    <row r="60" spans="2:6" ht="13.5" thickBot="1">
      <c r="B60" t="s">
        <v>99</v>
      </c>
      <c r="C60" s="29">
        <v>0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5324455.488000001</v>
      </c>
    </row>
    <row r="63" spans="1:4" ht="12.75">
      <c r="A63" s="14" t="s">
        <v>18</v>
      </c>
      <c r="B63" t="s">
        <v>101</v>
      </c>
      <c r="D63" s="31">
        <v>115265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17410.205739999998</v>
      </c>
      <c r="D66" s="2"/>
    </row>
    <row r="67" spans="1:4" ht="12.75">
      <c r="A67" s="14"/>
      <c r="B67" s="73" t="s">
        <v>67</v>
      </c>
      <c r="C67" s="72">
        <f>D22</f>
        <v>60921.97665</v>
      </c>
      <c r="D67" s="20">
        <f>C67+C66</f>
        <v>78332.18239</v>
      </c>
    </row>
    <row r="68" spans="1:4" ht="12.75">
      <c r="A68" s="14"/>
      <c r="B68" t="s">
        <v>103</v>
      </c>
      <c r="D68" s="20">
        <f>(1000*D67)/D63</f>
        <v>679.5834155207565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352973</v>
      </c>
      <c r="D73" s="116">
        <v>1</v>
      </c>
    </row>
    <row r="74" spans="1:6" ht="12.75">
      <c r="A74" t="s">
        <v>107</v>
      </c>
      <c r="C74" s="32">
        <v>317675.98095</v>
      </c>
      <c r="D74" s="116">
        <f>$C$74/$C$73</f>
        <v>0.9000007959532316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35297.01905</v>
      </c>
      <c r="D76" s="2"/>
    </row>
    <row r="77" spans="2:4" ht="13.5" thickBot="1">
      <c r="B77" t="s">
        <v>110</v>
      </c>
      <c r="C77" s="34">
        <v>2665.665879999993</v>
      </c>
      <c r="D77" s="2"/>
    </row>
    <row r="78" spans="2:6" ht="13.5" thickBot="1">
      <c r="B78" t="s">
        <v>111</v>
      </c>
      <c r="C78" s="35">
        <f>C$76+C$77</f>
        <v>37962.684929999996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6" right="0.36" top="1" bottom="1" header="0.4921259845" footer="0.492125984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spans="1:2" ht="12.75">
      <c r="A1" s="38" t="s">
        <v>130</v>
      </c>
      <c r="B1" s="38"/>
    </row>
    <row r="2" spans="1:2" ht="12.75">
      <c r="A2" t="s">
        <v>51</v>
      </c>
      <c r="B2" s="38"/>
    </row>
    <row r="3" spans="1:2" ht="12.75">
      <c r="A3" s="39" t="s">
        <v>131</v>
      </c>
      <c r="B3" s="40"/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39790.627932499716</v>
      </c>
      <c r="D11" s="2"/>
    </row>
    <row r="12" spans="2:4" ht="12.75">
      <c r="B12" t="s">
        <v>57</v>
      </c>
      <c r="C12" s="6">
        <v>6454.85249</v>
      </c>
      <c r="D12" s="2"/>
    </row>
    <row r="13" spans="2:4" ht="13.5" thickBot="1">
      <c r="B13" t="s">
        <v>58</v>
      </c>
      <c r="C13" s="7">
        <v>2774.2248175</v>
      </c>
      <c r="D13" s="8">
        <v>49019.70523999971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7829.959260000007</v>
      </c>
      <c r="D17" s="2"/>
    </row>
    <row r="18" spans="2:4" ht="12.75">
      <c r="B18" t="s">
        <v>63</v>
      </c>
      <c r="C18" s="11">
        <v>8257.6205</v>
      </c>
      <c r="D18" s="2"/>
    </row>
    <row r="19" spans="2:6" ht="13.5" thickBot="1">
      <c r="B19" t="s">
        <v>64</v>
      </c>
      <c r="C19" s="12">
        <v>24569.043449999896</v>
      </c>
      <c r="D19" s="4">
        <f>$C$17+$C$18+$C$19</f>
        <v>40656.6232099999</v>
      </c>
      <c r="F19" s="14" t="s">
        <v>4</v>
      </c>
    </row>
    <row r="20" spans="1:4" ht="12.75">
      <c r="A20" t="s">
        <v>65</v>
      </c>
      <c r="C20" s="13"/>
      <c r="D20" s="8">
        <v>9800.639400000051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3312.429222591241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6518.379309999999</v>
      </c>
      <c r="D25" s="2"/>
    </row>
    <row r="26" spans="2:6" ht="13.5" thickBot="1">
      <c r="B26" t="s">
        <v>71</v>
      </c>
      <c r="C26" s="12">
        <v>674.4284</v>
      </c>
      <c r="D26" s="4">
        <f>$C$25-$C$26</f>
        <v>5843.95091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-469.4510900000005</v>
      </c>
    </row>
    <row r="29" spans="1:4" ht="13.5" thickBot="1">
      <c r="A29" t="s">
        <v>74</v>
      </c>
      <c r="C29" s="2"/>
      <c r="D29" s="16">
        <v>-194.49643666666663</v>
      </c>
    </row>
    <row r="30" spans="1:6" ht="12.75">
      <c r="A30" t="s">
        <v>75</v>
      </c>
      <c r="D30" s="17">
        <f>D$13-D$19-D$20-D$22+D$26-D$27+D$28+D$29</f>
        <v>430.01679074184875</v>
      </c>
      <c r="F30" s="14" t="s">
        <v>5</v>
      </c>
    </row>
    <row r="31" spans="1:4" ht="13.5" thickBot="1">
      <c r="A31" t="s">
        <v>76</v>
      </c>
      <c r="C31" s="2"/>
      <c r="D31" s="16">
        <v>77.446</v>
      </c>
    </row>
    <row r="32" spans="1:6" ht="13.5" thickBot="1">
      <c r="A32" t="s">
        <v>77</v>
      </c>
      <c r="C32" s="2"/>
      <c r="D32" s="18">
        <f>D$30-D$31</f>
        <v>352.5707907418488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395.0135</v>
      </c>
    </row>
    <row r="36" spans="1:6" ht="12.75">
      <c r="A36" t="s">
        <v>80</v>
      </c>
      <c r="D36" s="20">
        <f>D$31</f>
        <v>77.446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104</v>
      </c>
      <c r="D38" s="22">
        <f>$C$37+$C$38</f>
        <v>104</v>
      </c>
      <c r="F38" s="14" t="s">
        <v>7</v>
      </c>
    </row>
    <row r="39" spans="1:6" ht="13.5" thickBot="1">
      <c r="A39" t="s">
        <v>83</v>
      </c>
      <c r="C39" s="2"/>
      <c r="D39" s="23">
        <v>367.88335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5843.95091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247469.91722192432</v>
      </c>
      <c r="D45" s="25">
        <v>259027.886718551</v>
      </c>
    </row>
    <row r="46" spans="1:4" ht="12.75">
      <c r="A46" s="14" t="s">
        <v>11</v>
      </c>
      <c r="B46" t="s">
        <v>87</v>
      </c>
      <c r="C46" s="26">
        <v>255655.44043690455</v>
      </c>
      <c r="D46" s="25">
        <v>283597.2843529881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0.02323059579900087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0.08192699680909718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0.08487986785227648</v>
      </c>
      <c r="D53" s="2"/>
    </row>
    <row r="54" spans="2:4" ht="12.75">
      <c r="B54" t="s">
        <v>93</v>
      </c>
      <c r="C54" s="28">
        <v>0.7424390142941202</v>
      </c>
      <c r="D54" s="2"/>
    </row>
    <row r="55" spans="2:4" ht="12.75">
      <c r="B55" t="s">
        <v>94</v>
      </c>
      <c r="C55" s="28">
        <v>0</v>
      </c>
      <c r="D55" s="2"/>
    </row>
    <row r="56" spans="2:4" ht="12.75">
      <c r="B56" t="s">
        <v>95</v>
      </c>
      <c r="C56" s="28">
        <v>0.1420839682422673</v>
      </c>
      <c r="D56" s="2"/>
    </row>
    <row r="57" spans="2:4" ht="12.75">
      <c r="B57" t="s">
        <v>96</v>
      </c>
      <c r="C57" s="28">
        <v>0.006020778229360167</v>
      </c>
      <c r="D57" s="2"/>
    </row>
    <row r="58" spans="2:4" ht="12.75">
      <c r="B58" t="s">
        <v>97</v>
      </c>
      <c r="C58" s="28">
        <v>0</v>
      </c>
      <c r="D58" s="2"/>
    </row>
    <row r="59" spans="2:4" ht="12.75">
      <c r="B59" t="s">
        <v>98</v>
      </c>
      <c r="C59" s="28">
        <v>0.024576371381975957</v>
      </c>
      <c r="D59" s="2"/>
    </row>
    <row r="60" spans="2:6" ht="13.5" thickBot="1">
      <c r="B60" t="s">
        <v>99</v>
      </c>
      <c r="C60" s="29">
        <v>0</v>
      </c>
      <c r="D60" s="30">
        <f>SUM($C$53:$C$60)</f>
        <v>1.0000000000000002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246859.17558999997</v>
      </c>
    </row>
    <row r="63" spans="1:4" ht="12.75">
      <c r="A63" s="14" t="s">
        <v>18</v>
      </c>
      <c r="B63" t="s">
        <v>101</v>
      </c>
      <c r="D63" s="31">
        <v>4849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674.4284</v>
      </c>
      <c r="D66" s="2"/>
    </row>
    <row r="67" spans="1:4" ht="12.75">
      <c r="A67" s="14"/>
      <c r="B67" s="73" t="s">
        <v>67</v>
      </c>
      <c r="C67" s="72">
        <f>D22</f>
        <v>3312.429222591241</v>
      </c>
      <c r="D67" s="20">
        <f>C67+C66</f>
        <v>3986.857622591241</v>
      </c>
    </row>
    <row r="68" spans="1:4" ht="12.75">
      <c r="A68" s="14"/>
      <c r="B68" t="s">
        <v>103</v>
      </c>
      <c r="D68" s="20">
        <f>(1000*D67)/D63</f>
        <v>822.2020256942135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13959.586235982748</v>
      </c>
      <c r="D73" s="116">
        <v>1</v>
      </c>
    </row>
    <row r="74" spans="1:6" ht="12.75">
      <c r="A74" t="s">
        <v>107</v>
      </c>
      <c r="C74" s="32">
        <v>13533.705070229398</v>
      </c>
      <c r="D74" s="116">
        <f>$C$74/$C$73</f>
        <v>0.9694918489306236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425.8811657533497</v>
      </c>
      <c r="D76" s="2"/>
    </row>
    <row r="77" spans="2:4" ht="13.5" thickBot="1">
      <c r="B77" t="s">
        <v>110</v>
      </c>
      <c r="C77" s="34">
        <v>-72.75235849851572</v>
      </c>
      <c r="D77" s="2"/>
    </row>
    <row r="78" spans="2:6" ht="13.5" thickBot="1">
      <c r="B78" t="s">
        <v>111</v>
      </c>
      <c r="C78" s="35">
        <f>C$76+C$77</f>
        <v>353.128807254834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5" right="0.36" top="1" bottom="1" header="0.4921259845" footer="0.492125984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42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1542329.3359700001</v>
      </c>
      <c r="D11" s="2"/>
    </row>
    <row r="12" spans="2:4" ht="12.75">
      <c r="B12" t="s">
        <v>57</v>
      </c>
      <c r="C12" s="6">
        <v>195344.12334999998</v>
      </c>
      <c r="D12" s="2"/>
    </row>
    <row r="13" spans="2:4" ht="13.5" thickBot="1">
      <c r="B13" t="s">
        <v>58</v>
      </c>
      <c r="C13" s="7">
        <v>75924.2759</v>
      </c>
      <c r="D13" s="8">
        <v>1813597.7352200001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346852.44</v>
      </c>
      <c r="D17" s="2"/>
    </row>
    <row r="18" spans="2:4" ht="12.75">
      <c r="B18" t="s">
        <v>63</v>
      </c>
      <c r="C18" s="11">
        <v>787437.548</v>
      </c>
      <c r="D18" s="2"/>
    </row>
    <row r="19" spans="2:6" ht="13.5" thickBot="1">
      <c r="B19" t="s">
        <v>64</v>
      </c>
      <c r="C19" s="12">
        <v>911194.0160000001</v>
      </c>
      <c r="D19" s="4">
        <f>$C$17+$C$18+$C$19</f>
        <v>2045484.004</v>
      </c>
      <c r="F19" s="14" t="s">
        <v>4</v>
      </c>
    </row>
    <row r="20" spans="1:4" ht="12.75">
      <c r="A20" t="s">
        <v>65</v>
      </c>
      <c r="C20" s="13"/>
      <c r="D20" s="8">
        <v>-34819.326570001605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93186.72681000001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431718.82797000004</v>
      </c>
      <c r="D25" s="2"/>
    </row>
    <row r="26" spans="2:6" ht="13.5" thickBot="1">
      <c r="B26" t="s">
        <v>71</v>
      </c>
      <c r="C26" s="12">
        <v>41092.52791</v>
      </c>
      <c r="D26" s="4">
        <f>$C$25-$C$26</f>
        <v>390626.30006000004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-6719.1634</v>
      </c>
    </row>
    <row r="29" spans="1:4" ht="13.5" thickBot="1">
      <c r="A29" t="s">
        <v>74</v>
      </c>
      <c r="C29" s="2"/>
      <c r="D29" s="16">
        <v>-1230.9024299999983</v>
      </c>
    </row>
    <row r="30" spans="1:6" ht="12.75">
      <c r="A30" t="s">
        <v>75</v>
      </c>
      <c r="D30" s="17">
        <f>D$13-D$19-D$20-D$22+D$26-D$27+D$28+D$29</f>
        <v>92422.5652100018</v>
      </c>
      <c r="F30" s="14" t="s">
        <v>5</v>
      </c>
    </row>
    <row r="31" spans="1:4" ht="13.5" thickBot="1">
      <c r="A31" t="s">
        <v>76</v>
      </c>
      <c r="C31" s="2"/>
      <c r="D31" s="16">
        <v>29500</v>
      </c>
    </row>
    <row r="32" spans="1:6" ht="13.5" thickBot="1">
      <c r="A32" t="s">
        <v>77</v>
      </c>
      <c r="C32" s="2"/>
      <c r="D32" s="18">
        <f>D$30-D$31</f>
        <v>62922.565210001805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38612</v>
      </c>
    </row>
    <row r="36" spans="1:6" ht="12.75">
      <c r="A36" t="s">
        <v>80</v>
      </c>
      <c r="D36" s="20">
        <f>D$31</f>
        <v>29500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47479.48691</v>
      </c>
      <c r="D38" s="22">
        <f>$C$37+$C$38</f>
        <v>47479.48691</v>
      </c>
      <c r="F38" s="14" t="s">
        <v>7</v>
      </c>
    </row>
    <row r="39" spans="1:6" ht="13.5" thickBot="1">
      <c r="A39" t="s">
        <v>83</v>
      </c>
      <c r="C39" s="2"/>
      <c r="D39" s="23">
        <v>20632.177659999983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390626.30006000004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11415690</v>
      </c>
      <c r="D45" s="25">
        <v>12114735</v>
      </c>
    </row>
    <row r="46" spans="1:4" ht="12.75">
      <c r="A46" s="14" t="s">
        <v>11</v>
      </c>
      <c r="B46" t="s">
        <v>87</v>
      </c>
      <c r="C46" s="26">
        <v>11318832.42772</v>
      </c>
      <c r="D46" s="25">
        <v>12246860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0.03436415269350131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0.05086767695957518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0.014146164054683623</v>
      </c>
      <c r="D53" s="2"/>
    </row>
    <row r="54" spans="2:4" ht="12.75">
      <c r="B54" t="s">
        <v>93</v>
      </c>
      <c r="C54" s="28">
        <v>0.48384045002008713</v>
      </c>
      <c r="D54" s="2"/>
    </row>
    <row r="55" spans="2:4" ht="12.75">
      <c r="B55" t="s">
        <v>94</v>
      </c>
      <c r="C55" s="28">
        <v>0.17523456253425027</v>
      </c>
      <c r="D55" s="2"/>
    </row>
    <row r="56" spans="2:4" ht="12.75">
      <c r="B56" t="s">
        <v>95</v>
      </c>
      <c r="C56" s="28">
        <v>0.06735824063291454</v>
      </c>
      <c r="D56" s="2"/>
    </row>
    <row r="57" spans="2:4" ht="12.75">
      <c r="B57" t="s">
        <v>96</v>
      </c>
      <c r="C57" s="28">
        <v>0.066892252038801</v>
      </c>
      <c r="D57" s="2"/>
    </row>
    <row r="58" spans="2:4" ht="12.75">
      <c r="B58" t="s">
        <v>97</v>
      </c>
      <c r="C58" s="28">
        <v>0.019447494674531576</v>
      </c>
      <c r="D58" s="2"/>
    </row>
    <row r="59" spans="2:4" ht="12.75">
      <c r="B59" t="s">
        <v>98</v>
      </c>
      <c r="C59" s="28">
        <v>0.14435755967182698</v>
      </c>
      <c r="D59" s="2"/>
    </row>
    <row r="60" spans="2:6" ht="13.5" thickBot="1">
      <c r="B60" t="s">
        <v>99</v>
      </c>
      <c r="C60" s="29">
        <v>0.028723276372904935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11179238.040570002</v>
      </c>
    </row>
    <row r="63" spans="1:4" ht="12.75">
      <c r="A63" s="14" t="s">
        <v>18</v>
      </c>
      <c r="B63" t="s">
        <v>101</v>
      </c>
      <c r="D63" s="31">
        <v>189238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41092.52791</v>
      </c>
      <c r="D66" s="2"/>
    </row>
    <row r="67" spans="1:4" ht="12.75">
      <c r="A67" s="14"/>
      <c r="B67" s="73" t="s">
        <v>67</v>
      </c>
      <c r="C67" s="72">
        <f>D22</f>
        <v>93186.72681000001</v>
      </c>
      <c r="D67" s="20">
        <f>C67+C66</f>
        <v>134279.25472</v>
      </c>
    </row>
    <row r="68" spans="1:4" ht="12.75">
      <c r="A68" s="14"/>
      <c r="B68" t="s">
        <v>103</v>
      </c>
      <c r="D68" s="20">
        <f>(1000*D67)/D63</f>
        <v>709.5787036430315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490135.86243255786</v>
      </c>
      <c r="D73" s="116">
        <v>1</v>
      </c>
    </row>
    <row r="74" spans="1:6" ht="12.75">
      <c r="A74" t="s">
        <v>107</v>
      </c>
      <c r="C74" s="32">
        <v>442747.91893999977</v>
      </c>
      <c r="D74" s="116">
        <f>$C$74/$C$73</f>
        <v>0.9033167186392557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47387.943492558086</v>
      </c>
      <c r="D76" s="2"/>
    </row>
    <row r="77" spans="2:4" ht="13.5" thickBot="1">
      <c r="B77" t="s">
        <v>110</v>
      </c>
      <c r="C77" s="34">
        <v>15534.333527442563</v>
      </c>
      <c r="D77" s="2"/>
    </row>
    <row r="78" spans="2:6" ht="13.5" thickBot="1">
      <c r="B78" t="s">
        <v>111</v>
      </c>
      <c r="C78" s="35">
        <f>C$76+C$77</f>
        <v>62922.27702000065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1" right="0.39" top="1" bottom="1" header="0.4921259845" footer="0.492125984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43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36498.64772875121</v>
      </c>
      <c r="D11" s="2"/>
    </row>
    <row r="12" spans="2:4" ht="12.75">
      <c r="B12" t="s">
        <v>57</v>
      </c>
      <c r="C12" s="6">
        <v>6071.0952785460995</v>
      </c>
      <c r="D12" s="2"/>
    </row>
    <row r="13" spans="2:4" ht="13.5" thickBot="1">
      <c r="B13" t="s">
        <v>58</v>
      </c>
      <c r="C13" s="7">
        <v>2166.4159927026913</v>
      </c>
      <c r="D13" s="8">
        <v>44736.159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43472.035899999995</v>
      </c>
      <c r="D17" s="2"/>
    </row>
    <row r="18" spans="2:4" ht="12.75">
      <c r="B18" t="s">
        <v>63</v>
      </c>
      <c r="C18" s="11">
        <v>239544.30326000002</v>
      </c>
      <c r="D18" s="2"/>
    </row>
    <row r="19" spans="2:6" ht="13.5" thickBot="1">
      <c r="B19" t="s">
        <v>64</v>
      </c>
      <c r="C19" s="12">
        <v>4383.4487</v>
      </c>
      <c r="D19" s="4">
        <f>$C$17+$C$18+$C$19</f>
        <v>287399.78786000004</v>
      </c>
      <c r="F19" s="14" t="s">
        <v>4</v>
      </c>
    </row>
    <row r="20" spans="1:4" ht="12.75">
      <c r="A20" t="s">
        <v>65</v>
      </c>
      <c r="C20" s="13"/>
      <c r="D20" s="8">
        <v>-227249.88700000002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4861.454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22001.802000000003</v>
      </c>
      <c r="D25" s="2"/>
    </row>
    <row r="26" spans="2:6" ht="13.5" thickBot="1">
      <c r="B26" t="s">
        <v>71</v>
      </c>
      <c r="C26" s="12">
        <v>3853</v>
      </c>
      <c r="D26" s="4">
        <f>$C$25-$C$26</f>
        <v>18148.802000000003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4406.917</v>
      </c>
    </row>
    <row r="29" spans="1:4" ht="13.5" thickBot="1">
      <c r="A29" t="s">
        <v>74</v>
      </c>
      <c r="C29" s="2"/>
      <c r="D29" s="16">
        <v>-1530.9361999999999</v>
      </c>
    </row>
    <row r="30" spans="1:6" ht="12.75">
      <c r="A30" t="s">
        <v>75</v>
      </c>
      <c r="D30" s="17">
        <f>D$13-D$19-D$20-D$22+D$26-D$27+D$28+D$29</f>
        <v>749.5869399999676</v>
      </c>
      <c r="F30" s="14" t="s">
        <v>5</v>
      </c>
    </row>
    <row r="31" spans="1:4" ht="13.5" thickBot="1">
      <c r="A31" t="s">
        <v>76</v>
      </c>
      <c r="C31" s="2"/>
      <c r="D31" s="16">
        <v>58.326</v>
      </c>
    </row>
    <row r="32" spans="1:6" ht="13.5" thickBot="1">
      <c r="A32" t="s">
        <v>77</v>
      </c>
      <c r="C32" s="2"/>
      <c r="D32" s="18">
        <f>D$30-D$31</f>
        <v>691.2609399999676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0</v>
      </c>
    </row>
    <row r="36" spans="1:6" ht="12.75">
      <c r="A36" t="s">
        <v>80</v>
      </c>
      <c r="D36" s="20">
        <f>D$31</f>
        <v>58.326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58.326</v>
      </c>
      <c r="D38" s="22">
        <f>$C$37+$C$38</f>
        <v>58.326</v>
      </c>
      <c r="F38" s="14" t="s">
        <v>7</v>
      </c>
    </row>
    <row r="39" spans="1:6" ht="13.5" thickBot="1">
      <c r="A39" t="s">
        <v>83</v>
      </c>
      <c r="C39" s="2"/>
      <c r="D39" s="23">
        <v>0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18148.802000000003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791118</v>
      </c>
      <c r="D45" s="25">
        <v>808284</v>
      </c>
    </row>
    <row r="46" spans="1:4" ht="12.75">
      <c r="A46" s="14" t="s">
        <v>11</v>
      </c>
      <c r="B46" t="s">
        <v>87</v>
      </c>
      <c r="C46" s="26">
        <v>570214</v>
      </c>
      <c r="D46" s="25">
        <v>575350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0.026663300355827972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0.008844538367805363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0.07730431031156723</v>
      </c>
      <c r="D53" s="2"/>
    </row>
    <row r="54" spans="2:4" ht="12.75">
      <c r="B54" t="s">
        <v>93</v>
      </c>
      <c r="C54" s="28">
        <v>0.48446723510822254</v>
      </c>
      <c r="D54" s="2"/>
    </row>
    <row r="55" spans="2:4" ht="12.75">
      <c r="B55" t="s">
        <v>94</v>
      </c>
      <c r="C55" s="28">
        <v>0.21849516146569534</v>
      </c>
      <c r="D55" s="2"/>
    </row>
    <row r="56" spans="2:4" ht="12.75">
      <c r="B56" t="s">
        <v>95</v>
      </c>
      <c r="C56" s="28">
        <v>0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</v>
      </c>
      <c r="D58" s="2"/>
    </row>
    <row r="59" spans="2:4" ht="12.75">
      <c r="B59" t="s">
        <v>98</v>
      </c>
      <c r="C59" s="28">
        <v>0.2197332931145149</v>
      </c>
      <c r="D59" s="2"/>
    </row>
    <row r="60" spans="2:6" ht="13.5" thickBot="1">
      <c r="B60" t="s">
        <v>99</v>
      </c>
      <c r="C60" s="29">
        <v>0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548916.3149</v>
      </c>
    </row>
    <row r="63" spans="1:4" ht="12.75">
      <c r="A63" s="14" t="s">
        <v>18</v>
      </c>
      <c r="B63" t="s">
        <v>101</v>
      </c>
      <c r="D63" s="31">
        <v>13272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3853</v>
      </c>
      <c r="D66" s="2"/>
    </row>
    <row r="67" spans="1:4" ht="12.75">
      <c r="A67" s="14"/>
      <c r="B67" s="73" t="s">
        <v>67</v>
      </c>
      <c r="C67" s="72">
        <f>D22</f>
        <v>4861.454</v>
      </c>
      <c r="D67" s="20">
        <f>C67+C66</f>
        <v>8714.454</v>
      </c>
    </row>
    <row r="68" spans="1:4" ht="12.75">
      <c r="A68" s="14"/>
      <c r="B68" t="s">
        <v>103</v>
      </c>
      <c r="D68" s="20">
        <f>(1000*D67)/D63</f>
        <v>656.6044303797469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24852.368271248793</v>
      </c>
      <c r="D73" s="116">
        <v>1</v>
      </c>
    </row>
    <row r="74" spans="1:6" ht="12.75">
      <c r="A74" t="s">
        <v>107</v>
      </c>
      <c r="C74" s="32">
        <v>31425.140341248858</v>
      </c>
      <c r="D74" s="116">
        <f>$C$74/$C$73</f>
        <v>1.264472665070072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-6572.772070000065</v>
      </c>
      <c r="D76" s="2"/>
    </row>
    <row r="77" spans="2:4" ht="13.5" thickBot="1">
      <c r="B77" t="s">
        <v>110</v>
      </c>
      <c r="C77" s="34">
        <v>7264.03344</v>
      </c>
      <c r="D77" s="2"/>
    </row>
    <row r="78" spans="2:6" ht="13.5" thickBot="1">
      <c r="B78" t="s">
        <v>111</v>
      </c>
      <c r="C78" s="35">
        <f>C$76+C$77</f>
        <v>691.2613699999356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56" right="0.36" top="1" bottom="1" header="0.4921259845" footer="0.492125984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44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365684.075</v>
      </c>
      <c r="D11" s="2"/>
    </row>
    <row r="12" spans="2:4" ht="12.75">
      <c r="B12" t="s">
        <v>57</v>
      </c>
      <c r="C12" s="6">
        <v>82842.794</v>
      </c>
      <c r="D12" s="2"/>
    </row>
    <row r="13" spans="2:4" ht="13.5" thickBot="1">
      <c r="B13" t="s">
        <v>58</v>
      </c>
      <c r="C13" s="7">
        <v>32181.131</v>
      </c>
      <c r="D13" s="8">
        <v>480708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120668</v>
      </c>
      <c r="D17" s="2"/>
    </row>
    <row r="18" spans="2:4" ht="12.75">
      <c r="B18" t="s">
        <v>63</v>
      </c>
      <c r="C18" s="11">
        <v>195900</v>
      </c>
      <c r="D18" s="2"/>
    </row>
    <row r="19" spans="2:6" ht="13.5" thickBot="1">
      <c r="B19" t="s">
        <v>64</v>
      </c>
      <c r="C19" s="12">
        <v>348768</v>
      </c>
      <c r="D19" s="4">
        <f>$C$17+$C$18+$C$19</f>
        <v>665336</v>
      </c>
      <c r="F19" s="14" t="s">
        <v>4</v>
      </c>
    </row>
    <row r="20" spans="1:4" ht="12.75">
      <c r="A20" t="s">
        <v>65</v>
      </c>
      <c r="C20" s="13"/>
      <c r="D20" s="8">
        <v>-189086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38222.82475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98103</v>
      </c>
      <c r="D25" s="2"/>
    </row>
    <row r="26" spans="2:6" ht="13.5" thickBot="1">
      <c r="B26" t="s">
        <v>71</v>
      </c>
      <c r="C26" s="12">
        <v>2430</v>
      </c>
      <c r="D26" s="4">
        <f>$C$25-$C$26</f>
        <v>95673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-8252</v>
      </c>
    </row>
    <row r="29" spans="1:4" ht="13.5" thickBot="1">
      <c r="A29" t="s">
        <v>74</v>
      </c>
      <c r="C29" s="2"/>
      <c r="D29" s="16">
        <v>-4942</v>
      </c>
    </row>
    <row r="30" spans="1:6" ht="12.75">
      <c r="A30" t="s">
        <v>75</v>
      </c>
      <c r="D30" s="17">
        <f>D$13-D$19-D$20-D$22+D$26-D$27+D$28+D$29</f>
        <v>48714.17525</v>
      </c>
      <c r="F30" s="14" t="s">
        <v>5</v>
      </c>
    </row>
    <row r="31" spans="1:4" ht="13.5" thickBot="1">
      <c r="A31" t="s">
        <v>76</v>
      </c>
      <c r="C31" s="2"/>
      <c r="D31" s="16">
        <v>23992</v>
      </c>
    </row>
    <row r="32" spans="1:6" ht="13.5" thickBot="1">
      <c r="A32" t="s">
        <v>77</v>
      </c>
      <c r="C32" s="2"/>
      <c r="D32" s="18">
        <f>D$30-D$31</f>
        <v>24722.17525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11000</v>
      </c>
    </row>
    <row r="36" spans="1:6" ht="12.75">
      <c r="A36" t="s">
        <v>80</v>
      </c>
      <c r="D36" s="20">
        <f>D$31</f>
        <v>23992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9584</v>
      </c>
      <c r="D38" s="22">
        <f>$C$37+$C$38</f>
        <v>9584</v>
      </c>
      <c r="F38" s="14" t="s">
        <v>7</v>
      </c>
    </row>
    <row r="39" spans="1:6" ht="13.5" thickBot="1">
      <c r="A39" t="s">
        <v>83</v>
      </c>
      <c r="C39" s="2"/>
      <c r="D39" s="23">
        <v>25408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95673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3290650</v>
      </c>
      <c r="D45" s="25">
        <v>3420123</v>
      </c>
    </row>
    <row r="46" spans="1:4" ht="12.75">
      <c r="A46" s="14" t="s">
        <v>11</v>
      </c>
      <c r="B46" t="s">
        <v>87</v>
      </c>
      <c r="C46" s="26">
        <v>3025158</v>
      </c>
      <c r="D46" s="25">
        <v>3184295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0.030296361130674018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0.03795550190796525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0.020146385742496754</v>
      </c>
      <c r="D53" s="2"/>
    </row>
    <row r="54" spans="2:4" ht="12.75">
      <c r="B54" t="s">
        <v>93</v>
      </c>
      <c r="C54" s="28">
        <v>0.6680665935465189</v>
      </c>
      <c r="D54" s="2"/>
    </row>
    <row r="55" spans="2:4" ht="12.75">
      <c r="B55" t="s">
        <v>94</v>
      </c>
      <c r="C55" s="28">
        <v>0.1315580872139571</v>
      </c>
      <c r="D55" s="2"/>
    </row>
    <row r="56" spans="2:4" ht="12.75">
      <c r="B56" t="s">
        <v>95</v>
      </c>
      <c r="C56" s="28">
        <v>0.059061047389921455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0.12096624374660761</v>
      </c>
      <c r="D58" s="2"/>
    </row>
    <row r="59" spans="2:4" ht="12.75">
      <c r="B59" t="s">
        <v>98</v>
      </c>
      <c r="C59" s="28">
        <v>0</v>
      </c>
      <c r="D59" s="2"/>
    </row>
    <row r="60" spans="2:6" ht="13.5" thickBot="1">
      <c r="B60" t="s">
        <v>99</v>
      </c>
      <c r="C60" s="29">
        <v>0.00020164236049819546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2930208</v>
      </c>
    </row>
    <row r="63" spans="1:4" ht="12.75">
      <c r="A63" s="14" t="s">
        <v>18</v>
      </c>
      <c r="B63" t="s">
        <v>101</v>
      </c>
      <c r="D63" s="31">
        <v>55902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2430</v>
      </c>
      <c r="D66" s="2"/>
    </row>
    <row r="67" spans="1:4" ht="12.75">
      <c r="A67" s="14"/>
      <c r="B67" s="73" t="s">
        <v>67</v>
      </c>
      <c r="C67" s="72">
        <f>D22</f>
        <v>38222.82475</v>
      </c>
      <c r="D67" s="20">
        <f>C67+C66</f>
        <v>40652.82475</v>
      </c>
    </row>
    <row r="68" spans="1:4" ht="12.75">
      <c r="A68" s="14"/>
      <c r="B68" t="s">
        <v>103</v>
      </c>
      <c r="D68" s="20">
        <f>(1000*D67)/D63</f>
        <v>727.2159269793567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167742.27814731488</v>
      </c>
      <c r="D73" s="116">
        <v>1</v>
      </c>
    </row>
    <row r="74" spans="1:6" ht="12.75">
      <c r="A74" t="s">
        <v>107</v>
      </c>
      <c r="C74" s="32">
        <v>150968.3129788312</v>
      </c>
      <c r="D74" s="116">
        <f>$C$74/$C$73</f>
        <v>0.9000015657725096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16773.965168483664</v>
      </c>
      <c r="D76" s="2"/>
    </row>
    <row r="77" spans="2:4" ht="13.5" thickBot="1">
      <c r="B77" t="s">
        <v>110</v>
      </c>
      <c r="C77" s="34">
        <v>7948.298255685793</v>
      </c>
      <c r="D77" s="2"/>
    </row>
    <row r="78" spans="2:6" ht="13.5" thickBot="1">
      <c r="B78" t="s">
        <v>111</v>
      </c>
      <c r="C78" s="35">
        <f>C$76+C$77</f>
        <v>24722.263424169458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8" right="0.38" top="1" bottom="1" header="0.4921259845" footer="0.4921259845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45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74871.44731</v>
      </c>
      <c r="D11" s="2"/>
    </row>
    <row r="12" spans="2:4" ht="12.75">
      <c r="B12" t="s">
        <v>57</v>
      </c>
      <c r="C12" s="6">
        <v>255611.11190000002</v>
      </c>
      <c r="D12" s="2"/>
    </row>
    <row r="13" spans="2:4" ht="13.5" thickBot="1">
      <c r="B13" t="s">
        <v>58</v>
      </c>
      <c r="C13" s="7">
        <v>17525.840790000002</v>
      </c>
      <c r="D13" s="8">
        <v>348008.4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109590.9</v>
      </c>
      <c r="D17" s="2"/>
    </row>
    <row r="18" spans="2:4" ht="12.75">
      <c r="B18" t="s">
        <v>63</v>
      </c>
      <c r="C18" s="11">
        <v>0</v>
      </c>
      <c r="D18" s="2"/>
    </row>
    <row r="19" spans="2:6" ht="13.5" thickBot="1">
      <c r="B19" t="s">
        <v>64</v>
      </c>
      <c r="C19" s="12">
        <v>83375.5</v>
      </c>
      <c r="D19" s="4">
        <f>$C$17+$C$18+$C$19</f>
        <v>192966.4</v>
      </c>
      <c r="F19" s="14" t="s">
        <v>4</v>
      </c>
    </row>
    <row r="20" spans="1:4" ht="12.75">
      <c r="A20" t="s">
        <v>65</v>
      </c>
      <c r="C20" s="13"/>
      <c r="D20" s="8">
        <v>72773.5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31100.9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55784.8</v>
      </c>
      <c r="D25" s="2"/>
    </row>
    <row r="26" spans="2:6" ht="13.5" thickBot="1">
      <c r="B26" t="s">
        <v>71</v>
      </c>
      <c r="C26" s="12">
        <v>4814.8</v>
      </c>
      <c r="D26" s="4">
        <f>$C$25-$C$26</f>
        <v>50970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-2527.2</v>
      </c>
    </row>
    <row r="29" spans="1:4" ht="13.5" thickBot="1">
      <c r="A29" t="s">
        <v>74</v>
      </c>
      <c r="C29" s="2"/>
      <c r="D29" s="16">
        <v>-443.6</v>
      </c>
    </row>
    <row r="30" spans="1:6" ht="12.75">
      <c r="A30" t="s">
        <v>75</v>
      </c>
      <c r="D30" s="17">
        <f>D$13-D$19-D$20-D$22+D$26-D$27+D$28+D$29</f>
        <v>99166.80000000003</v>
      </c>
      <c r="F30" s="14" t="s">
        <v>5</v>
      </c>
    </row>
    <row r="31" spans="1:4" ht="13.5" thickBot="1">
      <c r="A31" t="s">
        <v>76</v>
      </c>
      <c r="C31" s="2"/>
      <c r="D31" s="16">
        <v>61471.5</v>
      </c>
    </row>
    <row r="32" spans="1:6" ht="13.5" thickBot="1">
      <c r="A32" t="s">
        <v>77</v>
      </c>
      <c r="C32" s="2"/>
      <c r="D32" s="18">
        <f>D$30-D$31</f>
        <v>37695.30000000003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72707.5</v>
      </c>
    </row>
    <row r="36" spans="1:6" ht="12.75">
      <c r="A36" t="s">
        <v>80</v>
      </c>
      <c r="D36" s="20">
        <f>D$31</f>
        <v>61471.5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21809.1</v>
      </c>
      <c r="D38" s="22">
        <f>$C$37+$C$38</f>
        <v>21809.1</v>
      </c>
      <c r="F38" s="14" t="s">
        <v>7</v>
      </c>
    </row>
    <row r="39" spans="1:6" ht="13.5" thickBot="1">
      <c r="A39" t="s">
        <v>83</v>
      </c>
      <c r="C39" s="2"/>
      <c r="D39" s="23">
        <v>112369.6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50970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1697408.9</v>
      </c>
      <c r="D45" s="25">
        <v>1757445.3</v>
      </c>
    </row>
    <row r="46" spans="1:4" ht="12.75">
      <c r="A46" s="14" t="s">
        <v>11</v>
      </c>
      <c r="B46" t="s">
        <v>87</v>
      </c>
      <c r="C46" s="26">
        <v>1849794.4</v>
      </c>
      <c r="D46" s="25">
        <v>1943212.5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0.028738132939828964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0.045587408811482086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0.010840447997896414</v>
      </c>
      <c r="D53" s="2"/>
    </row>
    <row r="54" spans="2:4" ht="12.75">
      <c r="B54" t="s">
        <v>93</v>
      </c>
      <c r="C54" s="28">
        <v>0.7905233684348921</v>
      </c>
      <c r="D54" s="2"/>
    </row>
    <row r="55" spans="2:4" ht="12.75">
      <c r="B55" t="s">
        <v>94</v>
      </c>
      <c r="C55" s="28">
        <v>0.07331279627616995</v>
      </c>
      <c r="D55" s="2"/>
    </row>
    <row r="56" spans="2:4" ht="12.75">
      <c r="B56" t="s">
        <v>95</v>
      </c>
      <c r="C56" s="28">
        <v>0.0848015865979484</v>
      </c>
      <c r="D56" s="2"/>
    </row>
    <row r="57" spans="2:4" ht="12.75">
      <c r="B57" t="s">
        <v>96</v>
      </c>
      <c r="C57" s="28">
        <v>0</v>
      </c>
      <c r="D57" s="2"/>
    </row>
    <row r="58" spans="2:4" ht="12.75">
      <c r="B58" t="s">
        <v>97</v>
      </c>
      <c r="C58" s="28">
        <v>0</v>
      </c>
      <c r="D58" s="2"/>
    </row>
    <row r="59" spans="2:4" ht="12.75">
      <c r="B59" t="s">
        <v>98</v>
      </c>
      <c r="C59" s="28">
        <v>0.040521800693093246</v>
      </c>
      <c r="D59" s="2"/>
    </row>
    <row r="60" spans="2:6" ht="13.5" thickBot="1">
      <c r="B60" t="s">
        <v>99</v>
      </c>
      <c r="C60" s="29">
        <v>0</v>
      </c>
      <c r="D60" s="30">
        <f>SUM($C$53:$C$60)</f>
        <v>1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1674135</v>
      </c>
    </row>
    <row r="63" spans="1:4" ht="12.75">
      <c r="A63" s="14" t="s">
        <v>18</v>
      </c>
      <c r="B63" t="s">
        <v>101</v>
      </c>
      <c r="D63" s="31">
        <v>133730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4814.8</v>
      </c>
      <c r="D66" s="2"/>
    </row>
    <row r="67" spans="1:4" ht="12.75">
      <c r="A67" s="14"/>
      <c r="B67" s="73" t="s">
        <v>67</v>
      </c>
      <c r="C67" s="72">
        <f>D22</f>
        <v>31100.9</v>
      </c>
      <c r="D67" s="20">
        <f>C67+C66</f>
        <v>35915.700000000004</v>
      </c>
    </row>
    <row r="68" spans="1:4" ht="12.75">
      <c r="A68" s="14"/>
      <c r="B68" t="s">
        <v>103</v>
      </c>
      <c r="D68" s="20">
        <f>(1000*D67)/D63</f>
        <v>268.56875794511336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105568.125301024</v>
      </c>
      <c r="D73" s="116">
        <v>1</v>
      </c>
    </row>
    <row r="74" spans="1:6" ht="12.75">
      <c r="A74" t="s">
        <v>107</v>
      </c>
      <c r="C74" s="32">
        <v>100147.49376323924</v>
      </c>
      <c r="D74" s="116">
        <f>$C$74/$C$73</f>
        <v>0.948652763110759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5420.631537784764</v>
      </c>
      <c r="D76" s="2"/>
    </row>
    <row r="77" spans="2:4" ht="13.5" thickBot="1">
      <c r="B77" t="s">
        <v>110</v>
      </c>
      <c r="C77" s="34">
        <v>32274.067892775958</v>
      </c>
      <c r="D77" s="2"/>
    </row>
    <row r="78" spans="2:6" ht="13.5" thickBot="1">
      <c r="B78" t="s">
        <v>111</v>
      </c>
      <c r="C78" s="35">
        <f>C$76+C$77</f>
        <v>37694.69943056072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38" right="0.38" top="1" bottom="1" header="0.4921259845" footer="0.4921259845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>
    <tabColor indexed="12"/>
  </sheetPr>
  <dimension ref="A1:F1378"/>
  <sheetViews>
    <sheetView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55.00390625" style="0" customWidth="1"/>
    <col min="3" max="3" width="13.421875" style="0" customWidth="1"/>
    <col min="4" max="4" width="14.00390625" style="0" customWidth="1"/>
    <col min="5" max="5" width="2.8515625" style="0" customWidth="1"/>
    <col min="6" max="6" width="31.140625" style="0" customWidth="1"/>
  </cols>
  <sheetData>
    <row r="1" ht="12.75">
      <c r="A1" s="38" t="s">
        <v>130</v>
      </c>
    </row>
    <row r="2" ht="12.75">
      <c r="A2" t="s">
        <v>51</v>
      </c>
    </row>
    <row r="3" ht="12.75">
      <c r="A3" s="39" t="s">
        <v>46</v>
      </c>
    </row>
    <row r="5" ht="12.75">
      <c r="A5" t="s">
        <v>125</v>
      </c>
    </row>
    <row r="7" spans="1:4" ht="12.75">
      <c r="A7" t="s">
        <v>0</v>
      </c>
      <c r="B7" t="s">
        <v>1</v>
      </c>
      <c r="C7" s="2" t="s">
        <v>2</v>
      </c>
      <c r="D7" s="2" t="s">
        <v>3</v>
      </c>
    </row>
    <row r="8" spans="3:4" ht="12.75">
      <c r="C8" s="3" t="s">
        <v>52</v>
      </c>
      <c r="D8" s="3" t="s">
        <v>53</v>
      </c>
    </row>
    <row r="9" ht="12.75">
      <c r="A9" s="1" t="s">
        <v>54</v>
      </c>
    </row>
    <row r="10" spans="1:4" ht="12.75">
      <c r="A10" t="s">
        <v>55</v>
      </c>
      <c r="C10" s="2"/>
      <c r="D10" s="2"/>
    </row>
    <row r="11" spans="2:4" ht="12.75">
      <c r="B11" t="s">
        <v>56</v>
      </c>
      <c r="C11" s="4">
        <f>$D$13-C$12-C$13</f>
        <v>190272</v>
      </c>
      <c r="D11" s="2"/>
    </row>
    <row r="12" spans="2:4" ht="12.75">
      <c r="B12" t="s">
        <v>57</v>
      </c>
      <c r="C12" s="6">
        <v>31271</v>
      </c>
      <c r="D12" s="2"/>
    </row>
    <row r="13" spans="2:4" ht="13.5" thickBot="1">
      <c r="B13" t="s">
        <v>58</v>
      </c>
      <c r="C13" s="7">
        <v>10984</v>
      </c>
      <c r="D13" s="8">
        <v>232527</v>
      </c>
    </row>
    <row r="14" spans="2:4" ht="12.75">
      <c r="B14" s="9" t="s">
        <v>59</v>
      </c>
      <c r="C14" s="2"/>
      <c r="D14" s="2"/>
    </row>
    <row r="15" spans="2:4" ht="12.75">
      <c r="B15" s="9" t="s">
        <v>60</v>
      </c>
      <c r="C15" s="2"/>
      <c r="D15" s="2"/>
    </row>
    <row r="16" spans="1:4" ht="12.75">
      <c r="A16" t="s">
        <v>61</v>
      </c>
      <c r="C16" s="2"/>
      <c r="D16" s="2"/>
    </row>
    <row r="17" spans="2:4" ht="12.75">
      <c r="B17" t="s">
        <v>62</v>
      </c>
      <c r="C17" s="10">
        <v>51881</v>
      </c>
      <c r="D17" s="2"/>
    </row>
    <row r="18" spans="2:4" ht="12.75">
      <c r="B18" t="s">
        <v>63</v>
      </c>
      <c r="C18" s="11">
        <v>107593</v>
      </c>
      <c r="D18" s="2"/>
    </row>
    <row r="19" spans="2:6" ht="13.5" thickBot="1">
      <c r="B19" t="s">
        <v>64</v>
      </c>
      <c r="C19" s="12">
        <v>103644</v>
      </c>
      <c r="D19" s="4">
        <f>$C$17+$C$18+$C$19</f>
        <v>263118</v>
      </c>
      <c r="F19" s="14" t="s">
        <v>4</v>
      </c>
    </row>
    <row r="20" spans="1:4" ht="12.75">
      <c r="A20" t="s">
        <v>65</v>
      </c>
      <c r="C20" s="13"/>
      <c r="D20" s="8">
        <v>9955</v>
      </c>
    </row>
    <row r="21" spans="2:4" ht="12.75">
      <c r="B21" s="14" t="s">
        <v>66</v>
      </c>
      <c r="C21" s="13"/>
      <c r="D21" s="2"/>
    </row>
    <row r="22" spans="1:4" ht="12.75">
      <c r="A22" t="s">
        <v>67</v>
      </c>
      <c r="C22" s="13"/>
      <c r="D22" s="8">
        <v>14187</v>
      </c>
    </row>
    <row r="23" spans="1:4" ht="12.75">
      <c r="A23" t="s">
        <v>68</v>
      </c>
      <c r="C23" s="13"/>
      <c r="D23" s="2"/>
    </row>
    <row r="24" spans="2:4" ht="12.75">
      <c r="B24" t="s">
        <v>69</v>
      </c>
      <c r="C24" s="13"/>
      <c r="D24" s="2"/>
    </row>
    <row r="25" spans="2:4" ht="12.75">
      <c r="B25" t="s">
        <v>70</v>
      </c>
      <c r="C25" s="11">
        <v>88639</v>
      </c>
      <c r="D25" s="2"/>
    </row>
    <row r="26" spans="2:6" ht="13.5" thickBot="1">
      <c r="B26" t="s">
        <v>71</v>
      </c>
      <c r="C26" s="12">
        <v>3729</v>
      </c>
      <c r="D26" s="4">
        <f>$C$25-$C$26</f>
        <v>84910</v>
      </c>
      <c r="F26" s="14" t="s">
        <v>118</v>
      </c>
    </row>
    <row r="27" spans="1:6" ht="12.75">
      <c r="A27" t="s">
        <v>72</v>
      </c>
      <c r="C27" s="15"/>
      <c r="D27" s="11">
        <v>0</v>
      </c>
      <c r="F27" s="14"/>
    </row>
    <row r="28" spans="1:4" ht="12.75">
      <c r="A28" t="s">
        <v>73</v>
      </c>
      <c r="C28" s="2"/>
      <c r="D28" s="11">
        <v>-3224</v>
      </c>
    </row>
    <row r="29" spans="1:4" ht="13.5" thickBot="1">
      <c r="A29" t="s">
        <v>74</v>
      </c>
      <c r="C29" s="2"/>
      <c r="D29" s="16">
        <v>-11578</v>
      </c>
    </row>
    <row r="30" spans="1:6" ht="12.75">
      <c r="A30" t="s">
        <v>75</v>
      </c>
      <c r="D30" s="17">
        <f>D$13-D$19-D$20-D$22+D$26-D$27+D$28+D$29</f>
        <v>15375</v>
      </c>
      <c r="F30" s="14" t="s">
        <v>5</v>
      </c>
    </row>
    <row r="31" spans="1:4" ht="13.5" thickBot="1">
      <c r="A31" t="s">
        <v>76</v>
      </c>
      <c r="C31" s="2"/>
      <c r="D31" s="16">
        <v>2783</v>
      </c>
    </row>
    <row r="32" spans="1:6" ht="13.5" thickBot="1">
      <c r="A32" t="s">
        <v>77</v>
      </c>
      <c r="C32" s="2"/>
      <c r="D32" s="18">
        <f>D$30-D$31</f>
        <v>12592</v>
      </c>
      <c r="F32" s="14" t="s">
        <v>22</v>
      </c>
    </row>
    <row r="33" spans="3:4" ht="12.75">
      <c r="C33" s="2"/>
      <c r="D33" s="2"/>
    </row>
    <row r="34" spans="1:4" ht="12.75">
      <c r="A34" s="1" t="s">
        <v>78</v>
      </c>
      <c r="C34" s="2"/>
      <c r="D34" s="2"/>
    </row>
    <row r="35" spans="1:4" ht="12.75">
      <c r="A35" t="s">
        <v>79</v>
      </c>
      <c r="C35" s="2"/>
      <c r="D35" s="19">
        <v>1500</v>
      </c>
    </row>
    <row r="36" spans="1:6" ht="12.75">
      <c r="A36" t="s">
        <v>80</v>
      </c>
      <c r="D36" s="20">
        <f>D$31</f>
        <v>2783</v>
      </c>
      <c r="F36" s="14" t="s">
        <v>6</v>
      </c>
    </row>
    <row r="37" spans="1:6" ht="12.75">
      <c r="A37" t="s">
        <v>81</v>
      </c>
      <c r="C37" s="11">
        <v>0</v>
      </c>
      <c r="D37" s="21"/>
      <c r="F37" s="14"/>
    </row>
    <row r="38" spans="1:6" ht="13.5" thickBot="1">
      <c r="A38" t="s">
        <v>82</v>
      </c>
      <c r="C38" s="12">
        <v>583</v>
      </c>
      <c r="D38" s="22">
        <f>$C$37+$C$38</f>
        <v>583</v>
      </c>
      <c r="F38" s="14" t="s">
        <v>7</v>
      </c>
    </row>
    <row r="39" spans="1:6" ht="13.5" thickBot="1">
      <c r="A39" t="s">
        <v>83</v>
      </c>
      <c r="C39" s="2"/>
      <c r="D39" s="23">
        <v>3700</v>
      </c>
      <c r="F39" s="14" t="s">
        <v>23</v>
      </c>
    </row>
    <row r="40" spans="3:4" ht="12.75">
      <c r="C40" s="2"/>
      <c r="D40" s="2"/>
    </row>
    <row r="41" spans="1:4" ht="12.75">
      <c r="A41" s="1" t="s">
        <v>84</v>
      </c>
      <c r="C41" s="2"/>
      <c r="D41" s="2"/>
    </row>
    <row r="42" spans="1:6" ht="13.5" thickBot="1">
      <c r="A42" s="14" t="s">
        <v>8</v>
      </c>
      <c r="B42" t="s">
        <v>85</v>
      </c>
      <c r="C42" s="2"/>
      <c r="D42" s="22">
        <f>D$26</f>
        <v>84910</v>
      </c>
      <c r="F42" s="14" t="s">
        <v>9</v>
      </c>
    </row>
    <row r="43" spans="3:4" ht="12.75">
      <c r="C43" s="2"/>
      <c r="D43" s="2"/>
    </row>
    <row r="44" spans="3:4" ht="25.5">
      <c r="C44" s="74" t="s">
        <v>39</v>
      </c>
      <c r="D44" s="74" t="s">
        <v>113</v>
      </c>
    </row>
    <row r="45" spans="1:4" ht="12.75">
      <c r="A45" s="14" t="s">
        <v>10</v>
      </c>
      <c r="B45" t="s">
        <v>86</v>
      </c>
      <c r="C45" s="24">
        <v>1514843</v>
      </c>
      <c r="D45" s="25">
        <v>1557682</v>
      </c>
    </row>
    <row r="46" spans="1:4" ht="12.75">
      <c r="A46" s="14" t="s">
        <v>11</v>
      </c>
      <c r="B46" t="s">
        <v>87</v>
      </c>
      <c r="C46" s="26">
        <v>1486951</v>
      </c>
      <c r="D46" s="25">
        <v>1523046</v>
      </c>
    </row>
    <row r="47" spans="3:4" ht="12.75">
      <c r="C47" s="2"/>
      <c r="D47" s="2"/>
    </row>
    <row r="48" spans="1:6" ht="12.75">
      <c r="A48" s="14" t="s">
        <v>12</v>
      </c>
      <c r="B48" t="s">
        <v>88</v>
      </c>
      <c r="C48" s="2"/>
      <c r="D48" s="27">
        <f>D$42/(($C$45+$C$46)/2)</f>
        <v>0.056572836110672486</v>
      </c>
      <c r="F48" s="5" t="s">
        <v>13</v>
      </c>
    </row>
    <row r="49" spans="1:6" ht="12.75">
      <c r="A49" s="14" t="s">
        <v>14</v>
      </c>
      <c r="B49" t="s">
        <v>89</v>
      </c>
      <c r="C49" s="2"/>
      <c r="D49" s="27">
        <f>(D$42+($D$46-$C$46)-($D$45-$C$45))/((D$45+$D$46)/2)</f>
        <v>0.05074514854930393</v>
      </c>
      <c r="F49" s="5" t="s">
        <v>15</v>
      </c>
    </row>
    <row r="50" spans="2:4" ht="12.75">
      <c r="B50" s="14" t="s">
        <v>90</v>
      </c>
      <c r="C50" s="2"/>
      <c r="D50" s="2"/>
    </row>
    <row r="51" spans="2:4" ht="12.75">
      <c r="B51" s="14"/>
      <c r="C51" s="2"/>
      <c r="D51" s="2"/>
    </row>
    <row r="52" spans="1:4" ht="12.75">
      <c r="A52" s="14" t="s">
        <v>16</v>
      </c>
      <c r="B52" t="s">
        <v>91</v>
      </c>
      <c r="C52" s="2"/>
      <c r="D52" s="2"/>
    </row>
    <row r="53" spans="2:4" ht="12.75">
      <c r="B53" t="s">
        <v>92</v>
      </c>
      <c r="C53" s="28">
        <v>0.026479016457166375</v>
      </c>
      <c r="D53" s="2"/>
    </row>
    <row r="54" spans="2:4" ht="12.75">
      <c r="B54" t="s">
        <v>93</v>
      </c>
      <c r="C54" s="28">
        <v>0.6808206860885126</v>
      </c>
      <c r="D54" s="2"/>
    </row>
    <row r="55" spans="2:4" ht="12.75">
      <c r="B55" t="s">
        <v>94</v>
      </c>
      <c r="C55" s="28">
        <v>0.1022716955703315</v>
      </c>
      <c r="D55" s="2"/>
    </row>
    <row r="56" spans="2:4" ht="12.75">
      <c r="B56" t="s">
        <v>95</v>
      </c>
      <c r="C56" s="28">
        <v>0.052436159631353015</v>
      </c>
      <c r="D56" s="2"/>
    </row>
    <row r="57" spans="2:4" ht="12.75">
      <c r="B57" t="s">
        <v>96</v>
      </c>
      <c r="C57" s="28">
        <v>0.04670765882668629</v>
      </c>
      <c r="D57" s="2"/>
    </row>
    <row r="58" spans="2:4" ht="12.75">
      <c r="B58" t="s">
        <v>97</v>
      </c>
      <c r="C58" s="28">
        <v>0</v>
      </c>
      <c r="D58" s="2"/>
    </row>
    <row r="59" spans="2:4" ht="12.75">
      <c r="B59" t="s">
        <v>98</v>
      </c>
      <c r="C59" s="28">
        <v>0.09128478342595014</v>
      </c>
      <c r="D59" s="2"/>
    </row>
    <row r="60" spans="2:6" ht="13.5" thickBot="1">
      <c r="B60" t="s">
        <v>99</v>
      </c>
      <c r="C60" s="29">
        <v>0</v>
      </c>
      <c r="D60" s="30">
        <f>SUM($C$53:$C$60)</f>
        <v>0.9999999999999999</v>
      </c>
      <c r="F60" s="5" t="s">
        <v>117</v>
      </c>
    </row>
    <row r="61" spans="3:4" ht="12.75">
      <c r="C61" s="2"/>
      <c r="D61" s="2"/>
    </row>
    <row r="62" spans="1:4" ht="12.75">
      <c r="A62" s="14" t="s">
        <v>17</v>
      </c>
      <c r="B62" t="s">
        <v>100</v>
      </c>
      <c r="D62" s="19">
        <v>1446660</v>
      </c>
    </row>
    <row r="63" spans="1:4" ht="12.75">
      <c r="A63" s="14" t="s">
        <v>18</v>
      </c>
      <c r="B63" t="s">
        <v>101</v>
      </c>
      <c r="D63" s="31">
        <v>24899</v>
      </c>
    </row>
    <row r="64" ht="12.75">
      <c r="D64" s="2"/>
    </row>
    <row r="65" spans="1:4" ht="12.75">
      <c r="A65" s="14" t="s">
        <v>19</v>
      </c>
      <c r="B65" t="s">
        <v>102</v>
      </c>
      <c r="D65" s="2"/>
    </row>
    <row r="66" spans="1:4" ht="12.75">
      <c r="A66" s="14"/>
      <c r="B66" s="73" t="s">
        <v>71</v>
      </c>
      <c r="C66" s="17">
        <f>C26</f>
        <v>3729</v>
      </c>
      <c r="D66" s="2"/>
    </row>
    <row r="67" spans="1:4" ht="12.75">
      <c r="A67" s="14"/>
      <c r="B67" s="73" t="s">
        <v>67</v>
      </c>
      <c r="C67" s="72">
        <f>D22</f>
        <v>14187</v>
      </c>
      <c r="D67" s="20">
        <f>C67+C66</f>
        <v>17916</v>
      </c>
    </row>
    <row r="68" spans="1:4" ht="12.75">
      <c r="A68" s="14"/>
      <c r="B68" t="s">
        <v>103</v>
      </c>
      <c r="D68" s="20">
        <f>(1000*D67)/D63</f>
        <v>719.5469697578216</v>
      </c>
    </row>
    <row r="69" ht="12.75">
      <c r="D69" s="2"/>
    </row>
    <row r="70" ht="12.75">
      <c r="A70" s="1" t="s">
        <v>104</v>
      </c>
    </row>
    <row r="71" spans="1:4" ht="12.75">
      <c r="A71" t="s">
        <v>105</v>
      </c>
      <c r="C71" s="2" t="s">
        <v>38</v>
      </c>
      <c r="D71" s="2" t="s">
        <v>112</v>
      </c>
    </row>
    <row r="72" spans="3:4" ht="12.75">
      <c r="C72" s="2"/>
      <c r="D72" s="2"/>
    </row>
    <row r="73" spans="1:4" ht="12.75">
      <c r="A73" t="s">
        <v>106</v>
      </c>
      <c r="C73" s="32">
        <v>108429.9155487384</v>
      </c>
      <c r="D73" s="116">
        <v>1</v>
      </c>
    </row>
    <row r="74" spans="1:6" ht="12.75">
      <c r="A74" t="s">
        <v>107</v>
      </c>
      <c r="C74" s="32">
        <v>99756</v>
      </c>
      <c r="D74" s="116">
        <f>$C$74/$C$73</f>
        <v>0.9200044055661046</v>
      </c>
      <c r="F74" s="5" t="s">
        <v>20</v>
      </c>
    </row>
    <row r="75" spans="1:4" ht="12.75">
      <c r="A75" t="s">
        <v>108</v>
      </c>
      <c r="C75" s="2"/>
      <c r="D75" s="2"/>
    </row>
    <row r="76" spans="2:4" ht="12.75">
      <c r="B76" t="s">
        <v>109</v>
      </c>
      <c r="C76" s="32">
        <v>8673.915548738398</v>
      </c>
      <c r="D76" s="2"/>
    </row>
    <row r="77" spans="2:4" ht="13.5" thickBot="1">
      <c r="B77" t="s">
        <v>110</v>
      </c>
      <c r="C77" s="34">
        <v>3918.084451261595</v>
      </c>
      <c r="D77" s="2"/>
    </row>
    <row r="78" spans="2:6" ht="13.5" thickBot="1">
      <c r="B78" t="s">
        <v>111</v>
      </c>
      <c r="C78" s="35">
        <f>C$76+C$77</f>
        <v>12591.999999999993</v>
      </c>
      <c r="D78" s="2"/>
      <c r="F78" s="5" t="s">
        <v>21</v>
      </c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</sheetData>
  <sheetProtection sheet="1" objects="1" scenarios="1"/>
  <conditionalFormatting sqref="C78">
    <cfRule type="expression" priority="1" dxfId="1" stopIfTrue="1">
      <formula>IF(ABS(C78-$D$32)&lt;10,0,1)</formula>
    </cfRule>
  </conditionalFormatting>
  <printOptions/>
  <pageMargins left="0.4" right="0.36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 Bader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Heinz Bader</dc:creator>
  <cp:keywords/>
  <dc:description/>
  <cp:lastModifiedBy>Frauenfelder David BPV</cp:lastModifiedBy>
  <cp:lastPrinted>2006-12-20T16:00:16Z</cp:lastPrinted>
  <dcterms:created xsi:type="dcterms:W3CDTF">2006-11-26T18:59:38Z</dcterms:created>
  <dcterms:modified xsi:type="dcterms:W3CDTF">2006-12-20T16:00:57Z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-763744128</vt:i4>
  </property>
  <property fmtid="{D5CDD505-2E9C-101B-9397-08002B2CF9AE}" pid="3" name="_EmailSubject">
    <vt:lpwstr>Excel-Files mit Offenlegungsschemata der Betriebsrechnungen BV</vt:lpwstr>
  </property>
  <property fmtid="{D5CDD505-2E9C-101B-9397-08002B2CF9AE}" pid="4" name="_AuthorEmail">
    <vt:lpwstr>david.frauenfelder@bpv.admin.ch</vt:lpwstr>
  </property>
  <property fmtid="{D5CDD505-2E9C-101B-9397-08002B2CF9AE}" pid="5" name="_AuthorEmailDisplayName">
    <vt:lpwstr>Frauenfelder David BPV</vt:lpwstr>
  </property>
  <property fmtid="{D5CDD505-2E9C-101B-9397-08002B2CF9AE}" pid="6" name="_PreviousAdHocReviewCycleID">
    <vt:i4>-763744128</vt:i4>
  </property>
</Properties>
</file>