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hidePivotFieldList="1"/>
  <bookViews>
    <workbookView xWindow="65521" yWindow="65521" windowWidth="7650" windowHeight="8910" tabRatio="510" firstSheet="7" activeTab="8"/>
  </bookViews>
  <sheets>
    <sheet name="BVG-MINDESTZINSSATZ" sheetId="1" state="veryHidden" r:id="rId1"/>
    <sheet name="APERÇU" sheetId="2" r:id="rId2"/>
    <sheet name="CR" sheetId="3" r:id="rId3"/>
    <sheet name="BILAN" sheetId="4" r:id="rId4"/>
    <sheet name="ANALYSE TECHNIQUE" sheetId="5" r:id="rId5"/>
    <sheet name="STRUCTURE DU PORTEFEUILLE" sheetId="6" r:id="rId6"/>
    <sheet name="PRINCIPES D'ETABL DU BILAN" sheetId="7" r:id="rId7"/>
    <sheet name="RESERVES D'EVAL" sheetId="8" r:id="rId8"/>
    <sheet name="PUB SCHEMA" sheetId="9" r:id="rId9"/>
  </sheets>
  <definedNames>
    <definedName name="_xlnm.Print_Area" localSheetId="8">'PUB SCHEMA'!$A$1:$J$139</definedName>
    <definedName name="_xlnm.Print_Titles" localSheetId="8">'PUB SCHEMA'!$1:$10</definedName>
    <definedName name="jahr">'APERÇU'!$G$8</definedName>
    <definedName name="Vr">'APERÇU'!$E$4</definedName>
    <definedName name="Z_ECF4189F_4624_4725_BD5A_98214EF42022_.wvu.PrintArea" localSheetId="8" hidden="1">'PUB SCHEMA'!$A$1:$K$139</definedName>
    <definedName name="Z_ECF4189F_4624_4725_BD5A_98214EF42022_.wvu.PrintTitles" localSheetId="8" hidden="1">'PUB SCHEMA'!$1:$10</definedName>
  </definedNames>
  <calcPr calcMode="manual" fullCalcOnLoad="1"/>
</workbook>
</file>

<file path=xl/comments3.xml><?xml version="1.0" encoding="utf-8"?>
<comments xmlns="http://schemas.openxmlformats.org/spreadsheetml/2006/main">
  <authors>
    <author>Walser Kurt BPV</author>
  </authors>
  <commentList>
    <comment ref="F87" authorId="0">
      <text>
        <r>
          <rPr>
            <b/>
            <sz val="8"/>
            <rFont val="Tahoma"/>
            <family val="0"/>
          </rPr>
          <t>verrouillé</t>
        </r>
      </text>
    </comment>
    <comment ref="G87" authorId="0">
      <text>
        <r>
          <rPr>
            <b/>
            <sz val="8"/>
            <rFont val="Tahoma"/>
            <family val="0"/>
          </rPr>
          <t>verrouillé</t>
        </r>
      </text>
    </comment>
    <comment ref="F70" authorId="0">
      <text>
        <r>
          <rPr>
            <b/>
            <sz val="8"/>
            <rFont val="Tahoma"/>
            <family val="0"/>
          </rPr>
          <t>verrouillé</t>
        </r>
      </text>
    </comment>
    <comment ref="G70" authorId="0">
      <text>
        <r>
          <rPr>
            <b/>
            <sz val="8"/>
            <rFont val="Tahoma"/>
            <family val="0"/>
          </rPr>
          <t>verrouillé</t>
        </r>
      </text>
    </comment>
    <comment ref="F30" authorId="0">
      <text>
        <r>
          <rPr>
            <b/>
            <sz val="8"/>
            <rFont val="Tahoma"/>
            <family val="0"/>
          </rPr>
          <t>Keine Eingabe erlaubt</t>
        </r>
      </text>
    </comment>
    <comment ref="G30" authorId="0">
      <text>
        <r>
          <rPr>
            <b/>
            <sz val="8"/>
            <rFont val="Tahoma"/>
            <family val="0"/>
          </rPr>
          <t>Keine Eingabe erlaubt</t>
        </r>
      </text>
    </comment>
    <comment ref="I37" authorId="0">
      <text>
        <r>
          <rPr>
            <b/>
            <sz val="8"/>
            <rFont val="Tahoma"/>
            <family val="0"/>
          </rPr>
          <t>Keine Eingabe erlaubt</t>
        </r>
      </text>
    </comment>
    <comment ref="J37" authorId="0">
      <text>
        <r>
          <rPr>
            <b/>
            <sz val="8"/>
            <rFont val="Tahoma"/>
            <family val="0"/>
          </rPr>
          <t>Keine Eingabe erlaubt</t>
        </r>
      </text>
    </comment>
    <comment ref="I41" authorId="0">
      <text>
        <r>
          <rPr>
            <b/>
            <sz val="8"/>
            <rFont val="Tahoma"/>
            <family val="0"/>
          </rPr>
          <t>Keine Eingabe erlaubt</t>
        </r>
      </text>
    </comment>
    <comment ref="J41" authorId="0">
      <text>
        <r>
          <rPr>
            <b/>
            <sz val="8"/>
            <rFont val="Tahoma"/>
            <family val="0"/>
          </rPr>
          <t>Keine Eingabe erlaubt</t>
        </r>
      </text>
    </comment>
  </commentList>
</comments>
</file>

<file path=xl/comments4.xml><?xml version="1.0" encoding="utf-8"?>
<comments xmlns="http://schemas.openxmlformats.org/spreadsheetml/2006/main">
  <authors>
    <author>Walser Kurt BPV</author>
  </authors>
  <commentList>
    <comment ref="F35" authorId="0">
      <text>
        <r>
          <rPr>
            <b/>
            <sz val="8"/>
            <rFont val="Tahoma"/>
            <family val="0"/>
          </rPr>
          <t>Keine Eingabe erlaubt</t>
        </r>
      </text>
    </comment>
    <comment ref="G35" authorId="0">
      <text>
        <r>
          <rPr>
            <b/>
            <sz val="8"/>
            <rFont val="Tahoma"/>
            <family val="0"/>
          </rPr>
          <t>Keine Eingabe erlaubt</t>
        </r>
      </text>
    </comment>
    <comment ref="F44" authorId="0">
      <text>
        <r>
          <rPr>
            <b/>
            <sz val="8"/>
            <rFont val="Tahoma"/>
            <family val="0"/>
          </rPr>
          <t>Keine Eingabe erlaubt</t>
        </r>
      </text>
    </comment>
    <comment ref="G44" authorId="0">
      <text>
        <r>
          <rPr>
            <b/>
            <sz val="8"/>
            <rFont val="Tahoma"/>
            <family val="0"/>
          </rPr>
          <t>Keine Eingabe erlaubt</t>
        </r>
      </text>
    </comment>
    <comment ref="I66" authorId="0">
      <text>
        <r>
          <rPr>
            <b/>
            <sz val="8"/>
            <rFont val="Tahoma"/>
            <family val="0"/>
          </rPr>
          <t>Keine Eingabe erlaubt</t>
        </r>
      </text>
    </comment>
    <comment ref="J66" authorId="0">
      <text>
        <r>
          <rPr>
            <b/>
            <sz val="8"/>
            <rFont val="Tahoma"/>
            <family val="0"/>
          </rPr>
          <t>Keine Eingabe erlaubt</t>
        </r>
      </text>
    </comment>
    <comment ref="F67" authorId="0">
      <text>
        <r>
          <rPr>
            <b/>
            <sz val="8"/>
            <rFont val="Tahoma"/>
            <family val="0"/>
          </rPr>
          <t>Keine Eingabe erlaubt</t>
        </r>
      </text>
    </comment>
    <comment ref="G67" authorId="0">
      <text>
        <r>
          <rPr>
            <b/>
            <sz val="8"/>
            <rFont val="Tahoma"/>
            <family val="0"/>
          </rPr>
          <t>Keine Eingabe erlaubt</t>
        </r>
      </text>
    </comment>
    <comment ref="F103" authorId="0">
      <text>
        <r>
          <rPr>
            <b/>
            <sz val="8"/>
            <rFont val="Tahoma"/>
            <family val="0"/>
          </rPr>
          <t>Keine Eingabe erlaubt</t>
        </r>
      </text>
    </comment>
    <comment ref="G103" authorId="0">
      <text>
        <r>
          <rPr>
            <b/>
            <sz val="8"/>
            <rFont val="Tahoma"/>
            <family val="0"/>
          </rPr>
          <t>Keine Eingabe erlaubt</t>
        </r>
      </text>
    </comment>
  </commentList>
</comments>
</file>

<file path=xl/comments5.xml><?xml version="1.0" encoding="utf-8"?>
<comments xmlns="http://schemas.openxmlformats.org/spreadsheetml/2006/main">
  <authors>
    <author>Walser Kurt BPV</author>
  </authors>
  <commentList>
    <comment ref="F15" authorId="0">
      <text>
        <r>
          <rPr>
            <b/>
            <sz val="8"/>
            <rFont val="Tahoma"/>
            <family val="0"/>
          </rPr>
          <t xml:space="preserve">Kein Eintrag </t>
        </r>
      </text>
    </comment>
    <comment ref="I15" authorId="0">
      <text>
        <r>
          <rPr>
            <b/>
            <sz val="8"/>
            <rFont val="Tahoma"/>
            <family val="0"/>
          </rPr>
          <t xml:space="preserve">Kein Eintrag </t>
        </r>
      </text>
    </comment>
    <comment ref="L15" authorId="0">
      <text>
        <r>
          <rPr>
            <b/>
            <sz val="8"/>
            <rFont val="Tahoma"/>
            <family val="0"/>
          </rPr>
          <t xml:space="preserve">Kein Eintrag </t>
        </r>
      </text>
    </comment>
    <comment ref="I28" authorId="0">
      <text>
        <r>
          <rPr>
            <b/>
            <sz val="8"/>
            <rFont val="Tahoma"/>
            <family val="0"/>
          </rPr>
          <t xml:space="preserve">Kein Eintrag </t>
        </r>
      </text>
    </comment>
    <comment ref="J28" authorId="0">
      <text>
        <r>
          <rPr>
            <b/>
            <sz val="8"/>
            <rFont val="Tahoma"/>
            <family val="0"/>
          </rPr>
          <t xml:space="preserve">Kein Eintrag </t>
        </r>
      </text>
    </comment>
    <comment ref="K28" authorId="0">
      <text>
        <r>
          <rPr>
            <b/>
            <sz val="8"/>
            <rFont val="Tahoma"/>
            <family val="0"/>
          </rPr>
          <t xml:space="preserve">Kein Eintrag </t>
        </r>
      </text>
    </comment>
  </commentList>
</comments>
</file>

<file path=xl/comments8.xml><?xml version="1.0" encoding="utf-8"?>
<comments xmlns="http://schemas.openxmlformats.org/spreadsheetml/2006/main">
  <authors>
    <author>Walser Kurt BPV</author>
  </authors>
  <commentList>
    <comment ref="E23" authorId="0">
      <text>
        <r>
          <rPr>
            <b/>
            <sz val="8"/>
            <rFont val="Tahoma"/>
            <family val="0"/>
          </rPr>
          <t>Keine Eingabe erlaubt</t>
        </r>
      </text>
    </comment>
    <comment ref="I23" authorId="0">
      <text>
        <r>
          <rPr>
            <b/>
            <sz val="8"/>
            <rFont val="Tahoma"/>
            <family val="0"/>
          </rPr>
          <t>Keine Eingabe erlaubt</t>
        </r>
      </text>
    </comment>
  </commentList>
</comments>
</file>

<file path=xl/sharedStrings.xml><?xml version="1.0" encoding="utf-8"?>
<sst xmlns="http://schemas.openxmlformats.org/spreadsheetml/2006/main" count="1378" uniqueCount="867">
  <si>
    <t>Part des réassureurs dans les frais de gestion / Total intermédiaire</t>
  </si>
  <si>
    <r>
      <t>d)</t>
    </r>
    <r>
      <rPr>
        <sz val="8.5"/>
        <rFont val="Arial"/>
        <family val="2"/>
      </rPr>
      <t xml:space="preserve">  La pos. 11  CR est à séparé entre la pos. 157 et 172 analyse technique.</t>
    </r>
  </si>
  <si>
    <t>Longévité</t>
  </si>
  <si>
    <t>Lacunes de couverture en cas de conversion en rentes</t>
  </si>
  <si>
    <t>Sinistres annoncés mais non encore liquidés</t>
  </si>
  <si>
    <t>Sinistres survenus mais non encore annoncés</t>
  </si>
  <si>
    <t>Fluctuations de sinistres</t>
  </si>
  <si>
    <t>Fluctuations de la valeur des placements de capitaux</t>
  </si>
  <si>
    <t>Garanties d'intérêt</t>
  </si>
  <si>
    <t>Adaptations et assainissements des tarifs</t>
  </si>
  <si>
    <t>Variation des provisions techniques (augmentation = +)</t>
  </si>
  <si>
    <t>Analyse technique du résultat, Partie 4</t>
  </si>
  <si>
    <t>Somme des composantes de produit  = 185 +189 + 193</t>
  </si>
  <si>
    <t>Somme des charges  = 187 + 191 + 195</t>
  </si>
  <si>
    <t>Résultat brut  = 217 - 218</t>
  </si>
  <si>
    <t>Frais pour capital risque  = 208</t>
  </si>
  <si>
    <t>Résultat intermédiaire  = 219 - 220 - 222</t>
  </si>
  <si>
    <t>CR, 26</t>
  </si>
  <si>
    <t>Résultat net  = 221 + 223</t>
  </si>
  <si>
    <t>Règle d'attribution</t>
  </si>
  <si>
    <t>Légende des règles d'attribution:</t>
  </si>
  <si>
    <t>A.  Quote-part minimum basée sur produit:   Solde total restant (210)</t>
  </si>
  <si>
    <t>B.  Règle particulière basée sur résultat selon la ligne 149:   Quote-part de distribution (184, au moins 90%) x Résultat intermédiaire (221)</t>
  </si>
  <si>
    <t>C.  Solde total négatif (197):   Pas d'attribution</t>
  </si>
  <si>
    <t>CR, 51</t>
  </si>
  <si>
    <t>Part restante de l'assureur
= 224 - 225</t>
  </si>
  <si>
    <t>Règles :</t>
  </si>
  <si>
    <t>Prestation globale aux assurés
= 218 + 220 - 223 + 225</t>
  </si>
  <si>
    <t>Produit total  = 217</t>
  </si>
  <si>
    <t>Prestation globale aux assurés en % du produit total
= 228 en % de 229</t>
  </si>
  <si>
    <t>Total primes d'épargne</t>
  </si>
  <si>
    <t>Total primes de risque  = 163</t>
  </si>
  <si>
    <t>Total primes de frais  = 177</t>
  </si>
  <si>
    <t>k</t>
  </si>
  <si>
    <t>BVG-Mindestzinssatz</t>
  </si>
  <si>
    <t xml:space="preserve">   Variation du report de primes brut (augmentation = +)</t>
  </si>
  <si>
    <t xml:space="preserve">   Part des réassureurs aux primes acquises</t>
  </si>
  <si>
    <t>Autres produits actuariels</t>
  </si>
  <si>
    <t>Prestations en cas de vieillesse, de décès et d'invalidité</t>
  </si>
  <si>
    <t>Prestations de libre passage</t>
  </si>
  <si>
    <t>Valeurs de rachat suite à des résiliations de contrat</t>
  </si>
  <si>
    <t xml:space="preserve">   Part des réassureurs aux prestations payées</t>
  </si>
  <si>
    <t>Total des charges pour prestations d'ass. nettes de réass. 
= 10 + 11 - 12</t>
  </si>
  <si>
    <t>Variation des renforcements (augmentation = +)</t>
  </si>
  <si>
    <t>Variation de la provision pour sinistres survenus mais non encore liquidés (augmentation = +)</t>
  </si>
  <si>
    <t>Frais d'acquisition (bruts)</t>
  </si>
  <si>
    <t>Charges pour l'exploitation de l'assurance  
= 20 - 21 + 22 - 22a</t>
  </si>
  <si>
    <t>Charges pour la participation des assurés aux excédents  
= 25 + 26</t>
  </si>
  <si>
    <t>Report = 5 + 6 - 13 - 19 - 23 - 24 - 30</t>
  </si>
  <si>
    <r>
      <t xml:space="preserve">b)  </t>
    </r>
    <r>
      <rPr>
        <sz val="8.5"/>
        <rFont val="Arial"/>
        <family val="2"/>
      </rPr>
      <t>Y comprise la capitalisation de l'avoir de vieillesse au taux minimum LPP</t>
    </r>
  </si>
  <si>
    <r>
      <t xml:space="preserve">a)  </t>
    </r>
    <r>
      <rPr>
        <sz val="8.5"/>
        <rFont val="Arial"/>
        <family val="2"/>
      </rPr>
      <t>Estimations autorisées en cas de manque de données exactes</t>
    </r>
  </si>
  <si>
    <t xml:space="preserve">     A condition que le contrat le prévoit, le sur-rendement peut être crédité aussi bien à la provision mathématique des assurés, calculé individuellement (thésaurisation), qu'au preneur d'assurance à fin d'utilisation ultérieure réglementaire.</t>
  </si>
  <si>
    <t>Réserves d'évaluation,  prévoyance professionnelle</t>
  </si>
  <si>
    <t>Suisse:  Prévoyance professionnelle</t>
  </si>
  <si>
    <t>(Chiffres en 1000 CHF)</t>
  </si>
  <si>
    <t>Année d'exercice</t>
  </si>
  <si>
    <t>Exercice précédent</t>
  </si>
  <si>
    <t>Total des placements de capitaux</t>
  </si>
  <si>
    <t>Réserves d'évaluation</t>
  </si>
  <si>
    <t>Réserves d'évaluation au début de l'exercice</t>
  </si>
  <si>
    <t>Réserves d'évaluation à la fin de l'exercice</t>
  </si>
  <si>
    <t>Variation des réserves d'évaluation</t>
  </si>
  <si>
    <t>Valeur comptable reportée de la</t>
  </si>
  <si>
    <t>Comptabilité de la prévoyance professionnelle, affaires suisses</t>
  </si>
  <si>
    <t>CR, - 4 + 12 
+ 18</t>
  </si>
  <si>
    <t>181a</t>
  </si>
  <si>
    <t>CR 22a</t>
  </si>
  <si>
    <t>&lt;&lt;&lt; Kann man so nicht gebrauchen, da die franz. Version einen Fehler erzeigt !!!</t>
  </si>
  <si>
    <t>Prévoyance Professionnelle (PP)</t>
  </si>
  <si>
    <t>Récapitulation et répartition du résultat d'exploitation</t>
  </si>
  <si>
    <t>Récapitulation du résultat d'exploitation</t>
  </si>
  <si>
    <r>
      <t xml:space="preserve">Résultat brut d'exploitation  </t>
    </r>
    <r>
      <rPr>
        <vertAlign val="superscript"/>
        <sz val="10"/>
        <rFont val="Arial"/>
        <family val="2"/>
      </rPr>
      <t>a)</t>
    </r>
  </si>
  <si>
    <t>Résutat d'exploitation</t>
  </si>
  <si>
    <t>col. e (AE) resp. f (AE-1) de…</t>
  </si>
  <si>
    <t>Réserves</t>
  </si>
  <si>
    <t>Valeur</t>
  </si>
  <si>
    <t>d'évaluation en</t>
  </si>
  <si>
    <t>comptable</t>
  </si>
  <si>
    <t>de marché</t>
  </si>
  <si>
    <t>d'évaluation</t>
  </si>
  <si>
    <t>% de la val. compt.</t>
  </si>
  <si>
    <t>Placements de capitaux pour compte de tiers</t>
  </si>
  <si>
    <t>Réserves d'évaluation,  autres affaires</t>
  </si>
  <si>
    <t>Suisse:  Autres Affaires</t>
  </si>
  <si>
    <t>(Chiffres en1000 CHF)</t>
  </si>
  <si>
    <r>
      <t xml:space="preserve">Variation de la provision mathématique (augmentation = +)  </t>
    </r>
    <r>
      <rPr>
        <vertAlign val="superscript"/>
        <sz val="10"/>
        <rFont val="Arial"/>
        <family val="2"/>
      </rPr>
      <t>b)</t>
    </r>
  </si>
  <si>
    <r>
      <t xml:space="preserve">Distribution du sur-rendement selon dispositions indiv. du contrat </t>
    </r>
    <r>
      <rPr>
        <vertAlign val="superscript"/>
        <sz val="8.5"/>
        <rFont val="Arial"/>
        <family val="2"/>
      </rPr>
      <t xml:space="preserve"> </t>
    </r>
    <r>
      <rPr>
        <vertAlign val="superscript"/>
        <sz val="10"/>
        <rFont val="Arial"/>
        <family val="2"/>
      </rPr>
      <t>c)</t>
    </r>
  </si>
  <si>
    <r>
      <t xml:space="preserve">Attribution au fonds d'excédents  </t>
    </r>
    <r>
      <rPr>
        <vertAlign val="superscript"/>
        <sz val="10"/>
        <rFont val="Arial"/>
        <family val="2"/>
      </rPr>
      <t>d)</t>
    </r>
  </si>
  <si>
    <r>
      <t xml:space="preserve">Prélèvement sur le fonds d'excédents  </t>
    </r>
    <r>
      <rPr>
        <vertAlign val="superscript"/>
        <sz val="10"/>
        <rFont val="Arial"/>
        <family val="2"/>
      </rPr>
      <t>e)</t>
    </r>
  </si>
  <si>
    <r>
      <t xml:space="preserve">Utilisation pour couverture du déficit de l'année précédente  </t>
    </r>
    <r>
      <rPr>
        <vertAlign val="superscript"/>
        <sz val="10"/>
        <rFont val="Arial"/>
        <family val="2"/>
      </rPr>
      <t>f)</t>
    </r>
  </si>
  <si>
    <t>Xxxxxxx Vie</t>
  </si>
  <si>
    <t>Xxx Vie</t>
  </si>
  <si>
    <t>Feuille Excel</t>
  </si>
  <si>
    <t>Liste des pages à saisir</t>
  </si>
  <si>
    <t>CR</t>
  </si>
  <si>
    <t>Compte de résultat, Partie 1</t>
  </si>
  <si>
    <t>Compte de résultat, Partie 2</t>
  </si>
  <si>
    <t>BILAN</t>
  </si>
  <si>
    <t>Bilan, actifs</t>
  </si>
  <si>
    <t>Bilan, passifs, partie 1</t>
  </si>
  <si>
    <t>Bilan, passifs, partie 2</t>
  </si>
  <si>
    <t>ANALYSE TECHNIQUE</t>
  </si>
  <si>
    <t>Analyse technique du résultat, partie 1</t>
  </si>
  <si>
    <t>Analyse technique du résultat, partie 2</t>
  </si>
  <si>
    <t>Analyse technique du résultat, partie 3</t>
  </si>
  <si>
    <t>Analyse technique du résultat, partie 4</t>
  </si>
  <si>
    <t>Analyse technique du résultat, partie 5</t>
  </si>
  <si>
    <t>STRUCTURE DU PORTEFEUILLE</t>
  </si>
  <si>
    <t>Indications sur la structure du portefeuille prévoyance professionnelle, partie 1</t>
  </si>
  <si>
    <t>Indications sur la structure du portefeuille prévoyance professionnelle, partie 2</t>
  </si>
  <si>
    <t>Indications sur la structure du portefeuille prévoyance professionnelle, partie 3</t>
  </si>
  <si>
    <t>Indications sur la structure du portefeuille prévoyance professionnelle, partie 4</t>
  </si>
  <si>
    <t>PRINCIPES D'ETABL DU BILAN</t>
  </si>
  <si>
    <t>Principes d'établissement du bilan</t>
  </si>
  <si>
    <t>RESERVES D'EVAL</t>
  </si>
  <si>
    <t>Réserves d'évaluation pour la prévoyance professionnelle</t>
  </si>
  <si>
    <t>Réserves d'évaluation pour les autres affaires</t>
  </si>
  <si>
    <t>PUB SCHEMA</t>
  </si>
  <si>
    <t>- bleu ciel pour l'année d'exercice</t>
  </si>
  <si>
    <t>- marron clair pour les années d'exercice antérieures</t>
  </si>
  <si>
    <t>- olive si elles sont verrouillées</t>
  </si>
  <si>
    <t>Dès l'entrée des données, les cellules prennent la couleur de la</t>
  </si>
  <si>
    <t>Les cellules calculées ont un texte noir</t>
  </si>
  <si>
    <t>Une tabelle de saisie colore le fond d'une cellule calculée en</t>
  </si>
  <si>
    <t>- violet clair si il y a concordance avec une autre tabelle</t>
  </si>
  <si>
    <r>
      <t xml:space="preserve">d)  </t>
    </r>
    <r>
      <rPr>
        <sz val="8.5"/>
        <rFont val="Arial"/>
        <family val="2"/>
      </rPr>
      <t>Prévoyance individuelle: Les excédents ne peuvent être distribuées que par l'intermédiaire du fonds d'excédents (art. 136, nouvelle OS).</t>
    </r>
  </si>
  <si>
    <t>Report = 31</t>
  </si>
  <si>
    <t>Produits des placements de capitaux</t>
  </si>
  <si>
    <t>Bénéfice sur réalisations</t>
  </si>
  <si>
    <t>Perte sur réalisations</t>
  </si>
  <si>
    <t>Plus-values</t>
  </si>
  <si>
    <t>Amortissements</t>
  </si>
  <si>
    <t>Résultat monétaire sur les placements de capitaux (+ = bénéfice)</t>
  </si>
  <si>
    <t>Dont produits de placements gérés comme "Fonds cantonnés"</t>
  </si>
  <si>
    <r>
      <t xml:space="preserve">Produits des placements de capitaux pour compte de tiers: </t>
    </r>
    <r>
      <rPr>
        <sz val="10"/>
        <rFont val="Arial"/>
        <family val="0"/>
      </rPr>
      <t>Produits des placements pour contrats liés à des participations</t>
    </r>
  </si>
  <si>
    <t>Charges pour immeubles</t>
  </si>
  <si>
    <t>Charges pour les autres placements de capitaux</t>
  </si>
  <si>
    <t>Autres produits (+)</t>
  </si>
  <si>
    <t>Autres charges (-)</t>
  </si>
  <si>
    <t>Autres impôts, émoluments et taxes</t>
  </si>
  <si>
    <t>Résultat avant impôts sur le revenu et le capital
=  32 + 46 + 47 - 47a - 48</t>
  </si>
  <si>
    <t>Impôts sur le revenu et le capital</t>
  </si>
  <si>
    <t>=Z17S5-Z18S5-Z19S5</t>
  </si>
  <si>
    <t>=Z21S6+Z20S6+Z19S6+Z15S6</t>
  </si>
  <si>
    <t>=Z26S5+Z27S5+Z28S5</t>
  </si>
  <si>
    <t>=Z33S6-SUMME(Z30S5:Z32S5)</t>
  </si>
  <si>
    <t>=Z39S6-SUMME(Z28S6:Z37S6)</t>
  </si>
  <si>
    <t>=Z22S6</t>
  </si>
  <si>
    <t>=SUMME(Z44S5:Z51S5)</t>
  </si>
  <si>
    <t>=Z72S5+Z73S5</t>
  </si>
  <si>
    <t>=Z69S+Z70S+Z71S6-Z73S</t>
  </si>
  <si>
    <t>=Z78S5+Z79S5</t>
  </si>
  <si>
    <t>=Z80S5+Z81S5</t>
  </si>
  <si>
    <t>=Z77S+Z79S-Z81S</t>
  </si>
  <si>
    <t>=Z17S5-Z18S5</t>
  </si>
  <si>
    <t>=Z19S6</t>
  </si>
  <si>
    <t>=(Z88S6-Z88S5)</t>
  </si>
  <si>
    <t>=(Z89S6-Z89S5)</t>
  </si>
  <si>
    <t>=Z93S6-Z92S6</t>
  </si>
  <si>
    <t>=WENN(Z88S5+Z89S5&gt;0;Z85S/((Z88S5+Z89S5)/2);0)</t>
  </si>
  <si>
    <t>=WENN(Z88S6+Z89S6&gt;0;(Z85S+(Z89S6-Z89S5)-(Z88S6-Z88S5))/((Z88S6+Z89S6)/2);0)</t>
  </si>
  <si>
    <t>=BESTANDESSTATISTIK!Z72S3</t>
  </si>
  <si>
    <t>=BESTANDESSTATISTIK!Z78S3</t>
  </si>
  <si>
    <t>=BESTANDESSTATISTIK!Z48S3+BESTANDESSTATISTIK!Z51S3</t>
  </si>
  <si>
    <t>=BESTANDESSTATISTIK!Z99S3+BESTANDESSTATISTIK!Z101S3+BESTANDESSTATISTIK!Z103S3+BESTANDESSTATISTIK!Z105S3+BESTANDESSTATISTIK!Z107S3+BESTANDESSTATISTIK!Z109S3+BESTANDESSTATISTIK!Z111S3+BESTANDESSTATISTIK!Z113S3+BESTANDESSTATISTIK!Z115S3</t>
  </si>
  <si>
    <t>=BESTANDESSTATISTIK!Z17S4</t>
  </si>
  <si>
    <t>=SUMME(Z104S6:Z106S6)</t>
  </si>
  <si>
    <t>=Z19S5</t>
  </si>
  <si>
    <t>=WENN(Z110S6&gt;0;Z110S6/((Z88S6+Z89S6)/2);0)</t>
  </si>
  <si>
    <t>=SUMME(Z112S5:Z114S5)-Z115S5</t>
  </si>
  <si>
    <t>=WENN(Z107S&gt;0;(1000*Z115S)/Z107S;0)</t>
  </si>
  <si>
    <t>=WENN(Z107S6&gt;0;Z15S5*1000/Z107S6;0)</t>
  </si>
  <si>
    <t>=Z121S4/S6+Z122S4/S6+Z123S4/S6</t>
  </si>
  <si>
    <t>=Z125S4/S6+Z126S4/S6+Z127S4/S6</t>
  </si>
  <si>
    <t>=Z123S-Z127S</t>
  </si>
  <si>
    <t>=Z128S-Z137S-Z138S-Z139S</t>
  </si>
  <si>
    <t>=Z128S-Z137S-Z139S</t>
  </si>
  <si>
    <t>=WENN(Z123S&gt;0;MIN(MAX((Z127S+Z137S+Z138S+Z139S)/Z123S;0.9);1);0)</t>
  </si>
  <si>
    <t>=WENN(Z123S&gt;0;MIN((Z127S+Z137S+Z138S+Z139S)/Z123S;1);0)</t>
  </si>
  <si>
    <t>=Z140S5</t>
  </si>
  <si>
    <t>=WENN(Z123S5&gt;0;Z145S5/Z123S5;0)</t>
  </si>
  <si>
    <t>=Z140S7</t>
  </si>
  <si>
    <t>=WENN(Z123S7&gt;0;Z146S5/Z123S7;0)</t>
  </si>
  <si>
    <t>=Z145S+Z146S</t>
  </si>
  <si>
    <t>=CR!Z66S6</t>
  </si>
  <si>
    <t>=CR!Z72S6</t>
  </si>
  <si>
    <t>=CR!Z76S6</t>
  </si>
  <si>
    <t>=CR!Z12S6+CR!Z80S6</t>
  </si>
  <si>
    <t>=-CR!Z9S6+CR!Z19S6+CR!Z26S6+CR!Z32S6</t>
  </si>
  <si>
    <t>=CR!Z35S6+CR!Z81S6+CR!Z83S6</t>
  </si>
  <si>
    <t>=BEWCRTUNGSRESCRVEN!Z24S9</t>
  </si>
  <si>
    <t>=BEWCRTUNGSRESCRVEN!Z24S5</t>
  </si>
  <si>
    <t>=CR!Z31S6</t>
  </si>
  <si>
    <t>=CR!Z32S6</t>
  </si>
  <si>
    <t>='ANALYSE TECHNIQUE'!Z43S6</t>
  </si>
  <si>
    <t>='ANALYSE TECHNIQUE'!Z68S6</t>
  </si>
  <si>
    <t>='ANALYSE TECHNIQUE'!Z189S6</t>
  </si>
  <si>
    <t>='ANALYSE TECHNIQUE'!Z213S6</t>
  </si>
  <si>
    <t>='ANALYSE TECHNIQUE'!Z91S9/S12</t>
  </si>
  <si>
    <t>='ANALYSE TECHNIQUE'!Z83S9/S12</t>
  </si>
  <si>
    <t>='ANALYSE TECHNIQUE'!Z88S9/S12</t>
  </si>
  <si>
    <t>='ANALYSE TECHNIQUE'!Z100S9/S12</t>
  </si>
  <si>
    <t>='ANALYSE TECHNIQUE'!Z106S9</t>
  </si>
  <si>
    <t>='ANALYSE TECHNIQUE'!Z106S12</t>
  </si>
  <si>
    <t>='ANALYSE TECHNIQUE'!Z107S9</t>
  </si>
  <si>
    <t>='ANALYSE TECHNIQUE'!Z107S12</t>
  </si>
  <si>
    <t>='ANALYSE TECHNIQUE'!Z108S9</t>
  </si>
  <si>
    <t>='ANALYSE TECHNIQUE'!Z108S12</t>
  </si>
  <si>
    <t>='ANALYSE TECHNIQUE'!Z109S9</t>
  </si>
  <si>
    <t>='ANALYSE TECHNIQUE'!Z109S12</t>
  </si>
  <si>
    <t>='ANALYSE TECHNIQUE'!Z110S9</t>
  </si>
  <si>
    <t>='ANALYSE TECHNIQUE'!Z110S12</t>
  </si>
  <si>
    <t>='ANALYSE TECHNIQUE'!Z111S9</t>
  </si>
  <si>
    <t>='ANALYSE TECHNIQUE'!Z111S12</t>
  </si>
  <si>
    <t>='ANALYSE TECHNIQUE'!Z112S9</t>
  </si>
  <si>
    <t>='ANALYSE TECHNIQUE'!Z112S12</t>
  </si>
  <si>
    <t>='ANALYSE TECHNIQUE'!Z113S9</t>
  </si>
  <si>
    <t>='ANALYSE TECHNIQUE'!Z113S12</t>
  </si>
  <si>
    <t>='ANALYSE TECHNIQUE'!Z146S9</t>
  </si>
  <si>
    <t>='ANALYSE TECHNIQUE'!Z151S9</t>
  </si>
  <si>
    <t>='ANALYSE TECHNIQUE'!Z151S12</t>
  </si>
  <si>
    <t>=BILAN!Z59S6-BILAN!Z59S7</t>
  </si>
  <si>
    <t>=SUMME(BILAN!Z60S6:Z65S6)-SUMME(BILAN!Z60S7:Z65S7)</t>
  </si>
  <si>
    <t>=BILAN!Z66S6-BILAN!Z66S7</t>
  </si>
  <si>
    <t>=BILAN!Z26S6+BILAN!Z29S6</t>
  </si>
  <si>
    <t>=BILAN!Z20S6+BILAN!Z21S6+BILAN!Z22S6</t>
  </si>
  <si>
    <t>=BILAN!Z24S6+BILAN!Z23S6+BILAN!Z25S6</t>
  </si>
  <si>
    <t>=BILAN!Z15S6+BILAN!Z16S6+BILAN!Z17S6+BILAN!Z19S6</t>
  </si>
  <si>
    <t>=BILAN!Z28S6+BILAN!Z27S6</t>
  </si>
  <si>
    <t>=BILAN!Z10S6+BILAN!Z11S6+BILAN!Z12S6+BILAN!Z13S6+BILAN!Z14S6</t>
  </si>
  <si>
    <t>=BILAN!Z8S6+BILAN!Z9S6</t>
  </si>
  <si>
    <t>=BILAN!Z18S6+BILAN!Z30S6</t>
  </si>
  <si>
    <t>=BILAN!Z59S6</t>
  </si>
  <si>
    <t>=BILAN!Z60S6+BILAN!Z61S6+BILAN!Z62S6+BILAN!Z63S6+BILAN!Z64S6+BILAN!Z65S6</t>
  </si>
  <si>
    <t>=BILAN!Z66S6</t>
  </si>
  <si>
    <t>=BILAN!Z68S6+BILAN!Z69S6+BILAN!Z72S6+BILAN!Z74S6+BILAN!Z75S6+BILAN!Z76S6+BILAN!Z77S6</t>
  </si>
  <si>
    <t>=Z15S6-Z14S-Z15S</t>
  </si>
  <si>
    <t>Formules à gauche</t>
  </si>
  <si>
    <t>Formules à droite</t>
  </si>
  <si>
    <t>Résultat annuel  = 49 - 50</t>
  </si>
  <si>
    <t>Compte de résultat  -  Partie 1</t>
  </si>
  <si>
    <t>Chiffres en 1000 CHF, AE = Année d'exercice, AE-1 = Exercice précédent</t>
  </si>
  <si>
    <t>Année d'exercice:</t>
  </si>
  <si>
    <t>Affaires Suisses</t>
  </si>
  <si>
    <t>Prév. professionnelle</t>
  </si>
  <si>
    <t>Autres affaires</t>
  </si>
  <si>
    <t>AE</t>
  </si>
  <si>
    <t>AE-1</t>
  </si>
  <si>
    <t>Indic. suppl. pour l'AE</t>
  </si>
  <si>
    <r>
      <t xml:space="preserve">Surobligatoire  </t>
    </r>
    <r>
      <rPr>
        <b/>
        <vertAlign val="superscript"/>
        <sz val="8.5"/>
        <rFont val="Arial"/>
        <family val="2"/>
      </rPr>
      <t>a)</t>
    </r>
  </si>
  <si>
    <t>BIL, 53</t>
  </si>
  <si>
    <t>BIL, 54</t>
  </si>
  <si>
    <t>51a</t>
  </si>
  <si>
    <t>BIL, 55</t>
  </si>
  <si>
    <t>BIL, 57</t>
  </si>
  <si>
    <t>BIL, 60 + 61 + 62</t>
  </si>
  <si>
    <t>BIL, 63</t>
  </si>
  <si>
    <t>BIL, 64</t>
  </si>
  <si>
    <t>BIL, 65 + 66 + 67</t>
  </si>
  <si>
    <t>BIL, 72</t>
  </si>
  <si>
    <t>BIL, 73</t>
  </si>
  <si>
    <t>1.</t>
  </si>
  <si>
    <t>2.</t>
  </si>
  <si>
    <t>CR, 3</t>
  </si>
  <si>
    <t>Prestation globale aux assurés en % du total des primes 
= 228 en % de 234</t>
  </si>
  <si>
    <t>Avoirs de vieillesse, PM des bénéficiaires de rentes et PM 
des polices de libre passage au total</t>
  </si>
  <si>
    <t>Attribution au fonds d'excédents en % de la PM totale
= 225 en % de 236</t>
  </si>
  <si>
    <t>Analyse technique du résultat, Partie 5</t>
  </si>
  <si>
    <t>Etat à la fin de l'exercice précédent</t>
  </si>
  <si>
    <t>Transferts zone verte &lt;--&gt; zone jaune en début d'année</t>
  </si>
  <si>
    <t>Attribution provenant du compte d'exploitation  = 225</t>
  </si>
  <si>
    <t>Prélèvement pour distribution aux preneurs d'assurance  --&gt; voir 249</t>
  </si>
  <si>
    <t>CR, 28</t>
  </si>
  <si>
    <t>CR, 29</t>
  </si>
  <si>
    <t>Utilisation pour couverture du déficit de l'année précédente</t>
  </si>
  <si>
    <t>Dont prévu pour être distribué aux preneurs d'assurance 
au cours de l'année suivante (2007)</t>
  </si>
  <si>
    <t>Deux tiers de l'état en début d'année (pos. 238 + 239) + Attribution (pos. 240)</t>
  </si>
  <si>
    <t>Règle des deux tiers respectée? Sinon veuillez justifier, svp. 
(Prélèvement pos. 241 plus petit ou égal à pos. 245)</t>
  </si>
  <si>
    <t>Distribution directe aux assurés par augmentation de la provision mathématique ou bonification pour compte avec intérêts</t>
  </si>
  <si>
    <t>Autres produits</t>
  </si>
  <si>
    <t>Charges</t>
  </si>
  <si>
    <t>Produit</t>
  </si>
  <si>
    <t>Produit total</t>
  </si>
  <si>
    <t>Autres charges</t>
  </si>
  <si>
    <t>Charges total</t>
  </si>
  <si>
    <t>Distribution à l'institution de prévoyance ou à l'oeuvre de prévoyance
selon décision de l'organe paritaire</t>
  </si>
  <si>
    <t>Hommes</t>
  </si>
  <si>
    <t>Femmes</t>
  </si>
  <si>
    <t>Taux de conversion utilisé dans la partie surobligatoire</t>
  </si>
  <si>
    <t>8.</t>
  </si>
  <si>
    <t>Actualisation du fonds de renchérissement</t>
  </si>
  <si>
    <t>Primes de renchérissement encaissées (incluses dans la pos. 162)</t>
  </si>
  <si>
    <t>Intérêt tarifaire  = 153</t>
  </si>
  <si>
    <t>Prélèvement en faveur du compte d'exploitation (à inclure dans la pos. 171)</t>
  </si>
  <si>
    <t>Etat à la fin de l'année d'exercice
= 250 + 251 + 252 + 253 - 254 - 255</t>
  </si>
  <si>
    <t>Total des primes brutes acquises  = 231 + 232 + 233</t>
  </si>
  <si>
    <t xml:space="preserve">  &lt;&lt;&lt; régler quote-part de distribution</t>
  </si>
  <si>
    <t>Indications sur la structure du portefeuille de la prévoyance professionnelle, Partie 1</t>
  </si>
  <si>
    <t>Nombres de contrats et d'assurés</t>
  </si>
  <si>
    <t xml:space="preserve">Date d'échéance:  </t>
  </si>
  <si>
    <t>Dont:   femmes</t>
  </si>
  <si>
    <t xml:space="preserve">              assurés avec couverture complète dans des fondations collectives</t>
  </si>
  <si>
    <t>Ventilation des contrats (art. 146 nouvelle OS)</t>
  </si>
  <si>
    <t>Nbre de contrats</t>
  </si>
  <si>
    <t>Nbre d'assurés</t>
  </si>
  <si>
    <t>en 1000 CHF</t>
  </si>
  <si>
    <t>en % de pos. 264</t>
  </si>
  <si>
    <r>
      <t xml:space="preserve">dont... </t>
    </r>
    <r>
      <rPr>
        <vertAlign val="superscript"/>
        <sz val="9"/>
        <rFont val="Arial"/>
        <family val="2"/>
      </rPr>
      <t>a)</t>
    </r>
  </si>
  <si>
    <t>Particip. aux exc.</t>
  </si>
  <si>
    <t>Polices de libre passage (PLP)</t>
  </si>
  <si>
    <t>Contrats avec compte de recettes et dépenses</t>
  </si>
  <si>
    <t>Contrats avec formules d'excédents spéciales</t>
  </si>
  <si>
    <t>Contrats avec fonds cantonnés</t>
  </si>
  <si>
    <t>Autres contrats spéciaux  
( colonnes b, c, d:  272 = 262 + 263 - somme 267 à 271 )</t>
  </si>
  <si>
    <r>
      <t>b)</t>
    </r>
    <r>
      <rPr>
        <sz val="8.5"/>
        <rFont val="Arial"/>
        <family val="2"/>
      </rPr>
      <t xml:space="preserve">  Accord: 264c avec la somme 279b + 282b + 319b + 321b + 323b + 325b + 327b + 329b + 331b + 333b + 335b</t>
    </r>
  </si>
  <si>
    <t>Différentiation pour la statistique des caisses de pension</t>
  </si>
  <si>
    <r>
      <t xml:space="preserve">Contrats d'assurance avec Institutions de prévoyance semi-autonomes  </t>
    </r>
    <r>
      <rPr>
        <vertAlign val="superscript"/>
        <sz val="9"/>
        <rFont val="Arial"/>
        <family val="2"/>
      </rPr>
      <t>e)</t>
    </r>
  </si>
  <si>
    <t>Contrats d'assurance n'incluant que couverture de risque et rentes de vieillesse</t>
  </si>
  <si>
    <t>Contrats d'assurance de risque pur sans rentes de vieillesse</t>
  </si>
  <si>
    <t>Portefeuilles de rentes pures</t>
  </si>
  <si>
    <t>Autres contrats (y compris contrats stop loss purs)
( colonnes b, c:  278 = 264 - somme de 273 à 277 )</t>
  </si>
  <si>
    <t>Valeur de rachat</t>
  </si>
  <si>
    <t xml:space="preserve">Indications sur la structure du portefeuille de la prévoyance professionnelle, Partie 2 </t>
  </si>
  <si>
    <t>Autres indications statistiques sur le portefeuille</t>
  </si>
  <si>
    <t>Actifs</t>
  </si>
  <si>
    <t>section à laquelle elles appartiennent. Le texte devient gras et bleu.</t>
  </si>
  <si>
    <r>
      <t xml:space="preserve">Charges pour l'administration générale, y compris la liquidation 
de la provision pour frais de gestion  </t>
    </r>
    <r>
      <rPr>
        <vertAlign val="superscript"/>
        <sz val="9"/>
        <rFont val="Arial"/>
        <family val="2"/>
      </rPr>
      <t>e)</t>
    </r>
  </si>
  <si>
    <t>Actualisation du fonds d'excédents (art. 151 OS)</t>
  </si>
  <si>
    <t>Observation de la règle des deux tiers (art. 153 al. 1 OS)</t>
  </si>
  <si>
    <t>Répartition des parts d'excédents (pos. 241)</t>
  </si>
  <si>
    <r>
      <t xml:space="preserve">Total distribution  = 247 + 248; 
il doit concorder avec position 241 </t>
    </r>
    <r>
      <rPr>
        <b/>
        <vertAlign val="superscript"/>
        <sz val="6.75"/>
        <rFont val="Arial"/>
        <family val="2"/>
      </rPr>
      <t xml:space="preserve"> </t>
    </r>
    <r>
      <rPr>
        <b/>
        <vertAlign val="superscript"/>
        <sz val="9"/>
        <rFont val="Arial"/>
        <family val="2"/>
      </rPr>
      <t>f)</t>
    </r>
  </si>
  <si>
    <r>
      <t xml:space="preserve">Coassurance </t>
    </r>
    <r>
      <rPr>
        <i/>
        <sz val="10"/>
        <rFont val="Arial"/>
        <family val="2"/>
      </rPr>
      <t>sans</t>
    </r>
    <r>
      <rPr>
        <sz val="10"/>
        <rFont val="Arial"/>
        <family val="0"/>
      </rPr>
      <t xml:space="preserve"> conduite du contrat</t>
    </r>
  </si>
  <si>
    <r>
      <t xml:space="preserve">Coassurance </t>
    </r>
    <r>
      <rPr>
        <i/>
        <sz val="10"/>
        <rFont val="Arial"/>
        <family val="2"/>
      </rPr>
      <t>avec</t>
    </r>
    <r>
      <rPr>
        <sz val="10"/>
        <rFont val="Arial"/>
        <family val="0"/>
      </rPr>
      <t xml:space="preserve"> conduite du contrat</t>
    </r>
  </si>
  <si>
    <r>
      <t xml:space="preserve">Contrats qui ne sont </t>
    </r>
    <r>
      <rPr>
        <i/>
        <sz val="10"/>
        <rFont val="Arial"/>
        <family val="2"/>
      </rPr>
      <t>pas</t>
    </r>
    <r>
      <rPr>
        <sz val="10"/>
        <rFont val="Arial"/>
        <family val="0"/>
      </rPr>
      <t xml:space="preserve"> soumis à la quote-part minimum</t>
    </r>
  </si>
  <si>
    <r>
      <t xml:space="preserve">Contrats soumis seulement </t>
    </r>
    <r>
      <rPr>
        <i/>
        <sz val="10"/>
        <rFont val="Arial"/>
        <family val="2"/>
      </rPr>
      <t>partiellement</t>
    </r>
    <r>
      <rPr>
        <sz val="10"/>
        <rFont val="Arial"/>
        <family val="0"/>
      </rPr>
      <t xml:space="preserve"> à la quote-part minimum</t>
    </r>
  </si>
  <si>
    <r>
      <t xml:space="preserve">Contrats </t>
    </r>
    <r>
      <rPr>
        <i/>
        <sz val="10"/>
        <rFont val="Arial"/>
        <family val="2"/>
      </rPr>
      <t>entièrement</t>
    </r>
    <r>
      <rPr>
        <sz val="10"/>
        <rFont val="Arial"/>
        <family val="0"/>
      </rPr>
      <t xml:space="preserve"> soumis à la quote-part minimum sans PLP</t>
    </r>
  </si>
  <si>
    <r>
      <t xml:space="preserve">Prévoyance professionnelle sans PLP  = 261 + 262 + 263   </t>
    </r>
    <r>
      <rPr>
        <vertAlign val="superscript"/>
        <sz val="7.5"/>
        <rFont val="Arial"/>
        <family val="2"/>
      </rPr>
      <t>b)</t>
    </r>
  </si>
  <si>
    <t>Charges pour la gestion de la fortune / Produit net</t>
  </si>
  <si>
    <t>Charges d'intérêt / Produit brut</t>
  </si>
  <si>
    <r>
      <t xml:space="preserve">Prévoyance professionnelle, y compris PLP  = 264 + 265  </t>
    </r>
    <r>
      <rPr>
        <vertAlign val="superscript"/>
        <sz val="10"/>
        <rFont val="Arial"/>
        <family val="2"/>
      </rPr>
      <t>c)</t>
    </r>
  </si>
  <si>
    <t>Frais de gestion par personne en CHF</t>
  </si>
  <si>
    <r>
      <t xml:space="preserve">Contrats spéciaux </t>
    </r>
    <r>
      <rPr>
        <b/>
        <vertAlign val="superscript"/>
        <sz val="8.25"/>
        <rFont val="Arial"/>
        <family val="2"/>
      </rPr>
      <t xml:space="preserve"> </t>
    </r>
    <r>
      <rPr>
        <vertAlign val="superscript"/>
        <sz val="10"/>
        <rFont val="Arial"/>
        <family val="2"/>
      </rPr>
      <t>d)</t>
    </r>
  </si>
  <si>
    <r>
      <t>c)</t>
    </r>
    <r>
      <rPr>
        <vertAlign val="superscript"/>
        <sz val="8.5"/>
        <rFont val="Arial"/>
        <family val="2"/>
      </rPr>
      <t xml:space="preserve">  </t>
    </r>
    <r>
      <rPr>
        <sz val="8.5"/>
        <rFont val="Arial"/>
        <family val="2"/>
      </rPr>
      <t>Accord:  266d avec BIL, 102;  266g avec CR, 28</t>
    </r>
  </si>
  <si>
    <r>
      <t>e)</t>
    </r>
    <r>
      <rPr>
        <sz val="8.5"/>
        <rFont val="Arial"/>
        <family val="2"/>
      </rPr>
      <t xml:space="preserve">  A cette rubrique appartiennent les contrats qui, outre une couverture de risque et l'assurance de rentes, incluent une garantie au moins partielle du taux d'intérêt ou une garantie au moins partielle du taux de conversion.</t>
    </r>
  </si>
  <si>
    <r>
      <t xml:space="preserve">        Renforcement existant pour la partie non financée  </t>
    </r>
    <r>
      <rPr>
        <vertAlign val="superscript"/>
        <sz val="10"/>
        <rFont val="Arial"/>
        <family val="2"/>
      </rPr>
      <t>a)</t>
    </r>
  </si>
  <si>
    <r>
      <t>a)</t>
    </r>
    <r>
      <rPr>
        <vertAlign val="superscript"/>
        <sz val="8.5"/>
        <rFont val="Arial"/>
        <family val="2"/>
      </rPr>
      <t xml:space="preserve">  </t>
    </r>
    <r>
      <rPr>
        <sz val="8.5"/>
        <rFont val="Arial"/>
        <family val="2"/>
      </rPr>
      <t>Cette position n'englobe que le renforcement existant pour la partie non financée des rentes de vieillesse en cours ou différées, garanties par la loi ou par le contrat. Elle est contenue dans la pos. 93 du BILAN.</t>
    </r>
  </si>
  <si>
    <t>Valeur d'acquisition diminuée des amort. néc.</t>
  </si>
  <si>
    <t>Val. indiv. la plus basse d'acquis./compt./de marché**</t>
  </si>
  <si>
    <t>Valeur la plus basse d'acquis./valeur d'actif nette</t>
  </si>
  <si>
    <t>Amort. selon autorité fiscale/droit commercial</t>
  </si>
  <si>
    <t>Valeur d'actif nette si inférieure à la val. d'acquisition</t>
  </si>
  <si>
    <t>Valeur d'actif nette si inférieure à la va. d'acquisition</t>
  </si>
  <si>
    <r>
      <t>b)</t>
    </r>
    <r>
      <rPr>
        <vertAlign val="superscript"/>
        <sz val="8.5"/>
        <rFont val="Arial"/>
        <family val="2"/>
      </rPr>
      <t xml:space="preserve"> </t>
    </r>
    <r>
      <rPr>
        <sz val="8.5"/>
        <rFont val="Arial"/>
        <family val="2"/>
      </rPr>
      <t xml:space="preserve"> L'addition de ces deux postes (392 + 393, colonnes c resp. g) devrait s'accorder dans le bilan avec la somme des positions 56, 58, 59, 68 à 71, 74 et 75 des colonnes e resp f. Sinon le total apparaît </t>
    </r>
    <r>
      <rPr>
        <sz val="8.5"/>
        <color indexed="10"/>
        <rFont val="Arial"/>
        <family val="2"/>
      </rPr>
      <t>sur fonds rouge</t>
    </r>
    <r>
      <rPr>
        <sz val="8.5"/>
        <rFont val="Arial"/>
        <family val="2"/>
      </rPr>
      <t>.</t>
    </r>
  </si>
  <si>
    <r>
      <t xml:space="preserve">    </t>
    </r>
    <r>
      <rPr>
        <sz val="8.5"/>
        <rFont val="Arial"/>
        <family val="2"/>
      </rPr>
      <t xml:space="preserve">Les valeurs dans pos. 393 doivent être entrées avec signe négatif. Sinon le total apparaît </t>
    </r>
    <r>
      <rPr>
        <sz val="8.5"/>
        <color indexed="10"/>
        <rFont val="Arial"/>
        <family val="2"/>
      </rPr>
      <t>sur fonds rouge</t>
    </r>
    <r>
      <rPr>
        <sz val="8.5"/>
        <rFont val="Arial"/>
        <family val="2"/>
      </rPr>
      <t>.</t>
    </r>
  </si>
  <si>
    <r>
      <t>a)</t>
    </r>
    <r>
      <rPr>
        <sz val="8.5"/>
        <rFont val="Arial"/>
        <family val="2"/>
      </rPr>
      <t xml:space="preserve">  L'addition de ces deux postes (379 + 380, colonnes c resp. g) devrait s'accorder dans le bilan avec la somme des positions 56, 58, 59, 68 bis 71, 74 et 75 des colonnes e resp f. Sinon le total apparaît </t>
    </r>
    <r>
      <rPr>
        <sz val="8.5"/>
        <color indexed="10"/>
        <rFont val="Arial"/>
        <family val="2"/>
      </rPr>
      <t>sur fonds rouge</t>
    </r>
    <r>
      <rPr>
        <sz val="8.5"/>
        <rFont val="Arial"/>
        <family val="2"/>
      </rPr>
      <t>.</t>
    </r>
  </si>
  <si>
    <r>
      <t xml:space="preserve">    Les valeurs dans pos. 380 doivent être entrées avec signe négatif. Sinon le total apparaît </t>
    </r>
    <r>
      <rPr>
        <sz val="8.5"/>
        <color indexed="10"/>
        <rFont val="Arial"/>
        <family val="2"/>
      </rPr>
      <t>sur fonds rouge</t>
    </r>
    <r>
      <rPr>
        <sz val="8.5"/>
        <rFont val="Arial"/>
        <family val="2"/>
      </rPr>
      <t>.</t>
    </r>
  </si>
  <si>
    <r>
      <t xml:space="preserve">Autres placements de capitaux  </t>
    </r>
    <r>
      <rPr>
        <vertAlign val="superscript"/>
        <sz val="10"/>
        <rFont val="Arial"/>
        <family val="2"/>
      </rPr>
      <t>a)</t>
    </r>
  </si>
  <si>
    <r>
      <t xml:space="preserve">Instruments financiers dérivés mis au passif </t>
    </r>
    <r>
      <rPr>
        <vertAlign val="superscript"/>
        <sz val="10"/>
        <rFont val="Arial"/>
        <family val="2"/>
      </rPr>
      <t>a)</t>
    </r>
  </si>
  <si>
    <r>
      <t xml:space="preserve">Autres placements de capitaux  </t>
    </r>
    <r>
      <rPr>
        <vertAlign val="superscript"/>
        <sz val="10"/>
        <rFont val="Arial"/>
        <family val="2"/>
      </rPr>
      <t>b)</t>
    </r>
  </si>
  <si>
    <r>
      <t xml:space="preserve">Instruments financiers dérivés mis au passif  </t>
    </r>
    <r>
      <rPr>
        <vertAlign val="superscript"/>
        <sz val="10"/>
        <rFont val="Arial"/>
        <family val="2"/>
      </rPr>
      <t>b)</t>
    </r>
  </si>
  <si>
    <t>Variation des provisions techniques</t>
  </si>
  <si>
    <t>='ANALYSE TECHNIQUE'!Z207S6</t>
  </si>
  <si>
    <r>
      <t>a)</t>
    </r>
    <r>
      <rPr>
        <sz val="8.5"/>
        <rFont val="Arial"/>
        <family val="2"/>
      </rPr>
      <t xml:space="preserve">  avant renforcement des provisions techn. et avant attribution au fonds d'excédents</t>
    </r>
  </si>
  <si>
    <t>=BILAN!Z99S7+BILAN!Z100S7</t>
  </si>
  <si>
    <t>='ANALYSE TECHNIQUE'!Z208S6</t>
  </si>
  <si>
    <t>='ANALYSE TECHNIQUE'!Z211S6</t>
  </si>
  <si>
    <t xml:space="preserve">        Hommes, nombre </t>
  </si>
  <si>
    <t xml:space="preserve">        Hommes, total avoirs de vieillesse en 1000 CHF</t>
  </si>
  <si>
    <t xml:space="preserve">        - dont part surobligatoire en 1000 CHF</t>
  </si>
  <si>
    <t xml:space="preserve">        Femmes, nombre</t>
  </si>
  <si>
    <t xml:space="preserve">        Femmes, total avoirs de vieillesse en 1000 CHF</t>
  </si>
  <si>
    <t xml:space="preserve">        Nombre d'assurés</t>
  </si>
  <si>
    <t xml:space="preserve">        Primes en 1000 CHF</t>
  </si>
  <si>
    <t>Sorties et résiliations de contrats</t>
  </si>
  <si>
    <t xml:space="preserve">        Hommes, nombre</t>
  </si>
  <si>
    <t xml:space="preserve">        - dont sorties à la suite d'une résiliation de contrat</t>
  </si>
  <si>
    <t xml:space="preserve">        Prestations de libre passage (H) en 1000 CHF</t>
  </si>
  <si>
    <t xml:space="preserve">        - dont part à la suite d'une résiliation de contrat en 1000 CHF</t>
  </si>
  <si>
    <t xml:space="preserve">        Prestations de libre passage (F) en 1000 CHF</t>
  </si>
  <si>
    <t>Départ à la retraite</t>
  </si>
  <si>
    <t xml:space="preserve">        - dont ayant opté pour le capital</t>
  </si>
  <si>
    <t xml:space="preserve">        Prestations en capital (H) en 1000 CHF</t>
  </si>
  <si>
    <t xml:space="preserve">        Somme des rentes dans la partie obligatoire (H) en 1000 CHF</t>
  </si>
  <si>
    <t xml:space="preserve">        Somme des rentes dans la partie surobligatoire (H) en 1000 CHF</t>
  </si>
  <si>
    <t xml:space="preserve">        Taux de conversion utilisé dans la partie surobligatoire (H) en pour-cent</t>
  </si>
  <si>
    <t xml:space="preserve">        Prestations en capital (F) en 1000 CHF</t>
  </si>
  <si>
    <t xml:space="preserve">        Somme des rentes dans la partie obligatoire (F) en 1000 CHF</t>
  </si>
  <si>
    <t xml:space="preserve">        Somme des rentes dans la partie surobligatoire (F) en 1000 CHF</t>
  </si>
  <si>
    <t xml:space="preserve">        Taux de conversion utilisé dans la partie surobligatoire (F) en pour-cent</t>
  </si>
  <si>
    <t>Indications sur la structure du portefeuille dans la prévoyance professionnelle, Partie 3</t>
  </si>
  <si>
    <t>Autres indications statistiques sur le portefeuille, suite</t>
  </si>
  <si>
    <t>Décès</t>
  </si>
  <si>
    <t xml:space="preserve">        H, prestations en capital aux survivants en 1000 CHF</t>
  </si>
  <si>
    <t xml:space="preserve">        H, survivants mis au bénéfice de rentes, somme des nouv. rentes en 1000 CHF</t>
  </si>
  <si>
    <t xml:space="preserve">        F, prestations en capital aux survivants en 1000 CHF</t>
  </si>
  <si>
    <t xml:space="preserve">        F, survivants mis au bénéfice de rentes, somme des nouv. rentes en 1000 CHF</t>
  </si>
  <si>
    <t>Cas d'invalidité</t>
  </si>
  <si>
    <t xml:space="preserve">        H, prestations en capital en 1000 CHF</t>
  </si>
  <si>
    <t xml:space="preserve">        Hommes mis au bénéfice de rentes, somme des nouvelles rentes en 1000 CHF</t>
  </si>
  <si>
    <t xml:space="preserve">        F, prestations en capital en 1000 CHF</t>
  </si>
  <si>
    <t xml:space="preserve">        Femmes mises au bénéfice de rentes, somme des nouv. rentes en 1000 CHF</t>
  </si>
  <si>
    <t>Bénéficiaires de rentes</t>
  </si>
  <si>
    <t xml:space="preserve">        Rentes de vieillesse hommes, nombre</t>
  </si>
  <si>
    <t xml:space="preserve">        Rentes de vieillesse hommes, somme annuelle des rentes en 1000 CHF</t>
  </si>
  <si>
    <t xml:space="preserve">        Rentes de vieillesse femmes, nombre</t>
  </si>
  <si>
    <t xml:space="preserve">        Rentes de vieillesse femmes, somme annuelle des rentes en 1000 CHF</t>
  </si>
  <si>
    <t xml:space="preserve">        Rentes de veuves, nombre</t>
  </si>
  <si>
    <t xml:space="preserve">        Rentes de veuves, somme annuelle des rentes en 1000 CHF</t>
  </si>
  <si>
    <t xml:space="preserve">        Rentes de veufs, nombre</t>
  </si>
  <si>
    <t xml:space="preserve">        Rentes de veufs, somme annuelle des rentes en 1000 CHF</t>
  </si>
  <si>
    <t xml:space="preserve">        Rentes d'orphelins, nombre</t>
  </si>
  <si>
    <t xml:space="preserve">        Rentes d'orphelins, somme annuelle des rentes en 1000 CHF</t>
  </si>
  <si>
    <t xml:space="preserve">        Rentes d'invalidité hommes, nombre</t>
  </si>
  <si>
    <t xml:space="preserve">        Rentes d'invalidité hommes, somme annuelle des rentes en 1000 CHF</t>
  </si>
  <si>
    <t xml:space="preserve">        Rentes d'invalidité femmes, nombre</t>
  </si>
  <si>
    <t xml:space="preserve">        Rentes d'invalidité femmes, somme annuelle des rentes en 1000 CHF</t>
  </si>
  <si>
    <t xml:space="preserve">        Rentes d'enfants d'invalides, nombre</t>
  </si>
  <si>
    <t xml:space="preserve">        Rentes d'enfants d'invalides, somme annuelle des rentes en 1000 CHF</t>
  </si>
  <si>
    <t xml:space="preserve">        Autres rentes, nombre</t>
  </si>
  <si>
    <t xml:space="preserve">        Autres rentes, somme annuelle des rentes en 1000 CHF</t>
  </si>
  <si>
    <t>Indications sur la structure du portefeuille dans la prévoyance professionnelle, Partie 4</t>
  </si>
  <si>
    <t>Chiffre limite pour l'application de l'art. 147 al. 2 OS</t>
  </si>
  <si>
    <r>
      <t>a)</t>
    </r>
    <r>
      <rPr>
        <sz val="8.5"/>
        <rFont val="Arial"/>
        <family val="2"/>
      </rPr>
      <t xml:space="preserve">  Les produits des placements de capitaux sont automatiquement répartis en proportion des provisions techniques (Pos. 146).</t>
    </r>
  </si>
  <si>
    <t>Indications spéciales</t>
  </si>
  <si>
    <t>concernant les rentes de vieillesse, de survivants et d'invalidité</t>
  </si>
  <si>
    <t>Indications spéciales concernant les rentes en cours</t>
  </si>
  <si>
    <t xml:space="preserve">        Rentes de vieillesse en cours garanties selon le tarif</t>
  </si>
  <si>
    <t xml:space="preserve">        - dont financées par les provisions mathématiques</t>
  </si>
  <si>
    <t xml:space="preserve">        Rentes de vieillesse d'excédents LPP garanties en cours</t>
  </si>
  <si>
    <t xml:space="preserve">        - dont financées par le compte de résultat courant</t>
  </si>
  <si>
    <t xml:space="preserve">        Autres rentes de vieillesse d'excédents en cours</t>
  </si>
  <si>
    <t xml:space="preserve">        Rentes de survivants en cours</t>
  </si>
  <si>
    <t xml:space="preserve">        Rentes d'invalidité en cours</t>
  </si>
  <si>
    <t>Conversion en rentes lors du départ à la retraite</t>
  </si>
  <si>
    <t>II.  Chiffres du Bilan</t>
  </si>
  <si>
    <t xml:space="preserve">        Perte calculée résultant de la conversion en rentes</t>
  </si>
  <si>
    <t xml:space="preserve">        Perte estimée résultant de la conversion en rentes</t>
  </si>
  <si>
    <t xml:space="preserve">        Besoin estimé de constitution de provisions a posteriori</t>
  </si>
  <si>
    <t xml:space="preserve">        Pos. 347 a-t-elle pu être adaptée selon le plan d'exploitation en 2006 ?</t>
  </si>
  <si>
    <t>Nombre d'assurés total</t>
  </si>
  <si>
    <t>Nombres de bénéficiaires de rentes</t>
  </si>
  <si>
    <t>Nombre d'assurés actifs</t>
  </si>
  <si>
    <t>Primes de frais / Total des primes</t>
  </si>
  <si>
    <t>Valeurs de rachat / Total des prestations</t>
  </si>
  <si>
    <t>en %:</t>
  </si>
  <si>
    <t>Produit des placements de capitaux brut / net</t>
  </si>
  <si>
    <t>Rendement sur valeurs comptables brut / net</t>
  </si>
  <si>
    <t>Rendement sur valeurs de marché brut / net</t>
  </si>
  <si>
    <t>Produit des placements de capitaux</t>
  </si>
  <si>
    <t>Autres / Total intermédiaire</t>
  </si>
  <si>
    <t>Distribué aux institutions de prévoyance / Total intermédiaire</t>
  </si>
  <si>
    <t>Intérêt tarifaire / Total intermédiaire</t>
  </si>
  <si>
    <t>Prélèvement en faveur du compte d'exploitation / Total intermédiaire</t>
  </si>
  <si>
    <t>En pourcent des placements à la valeur de marché</t>
  </si>
  <si>
    <t>Terrains et constructions</t>
  </si>
  <si>
    <t>Méthode scientifique d'amortissement des frais*</t>
  </si>
  <si>
    <t>Valeur la plus basse d'acquisition/valeur d'actif nette</t>
  </si>
  <si>
    <t>Prêts à des entreprises avec lesquelles existe 
un lien de participation</t>
  </si>
  <si>
    <t>Actions et parts de fonds de placement</t>
  </si>
  <si>
    <t>Papiers-valeurs à taux d'intérêt fixe</t>
  </si>
  <si>
    <t>Prêts représentés par un titre et créances 
inscrites dans des livres de dette publiques</t>
  </si>
  <si>
    <t>Dépôts à terme et placements similaires</t>
  </si>
  <si>
    <t>Valeur de marché</t>
  </si>
  <si>
    <t>Actifs corporels</t>
  </si>
  <si>
    <t>Primes de frais par personne en CHF</t>
  </si>
  <si>
    <t>*   réajustements individuels de valeur</t>
  </si>
  <si>
    <t>**  Principe de valeur minimum rigoureux (sans réévaluations)</t>
  </si>
  <si>
    <t>Rendement net des placements de capitaux  = 39 + 41 - 42 - 45</t>
  </si>
  <si>
    <t>Intérêts techniques garantis (sans pos. 151 et 153)</t>
  </si>
  <si>
    <t>=CR!Z18S6+CR!Z29S6+CR!Z31S6</t>
  </si>
  <si>
    <t>*** Principe de valeur minimum</t>
  </si>
  <si>
    <t>Legende des principes d'évaluation</t>
  </si>
  <si>
    <t>Pas d'actifs immatériels activés</t>
  </si>
  <si>
    <t>Amortissement selon plan sur 3 à 5 ans</t>
  </si>
  <si>
    <t>Amortissement selon plan sur 6 à 8 ans</t>
  </si>
  <si>
    <t>Amortissement selon plan sur plus de 8 ans</t>
  </si>
  <si>
    <t>Autre méthode d'évaluation (à commenter)</t>
  </si>
  <si>
    <t>Amortissements acceptés par l'autorité fiscale*</t>
  </si>
  <si>
    <t>Frais d'acquisition sans amortissements*</t>
  </si>
  <si>
    <t>Valeur d'actif nette</t>
  </si>
  <si>
    <t>Valeur d'acquisition selon plan d'amortissements*</t>
  </si>
  <si>
    <t>Valeur nominale*</t>
  </si>
  <si>
    <t>Prêts à des entreprises avec lesquelles existe</t>
  </si>
  <si>
    <t>un lien de participation</t>
  </si>
  <si>
    <t>Val. Indiv. la plus basse d'acquisition/de marché***</t>
  </si>
  <si>
    <t>Valeur d'acquisition</t>
  </si>
  <si>
    <t>Pas de valeur comptable suite à un amortissement direct</t>
  </si>
  <si>
    <t>Val. Indiv. la plus basse d'acquisition/de marché</t>
  </si>
  <si>
    <t>Val. indiv. la plus basse d'acquis./comptable/de marché</t>
  </si>
  <si>
    <t>Méthode linéaire d'amortissement des frais*</t>
  </si>
  <si>
    <t>Méthode mathématique d'évaluation*</t>
  </si>
  <si>
    <t>Prêts représentés par un titre et créances</t>
  </si>
  <si>
    <t>inscrites dans des livres de dette publiques</t>
  </si>
  <si>
    <t>Valeur nominale</t>
  </si>
  <si>
    <t>Prestations d'assurance payées  = 7 + 8 + 9</t>
  </si>
  <si>
    <t>Parts d'excédents distribuées aux preneurs d'ass.</t>
  </si>
  <si>
    <t>Produits des placements de capitaux pour compte propre  
= 33 + 34 - 35 + 36 - 37 + 38</t>
  </si>
  <si>
    <t>Amortissements selon normes internationales</t>
  </si>
  <si>
    <t>Principes d'établissement du bilan pour les actifs immatériels, les placements de capitaux et les placements immobiliers</t>
  </si>
  <si>
    <t>Suisse : Affaires de la Prévoyance professionnelle</t>
  </si>
  <si>
    <t>Choix à disposition</t>
  </si>
  <si>
    <t>Principe de bilan retenu</t>
  </si>
  <si>
    <t>Commentaire (et mention des changem. dès l'année préc.)</t>
  </si>
  <si>
    <t>Schéma de publication aux institutions de prévoyance</t>
  </si>
  <si>
    <t>Exigences minimales de l'OFAP</t>
  </si>
  <si>
    <r>
      <t>Données en 1000 CHF</t>
    </r>
    <r>
      <rPr>
        <sz val="10"/>
        <rFont val="Arial"/>
        <family val="0"/>
      </rPr>
      <t>, d'après la taille de l'entreprise, selon comptabilité statutaire,</t>
    </r>
    <r>
      <rPr>
        <b/>
        <sz val="10"/>
        <rFont val="Arial"/>
        <family val="2"/>
      </rPr>
      <t xml:space="preserve"> feuille remplie automatiquement</t>
    </r>
  </si>
  <si>
    <t>Pré-colonne</t>
  </si>
  <si>
    <t>Col. principale</t>
  </si>
  <si>
    <t>Primes d'épargne</t>
  </si>
  <si>
    <t>Primes de risque.</t>
  </si>
  <si>
    <t>Prestation d'assurance</t>
  </si>
  <si>
    <t>Prestation en cas de vieillesse, de décès ou d'invalidité</t>
  </si>
  <si>
    <t>Frais d'acquisition, de traitement des prestations et de gestion</t>
  </si>
  <si>
    <t>Distribution du sur-rendement selon dispositions individuelles du contrat</t>
  </si>
  <si>
    <t>Participation aux excédents attribuée au fonds d'excédents</t>
  </si>
  <si>
    <t>Attribution du compte d'exploitation au fonds d'excédents</t>
  </si>
  <si>
    <t>Prélevé du fonds d'excédents pour couvrir un déficit du compte d'exploit.</t>
  </si>
  <si>
    <t>Etat à la fin de l'exercice comptable</t>
  </si>
  <si>
    <t>Primes de renchérissement encaissées</t>
  </si>
  <si>
    <t>Charges pour augmentations liées au renchérissement des rentes de risque</t>
  </si>
  <si>
    <t>Etat à la fin de l'année d'exercice</t>
  </si>
  <si>
    <t>Valeur comptable</t>
  </si>
  <si>
    <t>Total des placements de capitaux au début de l'exercice</t>
  </si>
  <si>
    <t>Total des placements de capitaux à la fin de l'exercice</t>
  </si>
  <si>
    <t>Liquidités et dépôts à terme</t>
  </si>
  <si>
    <t>Titres à taux d'intérêt fixe</t>
  </si>
  <si>
    <t>Hypothèques et autres créances nominales</t>
  </si>
  <si>
    <t>Private Equity et Hedge Funds</t>
  </si>
  <si>
    <t>Placements dans des participations et des entreprises liées</t>
  </si>
  <si>
    <t>Immeubles</t>
  </si>
  <si>
    <t>Nombre d'assurés en fin d'exercice</t>
  </si>
  <si>
    <t>Frais</t>
  </si>
  <si>
    <t>Processus d'épargne</t>
  </si>
  <si>
    <t>Processus de risque</t>
  </si>
  <si>
    <t>Processus de frais</t>
  </si>
  <si>
    <t>Somme des charges</t>
  </si>
  <si>
    <t>Somme des composantes de produit</t>
  </si>
  <si>
    <t>Frais pour capital risque supplémentaire</t>
  </si>
  <si>
    <t>Attribution au fonds d'excédents</t>
  </si>
  <si>
    <t>Part des affaires soumises à la quote-part minimum</t>
  </si>
  <si>
    <t>Part des affaires non soumises à la quote-part minimum</t>
  </si>
  <si>
    <t>Part en % du produit total</t>
  </si>
  <si>
    <t>='ANALYSE TECHNIQUE'!Z210S6</t>
  </si>
  <si>
    <t>='ANALYSE TECHNIQUE'!Z81S9/S12</t>
  </si>
  <si>
    <t>='ANALYSE TECHNIQUE'!Z86S9/S12</t>
  </si>
  <si>
    <t>=CR!Z8S6</t>
  </si>
  <si>
    <t>=CR!Z14S6</t>
  </si>
  <si>
    <t>=CR!Z15S6</t>
  </si>
  <si>
    <t>=CR!Z16S6</t>
  </si>
  <si>
    <t>=CR!Z22S6+CR!Z23S6+CR!Z24S6+CR!Z25S6</t>
  </si>
  <si>
    <t>=CR!Z37S6</t>
  </si>
  <si>
    <t>=CR!Z38S6</t>
  </si>
  <si>
    <t>=BILAN!Z37S7</t>
  </si>
  <si>
    <t>=BILAN!Z37S6</t>
  </si>
  <si>
    <t>3.</t>
  </si>
  <si>
    <t>4.</t>
  </si>
  <si>
    <t>5.</t>
  </si>
  <si>
    <t>6.</t>
  </si>
  <si>
    <t>7.</t>
  </si>
  <si>
    <t>380a</t>
  </si>
  <si>
    <t>393a</t>
  </si>
  <si>
    <t>e.</t>
  </si>
  <si>
    <t>Fl</t>
  </si>
  <si>
    <t>c.</t>
  </si>
  <si>
    <t>d.</t>
  </si>
  <si>
    <t>xxx.xxx@xxx.xx</t>
  </si>
  <si>
    <t>b</t>
  </si>
  <si>
    <t>c</t>
  </si>
  <si>
    <t>22a</t>
  </si>
  <si>
    <t>Hedge Funds</t>
  </si>
  <si>
    <t>Private Equity</t>
  </si>
  <si>
    <t>47a</t>
  </si>
  <si>
    <t>108a</t>
  </si>
  <si>
    <t>f</t>
  </si>
  <si>
    <t>d</t>
  </si>
  <si>
    <t>e</t>
  </si>
  <si>
    <t>Bezug:</t>
  </si>
  <si>
    <t>Autres provisions techniques / Total intermédiaire</t>
  </si>
  <si>
    <t>Provisions techniques brutes</t>
  </si>
  <si>
    <t>Total</t>
  </si>
  <si>
    <t>a</t>
  </si>
  <si>
    <t>a.</t>
  </si>
  <si>
    <t>b.</t>
  </si>
  <si>
    <t>BIL, 102</t>
  </si>
  <si>
    <t>BIL, 79</t>
  </si>
  <si>
    <t>Charges du processus d' épargne 
= 150 + 151 + 153 - 154 + 155 - 156 + 157</t>
  </si>
  <si>
    <t>D.</t>
  </si>
  <si>
    <t>BIL, 78</t>
  </si>
  <si>
    <t>BIL, 91 + 92 + 
94 + 96 + 98 + 99</t>
  </si>
  <si>
    <t>BIL, 112 + 113</t>
  </si>
  <si>
    <t>BIL, 106</t>
  </si>
  <si>
    <t>g</t>
  </si>
  <si>
    <t>h</t>
  </si>
  <si>
    <t>i</t>
  </si>
  <si>
    <t>j</t>
  </si>
  <si>
    <t xml:space="preserve">k </t>
  </si>
  <si>
    <t>Primes brutes comptabilisées</t>
  </si>
  <si>
    <t>Primes brutes acquises  = 1 - 2</t>
  </si>
  <si>
    <t>Primes brutes acquises pour compte propre  = 3 - 4</t>
  </si>
  <si>
    <t>Charges pour l'administration générale (brutes)</t>
  </si>
  <si>
    <t xml:space="preserve">   Part des réassureurs dans les frais d'acquisition et administratifs</t>
  </si>
  <si>
    <t>Variation des frais d'acquisition activés (bruts; augmentation = +)</t>
  </si>
  <si>
    <r>
      <t>f)</t>
    </r>
    <r>
      <rPr>
        <sz val="8.5"/>
        <rFont val="Arial"/>
        <family val="2"/>
      </rPr>
      <t xml:space="preserve">  La perte de l'exercice précédent est à reporter à la position 114f (AE-1). Dans l'AE 2004 il n'y a pas eu de perte; la position 29f est donc verrouillée.</t>
    </r>
  </si>
  <si>
    <t>Actifs immatériels</t>
  </si>
  <si>
    <t>Terrains et constructions (y compris immeubles pour propre usage)</t>
  </si>
  <si>
    <t>Placements dans des sociétés immobilières</t>
  </si>
  <si>
    <t>Placements dans des entreprises liées</t>
  </si>
  <si>
    <t>Prêts à des entreprises liées</t>
  </si>
  <si>
    <t>Participations</t>
  </si>
  <si>
    <t>Prêts à des entreprises avec lesquelles existe un lien de participation</t>
  </si>
  <si>
    <t>Prêts à la société mère et aux actionnaires</t>
  </si>
  <si>
    <t>Actions suisses</t>
  </si>
  <si>
    <t>Actions étrangères</t>
  </si>
  <si>
    <t>Parts de fonds de placement</t>
  </si>
  <si>
    <t>Autres papiers-valeurs sans taux d'intérêt fixe</t>
  </si>
  <si>
    <t>Actions propres</t>
  </si>
  <si>
    <t>Papiers-valeurs à taux d'intérêt fixe de débiteurs suisses</t>
  </si>
  <si>
    <t>Papiers-valeurs à taux d'intérêt fixe de débiteurs étrangers en CHF</t>
  </si>
  <si>
    <t>Papiers-valeurs à taux d'intérêt fixe en monnaies étrangères</t>
  </si>
  <si>
    <t>Prêts représentés par un titre et 
créances inscrites dans des livres de dette publiques</t>
  </si>
  <si>
    <t>Créances hypothécaires</t>
  </si>
  <si>
    <t>Prêts sur polices</t>
  </si>
  <si>
    <t>Dépôts à terme et placements de capitaux similaires</t>
  </si>
  <si>
    <t>Liquidités</t>
  </si>
  <si>
    <t>Autres placements de capitaux</t>
  </si>
  <si>
    <t>Comptabilité de la prévoyance professionnelle</t>
  </si>
  <si>
    <t>I.  Compte de résultat</t>
  </si>
  <si>
    <t>Résultat annuel</t>
  </si>
  <si>
    <t>Placements de capitaux</t>
  </si>
  <si>
    <t>Passifs</t>
  </si>
  <si>
    <t>Avoirs de vieillesse</t>
  </si>
  <si>
    <t>Provisions mathématiques des rentes</t>
  </si>
  <si>
    <t>Polices de libre passage</t>
  </si>
  <si>
    <t>III.  Fonds d'excédents</t>
  </si>
  <si>
    <t>IV.  Fonds de renchérissement</t>
  </si>
  <si>
    <t>V.  Autres chiffres indicatifs</t>
  </si>
  <si>
    <t>VI.  Preuves du respect de la quote-part minimum</t>
  </si>
  <si>
    <t>Charges d'intérêt des placements de capitaux</t>
  </si>
  <si>
    <t xml:space="preserve">Total placements de capitaux pour propre compte 
 = Somme de 53 à 75 </t>
  </si>
  <si>
    <t xml:space="preserve">Dont placements de capitaux gérés en tant que "Fonds cantonnés" </t>
  </si>
  <si>
    <r>
      <t>Placements de capitaux pour compte de tiers:</t>
    </r>
    <r>
      <rPr>
        <sz val="10"/>
        <rFont val="Arial"/>
        <family val="2"/>
      </rPr>
      <t xml:space="preserve">
Placements de capitaux pour assurance-vie liée à des participations</t>
    </r>
  </si>
  <si>
    <t>Charges pour placements de capitaux  = 43 + 44</t>
  </si>
  <si>
    <t>Dépôts auprès des entreprises d'assurance cédantes</t>
  </si>
  <si>
    <t>Créances sur des entreprises liées et des participations</t>
  </si>
  <si>
    <t>Autres créances</t>
  </si>
  <si>
    <t>Actifs corporels (sauf terrains et constructions)</t>
  </si>
  <si>
    <t>Autres éléments de fortune</t>
  </si>
  <si>
    <t>Frais d'acquisition activés</t>
  </si>
  <si>
    <t>Autres postes de régularisation (y compris prestations 
d'assurance payées d'avance)</t>
  </si>
  <si>
    <t>Total autres actifs  = Somme de 80 à 86</t>
  </si>
  <si>
    <t>Légende des couleurs des cellules</t>
  </si>
  <si>
    <t>Schéma de publication</t>
  </si>
  <si>
    <t>- rouge, si il n'y a pas concordance (à concorder svp)</t>
  </si>
  <si>
    <t>Le contenu des cellules vertes doit être publié.</t>
  </si>
  <si>
    <t>Institution d'assurance-vie:</t>
  </si>
  <si>
    <t>Nom abrégé:</t>
  </si>
  <si>
    <t>Personne responsable (avec email):</t>
  </si>
  <si>
    <t>Numéro de registre:</t>
  </si>
  <si>
    <t>Année d'exercice (AE):</t>
  </si>
  <si>
    <t>Les cellules à remplir sont de couleur:</t>
  </si>
  <si>
    <t>Variation des autres provisions techniques (augmentation = +)</t>
  </si>
  <si>
    <t xml:space="preserve">   Part des réassureurs à la variation des provisions techniques</t>
  </si>
  <si>
    <t>Total de la variation des provisions techniques (net)  
= 14 + 15 + 16 + 17 - 18</t>
  </si>
  <si>
    <t>Charges d'intérêt et autres charges techniques</t>
  </si>
  <si>
    <t>Variation des provisions techniques décès (augmentation = +)</t>
  </si>
  <si>
    <t>Variation des provisions techniques invalidité (augmentation = +)</t>
  </si>
  <si>
    <t>Total renforcements (+) ou dissolution (-) des provisions techniques
= 199 + 200 + 201 + 202 + 203 + 204 + 205 + 206</t>
  </si>
  <si>
    <t>Alimentation des provisions techniques 
selon le plan d'exploitation  = 209 (si positif)</t>
  </si>
  <si>
    <t>Dissolution de provisions techniques 
selon le plan d'exploitation  = 209 (si négatif) + 212</t>
  </si>
  <si>
    <t>Provisions techniques (servent de clé de répartition)</t>
  </si>
  <si>
    <t>Charges du processus de frais  = 178 + 179 + 181 - 181a</t>
  </si>
  <si>
    <t>Etat à la fin de l'année d'exercice  
= 238 + 239 + 240 - 241 + 241a - 242</t>
  </si>
  <si>
    <r>
      <t xml:space="preserve">Provisions techniques pour la partie épargne 
des assurances-vie liées à des participations </t>
    </r>
    <r>
      <rPr>
        <vertAlign val="superscript"/>
        <sz val="8.5"/>
        <rFont val="Arial"/>
        <family val="2"/>
      </rPr>
      <t xml:space="preserve"> d)</t>
    </r>
  </si>
  <si>
    <t>Sous-total provisions techniques 1 
= Somme 91 à 101</t>
  </si>
  <si>
    <t>Autres provisions techniques (brutes)</t>
  </si>
  <si>
    <t>157+172=CR, 11</t>
  </si>
  <si>
    <t>Total des provisions techniques (nettes de réassurance)
=    102 - 103 
   + 104 - 105 
   + 106 + 107 + 108 + 109 + 111 - 115</t>
  </si>
  <si>
    <r>
      <t xml:space="preserve">c) </t>
    </r>
    <r>
      <rPr>
        <sz val="8.5"/>
        <rFont val="Arial"/>
        <family val="2"/>
      </rPr>
      <t xml:space="preserve"> Prévoyance professionnelle uniquement: Par sur-rendement il faut entendre, sous condition que le preneur d'assurance assume le risque de placement, la partie des produits des placements générée des rendements supérieurs au taux technique.</t>
    </r>
  </si>
  <si>
    <t xml:space="preserve">     Prévoyance professionnelle: Les excédents doivent être distribuées par l'intermédiaire du fonds d'excédents à moins qu'il s'agisse de l'obligation contractuelle visant le sur-rendement (art. 152, nouvelle OS).</t>
  </si>
  <si>
    <t>Bénéfices moins pertes sur réalisations (+ = bénéfice)</t>
  </si>
  <si>
    <r>
      <t xml:space="preserve">e)  </t>
    </r>
    <r>
      <rPr>
        <sz val="8.5"/>
        <rFont val="Arial"/>
        <family val="2"/>
      </rPr>
      <t>Le prélèvement sur le fonds d'excédents doit correspondre exactement à la somme des parts d'excédents créditées aux preneurs d'assurance et du montant utilisé pour la couverture du déficit de l'année précedente, autrement dit 27 = 28 + 29.</t>
    </r>
  </si>
  <si>
    <t>Résultat de l'exécution du principe de la porte à tambour 
selon art. 16a OPP</t>
  </si>
  <si>
    <t>Total Actifs  = 52 + 79 + 87</t>
  </si>
  <si>
    <r>
      <t xml:space="preserve">b) </t>
    </r>
    <r>
      <rPr>
        <i/>
        <sz val="10"/>
        <rFont val="Arial"/>
        <family val="2"/>
      </rPr>
      <t>Dont PM pour les rentes de vieillesse LPP en cours</t>
    </r>
  </si>
  <si>
    <r>
      <t>e)</t>
    </r>
    <r>
      <rPr>
        <sz val="8.5"/>
        <rFont val="Arial"/>
        <family val="2"/>
      </rPr>
      <t xml:space="preserve"> </t>
    </r>
    <r>
      <rPr>
        <sz val="10"/>
        <rFont val="Arial"/>
        <family val="2"/>
      </rPr>
      <t xml:space="preserve"> </t>
    </r>
    <r>
      <rPr>
        <sz val="8.5"/>
        <rFont val="Arial"/>
        <family val="2"/>
      </rPr>
      <t>Estimations autorisées en cas de manque de données exactes</t>
    </r>
  </si>
  <si>
    <r>
      <t xml:space="preserve">c) </t>
    </r>
    <r>
      <rPr>
        <sz val="10"/>
        <rFont val="Arial"/>
        <family val="2"/>
      </rPr>
      <t xml:space="preserve"> </t>
    </r>
    <r>
      <rPr>
        <sz val="8.5"/>
        <rFont val="Arial"/>
        <family val="2"/>
      </rPr>
      <t>A ces renforcements appartiennent tant les déficits de couverture dus aux conversions en rentes que le besoin de provisions ultérieures résultant de l'amélioration de la mortalité des rentiers.</t>
    </r>
  </si>
  <si>
    <r>
      <t>d)</t>
    </r>
    <r>
      <rPr>
        <sz val="8.5"/>
        <rFont val="Arial"/>
        <family val="2"/>
      </rPr>
      <t xml:space="preserve"> </t>
    </r>
    <r>
      <rPr>
        <sz val="10"/>
        <rFont val="Arial"/>
        <family val="2"/>
      </rPr>
      <t xml:space="preserve"> </t>
    </r>
    <r>
      <rPr>
        <sz val="8.5"/>
        <rFont val="Arial"/>
        <family val="2"/>
      </rPr>
      <t>Provisions techniques calculées individuellement; sont également à inclure les provisions mathématiques pour les plans à primauté de prestations.</t>
    </r>
  </si>
  <si>
    <r>
      <t xml:space="preserve">Report de perte à charge de la participation aux excédents  </t>
    </r>
    <r>
      <rPr>
        <vertAlign val="superscript"/>
        <sz val="10"/>
        <rFont val="Arial"/>
        <family val="2"/>
      </rPr>
      <t>f)</t>
    </r>
  </si>
  <si>
    <t xml:space="preserve">   Part des réassureurs aux lignes 108a et 111 à 114</t>
  </si>
  <si>
    <r>
      <t>f)</t>
    </r>
    <r>
      <rPr>
        <sz val="8.5"/>
        <rFont val="Arial"/>
        <family val="2"/>
      </rPr>
      <t xml:space="preserve">  Selon l'art. 150 OS lit. c; le report de perte ne doit pas excéder la partie libre du fonds d'excédents et peut être compensé dans l'année suivante avec le fonds d'excédents; il est toujours négatif.</t>
    </r>
  </si>
  <si>
    <r>
      <t xml:space="preserve">Bénéfices moins pertes sur réalisations (+ = bénéfice)  </t>
    </r>
    <r>
      <rPr>
        <vertAlign val="superscript"/>
        <sz val="9"/>
        <rFont val="Arial"/>
        <family val="2"/>
      </rPr>
      <t>a)</t>
    </r>
  </si>
  <si>
    <r>
      <t xml:space="preserve">Produits des placements de capitaux  </t>
    </r>
    <r>
      <rPr>
        <vertAlign val="superscript"/>
        <sz val="9"/>
        <rFont val="Arial"/>
        <family val="2"/>
      </rPr>
      <t>a)</t>
    </r>
  </si>
  <si>
    <r>
      <t xml:space="preserve">Plus-values (+) moins amortissements (-)  </t>
    </r>
    <r>
      <rPr>
        <vertAlign val="superscript"/>
        <sz val="9"/>
        <rFont val="Arial"/>
        <family val="2"/>
      </rPr>
      <t>a)</t>
    </r>
  </si>
  <si>
    <r>
      <t xml:space="preserve">Résultat monétaire sur les placements de capitaux (+ = bénéfice)  </t>
    </r>
    <r>
      <rPr>
        <vertAlign val="superscript"/>
        <sz val="9"/>
        <rFont val="Arial"/>
        <family val="2"/>
      </rPr>
      <t>a)</t>
    </r>
  </si>
  <si>
    <r>
      <t xml:space="preserve">Produits des placements pour contrats liés à des participations  </t>
    </r>
    <r>
      <rPr>
        <vertAlign val="superscript"/>
        <sz val="9"/>
        <rFont val="Arial"/>
        <family val="2"/>
      </rPr>
      <t>a)</t>
    </r>
  </si>
  <si>
    <r>
      <t xml:space="preserve">Charges pour la gestion des placements de capitaux </t>
    </r>
    <r>
      <rPr>
        <vertAlign val="superscript"/>
        <sz val="6.75"/>
        <rFont val="Arial"/>
        <family val="2"/>
      </rPr>
      <t xml:space="preserve"> </t>
    </r>
    <r>
      <rPr>
        <vertAlign val="superscript"/>
        <sz val="9"/>
        <rFont val="Arial"/>
        <family val="2"/>
      </rPr>
      <t>a)</t>
    </r>
  </si>
  <si>
    <r>
      <t xml:space="preserve">Intérêts passifs  </t>
    </r>
    <r>
      <rPr>
        <vertAlign val="superscript"/>
        <sz val="9"/>
        <rFont val="Arial"/>
        <family val="2"/>
      </rPr>
      <t>a)</t>
    </r>
  </si>
  <si>
    <t>Processus d'épargne (art. 143 OS)</t>
  </si>
  <si>
    <t>La règle particulière selon l'art. 147 de l'OS est-elle active? 
(Condition:  ligne 147  &gt;=  6%  &amp;  ligne 148  &lt;=  2/3 de la ligne 147)</t>
  </si>
  <si>
    <r>
      <t>c)</t>
    </r>
    <r>
      <rPr>
        <sz val="8.5"/>
        <rFont val="Arial"/>
        <family val="2"/>
      </rPr>
      <t xml:space="preserve">  Résultat de liquidation, frais de versement et de liquidation pour les rentes en cours de vieillesse et d'enfants de pensionnés</t>
    </r>
  </si>
  <si>
    <r>
      <t xml:space="preserve">Charges pour produits des placements de capitaux
individuellement attribués aux contrats  </t>
    </r>
    <r>
      <rPr>
        <vertAlign val="superscript"/>
        <sz val="9"/>
        <rFont val="Arial"/>
        <family val="2"/>
      </rPr>
      <t>b)</t>
    </r>
  </si>
  <si>
    <t>Processus de risque (art. 144 OS)</t>
  </si>
  <si>
    <t>Suite processus de risque (art. 144 OS)</t>
  </si>
  <si>
    <t>Résultat de la réassurance 
(bénéfice = +, perte = -)</t>
  </si>
  <si>
    <t>Processus de frais (art. 145 OS)</t>
  </si>
  <si>
    <t>Résultat de la réassurance (gain = +)</t>
  </si>
  <si>
    <t>Processus d'épargne (Produits des placements de capitaux)</t>
  </si>
  <si>
    <t>Processus de risque (Primes de risque)</t>
  </si>
  <si>
    <t>Processus de frais (Primes de frais)</t>
  </si>
  <si>
    <t>Quote-part de distribution</t>
  </si>
  <si>
    <r>
      <t>a)</t>
    </r>
    <r>
      <rPr>
        <sz val="8.5"/>
        <rFont val="Arial"/>
        <family val="2"/>
      </rPr>
      <t xml:space="preserve">  dont soumis à la quote-part minimum (en 1000 CHF)</t>
    </r>
  </si>
  <si>
    <t>Contrats d'assurance à couverture complète</t>
  </si>
  <si>
    <t>Total placements de capitaux pour propre compte 
et pour tiers  = 76 + 78</t>
  </si>
  <si>
    <t/>
  </si>
  <si>
    <t>Renforcement (= +; selon art. 149 al. 1 lit. a OS) ou 
dissolution (= -; selon art. 149 al. 2 resp. 150 lit. a OS) 
des provisions techniques prévues par le plan d'exploitation pour:</t>
  </si>
  <si>
    <t>Procédure en cas de solde total positif (art. 149 OS)</t>
  </si>
  <si>
    <t>Procédure en cas de solde total négatif (art. 150 OS)</t>
  </si>
  <si>
    <t>143a</t>
  </si>
  <si>
    <t>Fonds de renchérissement</t>
  </si>
  <si>
    <t>Provisions techniques incl. fonds de rencherissement</t>
  </si>
  <si>
    <t xml:space="preserve">    Les prélèvements du fonds de renchérissement (pos. 255) sont à inclure dans la pos. 171, résultat de liquidation.</t>
  </si>
  <si>
    <r>
      <t>e)</t>
    </r>
    <r>
      <rPr>
        <sz val="8.5"/>
        <rFont val="Arial"/>
        <family val="2"/>
      </rPr>
      <t xml:space="preserve">  Sans les frais de placement et de gestion des placements de capitaux et sans les frais de versement et de liquidation des rentes en cours</t>
    </r>
  </si>
  <si>
    <t xml:space="preserve">  &lt;&lt; Régler sous pos. 226 svp !</t>
  </si>
  <si>
    <r>
      <t xml:space="preserve">Quote-part de distribution (au moins 90% = Quote-part minimum); </t>
    </r>
    <r>
      <rPr>
        <b/>
        <sz val="6.75"/>
        <color indexed="12"/>
        <rFont val="Arial"/>
        <family val="2"/>
      </rPr>
      <t>svp régler sous pos. 226</t>
    </r>
  </si>
  <si>
    <t>An cas de solde total positif et avec l'accord de l'OFAP: 
frais pour capital risque</t>
  </si>
  <si>
    <t>Frais pour capital risque supplémentaire (art. 149 al. 1 lit. b et al. 3 OS)</t>
  </si>
  <si>
    <t>Solde total restant (négatif ou nul)
= 197 + 212</t>
  </si>
  <si>
    <t>Dissolution (+) de provisions techniques prévue par le plan d'exploitation</t>
  </si>
  <si>
    <t>Renforcement (+) ou dissolution (-) des provisions techniques prévu par le plan d'exploitation
(Renforcement limité au solde total restant non négatif)</t>
  </si>
  <si>
    <t>Attribution au fonds d'excédents en faveur des preneurs 
d'assurance (art. 149 al. 1 lit. c OS)</t>
  </si>
  <si>
    <t xml:space="preserve"> Quote-part de distribution (pos. 184):  </t>
  </si>
  <si>
    <t>D.  Cas particuliers selon art. 146 OS:  Attribution ou prélèvement du fonds d'excédents selon réglementation contractuelle et plan d'exploitation</t>
  </si>
  <si>
    <t>Si le déficit est plus élevé, la partie excédentaire doit être couverte par des fonds propres (art. 150 lit. d OS). Dans ce cas il faut consulter l'OFAP.</t>
  </si>
  <si>
    <t>Un éventuel déficit ne peut être reporté à nouveau qu'à concurrence du fonds d'excédents disponible au maximum (art. 150 lit. c OS).</t>
  </si>
  <si>
    <t xml:space="preserve">Vert = OK, Rouge = NON ok:  </t>
  </si>
  <si>
    <t>Engagements de rang postérieur et capital hybride</t>
  </si>
  <si>
    <t>PM (brutes) - Rentes de survivants en cours (renforcements) *</t>
  </si>
  <si>
    <t>PM (brutes) - Rentes d'invalidité en cours (renforcements) *</t>
  </si>
  <si>
    <r>
      <t xml:space="preserve">PM (brutes) - Avoirs de vieillesse * </t>
    </r>
    <r>
      <rPr>
        <vertAlign val="superscript"/>
        <sz val="8.5"/>
        <rFont val="Arial"/>
        <family val="2"/>
      </rPr>
      <t xml:space="preserve"> a)  d)</t>
    </r>
  </si>
  <si>
    <r>
      <t xml:space="preserve">PM (brutes) - Rentes de vieillesse en cours *  </t>
    </r>
    <r>
      <rPr>
        <vertAlign val="superscript"/>
        <sz val="8.5"/>
        <rFont val="Arial"/>
        <family val="2"/>
      </rPr>
      <t>b)  d)</t>
    </r>
  </si>
  <si>
    <r>
      <t xml:space="preserve">PM (brutes) - Rentes de vieillesse en cours (renforcements) *  </t>
    </r>
    <r>
      <rPr>
        <vertAlign val="superscript"/>
        <sz val="8.5"/>
        <rFont val="Arial"/>
        <family val="2"/>
      </rPr>
      <t>c)</t>
    </r>
  </si>
  <si>
    <r>
      <t xml:space="preserve">PM (brutes) - Rentes de survivants en cours * </t>
    </r>
    <r>
      <rPr>
        <vertAlign val="superscript"/>
        <sz val="8.5"/>
        <rFont val="Arial"/>
        <family val="2"/>
      </rPr>
      <t xml:space="preserve"> d) </t>
    </r>
  </si>
  <si>
    <r>
      <t xml:space="preserve">PM (brutes) - Rentes d'invalidité en cours * </t>
    </r>
    <r>
      <rPr>
        <vertAlign val="superscript"/>
        <sz val="8.5"/>
        <rFont val="Arial"/>
        <family val="2"/>
      </rPr>
      <t xml:space="preserve"> d)</t>
    </r>
  </si>
  <si>
    <r>
      <t xml:space="preserve">PM (brutes) - Polices de libre passage *  </t>
    </r>
    <r>
      <rPr>
        <vertAlign val="superscript"/>
        <sz val="8.5"/>
        <rFont val="Arial"/>
        <family val="2"/>
      </rPr>
      <t>d)</t>
    </r>
  </si>
  <si>
    <t>PM (brutes) pour les autres branches d'assurance *</t>
  </si>
  <si>
    <t>Provision pour sinistres survenus mais 
non encore liquidés (brute) *</t>
  </si>
  <si>
    <t xml:space="preserve">   Part des réassureurs au sous-total 1, ligne 102</t>
  </si>
  <si>
    <t>Report de primes (brut)</t>
  </si>
  <si>
    <t xml:space="preserve">   Part des réassureurs à la ligne 104</t>
  </si>
  <si>
    <t>Fonds de renchérissement (brut)</t>
  </si>
  <si>
    <t>Charges pour la gestion de la fortune</t>
  </si>
  <si>
    <t>PM (Brut) - Autres renforcements</t>
  </si>
  <si>
    <t>Provisions pour fluctuations légales (brutes)</t>
  </si>
  <si>
    <t>Frais occasionnés par le traitement des prestations</t>
  </si>
  <si>
    <t>Parts d'excédents créditées aux assurés (brutes)</t>
  </si>
  <si>
    <t>241a</t>
  </si>
  <si>
    <t>Gains ou pertes de changes sur les monnaies étrangères</t>
  </si>
  <si>
    <t>Compte de résultat  -  Partie 2</t>
  </si>
  <si>
    <t>Nouvelles entrées</t>
  </si>
  <si>
    <t xml:space="preserve">   Part des réassureurs aux lignes 106 à 109 et 111</t>
  </si>
  <si>
    <t>Report  = 89 + 90 + 116</t>
  </si>
  <si>
    <t>*  Dont géré en tant que "Fonds cantonnés" (total)</t>
  </si>
  <si>
    <r>
      <t>a)</t>
    </r>
    <r>
      <rPr>
        <i/>
        <sz val="10"/>
        <rFont val="Arial"/>
        <family val="2"/>
      </rPr>
      <t xml:space="preserve"> Dont avoir de vieillesse minimum selon calcul virtuel LPP</t>
    </r>
  </si>
  <si>
    <t>Capital propre comptabilisé (selon directive)</t>
  </si>
  <si>
    <t>Report  = 117</t>
  </si>
  <si>
    <t>Fonds d'excédents (brut): distribution ferme</t>
  </si>
  <si>
    <t>Fonds d'excédents (brut): partie libre</t>
  </si>
  <si>
    <t>Provisions pour impôts</t>
  </si>
  <si>
    <t>Autres provisions</t>
  </si>
  <si>
    <t>Dettes envers des preneurs d'assurance</t>
  </si>
  <si>
    <t>Dépôts de primes et primes payées d'avance</t>
  </si>
  <si>
    <t>Emprunts obligataires convertibles</t>
  </si>
  <si>
    <t>Emprunts obligataires non convertibles</t>
  </si>
  <si>
    <t>Prêts d'entreprises liées et de participations</t>
  </si>
  <si>
    <t>Dettes envers des entreprises liées et envers des participations</t>
  </si>
  <si>
    <t>Autres dettes</t>
  </si>
  <si>
    <t xml:space="preserve">Comptes de régularisation </t>
  </si>
  <si>
    <t>Total Passifs  = 121 + 133</t>
  </si>
  <si>
    <t>Bilan -  Actifs</t>
  </si>
  <si>
    <t>+/- en %</t>
  </si>
  <si>
    <t>Bilan  -  Passifs  -  Partie 1</t>
  </si>
  <si>
    <t>Bilan  -  Passifs  -  Partie 2</t>
  </si>
  <si>
    <r>
      <t xml:space="preserve">Surobligatoire  </t>
    </r>
    <r>
      <rPr>
        <b/>
        <vertAlign val="superscript"/>
        <sz val="10"/>
        <rFont val="Arial"/>
        <family val="2"/>
      </rPr>
      <t>e</t>
    </r>
    <r>
      <rPr>
        <b/>
        <vertAlign val="superscript"/>
        <sz val="8.5"/>
        <rFont val="Arial"/>
        <family val="2"/>
      </rPr>
      <t>)</t>
    </r>
  </si>
  <si>
    <t>Analyse technique du résultat, Partie 1</t>
  </si>
  <si>
    <t>Accorder avec</t>
  </si>
  <si>
    <t>la position</t>
  </si>
  <si>
    <t>Prévoyance professionnelle</t>
  </si>
  <si>
    <t>Soumise à la quote-part minimum</t>
  </si>
  <si>
    <t>Non soumise à la quote-part minimum</t>
  </si>
  <si>
    <t>AE-2</t>
  </si>
  <si>
    <t>Produit du processus d'épargne (composante épargne)
= 135 + 136 + 137 + 138 + 139 - 140 - 141</t>
  </si>
  <si>
    <t>Taux d'intérêt minimum LPP</t>
  </si>
  <si>
    <t xml:space="preserve">   Oui: Quote-part minimum basée sur résultat
   Non: Quote-part minimum basée sur produit</t>
  </si>
  <si>
    <t>CR, 25</t>
  </si>
  <si>
    <t>CR, 33</t>
  </si>
  <si>
    <t>CR, 34 - 35</t>
  </si>
  <si>
    <t>CR, 36 - 37</t>
  </si>
  <si>
    <t>CR, 38</t>
  </si>
  <si>
    <t>CR, 41</t>
  </si>
  <si>
    <t>CR, 43 + 44</t>
  </si>
  <si>
    <t>CR, 42</t>
  </si>
  <si>
    <t>Charges pour l'intérêt tarifaire sur le fonds de renchérissement (=Pos. 253)</t>
  </si>
  <si>
    <t>Charges pour parts de rentes garanties mais non encore financées</t>
  </si>
  <si>
    <r>
      <t xml:space="preserve">Résultat de liquidation du processus d'épargne (+ = bénéfice)  </t>
    </r>
    <r>
      <rPr>
        <vertAlign val="superscript"/>
        <sz val="9"/>
        <rFont val="Arial"/>
        <family val="2"/>
      </rPr>
      <t>c)</t>
    </r>
  </si>
  <si>
    <r>
      <t xml:space="preserve">Frais de versement et de liquid. des rentes du processus d'épargne  </t>
    </r>
    <r>
      <rPr>
        <vertAlign val="superscript"/>
        <sz val="9"/>
        <rFont val="Arial"/>
        <family val="2"/>
      </rPr>
      <t>c)</t>
    </r>
  </si>
  <si>
    <r>
      <t>b)</t>
    </r>
    <r>
      <rPr>
        <sz val="8.5"/>
        <rFont val="Arial"/>
        <family val="2"/>
      </rPr>
      <t xml:space="preserve">  Dans cette position, comptabiliser l'ensemble des produits des placements attribués au contrat. Il ne s'agit ici que des contrats collectifs pour lesquels le preneur d'assurance assume le risque.</t>
    </r>
  </si>
  <si>
    <t>Résultat du processus d'épargne  = 142 - 158</t>
  </si>
  <si>
    <t>Primes de risque décès</t>
  </si>
  <si>
    <t>Primes de risque invalidité</t>
  </si>
  <si>
    <r>
      <t xml:space="preserve">Primes de risque autres risques assurés  </t>
    </r>
    <r>
      <rPr>
        <vertAlign val="superscript"/>
        <sz val="6.75"/>
        <rFont val="Arial"/>
        <family val="2"/>
      </rPr>
      <t>d)</t>
    </r>
  </si>
  <si>
    <t>Produit du processus de risque (composante risque)
= 160 + 161 + 162</t>
  </si>
  <si>
    <r>
      <t>d)</t>
    </r>
    <r>
      <rPr>
        <sz val="8.5"/>
        <rFont val="Arial"/>
        <family val="2"/>
      </rPr>
      <t xml:space="preserve">  Y compris les primes d'adaptation des rentes de risque LPP au renchérissement selon pos. 252</t>
    </r>
  </si>
  <si>
    <t>Prestations d'assurances décès</t>
  </si>
  <si>
    <t>Report = 164</t>
  </si>
  <si>
    <t>Analyse technique du résultat, Partie 2</t>
  </si>
  <si>
    <t>Report = 165</t>
  </si>
  <si>
    <t>Prestations d'assurance invalidité</t>
  </si>
  <si>
    <r>
      <t xml:space="preserve">Résultat de liquidation du processus de risque (bénéfice = +) </t>
    </r>
    <r>
      <rPr>
        <vertAlign val="superscript"/>
        <sz val="6.75"/>
        <rFont val="Arial"/>
        <family val="2"/>
      </rPr>
      <t xml:space="preserve"> d)</t>
    </r>
  </si>
  <si>
    <r>
      <t xml:space="preserve">Frais de versement et de liquid. des rentes du processus de risque  </t>
    </r>
    <r>
      <rPr>
        <vertAlign val="superscript"/>
        <sz val="6.75"/>
        <rFont val="Arial"/>
        <family val="2"/>
      </rPr>
      <t>d)</t>
    </r>
  </si>
  <si>
    <t>Charges du processus de risque
= 166 + 167 + 168 + 169 - 171 + 172 - 173</t>
  </si>
  <si>
    <t>Résultat du processus de risque  = 163 - 174</t>
  </si>
  <si>
    <t>Primes de frais</t>
  </si>
  <si>
    <t>Produit du processus de frais (composante frais)
= 176</t>
  </si>
  <si>
    <t>CR, 20</t>
  </si>
  <si>
    <t>CR, 22</t>
  </si>
  <si>
    <t>Frais d'acquisition</t>
  </si>
  <si>
    <t>Provisions pour fluctuations libres (brutes)</t>
  </si>
  <si>
    <t>Total autres engagements  
= 108a + 112 + 113 - 114 - 115 + somme de 122 à 132</t>
  </si>
  <si>
    <r>
      <t>f)</t>
    </r>
    <r>
      <rPr>
        <sz val="9"/>
        <rFont val="Arial"/>
        <family val="0"/>
      </rPr>
      <t xml:space="preserve">   </t>
    </r>
    <r>
      <rPr>
        <sz val="8.5"/>
        <rFont val="Arial"/>
        <family val="0"/>
      </rPr>
      <t>Si 241 et 249 ne correspondent pas, l'arrière-plan des colonnes 4 (AE) et 5 (AE-1) devient rouge. Prière de veiller à faire correspondre, svp.</t>
    </r>
  </si>
  <si>
    <t xml:space="preserve">Compagnie d'assurance sur la vie:  </t>
  </si>
  <si>
    <t>Dettes pour les dépôts reçus des réassureurs pour
les affaires cédées en réassurance</t>
  </si>
  <si>
    <t>Solde des autres postes du compte de résultat (Solde perdant = +)</t>
  </si>
  <si>
    <t>Résultat du processus de frais  = 177 - 182</t>
  </si>
  <si>
    <t>Quote-part de distribution et son utilisation, ventilée par composante (art. 147 et 148 nouvelle OS)</t>
  </si>
  <si>
    <t>Solde du processus d'épargne</t>
  </si>
  <si>
    <t>Composante épargne  = 142</t>
  </si>
  <si>
    <t>Quote-part de distribution x composante épargne  = 184 x 185</t>
  </si>
  <si>
    <t>Charges du processus d'épargne  = 158</t>
  </si>
  <si>
    <t>Solde du processus d'épargne  = (186 resp. 185) - 187</t>
  </si>
  <si>
    <t>Prélèvement en faveur des augmentations liées au renchérissement des rentes de risque (incluses dans les pos. 164, 167, 168 et 169)</t>
  </si>
  <si>
    <t>Placem. dans des entreprises liées</t>
  </si>
  <si>
    <t>Solde du processus de risque</t>
  </si>
  <si>
    <t>Composante risque  = 163</t>
  </si>
  <si>
    <t>Quote-part de distribution x composante risque  = 184 x 189</t>
  </si>
  <si>
    <t>Charges du processus de risque  = 174</t>
  </si>
  <si>
    <t>Solde du processus de risque  = (190 resp. 189) - 191</t>
  </si>
  <si>
    <t>Solde du processus de frais</t>
  </si>
  <si>
    <t>Composante frais  = 177</t>
  </si>
  <si>
    <t>Quote-part de distribution x composante frais  = 184 x 193</t>
  </si>
  <si>
    <t>Analyse technique du résultat, Partie 3</t>
  </si>
  <si>
    <t>Charges du processus de frais  = 182</t>
  </si>
  <si>
    <t>Solde du processus de frais  = (194 resp. 193) - 195</t>
  </si>
  <si>
    <t>Somme des soldes des processus d'épargne, de risque et de frais  
= 188 + 192 + 196  (= Solde total)</t>
  </si>
  <si>
    <t>Le risque de longévité pour les rentes de vieillesse (ch. 1)</t>
  </si>
  <si>
    <t>Lacunes de couverture en cas de conversion en rentes (ch. 2)</t>
  </si>
  <si>
    <t>Sinistres annoncés mais non encore liquidés, 
y compris renforcements de PM pour 
rentes d'invalidité et de survivants (ch. 3)</t>
  </si>
  <si>
    <t>Sinistres survenus mais non encore annoncés (IBNR, ch. 4)</t>
  </si>
  <si>
    <t>Fluctuations de sinistres (ch. 5)</t>
  </si>
  <si>
    <t>Fluctuations de la valeur des placements de capitaux (ch. 6)</t>
  </si>
  <si>
    <t>Garanties d'intérêt (ch. 7)</t>
  </si>
  <si>
    <t>Adaptations et assainissements des tarifs (ch. 8)</t>
  </si>
  <si>
    <t>Solde total positif?</t>
  </si>
  <si>
    <t>Renforcement de provisions insuffisantes ou dissolution de provisions devenues superflues (pos. 207)</t>
  </si>
  <si>
    <t>Solde total restant (positif ou nul)
= 197 - 208 - 209</t>
  </si>
  <si>
    <t>Solde total négatif?</t>
  </si>
  <si>
    <t>Dissolution de provisions devenues superflues (pos. 207)</t>
  </si>
  <si>
    <t>Autres placements de capitaux / Total intermédiaire</t>
  </si>
</sst>
</file>

<file path=xl/styles.xml><?xml version="1.0" encoding="utf-8"?>
<styleSheet xmlns="http://schemas.openxmlformats.org/spreadsheetml/2006/main">
  <numFmts count="59">
    <numFmt numFmtId="5" formatCode="&quot;SFr.&quot;\ #,##0;&quot;SFr.&quot;\ \-#,##0"/>
    <numFmt numFmtId="6" formatCode="&quot;SFr.&quot;\ #,##0;[Red]&quot;SFr.&quot;\ \-#,##0"/>
    <numFmt numFmtId="7" formatCode="&quot;SFr.&quot;\ #,##0.00;&quot;SFr.&quot;\ \-#,##0.00"/>
    <numFmt numFmtId="8" formatCode="&quot;SFr.&quot;\ #,##0.00;[Red]&quot;SFr.&quot;\ \-#,##0.00"/>
    <numFmt numFmtId="42" formatCode="_ &quot;SFr.&quot;\ * #,##0_ ;_ &quot;SFr.&quot;\ * \-#,##0_ ;_ &quot;SFr.&quot;\ * &quot;-&quot;_ ;_ @_ "/>
    <numFmt numFmtId="41" formatCode="_ * #,##0_ ;_ * \-#,##0_ ;_ * &quot;-&quot;_ ;_ @_ "/>
    <numFmt numFmtId="44" formatCode="_ &quot;SFr.&quot;\ * #,##0.00_ ;_ &quot;SFr.&quot;\ * \-#,##0.00_ ;_ &quot;SFr.&quot;\ * &quot;-&quot;??_ ;_ @_ "/>
    <numFmt numFmtId="43" formatCode="_ * #,##0.00_ ;_ * \-#,##0.00_ ;_ * &quot;-&quot;??_ ;_ @_ "/>
    <numFmt numFmtId="164" formatCode="_-* #,##0\ &quot;SFr.&quot;_-;\-* #,##0\ &quot;SFr.&quot;_-;_-* &quot;-&quot;\ &quot;SFr.&quot;_-;_-@_-"/>
    <numFmt numFmtId="165" formatCode="_-* #,##0\ _S_F_r_._-;\-* #,##0\ _S_F_r_._-;_-* &quot;-&quot;\ _S_F_r_._-;_-@_-"/>
    <numFmt numFmtId="166" formatCode="_-* #,##0.00\ &quot;SFr.&quot;_-;\-* #,##0.00\ &quot;SFr.&quot;_-;_-* &quot;-&quot;??\ &quot;SFr.&quot;_-;_-@_-"/>
    <numFmt numFmtId="167" formatCode="_-* #,##0.00\ _S_F_r_._-;\-* #,##0.00\ _S_F_r_._-;_-* &quot;-&quot;??\ _S_F_r_._-;_-@_-"/>
    <numFmt numFmtId="168" formatCode="000;;"/>
    <numFmt numFmtId="169" formatCode="##0\ "/>
    <numFmt numFmtId="170" formatCode="\+\ #,##0;\-\ #,##0;0"/>
    <numFmt numFmtId="171" formatCode="#,##0;[Red]\-#,##0;0"/>
    <numFmt numFmtId="172" formatCode="#0.00"/>
    <numFmt numFmtId="173" formatCode="&quot;Wahl:  &quot;0"/>
    <numFmt numFmtId="174" formatCode="0;;"/>
    <numFmt numFmtId="175" formatCode="#0;;&quot;-&quot;"/>
    <numFmt numFmtId="176" formatCode="#0;;"/>
    <numFmt numFmtId="177" formatCode="000"/>
    <numFmt numFmtId="178" formatCode="&quot;Wahl = &quot;#0;;"/>
    <numFmt numFmtId="179" formatCode="&quot;Jahr = &quot;0000;;"/>
    <numFmt numFmtId="180" formatCode="&quot;Bezugsspalte = &quot;#0;;"/>
    <numFmt numFmtId="181" formatCode="&quot;1 = Vj vorhanden&quot;;;&quot;0 = Vj fehlt&quot;"/>
    <numFmt numFmtId="182" formatCode="[Blue]&quot;###  &quot;0&quot;  ###&quot;;[Red]&quot;###  &quot;0&quot;  ###&quot;;[White]&quot;O&quot;"/>
    <numFmt numFmtId="183" formatCode="[Red]&quot;1 = Teillauf&quot;;[Blue]&quot;-1 = Testlauf&quot;;[Black]&quot;0 = Volllauf&quot;"/>
    <numFmt numFmtId="184" formatCode="0.0"/>
    <numFmt numFmtId="185" formatCode="[Blue]\+\ #,##0;[Red]\-\ #,##0;0"/>
    <numFmt numFmtId="186" formatCode="#,##0;;0"/>
    <numFmt numFmtId="187" formatCode="#\ ##0.0;\-\ #\ ##0.0"/>
    <numFmt numFmtId="188" formatCode="#,##0;\-#,##0;\ \-"/>
    <numFmt numFmtId="189" formatCode="#,##0;;"/>
    <numFmt numFmtId="190" formatCode="[Blue]#,##0;[Red]\-#,##0"/>
    <numFmt numFmtId="191" formatCode="0%;\-0%;&quot;-&quot;"/>
    <numFmt numFmtId="192" formatCode="&quot;   &quot;0&quot;                                       Umlage der Kapitalanlagen?&quot;"/>
    <numFmt numFmtId="193" formatCode="#0."/>
    <numFmt numFmtId="194" formatCode="[Blue]#,##0;[Red]\-#,##0;&quot;- &quot;"/>
    <numFmt numFmtId="195" formatCode="0.0%;;&quot;- &quot;"/>
    <numFmt numFmtId="196" formatCode="0.00%;;&quot;- &quot;"/>
    <numFmt numFmtId="197" formatCode="0%;;&quot;- &quot;"/>
    <numFmt numFmtId="198" formatCode="0.0%;\-0.0%;&quot;-&quot;"/>
    <numFmt numFmtId="199" formatCode="#,##0;\-#,##0;&quot;- &quot;"/>
    <numFmt numFmtId="200" formatCode="0;;&quot;-&quot;"/>
    <numFmt numFmtId="201" formatCode="#,##0;[Red]\-#,##0;&quot;- &quot;"/>
    <numFmt numFmtId="202" formatCode=";;"/>
    <numFmt numFmtId="203" formatCode=";;0"/>
    <numFmt numFmtId="204" formatCode="[Black]#,##0;[Red]#,##0;"/>
    <numFmt numFmtId="205" formatCode="[Black]#,##0;[Red]\-#,##0;"/>
    <numFmt numFmtId="206" formatCode="0.0%;\-0.0%;&quot;- &quot;"/>
    <numFmt numFmtId="207" formatCode="0.0%;[Red]\-0.0%;&quot;- &quot;"/>
    <numFmt numFmtId="208" formatCode="0.0%"/>
    <numFmt numFmtId="209" formatCode="#,##0.000"/>
    <numFmt numFmtId="210" formatCode="#,##0.000000000000"/>
    <numFmt numFmtId="211" formatCode="[Black]#,##0;[Red]\-#,##0"/>
    <numFmt numFmtId="212" formatCode="0.0&quot;%&quot;"/>
    <numFmt numFmtId="213" formatCode="0.00&quot;%&quot;;;"/>
    <numFmt numFmtId="214" formatCode="#,##0;\-#,##0;0"/>
  </numFmts>
  <fonts count="57">
    <font>
      <sz val="10"/>
      <name val="Arial"/>
      <family val="0"/>
    </font>
    <font>
      <b/>
      <sz val="10"/>
      <name val="Arial"/>
      <family val="2"/>
    </font>
    <font>
      <b/>
      <sz val="10"/>
      <color indexed="9"/>
      <name val="Arial"/>
      <family val="2"/>
    </font>
    <font>
      <u val="single"/>
      <sz val="10"/>
      <color indexed="36"/>
      <name val="MS Sans Serif"/>
      <family val="0"/>
    </font>
    <font>
      <u val="single"/>
      <sz val="10"/>
      <color indexed="12"/>
      <name val="MS Sans Serif"/>
      <family val="0"/>
    </font>
    <font>
      <sz val="10"/>
      <name val="Verdana"/>
      <family val="2"/>
    </font>
    <font>
      <sz val="8"/>
      <name val="Tahoma"/>
      <family val="2"/>
    </font>
    <font>
      <b/>
      <sz val="10"/>
      <color indexed="10"/>
      <name val="Arial"/>
      <family val="2"/>
    </font>
    <font>
      <b/>
      <sz val="12"/>
      <name val="Arial"/>
      <family val="2"/>
    </font>
    <font>
      <sz val="10"/>
      <color indexed="8"/>
      <name val="Arial"/>
      <family val="2"/>
    </font>
    <font>
      <sz val="8"/>
      <name val="Arial"/>
      <family val="0"/>
    </font>
    <font>
      <sz val="15"/>
      <name val="Arial"/>
      <family val="2"/>
    </font>
    <font>
      <sz val="16"/>
      <name val="Arial"/>
      <family val="0"/>
    </font>
    <font>
      <sz val="10"/>
      <color indexed="10"/>
      <name val="Arial"/>
      <family val="0"/>
    </font>
    <font>
      <sz val="9"/>
      <name val="Arial"/>
      <family val="0"/>
    </font>
    <font>
      <vertAlign val="superscript"/>
      <sz val="10"/>
      <name val="Arial"/>
      <family val="2"/>
    </font>
    <font>
      <sz val="8.5"/>
      <name val="Arial"/>
      <family val="2"/>
    </font>
    <font>
      <sz val="10"/>
      <color indexed="20"/>
      <name val="Arial"/>
      <family val="0"/>
    </font>
    <font>
      <sz val="9"/>
      <color indexed="10"/>
      <name val="Arial"/>
      <family val="0"/>
    </font>
    <font>
      <i/>
      <sz val="10"/>
      <name val="Arial"/>
      <family val="2"/>
    </font>
    <font>
      <vertAlign val="superscript"/>
      <sz val="10"/>
      <color indexed="10"/>
      <name val="Arial"/>
      <family val="2"/>
    </font>
    <font>
      <b/>
      <sz val="9"/>
      <name val="Arial"/>
      <family val="2"/>
    </font>
    <font>
      <sz val="9"/>
      <color indexed="20"/>
      <name val="Arial"/>
      <family val="2"/>
    </font>
    <font>
      <b/>
      <sz val="8"/>
      <name val="Arial"/>
      <family val="2"/>
    </font>
    <font>
      <b/>
      <sz val="10"/>
      <color indexed="22"/>
      <name val="Arial"/>
      <family val="2"/>
    </font>
    <font>
      <vertAlign val="superscript"/>
      <sz val="9"/>
      <name val="Arial"/>
      <family val="2"/>
    </font>
    <font>
      <b/>
      <sz val="9"/>
      <color indexed="17"/>
      <name val="Arial"/>
      <family val="2"/>
    </font>
    <font>
      <b/>
      <sz val="9"/>
      <color indexed="12"/>
      <name val="Arial"/>
      <family val="2"/>
    </font>
    <font>
      <b/>
      <sz val="11"/>
      <name val="Arial"/>
      <family val="2"/>
    </font>
    <font>
      <b/>
      <sz val="10"/>
      <color indexed="12"/>
      <name val="Arial"/>
      <family val="2"/>
    </font>
    <font>
      <sz val="11"/>
      <name val="Arial"/>
      <family val="0"/>
    </font>
    <font>
      <b/>
      <sz val="8"/>
      <name val="Tahoma"/>
      <family val="0"/>
    </font>
    <font>
      <b/>
      <sz val="8"/>
      <color indexed="12"/>
      <name val="Arial"/>
      <family val="2"/>
    </font>
    <font>
      <b/>
      <sz val="16"/>
      <name val="Arial"/>
      <family val="2"/>
    </font>
    <font>
      <b/>
      <sz val="12"/>
      <color indexed="12"/>
      <name val="Arial"/>
      <family val="2"/>
    </font>
    <font>
      <b/>
      <u val="single"/>
      <sz val="10"/>
      <color indexed="12"/>
      <name val="MS Sans Serif"/>
      <family val="2"/>
    </font>
    <font>
      <sz val="10"/>
      <color indexed="9"/>
      <name val="Arial"/>
      <family val="0"/>
    </font>
    <font>
      <b/>
      <sz val="16"/>
      <color indexed="9"/>
      <name val="Arial"/>
      <family val="2"/>
    </font>
    <font>
      <sz val="12"/>
      <name val="Arial"/>
      <family val="0"/>
    </font>
    <font>
      <b/>
      <sz val="9"/>
      <color indexed="10"/>
      <name val="Arial"/>
      <family val="0"/>
    </font>
    <font>
      <b/>
      <sz val="9"/>
      <color indexed="41"/>
      <name val="Arial"/>
      <family val="2"/>
    </font>
    <font>
      <b/>
      <sz val="9"/>
      <color indexed="47"/>
      <name val="Arial"/>
      <family val="2"/>
    </font>
    <font>
      <vertAlign val="superscript"/>
      <sz val="6.75"/>
      <name val="Arial"/>
      <family val="2"/>
    </font>
    <font>
      <vertAlign val="superscript"/>
      <sz val="8.5"/>
      <name val="Arial"/>
      <family val="2"/>
    </font>
    <font>
      <b/>
      <sz val="10"/>
      <color indexed="8"/>
      <name val="Arial"/>
      <family val="2"/>
    </font>
    <font>
      <b/>
      <vertAlign val="superscript"/>
      <sz val="8.5"/>
      <name val="Arial"/>
      <family val="2"/>
    </font>
    <font>
      <i/>
      <vertAlign val="superscript"/>
      <sz val="10"/>
      <name val="Arial"/>
      <family val="2"/>
    </font>
    <font>
      <b/>
      <vertAlign val="superscript"/>
      <sz val="10"/>
      <name val="Arial"/>
      <family val="2"/>
    </font>
    <font>
      <b/>
      <vertAlign val="superscript"/>
      <sz val="6.75"/>
      <name val="Arial"/>
      <family val="2"/>
    </font>
    <font>
      <b/>
      <vertAlign val="superscript"/>
      <sz val="8.25"/>
      <name val="Arial"/>
      <family val="2"/>
    </font>
    <font>
      <b/>
      <sz val="7.5"/>
      <name val="Arial"/>
      <family val="2"/>
    </font>
    <font>
      <b/>
      <vertAlign val="superscript"/>
      <sz val="9"/>
      <name val="Arial"/>
      <family val="2"/>
    </font>
    <font>
      <b/>
      <sz val="6.75"/>
      <color indexed="12"/>
      <name val="Arial"/>
      <family val="2"/>
    </font>
    <font>
      <b/>
      <sz val="10"/>
      <color indexed="17"/>
      <name val="Arial"/>
      <family val="2"/>
    </font>
    <font>
      <vertAlign val="superscript"/>
      <sz val="7.5"/>
      <name val="Arial"/>
      <family val="2"/>
    </font>
    <font>
      <sz val="8.5"/>
      <color indexed="10"/>
      <name val="Arial"/>
      <family val="2"/>
    </font>
    <font>
      <vertAlign val="superscript"/>
      <sz val="10"/>
      <color indexed="9"/>
      <name val="Arial"/>
      <family val="2"/>
    </font>
  </fonts>
  <fills count="24">
    <fill>
      <patternFill/>
    </fill>
    <fill>
      <patternFill patternType="gray125"/>
    </fill>
    <fill>
      <patternFill patternType="solid">
        <fgColor indexed="9"/>
        <bgColor indexed="64"/>
      </patternFill>
    </fill>
    <fill>
      <patternFill patternType="solid">
        <fgColor indexed="21"/>
        <bgColor indexed="64"/>
      </patternFill>
    </fill>
    <fill>
      <patternFill patternType="solid">
        <fgColor indexed="65"/>
        <bgColor indexed="64"/>
      </patternFill>
    </fill>
    <fill>
      <patternFill patternType="solid">
        <fgColor indexed="22"/>
        <bgColor indexed="64"/>
      </patternFill>
    </fill>
    <fill>
      <patternFill patternType="solid">
        <fgColor indexed="12"/>
        <bgColor indexed="64"/>
      </patternFill>
    </fill>
    <fill>
      <patternFill patternType="solid">
        <fgColor indexed="51"/>
        <bgColor indexed="64"/>
      </patternFill>
    </fill>
    <fill>
      <patternFill patternType="solid">
        <fgColor indexed="43"/>
        <bgColor indexed="64"/>
      </patternFill>
    </fill>
    <fill>
      <patternFill patternType="solid">
        <fgColor indexed="42"/>
        <bgColor indexed="64"/>
      </patternFill>
    </fill>
    <fill>
      <patternFill patternType="solid">
        <fgColor indexed="46"/>
        <bgColor indexed="64"/>
      </patternFill>
    </fill>
    <fill>
      <patternFill patternType="solid">
        <fgColor indexed="62"/>
        <bgColor indexed="64"/>
      </patternFill>
    </fill>
    <fill>
      <patternFill patternType="solid">
        <fgColor indexed="23"/>
        <bgColor indexed="64"/>
      </patternFill>
    </fill>
    <fill>
      <patternFill patternType="solid">
        <fgColor indexed="17"/>
        <bgColor indexed="64"/>
      </patternFill>
    </fill>
    <fill>
      <patternFill patternType="solid">
        <fgColor indexed="11"/>
        <bgColor indexed="64"/>
      </patternFill>
    </fill>
    <fill>
      <patternFill patternType="solid">
        <fgColor indexed="45"/>
        <bgColor indexed="64"/>
      </patternFill>
    </fill>
    <fill>
      <patternFill patternType="solid">
        <fgColor indexed="41"/>
        <bgColor indexed="64"/>
      </patternFill>
    </fill>
    <fill>
      <patternFill patternType="solid">
        <fgColor indexed="47"/>
        <bgColor indexed="64"/>
      </patternFill>
    </fill>
    <fill>
      <patternFill patternType="solid">
        <fgColor indexed="10"/>
        <bgColor indexed="64"/>
      </patternFill>
    </fill>
    <fill>
      <patternFill patternType="solid">
        <fgColor indexed="63"/>
        <bgColor indexed="64"/>
      </patternFill>
    </fill>
    <fill>
      <patternFill patternType="solid">
        <fgColor indexed="56"/>
        <bgColor indexed="64"/>
      </patternFill>
    </fill>
    <fill>
      <patternFill patternType="solid">
        <fgColor indexed="19"/>
        <bgColor indexed="64"/>
      </patternFill>
    </fill>
    <fill>
      <patternFill patternType="solid">
        <fgColor indexed="60"/>
        <bgColor indexed="64"/>
      </patternFill>
    </fill>
    <fill>
      <patternFill patternType="solid">
        <fgColor indexed="58"/>
        <bgColor indexed="64"/>
      </patternFill>
    </fill>
  </fills>
  <borders count="51">
    <border>
      <left/>
      <right/>
      <top/>
      <bottom/>
      <diagonal/>
    </border>
    <border>
      <left>
        <color indexed="63"/>
      </left>
      <right>
        <color indexed="63"/>
      </right>
      <top style="hair"/>
      <bottom style="hair"/>
    </border>
    <border>
      <left>
        <color indexed="63"/>
      </left>
      <right>
        <color indexed="63"/>
      </right>
      <top>
        <color indexed="63"/>
      </top>
      <bottom style="hair"/>
    </border>
    <border>
      <left>
        <color indexed="63"/>
      </left>
      <right>
        <color indexed="63"/>
      </right>
      <top style="hair"/>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hair"/>
      <bottom>
        <color indexed="63"/>
      </bottom>
    </border>
    <border>
      <left>
        <color indexed="63"/>
      </left>
      <right>
        <color indexed="63"/>
      </right>
      <top style="thin"/>
      <bottom style="hair"/>
    </border>
    <border>
      <left>
        <color indexed="63"/>
      </left>
      <right>
        <color indexed="63"/>
      </right>
      <top>
        <color indexed="63"/>
      </top>
      <bottom style="thin">
        <color indexed="9"/>
      </bottom>
    </border>
    <border>
      <left>
        <color indexed="63"/>
      </left>
      <right>
        <color indexed="63"/>
      </right>
      <top style="thin">
        <color indexed="9"/>
      </top>
      <bottom style="thin">
        <color indexed="9"/>
      </bottom>
    </border>
    <border>
      <left>
        <color indexed="63"/>
      </left>
      <right style="thin">
        <color indexed="9"/>
      </right>
      <top>
        <color indexed="63"/>
      </top>
      <bottom style="medium">
        <color indexed="8"/>
      </bottom>
    </border>
    <border>
      <left>
        <color indexed="63"/>
      </left>
      <right>
        <color indexed="63"/>
      </right>
      <top style="thin">
        <color indexed="9"/>
      </top>
      <bottom style="medium">
        <color indexed="8"/>
      </bottom>
    </border>
    <border>
      <left>
        <color indexed="63"/>
      </left>
      <right>
        <color indexed="63"/>
      </right>
      <top style="medium">
        <color indexed="8"/>
      </top>
      <bottom style="medium">
        <color indexed="8"/>
      </bottom>
    </border>
    <border>
      <left>
        <color indexed="63"/>
      </left>
      <right>
        <color indexed="63"/>
      </right>
      <top style="thin">
        <color indexed="9"/>
      </top>
      <bottom>
        <color indexed="63"/>
      </bottom>
    </border>
    <border>
      <left>
        <color indexed="63"/>
      </left>
      <right>
        <color indexed="63"/>
      </right>
      <top>
        <color indexed="63"/>
      </top>
      <bottom style="medium">
        <color indexed="8"/>
      </bottom>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style="thin"/>
      <top>
        <color indexed="63"/>
      </top>
      <bottom style="thin">
        <color indexed="22"/>
      </bottom>
    </border>
    <border>
      <left style="thin"/>
      <right style="thin"/>
      <top style="thin">
        <color indexed="22"/>
      </top>
      <bottom style="thin">
        <color indexed="22"/>
      </bottom>
    </border>
    <border>
      <left style="thin"/>
      <right style="thin"/>
      <top style="thin">
        <color indexed="22"/>
      </top>
      <bottom style="thin"/>
    </border>
    <border>
      <left style="thin"/>
      <right>
        <color indexed="63"/>
      </right>
      <top style="thin"/>
      <bottom style="thin"/>
    </border>
    <border>
      <left>
        <color indexed="63"/>
      </left>
      <right style="thin"/>
      <top>
        <color indexed="63"/>
      </top>
      <bottom style="thin"/>
    </border>
    <border>
      <left style="thin"/>
      <right style="thin">
        <color indexed="9"/>
      </right>
      <top style="thin"/>
      <bottom style="thin"/>
    </border>
    <border>
      <left style="thin">
        <color indexed="9"/>
      </left>
      <right style="thin">
        <color indexed="9"/>
      </right>
      <top style="thin"/>
      <bottom style="thin"/>
    </border>
    <border>
      <left style="thin">
        <color indexed="9"/>
      </left>
      <right style="thin"/>
      <top style="thin"/>
      <bottom style="thin"/>
    </border>
    <border>
      <left>
        <color indexed="63"/>
      </left>
      <right>
        <color indexed="63"/>
      </right>
      <top style="thin">
        <color indexed="55"/>
      </top>
      <bottom style="thin"/>
    </border>
    <border>
      <left>
        <color indexed="63"/>
      </left>
      <right style="thin"/>
      <top style="hair"/>
      <bottom style="thin"/>
    </border>
    <border>
      <left>
        <color indexed="63"/>
      </left>
      <right>
        <color indexed="63"/>
      </right>
      <top>
        <color indexed="63"/>
      </top>
      <bottom style="thin">
        <color indexed="23"/>
      </bottom>
    </border>
    <border>
      <left>
        <color indexed="63"/>
      </left>
      <right>
        <color indexed="63"/>
      </right>
      <top>
        <color indexed="63"/>
      </top>
      <bottom style="medium"/>
    </border>
    <border>
      <left>
        <color indexed="63"/>
      </left>
      <right>
        <color indexed="63"/>
      </right>
      <top style="medium"/>
      <bottom>
        <color indexed="63"/>
      </bottom>
    </border>
    <border>
      <left>
        <color indexed="63"/>
      </left>
      <right>
        <color indexed="63"/>
      </right>
      <top style="thin">
        <color indexed="23"/>
      </top>
      <bottom style="thin"/>
    </border>
    <border>
      <left style="thin"/>
      <right>
        <color indexed="63"/>
      </right>
      <top style="thin"/>
      <bottom>
        <color indexed="63"/>
      </bottom>
    </border>
    <border>
      <left style="thin"/>
      <right style="thin"/>
      <top style="thin"/>
      <bottom>
        <color indexed="63"/>
      </bottom>
    </border>
    <border>
      <left style="thin"/>
      <right>
        <color indexed="63"/>
      </right>
      <top>
        <color indexed="63"/>
      </top>
      <bottom style="thin"/>
    </border>
    <border>
      <left style="thin"/>
      <right style="thin"/>
      <top>
        <color indexed="63"/>
      </top>
      <bottom style="thin"/>
    </border>
    <border>
      <left style="thin"/>
      <right>
        <color indexed="63"/>
      </right>
      <top>
        <color indexed="63"/>
      </top>
      <bottom>
        <color indexed="63"/>
      </bottom>
    </border>
    <border>
      <left style="thin"/>
      <right>
        <color indexed="63"/>
      </right>
      <top>
        <color indexed="63"/>
      </top>
      <bottom style="hair"/>
    </border>
    <border>
      <left style="thin"/>
      <right>
        <color indexed="63"/>
      </right>
      <top style="hair"/>
      <bottom style="hair"/>
    </border>
    <border>
      <left style="thin"/>
      <right>
        <color indexed="63"/>
      </right>
      <top style="hair"/>
      <bottom style="thin"/>
    </border>
    <border>
      <left style="thin">
        <color indexed="9"/>
      </left>
      <right>
        <color indexed="63"/>
      </right>
      <top style="thin">
        <color indexed="9"/>
      </top>
      <bottom style="thin">
        <color indexed="9"/>
      </bottom>
    </border>
    <border>
      <left>
        <color indexed="63"/>
      </left>
      <right>
        <color indexed="63"/>
      </right>
      <top style="thin"/>
      <bottom style="thin">
        <color indexed="8"/>
      </bottom>
    </border>
    <border>
      <left>
        <color indexed="63"/>
      </left>
      <right>
        <color indexed="63"/>
      </right>
      <top>
        <color indexed="63"/>
      </top>
      <bottom style="thin">
        <color indexed="8"/>
      </bottom>
    </border>
    <border>
      <left>
        <color indexed="63"/>
      </left>
      <right style="thin">
        <color indexed="9"/>
      </right>
      <top style="thin"/>
      <bottom style="thin"/>
    </border>
    <border>
      <left style="thin">
        <color indexed="8"/>
      </left>
      <right style="thin">
        <color indexed="9"/>
      </right>
      <top style="thin">
        <color indexed="8"/>
      </top>
      <bottom style="thin">
        <color indexed="8"/>
      </bottom>
    </border>
    <border>
      <left style="thin">
        <color indexed="9"/>
      </left>
      <right style="thin">
        <color indexed="9"/>
      </right>
      <top style="thin">
        <color indexed="8"/>
      </top>
      <bottom style="thin">
        <color indexed="8"/>
      </bottom>
    </border>
    <border>
      <left style="thin">
        <color indexed="9"/>
      </left>
      <right style="thin">
        <color indexed="8"/>
      </right>
      <top style="thin">
        <color indexed="8"/>
      </top>
      <bottom style="thin">
        <color indexed="8"/>
      </bottom>
    </border>
    <border>
      <left style="thin">
        <color indexed="9"/>
      </left>
      <right>
        <color indexed="63"/>
      </right>
      <top>
        <color indexed="63"/>
      </top>
      <bottom>
        <color indexed="63"/>
      </bottom>
    </border>
    <border>
      <left style="thin">
        <color indexed="9"/>
      </left>
      <right>
        <color indexed="63"/>
      </right>
      <top style="thin">
        <color indexed="9"/>
      </top>
      <bottom>
        <color indexed="63"/>
      </bottom>
    </border>
    <border>
      <left>
        <color indexed="63"/>
      </left>
      <right>
        <color indexed="63"/>
      </right>
      <top style="thin">
        <color indexed="9"/>
      </top>
      <bottom style="medium"/>
    </border>
    <border>
      <left>
        <color indexed="63"/>
      </left>
      <right>
        <color indexed="63"/>
      </right>
      <top style="medium"/>
      <bottom style="mediu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0" borderId="0" applyNumberFormat="0" applyFill="0" applyBorder="0" applyAlignment="0" applyProtection="0"/>
    <xf numFmtId="167" fontId="0" fillId="0" borderId="0" applyFont="0" applyFill="0" applyBorder="0" applyAlignment="0" applyProtection="0"/>
    <xf numFmtId="165" fontId="0" fillId="0" borderId="0" applyFon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xf numFmtId="166"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cellStyleXfs>
  <cellXfs count="805">
    <xf numFmtId="0" fontId="0" fillId="0" borderId="0" xfId="0" applyAlignment="1">
      <alignment/>
    </xf>
    <xf numFmtId="0" fontId="1" fillId="0" borderId="0" xfId="0" applyFont="1" applyAlignment="1">
      <alignment/>
    </xf>
    <xf numFmtId="0" fontId="0" fillId="0" borderId="0" xfId="0" applyAlignment="1">
      <alignment horizontal="left"/>
    </xf>
    <xf numFmtId="0" fontId="0" fillId="0" borderId="0" xfId="0" applyAlignment="1">
      <alignment horizontal="right"/>
    </xf>
    <xf numFmtId="0" fontId="0" fillId="2" borderId="0" xfId="0" applyFill="1" applyAlignment="1">
      <alignment/>
    </xf>
    <xf numFmtId="0" fontId="1" fillId="2" borderId="0" xfId="0" applyFont="1" applyFill="1" applyAlignment="1">
      <alignment/>
    </xf>
    <xf numFmtId="3" fontId="0" fillId="3" borderId="1" xfId="0" applyNumberFormat="1" applyFill="1" applyBorder="1" applyAlignment="1" applyProtection="1">
      <alignment/>
      <protection/>
    </xf>
    <xf numFmtId="187" fontId="21" fillId="4" borderId="0" xfId="0" applyNumberFormat="1" applyFont="1" applyFill="1" applyBorder="1" applyAlignment="1" applyProtection="1">
      <alignment vertical="top"/>
      <protection/>
    </xf>
    <xf numFmtId="187" fontId="14" fillId="4" borderId="2" xfId="0" applyNumberFormat="1" applyFont="1" applyFill="1" applyBorder="1" applyAlignment="1" applyProtection="1">
      <alignment vertical="top"/>
      <protection/>
    </xf>
    <xf numFmtId="187" fontId="22" fillId="4" borderId="2" xfId="0" applyNumberFormat="1" applyFont="1" applyFill="1" applyBorder="1" applyAlignment="1" applyProtection="1">
      <alignment vertical="top"/>
      <protection/>
    </xf>
    <xf numFmtId="187" fontId="14" fillId="4" borderId="2" xfId="0" applyNumberFormat="1" applyFont="1" applyFill="1" applyBorder="1" applyAlignment="1" applyProtection="1">
      <alignment vertical="top"/>
      <protection/>
    </xf>
    <xf numFmtId="187" fontId="14" fillId="4" borderId="0" xfId="0" applyNumberFormat="1" applyFont="1" applyFill="1" applyBorder="1" applyAlignment="1" applyProtection="1">
      <alignment vertical="top"/>
      <protection/>
    </xf>
    <xf numFmtId="187" fontId="21" fillId="4" borderId="3" xfId="0" applyNumberFormat="1" applyFont="1" applyFill="1" applyBorder="1" applyAlignment="1" applyProtection="1">
      <alignment vertical="top" wrapText="1"/>
      <protection/>
    </xf>
    <xf numFmtId="187" fontId="21" fillId="4" borderId="3" xfId="0" applyNumberFormat="1" applyFont="1" applyFill="1" applyBorder="1" applyAlignment="1" applyProtection="1">
      <alignment vertical="top" wrapText="1"/>
      <protection/>
    </xf>
    <xf numFmtId="187" fontId="14" fillId="4" borderId="1" xfId="0" applyNumberFormat="1" applyFont="1" applyFill="1" applyBorder="1" applyAlignment="1" applyProtection="1">
      <alignment vertical="top"/>
      <protection/>
    </xf>
    <xf numFmtId="187" fontId="21" fillId="4" borderId="4" xfId="0" applyNumberFormat="1" applyFont="1" applyFill="1" applyBorder="1" applyAlignment="1" applyProtection="1">
      <alignment vertical="top"/>
      <protection/>
    </xf>
    <xf numFmtId="187" fontId="21" fillId="4" borderId="5" xfId="0" applyNumberFormat="1" applyFont="1" applyFill="1" applyBorder="1" applyAlignment="1" applyProtection="1">
      <alignment vertical="top"/>
      <protection/>
    </xf>
    <xf numFmtId="187" fontId="21" fillId="4" borderId="5" xfId="0" applyNumberFormat="1" applyFont="1" applyFill="1" applyBorder="1" applyAlignment="1" applyProtection="1">
      <alignment vertical="top" wrapText="1"/>
      <protection/>
    </xf>
    <xf numFmtId="0" fontId="0" fillId="2" borderId="0" xfId="0" applyFill="1" applyAlignment="1">
      <alignment vertical="center"/>
    </xf>
    <xf numFmtId="187" fontId="14" fillId="4" borderId="1" xfId="0" applyNumberFormat="1" applyFont="1" applyFill="1" applyBorder="1" applyAlignment="1" applyProtection="1" quotePrefix="1">
      <alignment horizontal="left" vertical="top"/>
      <protection/>
    </xf>
    <xf numFmtId="187" fontId="14" fillId="4" borderId="2" xfId="0" applyNumberFormat="1" applyFont="1" applyFill="1" applyBorder="1" applyAlignment="1" applyProtection="1" quotePrefix="1">
      <alignment horizontal="left" vertical="top"/>
      <protection/>
    </xf>
    <xf numFmtId="187" fontId="14" fillId="4" borderId="2" xfId="0" applyNumberFormat="1" applyFont="1" applyFill="1" applyBorder="1" applyAlignment="1" applyProtection="1">
      <alignment horizontal="left" vertical="top"/>
      <protection/>
    </xf>
    <xf numFmtId="187" fontId="14" fillId="4" borderId="1" xfId="0" applyNumberFormat="1" applyFont="1" applyFill="1" applyBorder="1" applyAlignment="1" applyProtection="1">
      <alignment vertical="top" wrapText="1"/>
      <protection/>
    </xf>
    <xf numFmtId="187" fontId="14" fillId="4" borderId="2" xfId="0" applyNumberFormat="1" applyFont="1" applyFill="1" applyBorder="1" applyAlignment="1" applyProtection="1">
      <alignment vertical="top" wrapText="1"/>
      <protection/>
    </xf>
    <xf numFmtId="187" fontId="25" fillId="4" borderId="0" xfId="0" applyNumberFormat="1" applyFont="1" applyFill="1" applyBorder="1" applyAlignment="1" applyProtection="1">
      <alignment vertical="top"/>
      <protection/>
    </xf>
    <xf numFmtId="187" fontId="14" fillId="4" borderId="0" xfId="0" applyNumberFormat="1" applyFont="1" applyFill="1" applyBorder="1" applyAlignment="1" applyProtection="1">
      <alignment vertical="top"/>
      <protection/>
    </xf>
    <xf numFmtId="187" fontId="21" fillId="4" borderId="2" xfId="0" applyNumberFormat="1" applyFont="1" applyFill="1" applyBorder="1" applyAlignment="1" applyProtection="1">
      <alignment vertical="top" wrapText="1"/>
      <protection/>
    </xf>
    <xf numFmtId="187" fontId="16" fillId="4" borderId="0" xfId="0" applyNumberFormat="1" applyFont="1" applyFill="1" applyBorder="1" applyAlignment="1" applyProtection="1">
      <alignment vertical="top"/>
      <protection/>
    </xf>
    <xf numFmtId="187" fontId="14" fillId="2" borderId="0" xfId="0" applyNumberFormat="1" applyFont="1" applyFill="1" applyBorder="1" applyAlignment="1" applyProtection="1">
      <alignment vertical="top"/>
      <protection/>
    </xf>
    <xf numFmtId="187" fontId="14" fillId="4" borderId="6" xfId="0" applyNumberFormat="1" applyFont="1" applyFill="1" applyBorder="1" applyAlignment="1" applyProtection="1">
      <alignment vertical="top" wrapText="1"/>
      <protection/>
    </xf>
    <xf numFmtId="187" fontId="21" fillId="2" borderId="0" xfId="0" applyNumberFormat="1" applyFont="1" applyFill="1" applyBorder="1" applyAlignment="1" applyProtection="1">
      <alignment vertical="top"/>
      <protection/>
    </xf>
    <xf numFmtId="187" fontId="14" fillId="4" borderId="5" xfId="0" applyNumberFormat="1" applyFont="1" applyFill="1" applyBorder="1" applyAlignment="1" applyProtection="1">
      <alignment vertical="top"/>
      <protection/>
    </xf>
    <xf numFmtId="187" fontId="21" fillId="4" borderId="0" xfId="0" applyNumberFormat="1" applyFont="1" applyFill="1" applyBorder="1" applyAlignment="1" applyProtection="1">
      <alignment/>
      <protection/>
    </xf>
    <xf numFmtId="9" fontId="14" fillId="4" borderId="2" xfId="0" applyNumberFormat="1" applyFont="1" applyFill="1" applyBorder="1" applyAlignment="1" applyProtection="1">
      <alignment vertical="top"/>
      <protection/>
    </xf>
    <xf numFmtId="187" fontId="14" fillId="4" borderId="3" xfId="0" applyNumberFormat="1" applyFont="1" applyFill="1" applyBorder="1" applyAlignment="1" applyProtection="1">
      <alignment vertical="top"/>
      <protection/>
    </xf>
    <xf numFmtId="187" fontId="21" fillId="2" borderId="0" xfId="0" applyNumberFormat="1" applyFont="1" applyFill="1" applyBorder="1" applyAlignment="1" applyProtection="1">
      <alignment/>
      <protection/>
    </xf>
    <xf numFmtId="187" fontId="26" fillId="4" borderId="0" xfId="0" applyNumberFormat="1" applyFont="1" applyFill="1" applyBorder="1" applyAlignment="1" applyProtection="1">
      <alignment vertical="top"/>
      <protection/>
    </xf>
    <xf numFmtId="187" fontId="26" fillId="4" borderId="5" xfId="0" applyNumberFormat="1" applyFont="1" applyFill="1" applyBorder="1" applyAlignment="1" applyProtection="1">
      <alignment vertical="top"/>
      <protection/>
    </xf>
    <xf numFmtId="187" fontId="14" fillId="4" borderId="1" xfId="0" applyNumberFormat="1" applyFont="1" applyFill="1" applyBorder="1" applyAlignment="1" applyProtection="1" quotePrefix="1">
      <alignment horizontal="left" vertical="top" wrapText="1"/>
      <protection/>
    </xf>
    <xf numFmtId="187" fontId="14" fillId="4" borderId="2" xfId="0" applyNumberFormat="1" applyFont="1" applyFill="1" applyBorder="1" applyAlignment="1" applyProtection="1" quotePrefix="1">
      <alignment horizontal="left" vertical="top" wrapText="1"/>
      <protection/>
    </xf>
    <xf numFmtId="187" fontId="14" fillId="4" borderId="5" xfId="0" applyNumberFormat="1" applyFont="1" applyFill="1" applyBorder="1" applyAlignment="1" applyProtection="1">
      <alignment vertical="top" wrapText="1"/>
      <protection/>
    </xf>
    <xf numFmtId="187" fontId="27" fillId="4" borderId="0" xfId="0" applyNumberFormat="1" applyFont="1" applyFill="1" applyBorder="1" applyAlignment="1" applyProtection="1">
      <alignment vertical="top"/>
      <protection/>
    </xf>
    <xf numFmtId="187" fontId="27" fillId="4" borderId="5" xfId="0" applyNumberFormat="1" applyFont="1" applyFill="1" applyBorder="1" applyAlignment="1" applyProtection="1">
      <alignment vertical="top"/>
      <protection/>
    </xf>
    <xf numFmtId="187" fontId="21" fillId="2" borderId="0" xfId="0" applyNumberFormat="1" applyFont="1" applyFill="1" applyBorder="1" applyAlignment="1" applyProtection="1">
      <alignment vertical="top"/>
      <protection/>
    </xf>
    <xf numFmtId="187" fontId="14" fillId="4" borderId="2" xfId="0" applyNumberFormat="1" applyFont="1" applyFill="1" applyBorder="1" applyAlignment="1" applyProtection="1">
      <alignment vertical="top" wrapText="1"/>
      <protection/>
    </xf>
    <xf numFmtId="187" fontId="14" fillId="4" borderId="3" xfId="0" applyNumberFormat="1" applyFont="1" applyFill="1" applyBorder="1" applyAlignment="1" applyProtection="1">
      <alignment vertical="top" wrapText="1"/>
      <protection/>
    </xf>
    <xf numFmtId="187" fontId="14" fillId="4" borderId="3" xfId="0" applyNumberFormat="1" applyFont="1" applyFill="1" applyBorder="1" applyAlignment="1" applyProtection="1">
      <alignment vertical="top" wrapText="1"/>
      <protection/>
    </xf>
    <xf numFmtId="187" fontId="14" fillId="4" borderId="7" xfId="0" applyNumberFormat="1" applyFont="1" applyFill="1" applyBorder="1" applyAlignment="1" applyProtection="1">
      <alignment vertical="top"/>
      <protection/>
    </xf>
    <xf numFmtId="187" fontId="14" fillId="4" borderId="7" xfId="0" applyNumberFormat="1" applyFont="1" applyFill="1" applyBorder="1" applyAlignment="1" applyProtection="1">
      <alignment vertical="top"/>
      <protection/>
    </xf>
    <xf numFmtId="187" fontId="14" fillId="4" borderId="5" xfId="0" applyNumberFormat="1" applyFont="1" applyFill="1" applyBorder="1" applyAlignment="1" applyProtection="1">
      <alignment vertical="top" wrapText="1"/>
      <protection/>
    </xf>
    <xf numFmtId="187" fontId="14" fillId="4" borderId="7" xfId="0" applyNumberFormat="1" applyFont="1" applyFill="1" applyBorder="1" applyAlignment="1" applyProtection="1">
      <alignment vertical="top" wrapText="1"/>
      <protection/>
    </xf>
    <xf numFmtId="187" fontId="14" fillId="4" borderId="7" xfId="0" applyNumberFormat="1" applyFont="1" applyFill="1" applyBorder="1" applyAlignment="1" applyProtection="1">
      <alignment vertical="top" wrapText="1"/>
      <protection/>
    </xf>
    <xf numFmtId="187" fontId="14" fillId="4" borderId="1" xfId="0" applyNumberFormat="1" applyFont="1" applyFill="1" applyBorder="1" applyAlignment="1" applyProtection="1">
      <alignment vertical="top" wrapText="1"/>
      <protection/>
    </xf>
    <xf numFmtId="187" fontId="21" fillId="4" borderId="5" xfId="0" applyNumberFormat="1" applyFont="1" applyFill="1" applyBorder="1" applyAlignment="1" applyProtection="1" quotePrefix="1">
      <alignment horizontal="left" vertical="top" wrapText="1"/>
      <protection/>
    </xf>
    <xf numFmtId="187" fontId="21" fillId="4" borderId="5" xfId="0" applyNumberFormat="1" applyFont="1" applyFill="1" applyBorder="1" applyAlignment="1" applyProtection="1" quotePrefix="1">
      <alignment horizontal="left" vertical="top" wrapText="1"/>
      <protection/>
    </xf>
    <xf numFmtId="187" fontId="21" fillId="4" borderId="0" xfId="0" applyNumberFormat="1" applyFont="1" applyFill="1" applyBorder="1" applyAlignment="1" applyProtection="1">
      <alignment vertical="top"/>
      <protection/>
    </xf>
    <xf numFmtId="187" fontId="21" fillId="4" borderId="5" xfId="0" applyNumberFormat="1" applyFont="1" applyFill="1" applyBorder="1" applyAlignment="1" applyProtection="1">
      <alignment vertical="top" wrapText="1"/>
      <protection/>
    </xf>
    <xf numFmtId="187" fontId="22" fillId="4" borderId="5" xfId="0" applyNumberFormat="1" applyFont="1" applyFill="1" applyBorder="1" applyAlignment="1" applyProtection="1">
      <alignment/>
      <protection/>
    </xf>
    <xf numFmtId="187" fontId="21" fillId="4" borderId="0" xfId="0" applyNumberFormat="1" applyFont="1" applyFill="1" applyBorder="1" applyAlignment="1" applyProtection="1">
      <alignment vertical="top" wrapText="1"/>
      <protection/>
    </xf>
    <xf numFmtId="187" fontId="21" fillId="4" borderId="0" xfId="0" applyNumberFormat="1" applyFont="1" applyFill="1" applyBorder="1" applyAlignment="1" applyProtection="1">
      <alignment vertical="top" wrapText="1"/>
      <protection/>
    </xf>
    <xf numFmtId="187" fontId="14" fillId="4" borderId="2" xfId="0" applyNumberFormat="1" applyFont="1" applyFill="1" applyBorder="1" applyAlignment="1" applyProtection="1" quotePrefix="1">
      <alignment horizontal="left" vertical="top" wrapText="1"/>
      <protection/>
    </xf>
    <xf numFmtId="187" fontId="14" fillId="4" borderId="5" xfId="0" applyNumberFormat="1" applyFont="1" applyFill="1" applyBorder="1" applyAlignment="1" applyProtection="1" quotePrefix="1">
      <alignment horizontal="left" vertical="top" wrapText="1"/>
      <protection/>
    </xf>
    <xf numFmtId="187" fontId="22" fillId="4" borderId="1" xfId="0" applyNumberFormat="1" applyFont="1" applyFill="1" applyBorder="1" applyAlignment="1" applyProtection="1">
      <alignment vertical="top"/>
      <protection/>
    </xf>
    <xf numFmtId="187" fontId="14" fillId="2" borderId="6" xfId="0" applyNumberFormat="1" applyFont="1" applyFill="1" applyBorder="1" applyAlignment="1" applyProtection="1" quotePrefix="1">
      <alignment horizontal="left" vertical="top" wrapText="1"/>
      <protection/>
    </xf>
    <xf numFmtId="187" fontId="14" fillId="2" borderId="6" xfId="0" applyNumberFormat="1" applyFont="1" applyFill="1" applyBorder="1" applyAlignment="1" applyProtection="1" quotePrefix="1">
      <alignment horizontal="left" vertical="top" wrapText="1"/>
      <protection/>
    </xf>
    <xf numFmtId="187" fontId="14" fillId="4" borderId="2" xfId="0" applyNumberFormat="1" applyFont="1" applyFill="1" applyBorder="1" applyAlignment="1" applyProtection="1">
      <alignment horizontal="left" vertical="top" wrapText="1"/>
      <protection/>
    </xf>
    <xf numFmtId="187" fontId="22" fillId="4" borderId="3" xfId="0" applyNumberFormat="1" applyFont="1" applyFill="1" applyBorder="1" applyAlignment="1" applyProtection="1">
      <alignment vertical="top"/>
      <protection/>
    </xf>
    <xf numFmtId="187" fontId="21" fillId="4" borderId="3" xfId="0" applyNumberFormat="1" applyFont="1" applyFill="1" applyBorder="1" applyAlignment="1" applyProtection="1" quotePrefix="1">
      <alignment horizontal="left" vertical="top" wrapText="1"/>
      <protection/>
    </xf>
    <xf numFmtId="187" fontId="21" fillId="4" borderId="6" xfId="0" applyNumberFormat="1" applyFont="1" applyFill="1" applyBorder="1" applyAlignment="1" applyProtection="1">
      <alignment vertical="top"/>
      <protection/>
    </xf>
    <xf numFmtId="187" fontId="14" fillId="4" borderId="2" xfId="0" applyNumberFormat="1" applyFont="1" applyFill="1" applyBorder="1" applyAlignment="1" applyProtection="1">
      <alignment horizontal="left" vertical="top" wrapText="1"/>
      <protection/>
    </xf>
    <xf numFmtId="187" fontId="14" fillId="4" borderId="2" xfId="0" applyNumberFormat="1" applyFont="1" applyFill="1" applyBorder="1" applyAlignment="1" applyProtection="1">
      <alignment horizontal="left" vertical="top"/>
      <protection/>
    </xf>
    <xf numFmtId="0" fontId="10" fillId="0" borderId="0" xfId="0" applyFont="1" applyAlignment="1">
      <alignment horizontal="left"/>
    </xf>
    <xf numFmtId="3" fontId="1" fillId="5" borderId="8" xfId="0" applyNumberFormat="1" applyFont="1" applyFill="1" applyBorder="1" applyAlignment="1">
      <alignment horizontal="right"/>
    </xf>
    <xf numFmtId="3" fontId="2" fillId="6" borderId="0" xfId="0" applyNumberFormat="1" applyFont="1" applyFill="1" applyBorder="1" applyAlignment="1">
      <alignment horizontal="right"/>
    </xf>
    <xf numFmtId="3" fontId="2" fillId="6" borderId="9" xfId="0" applyNumberFormat="1" applyFont="1" applyFill="1" applyBorder="1" applyAlignment="1">
      <alignment horizontal="right"/>
    </xf>
    <xf numFmtId="3" fontId="2" fillId="6" borderId="10" xfId="0" applyNumberFormat="1" applyFont="1" applyFill="1" applyBorder="1" applyAlignment="1">
      <alignment horizontal="right"/>
    </xf>
    <xf numFmtId="3" fontId="2" fillId="6" borderId="11" xfId="0" applyNumberFormat="1" applyFont="1" applyFill="1" applyBorder="1" applyAlignment="1">
      <alignment horizontal="right"/>
    </xf>
    <xf numFmtId="3" fontId="1" fillId="5" borderId="12" xfId="0" applyNumberFormat="1" applyFont="1" applyFill="1" applyBorder="1" applyAlignment="1">
      <alignment horizontal="right"/>
    </xf>
    <xf numFmtId="3" fontId="1" fillId="5" borderId="13" xfId="0" applyNumberFormat="1" applyFont="1" applyFill="1" applyBorder="1" applyAlignment="1" quotePrefix="1">
      <alignment horizontal="right"/>
    </xf>
    <xf numFmtId="3" fontId="1" fillId="5" borderId="14" xfId="0" applyNumberFormat="1" applyFont="1" applyFill="1" applyBorder="1" applyAlignment="1">
      <alignment horizontal="right"/>
    </xf>
    <xf numFmtId="3" fontId="1" fillId="7" borderId="8" xfId="0" applyNumberFormat="1" applyFont="1" applyFill="1" applyBorder="1" applyAlignment="1">
      <alignment horizontal="right"/>
    </xf>
    <xf numFmtId="3" fontId="1" fillId="5" borderId="12" xfId="0" applyNumberFormat="1" applyFont="1" applyFill="1" applyBorder="1" applyAlignment="1">
      <alignment/>
    </xf>
    <xf numFmtId="10" fontId="0" fillId="0" borderId="0" xfId="0" applyNumberFormat="1" applyAlignment="1">
      <alignment/>
    </xf>
    <xf numFmtId="0" fontId="10" fillId="0" borderId="0" xfId="0" applyFont="1" applyAlignment="1">
      <alignment/>
    </xf>
    <xf numFmtId="0" fontId="0" fillId="2" borderId="15" xfId="0" applyFill="1" applyBorder="1" applyAlignment="1">
      <alignment vertical="center"/>
    </xf>
    <xf numFmtId="0" fontId="0" fillId="2" borderId="16" xfId="0" applyFill="1" applyBorder="1" applyAlignment="1">
      <alignment vertical="center"/>
    </xf>
    <xf numFmtId="0" fontId="12" fillId="2" borderId="0" xfId="0" applyFont="1" applyFill="1" applyAlignment="1">
      <alignment/>
    </xf>
    <xf numFmtId="199" fontId="1" fillId="8" borderId="3" xfId="0" applyNumberFormat="1" applyFont="1" applyFill="1" applyBorder="1" applyAlignment="1" applyProtection="1">
      <alignment/>
      <protection/>
    </xf>
    <xf numFmtId="187" fontId="25" fillId="4" borderId="4" xfId="0" applyNumberFormat="1" applyFont="1" applyFill="1" applyBorder="1" applyAlignment="1" applyProtection="1">
      <alignment vertical="top"/>
      <protection/>
    </xf>
    <xf numFmtId="0" fontId="11" fillId="2" borderId="0" xfId="0" applyFont="1" applyFill="1" applyAlignment="1">
      <alignment vertical="center"/>
    </xf>
    <xf numFmtId="0" fontId="8" fillId="2" borderId="0" xfId="0" applyFont="1" applyFill="1" applyBorder="1" applyAlignment="1">
      <alignment vertical="center"/>
    </xf>
    <xf numFmtId="0" fontId="0" fillId="2" borderId="17" xfId="0" applyFill="1" applyBorder="1" applyAlignment="1">
      <alignment/>
    </xf>
    <xf numFmtId="0" fontId="0" fillId="2" borderId="18" xfId="0" applyFill="1" applyBorder="1" applyAlignment="1">
      <alignment/>
    </xf>
    <xf numFmtId="0" fontId="0" fillId="2" borderId="19" xfId="0" applyFill="1" applyBorder="1" applyAlignment="1">
      <alignment/>
    </xf>
    <xf numFmtId="193" fontId="0" fillId="2" borderId="0" xfId="0" applyNumberFormat="1" applyFill="1" applyAlignment="1">
      <alignment horizontal="left"/>
    </xf>
    <xf numFmtId="0" fontId="0" fillId="2" borderId="20" xfId="0" applyFill="1" applyBorder="1" applyAlignment="1">
      <alignment/>
    </xf>
    <xf numFmtId="0" fontId="33" fillId="2" borderId="0" xfId="0" applyFont="1" applyFill="1" applyAlignment="1">
      <alignment vertical="center"/>
    </xf>
    <xf numFmtId="0" fontId="0" fillId="2" borderId="4" xfId="0" applyFill="1" applyBorder="1" applyAlignment="1">
      <alignment vertical="center"/>
    </xf>
    <xf numFmtId="0" fontId="34" fillId="2" borderId="21" xfId="0" applyFont="1" applyFill="1" applyBorder="1" applyAlignment="1">
      <alignment vertical="center"/>
    </xf>
    <xf numFmtId="0" fontId="0" fillId="0" borderId="4" xfId="0" applyBorder="1" applyAlignment="1">
      <alignment vertical="center"/>
    </xf>
    <xf numFmtId="177" fontId="1" fillId="2" borderId="17" xfId="0" applyNumberFormat="1" applyFont="1" applyFill="1" applyBorder="1" applyAlignment="1">
      <alignment horizontal="center" vertical="center"/>
    </xf>
    <xf numFmtId="0" fontId="0" fillId="2" borderId="0" xfId="0" applyFill="1" applyBorder="1" applyAlignment="1">
      <alignment vertical="center"/>
    </xf>
    <xf numFmtId="193" fontId="8" fillId="2" borderId="0" xfId="0" applyNumberFormat="1" applyFont="1" applyFill="1" applyAlignment="1" applyProtection="1">
      <alignment horizontal="left" vertical="top"/>
      <protection/>
    </xf>
    <xf numFmtId="0" fontId="8" fillId="2" borderId="0" xfId="0" applyFont="1" applyFill="1" applyAlignment="1" applyProtection="1">
      <alignment vertical="top"/>
      <protection/>
    </xf>
    <xf numFmtId="0" fontId="21" fillId="2" borderId="0" xfId="0" applyFont="1" applyFill="1" applyAlignment="1" applyProtection="1">
      <alignment vertical="top"/>
      <protection/>
    </xf>
    <xf numFmtId="0" fontId="0" fillId="2" borderId="0" xfId="0" applyFill="1" applyAlignment="1" applyProtection="1">
      <alignment vertical="top"/>
      <protection/>
    </xf>
    <xf numFmtId="0" fontId="0" fillId="2" borderId="0" xfId="0" applyFill="1" applyAlignment="1" applyProtection="1">
      <alignment horizontal="right" vertical="top"/>
      <protection/>
    </xf>
    <xf numFmtId="0" fontId="1" fillId="2" borderId="0" xfId="0" applyFont="1" applyFill="1" applyAlignment="1" applyProtection="1">
      <alignment vertical="top"/>
      <protection/>
    </xf>
    <xf numFmtId="0" fontId="0" fillId="0" borderId="0" xfId="0" applyAlignment="1" applyProtection="1">
      <alignment vertical="top"/>
      <protection/>
    </xf>
    <xf numFmtId="0" fontId="0" fillId="2" borderId="0" xfId="0" applyFont="1" applyFill="1" applyAlignment="1" applyProtection="1">
      <alignment horizontal="left" vertical="top"/>
      <protection/>
    </xf>
    <xf numFmtId="0" fontId="14" fillId="2" borderId="0" xfId="0" applyFont="1" applyFill="1" applyAlignment="1" applyProtection="1">
      <alignment horizontal="left" vertical="top"/>
      <protection/>
    </xf>
    <xf numFmtId="0" fontId="0" fillId="2" borderId="0" xfId="0" applyFont="1" applyFill="1" applyAlignment="1" applyProtection="1">
      <alignment horizontal="center" vertical="top"/>
      <protection/>
    </xf>
    <xf numFmtId="0" fontId="14" fillId="2" borderId="0" xfId="0" applyFont="1" applyFill="1" applyAlignment="1" applyProtection="1">
      <alignment vertical="top"/>
      <protection/>
    </xf>
    <xf numFmtId="0" fontId="29" fillId="2" borderId="0" xfId="0" applyFont="1" applyFill="1" applyAlignment="1" applyProtection="1">
      <alignment horizontal="right" vertical="center"/>
      <protection/>
    </xf>
    <xf numFmtId="0" fontId="22" fillId="2" borderId="0" xfId="0" applyFont="1" applyFill="1" applyAlignment="1" applyProtection="1">
      <alignment vertical="top"/>
      <protection/>
    </xf>
    <xf numFmtId="44" fontId="1" fillId="5" borderId="0" xfId="22" applyFont="1" applyFill="1" applyAlignment="1" applyProtection="1">
      <alignment horizontal="left" vertical="top"/>
      <protection/>
    </xf>
    <xf numFmtId="44" fontId="1" fillId="5" borderId="0" xfId="22" applyFont="1" applyFill="1" applyAlignment="1" applyProtection="1">
      <alignment horizontal="center" vertical="top"/>
      <protection/>
    </xf>
    <xf numFmtId="0" fontId="0" fillId="5" borderId="0" xfId="0" applyFill="1" applyAlignment="1" applyProtection="1" quotePrefix="1">
      <alignment horizontal="right" vertical="top"/>
      <protection/>
    </xf>
    <xf numFmtId="44" fontId="1" fillId="9" borderId="0" xfId="22" applyFont="1" applyFill="1" applyAlignment="1" applyProtection="1">
      <alignment horizontal="left" vertical="top"/>
      <protection/>
    </xf>
    <xf numFmtId="44" fontId="1" fillId="9" borderId="0" xfId="22" applyFont="1" applyFill="1" applyAlignment="1" applyProtection="1">
      <alignment horizontal="center" vertical="top"/>
      <protection/>
    </xf>
    <xf numFmtId="0" fontId="0" fillId="9" borderId="0" xfId="0" applyFill="1" applyAlignment="1" applyProtection="1" quotePrefix="1">
      <alignment horizontal="right" vertical="top"/>
      <protection/>
    </xf>
    <xf numFmtId="44" fontId="1" fillId="8" borderId="0" xfId="22" applyFont="1" applyFill="1" applyAlignment="1" applyProtection="1">
      <alignment horizontal="left" vertical="top"/>
      <protection/>
    </xf>
    <xf numFmtId="44" fontId="1" fillId="8" borderId="0" xfId="22" applyFont="1" applyFill="1" applyAlignment="1" applyProtection="1">
      <alignment horizontal="center" vertical="top"/>
      <protection/>
    </xf>
    <xf numFmtId="0" fontId="0" fillId="8" borderId="0" xfId="0" applyFill="1" applyAlignment="1" applyProtection="1" quotePrefix="1">
      <alignment horizontal="right" vertical="top"/>
      <protection/>
    </xf>
    <xf numFmtId="44" fontId="23" fillId="5" borderId="0" xfId="22" applyFont="1" applyFill="1" applyAlignment="1" applyProtection="1">
      <alignment horizontal="left" vertical="top"/>
      <protection/>
    </xf>
    <xf numFmtId="44" fontId="23" fillId="9" borderId="0" xfId="22" applyFont="1" applyFill="1" applyAlignment="1" applyProtection="1">
      <alignment horizontal="left" vertical="top"/>
      <protection/>
    </xf>
    <xf numFmtId="44" fontId="23" fillId="9" borderId="0" xfId="22" applyFont="1" applyFill="1" applyAlignment="1" applyProtection="1">
      <alignment horizontal="center" vertical="top"/>
      <protection/>
    </xf>
    <xf numFmtId="44" fontId="23" fillId="8" borderId="0" xfId="22" applyFont="1" applyFill="1" applyAlignment="1" applyProtection="1">
      <alignment horizontal="left" vertical="top"/>
      <protection/>
    </xf>
    <xf numFmtId="0" fontId="1" fillId="5" borderId="0" xfId="0" applyFont="1" applyFill="1" applyAlignment="1" applyProtection="1">
      <alignment horizontal="right" vertical="top"/>
      <protection/>
    </xf>
    <xf numFmtId="0" fontId="1" fillId="9" borderId="0" xfId="0" applyFont="1" applyFill="1" applyAlignment="1" applyProtection="1">
      <alignment horizontal="right" vertical="top"/>
      <protection/>
    </xf>
    <xf numFmtId="0" fontId="1" fillId="8" borderId="0" xfId="0" applyFont="1" applyFill="1" applyAlignment="1" applyProtection="1">
      <alignment horizontal="right" vertical="top"/>
      <protection/>
    </xf>
    <xf numFmtId="3" fontId="1" fillId="2" borderId="0" xfId="0" applyNumberFormat="1" applyFont="1" applyFill="1" applyBorder="1" applyAlignment="1" applyProtection="1">
      <alignment vertical="top"/>
      <protection/>
    </xf>
    <xf numFmtId="2" fontId="1" fillId="2" borderId="0" xfId="0" applyNumberFormat="1" applyFont="1" applyFill="1" applyBorder="1" applyAlignment="1" applyProtection="1">
      <alignment vertical="top"/>
      <protection/>
    </xf>
    <xf numFmtId="3" fontId="0" fillId="10" borderId="2" xfId="0" applyNumberFormat="1" applyFont="1" applyFill="1" applyBorder="1" applyAlignment="1" applyProtection="1">
      <alignment horizontal="right" vertical="top"/>
      <protection/>
    </xf>
    <xf numFmtId="3" fontId="0" fillId="5" borderId="2" xfId="0" applyNumberFormat="1" applyFont="1" applyFill="1" applyBorder="1" applyAlignment="1" applyProtection="1">
      <alignment vertical="top"/>
      <protection/>
    </xf>
    <xf numFmtId="3" fontId="1" fillId="5" borderId="3" xfId="0" applyNumberFormat="1" applyFont="1" applyFill="1" applyBorder="1" applyAlignment="1" applyProtection="1">
      <alignment/>
      <protection/>
    </xf>
    <xf numFmtId="3" fontId="1" fillId="9" borderId="3" xfId="0" applyNumberFormat="1" applyFont="1" applyFill="1" applyBorder="1" applyAlignment="1" applyProtection="1">
      <alignment/>
      <protection/>
    </xf>
    <xf numFmtId="3" fontId="1" fillId="8" borderId="3" xfId="0" applyNumberFormat="1" applyFont="1" applyFill="1" applyBorder="1" applyAlignment="1" applyProtection="1">
      <alignment/>
      <protection/>
    </xf>
    <xf numFmtId="0" fontId="18" fillId="2" borderId="0" xfId="0" applyFont="1" applyFill="1" applyAlignment="1" applyProtection="1">
      <alignment vertical="top"/>
      <protection/>
    </xf>
    <xf numFmtId="3" fontId="1" fillId="2" borderId="3" xfId="0" applyNumberFormat="1" applyFont="1" applyFill="1" applyBorder="1" applyAlignment="1" applyProtection="1">
      <alignment vertical="top"/>
      <protection/>
    </xf>
    <xf numFmtId="10" fontId="1" fillId="9" borderId="5" xfId="0" applyNumberFormat="1" applyFont="1" applyFill="1" applyBorder="1" applyAlignment="1" applyProtection="1">
      <alignment vertical="top"/>
      <protection/>
    </xf>
    <xf numFmtId="3" fontId="1" fillId="2" borderId="4" xfId="0" applyNumberFormat="1" applyFont="1" applyFill="1" applyBorder="1" applyAlignment="1" applyProtection="1">
      <alignment vertical="top"/>
      <protection/>
    </xf>
    <xf numFmtId="2" fontId="1" fillId="2" borderId="4" xfId="0" applyNumberFormat="1" applyFont="1" applyFill="1" applyBorder="1" applyAlignment="1" applyProtection="1">
      <alignment vertical="top"/>
      <protection/>
    </xf>
    <xf numFmtId="0" fontId="0" fillId="0" borderId="5" xfId="0" applyBorder="1" applyAlignment="1" applyProtection="1">
      <alignment vertical="top"/>
      <protection/>
    </xf>
    <xf numFmtId="3" fontId="0" fillId="2" borderId="5" xfId="0" applyNumberFormat="1" applyFont="1" applyFill="1" applyBorder="1" applyAlignment="1" applyProtection="1">
      <alignment vertical="top"/>
      <protection/>
    </xf>
    <xf numFmtId="2" fontId="0" fillId="2" borderId="22" xfId="0" applyNumberFormat="1" applyFont="1" applyFill="1" applyBorder="1" applyAlignment="1" applyProtection="1">
      <alignment vertical="top"/>
      <protection/>
    </xf>
    <xf numFmtId="10" fontId="2" fillId="6" borderId="23" xfId="0" applyNumberFormat="1" applyFont="1" applyFill="1" applyBorder="1" applyAlignment="1" applyProtection="1">
      <alignment horizontal="right" vertical="top"/>
      <protection/>
    </xf>
    <xf numFmtId="10" fontId="2" fillId="6" borderId="24" xfId="0" applyNumberFormat="1" applyFont="1" applyFill="1" applyBorder="1" applyAlignment="1" applyProtection="1">
      <alignment horizontal="right" vertical="top"/>
      <protection/>
    </xf>
    <xf numFmtId="10" fontId="2" fillId="6" borderId="25" xfId="0" applyNumberFormat="1" applyFont="1" applyFill="1" applyBorder="1" applyAlignment="1" applyProtection="1">
      <alignment horizontal="right" vertical="top"/>
      <protection/>
    </xf>
    <xf numFmtId="3" fontId="0" fillId="2" borderId="0" xfId="0" applyNumberFormat="1" applyFont="1" applyFill="1" applyBorder="1" applyAlignment="1" applyProtection="1">
      <alignment vertical="top"/>
      <protection/>
    </xf>
    <xf numFmtId="2" fontId="0" fillId="2" borderId="0" xfId="0" applyNumberFormat="1" applyFont="1" applyFill="1" applyBorder="1" applyAlignment="1" applyProtection="1">
      <alignment vertical="top"/>
      <protection/>
    </xf>
    <xf numFmtId="0" fontId="0" fillId="2" borderId="5" xfId="0" applyFill="1" applyBorder="1" applyAlignment="1" applyProtection="1">
      <alignment vertical="top"/>
      <protection/>
    </xf>
    <xf numFmtId="0" fontId="0" fillId="2" borderId="22" xfId="0" applyFill="1" applyBorder="1" applyAlignment="1" applyProtection="1">
      <alignment vertical="top"/>
      <protection/>
    </xf>
    <xf numFmtId="10" fontId="24" fillId="11" borderId="23" xfId="0" applyNumberFormat="1" applyFont="1" applyFill="1" applyBorder="1" applyAlignment="1" applyProtection="1">
      <alignment horizontal="center" vertical="center"/>
      <protection/>
    </xf>
    <xf numFmtId="0" fontId="0" fillId="2" borderId="0" xfId="0" applyFill="1" applyAlignment="1" applyProtection="1">
      <alignment vertical="center"/>
      <protection/>
    </xf>
    <xf numFmtId="0" fontId="0" fillId="2" borderId="0" xfId="0" applyFill="1" applyBorder="1" applyAlignment="1" applyProtection="1">
      <alignment vertical="top"/>
      <protection/>
    </xf>
    <xf numFmtId="3" fontId="0" fillId="3" borderId="2" xfId="0" applyNumberFormat="1" applyFill="1" applyBorder="1" applyAlignment="1" applyProtection="1">
      <alignment/>
      <protection/>
    </xf>
    <xf numFmtId="3" fontId="0" fillId="5" borderId="2" xfId="0" applyNumberFormat="1" applyFont="1" applyFill="1" applyBorder="1" applyAlignment="1" applyProtection="1">
      <alignment/>
      <protection/>
    </xf>
    <xf numFmtId="3" fontId="1" fillId="5" borderId="5" xfId="0" applyNumberFormat="1" applyFont="1" applyFill="1" applyBorder="1" applyAlignment="1" applyProtection="1">
      <alignment vertical="top"/>
      <protection/>
    </xf>
    <xf numFmtId="3" fontId="1" fillId="9" borderId="5" xfId="0" applyNumberFormat="1" applyFont="1" applyFill="1" applyBorder="1" applyAlignment="1" applyProtection="1">
      <alignment vertical="top"/>
      <protection/>
    </xf>
    <xf numFmtId="3" fontId="1" fillId="8" borderId="5" xfId="0" applyNumberFormat="1" applyFont="1" applyFill="1" applyBorder="1" applyAlignment="1" applyProtection="1">
      <alignment vertical="top"/>
      <protection/>
    </xf>
    <xf numFmtId="193" fontId="8" fillId="2" borderId="0" xfId="0" applyNumberFormat="1" applyFont="1" applyFill="1" applyAlignment="1" applyProtection="1">
      <alignment horizontal="left" vertical="top"/>
      <protection/>
    </xf>
    <xf numFmtId="0" fontId="8" fillId="2" borderId="0" xfId="0" applyFont="1" applyFill="1" applyAlignment="1" applyProtection="1">
      <alignment vertical="top"/>
      <protection/>
    </xf>
    <xf numFmtId="0" fontId="0" fillId="0" borderId="0" xfId="0" applyFill="1" applyAlignment="1" applyProtection="1">
      <alignment vertical="top"/>
      <protection/>
    </xf>
    <xf numFmtId="0" fontId="14" fillId="2" borderId="0" xfId="0" applyFont="1" applyFill="1" applyAlignment="1" applyProtection="1">
      <alignment vertical="top"/>
      <protection/>
    </xf>
    <xf numFmtId="3" fontId="1" fillId="5" borderId="2" xfId="0" applyNumberFormat="1" applyFont="1" applyFill="1" applyBorder="1" applyAlignment="1" applyProtection="1">
      <alignment/>
      <protection/>
    </xf>
    <xf numFmtId="3" fontId="1" fillId="9" borderId="2" xfId="0" applyNumberFormat="1" applyFont="1" applyFill="1" applyBorder="1" applyAlignment="1" applyProtection="1">
      <alignment/>
      <protection/>
    </xf>
    <xf numFmtId="3" fontId="1" fillId="8" borderId="2" xfId="0" applyNumberFormat="1" applyFont="1" applyFill="1" applyBorder="1" applyAlignment="1" applyProtection="1">
      <alignment/>
      <protection/>
    </xf>
    <xf numFmtId="0" fontId="14" fillId="2" borderId="0" xfId="0" applyFont="1" applyFill="1" applyBorder="1" applyAlignment="1" applyProtection="1">
      <alignment vertical="top"/>
      <protection/>
    </xf>
    <xf numFmtId="0" fontId="0" fillId="0" borderId="0" xfId="0" applyBorder="1" applyAlignment="1" applyProtection="1">
      <alignment vertical="top"/>
      <protection/>
    </xf>
    <xf numFmtId="0" fontId="21" fillId="2" borderId="0" xfId="0" applyFont="1" applyFill="1" applyBorder="1" applyAlignment="1" applyProtection="1">
      <alignment vertical="top"/>
      <protection/>
    </xf>
    <xf numFmtId="0" fontId="25" fillId="2" borderId="4" xfId="0" applyFont="1" applyFill="1" applyBorder="1" applyAlignment="1" applyProtection="1">
      <alignment vertical="top"/>
      <protection/>
    </xf>
    <xf numFmtId="0" fontId="25" fillId="2" borderId="4" xfId="0" applyFont="1" applyFill="1" applyBorder="1" applyAlignment="1" applyProtection="1">
      <alignment/>
      <protection/>
    </xf>
    <xf numFmtId="3" fontId="1" fillId="2" borderId="4" xfId="0" applyNumberFormat="1" applyFont="1" applyFill="1" applyBorder="1" applyAlignment="1" applyProtection="1">
      <alignment/>
      <protection/>
    </xf>
    <xf numFmtId="2" fontId="1" fillId="2" borderId="4" xfId="0" applyNumberFormat="1" applyFont="1" applyFill="1" applyBorder="1" applyAlignment="1" applyProtection="1">
      <alignment/>
      <protection/>
    </xf>
    <xf numFmtId="0" fontId="0" fillId="2" borderId="0" xfId="0" applyFill="1" applyAlignment="1" applyProtection="1">
      <alignment/>
      <protection/>
    </xf>
    <xf numFmtId="0" fontId="0" fillId="0" borderId="0" xfId="0" applyAlignment="1" applyProtection="1">
      <alignment/>
      <protection/>
    </xf>
    <xf numFmtId="3" fontId="1" fillId="0" borderId="0" xfId="0" applyNumberFormat="1" applyFont="1" applyFill="1" applyBorder="1" applyAlignment="1" applyProtection="1">
      <alignment vertical="top"/>
      <protection/>
    </xf>
    <xf numFmtId="3" fontId="0" fillId="9" borderId="2" xfId="0" applyNumberFormat="1" applyFont="1" applyFill="1" applyBorder="1" applyAlignment="1" applyProtection="1">
      <alignment vertical="top"/>
      <protection/>
    </xf>
    <xf numFmtId="3" fontId="0" fillId="8" borderId="2" xfId="0" applyNumberFormat="1" applyFont="1" applyFill="1" applyBorder="1" applyAlignment="1" applyProtection="1">
      <alignment vertical="top"/>
      <protection/>
    </xf>
    <xf numFmtId="3" fontId="0" fillId="2" borderId="2" xfId="0" applyNumberFormat="1" applyFont="1" applyFill="1" applyBorder="1" applyAlignment="1" applyProtection="1">
      <alignment vertical="top"/>
      <protection/>
    </xf>
    <xf numFmtId="189" fontId="0" fillId="2" borderId="2" xfId="0" applyNumberFormat="1" applyFont="1" applyFill="1" applyBorder="1" applyAlignment="1" applyProtection="1">
      <alignment vertical="top"/>
      <protection/>
    </xf>
    <xf numFmtId="3" fontId="0" fillId="5" borderId="3" xfId="0" applyNumberFormat="1" applyFont="1" applyFill="1" applyBorder="1" applyAlignment="1" applyProtection="1">
      <alignment vertical="top"/>
      <protection/>
    </xf>
    <xf numFmtId="3" fontId="0" fillId="9" borderId="3" xfId="0" applyNumberFormat="1" applyFont="1" applyFill="1" applyBorder="1" applyAlignment="1" applyProtection="1">
      <alignment vertical="top"/>
      <protection/>
    </xf>
    <xf numFmtId="3" fontId="0" fillId="8" borderId="3" xfId="0" applyNumberFormat="1" applyFont="1" applyFill="1" applyBorder="1" applyAlignment="1" applyProtection="1">
      <alignment vertical="top"/>
      <protection/>
    </xf>
    <xf numFmtId="2" fontId="0" fillId="2" borderId="2" xfId="0" applyNumberFormat="1" applyFont="1" applyFill="1" applyBorder="1" applyAlignment="1" applyProtection="1">
      <alignment vertical="top"/>
      <protection/>
    </xf>
    <xf numFmtId="3" fontId="1" fillId="5" borderId="5" xfId="0" applyNumberFormat="1" applyFont="1" applyFill="1" applyBorder="1" applyAlignment="1" applyProtection="1">
      <alignment/>
      <protection/>
    </xf>
    <xf numFmtId="3" fontId="1" fillId="9" borderId="5" xfId="0" applyNumberFormat="1" applyFont="1" applyFill="1" applyBorder="1" applyAlignment="1" applyProtection="1">
      <alignment/>
      <protection/>
    </xf>
    <xf numFmtId="3" fontId="1" fillId="8" borderId="5" xfId="0" applyNumberFormat="1" applyFont="1" applyFill="1" applyBorder="1" applyAlignment="1" applyProtection="1">
      <alignment/>
      <protection/>
    </xf>
    <xf numFmtId="3" fontId="1" fillId="2" borderId="5" xfId="0" applyNumberFormat="1" applyFont="1" applyFill="1" applyBorder="1" applyAlignment="1" applyProtection="1">
      <alignment vertical="top"/>
      <protection/>
    </xf>
    <xf numFmtId="3" fontId="1" fillId="2" borderId="5" xfId="0" applyNumberFormat="1" applyFont="1" applyFill="1" applyBorder="1" applyAlignment="1" applyProtection="1">
      <alignment/>
      <protection/>
    </xf>
    <xf numFmtId="3" fontId="0" fillId="2" borderId="5" xfId="0" applyNumberFormat="1" applyFont="1" applyFill="1" applyBorder="1" applyAlignment="1" applyProtection="1">
      <alignment/>
      <protection/>
    </xf>
    <xf numFmtId="0" fontId="21" fillId="2" borderId="0" xfId="0" applyFont="1" applyFill="1" applyAlignment="1" applyProtection="1">
      <alignment/>
      <protection/>
    </xf>
    <xf numFmtId="3" fontId="0" fillId="5" borderId="7" xfId="0" applyNumberFormat="1" applyFont="1" applyFill="1" applyBorder="1" applyAlignment="1" applyProtection="1">
      <alignment vertical="top"/>
      <protection/>
    </xf>
    <xf numFmtId="3" fontId="0" fillId="9" borderId="7" xfId="0" applyNumberFormat="1" applyFont="1" applyFill="1" applyBorder="1" applyAlignment="1" applyProtection="1">
      <alignment vertical="top"/>
      <protection/>
    </xf>
    <xf numFmtId="3" fontId="0" fillId="8" borderId="7" xfId="0" applyNumberFormat="1" applyFont="1" applyFill="1" applyBorder="1" applyAlignment="1" applyProtection="1">
      <alignment vertical="top"/>
      <protection/>
    </xf>
    <xf numFmtId="3" fontId="0" fillId="5" borderId="5" xfId="0" applyNumberFormat="1" applyFont="1" applyFill="1" applyBorder="1" applyAlignment="1" applyProtection="1">
      <alignment/>
      <protection/>
    </xf>
    <xf numFmtId="3" fontId="0" fillId="9" borderId="5" xfId="0" applyNumberFormat="1" applyFont="1" applyFill="1" applyBorder="1" applyAlignment="1" applyProtection="1">
      <alignment/>
      <protection/>
    </xf>
    <xf numFmtId="3" fontId="0" fillId="8" borderId="5" xfId="0" applyNumberFormat="1" applyFont="1" applyFill="1" applyBorder="1" applyAlignment="1" applyProtection="1">
      <alignment/>
      <protection/>
    </xf>
    <xf numFmtId="3" fontId="0" fillId="5" borderId="7" xfId="0" applyNumberFormat="1" applyFont="1" applyFill="1" applyBorder="1" applyAlignment="1" applyProtection="1">
      <alignment/>
      <protection/>
    </xf>
    <xf numFmtId="3" fontId="0" fillId="9" borderId="7" xfId="0" applyNumberFormat="1" applyFont="1" applyFill="1" applyBorder="1" applyAlignment="1" applyProtection="1">
      <alignment/>
      <protection/>
    </xf>
    <xf numFmtId="3" fontId="0" fillId="8" borderId="7" xfId="0" applyNumberFormat="1" applyFont="1" applyFill="1" applyBorder="1" applyAlignment="1" applyProtection="1">
      <alignment/>
      <protection/>
    </xf>
    <xf numFmtId="3" fontId="0" fillId="5" borderId="1" xfId="0" applyNumberFormat="1" applyFont="1" applyFill="1" applyBorder="1" applyAlignment="1" applyProtection="1">
      <alignment/>
      <protection/>
    </xf>
    <xf numFmtId="3" fontId="0" fillId="9" borderId="1" xfId="0" applyNumberFormat="1" applyFont="1" applyFill="1" applyBorder="1" applyAlignment="1" applyProtection="1">
      <alignment/>
      <protection/>
    </xf>
    <xf numFmtId="3" fontId="0" fillId="8" borderId="2" xfId="0" applyNumberFormat="1" applyFont="1" applyFill="1" applyBorder="1" applyAlignment="1" applyProtection="1">
      <alignment/>
      <protection/>
    </xf>
    <xf numFmtId="3" fontId="0" fillId="10" borderId="5" xfId="0" applyNumberFormat="1" applyFont="1" applyFill="1" applyBorder="1" applyAlignment="1" applyProtection="1">
      <alignment horizontal="right"/>
      <protection/>
    </xf>
    <xf numFmtId="3" fontId="1" fillId="9" borderId="0" xfId="0" applyNumberFormat="1" applyFont="1" applyFill="1" applyBorder="1" applyAlignment="1" applyProtection="1">
      <alignment/>
      <protection/>
    </xf>
    <xf numFmtId="10" fontId="2" fillId="11" borderId="23" xfId="0" applyNumberFormat="1" applyFont="1" applyFill="1" applyBorder="1" applyAlignment="1" applyProtection="1">
      <alignment horizontal="center" vertical="center" wrapText="1"/>
      <protection/>
    </xf>
    <xf numFmtId="10" fontId="2" fillId="11" borderId="24" xfId="0" applyNumberFormat="1" applyFont="1" applyFill="1" applyBorder="1" applyAlignment="1" applyProtection="1">
      <alignment horizontal="center" vertical="center" wrapText="1"/>
      <protection/>
    </xf>
    <xf numFmtId="3" fontId="2" fillId="12" borderId="24" xfId="0" applyNumberFormat="1" applyFont="1" applyFill="1" applyBorder="1" applyAlignment="1" applyProtection="1">
      <alignment horizontal="center" vertical="top"/>
      <protection/>
    </xf>
    <xf numFmtId="2" fontId="2" fillId="12" borderId="25" xfId="0" applyNumberFormat="1" applyFont="1" applyFill="1" applyBorder="1" applyAlignment="1" applyProtection="1">
      <alignment horizontal="center" vertical="top"/>
      <protection/>
    </xf>
    <xf numFmtId="3" fontId="0" fillId="9" borderId="2" xfId="0" applyNumberFormat="1" applyFont="1" applyFill="1" applyBorder="1" applyAlignment="1" applyProtection="1">
      <alignment/>
      <protection/>
    </xf>
    <xf numFmtId="3" fontId="0" fillId="8" borderId="1" xfId="0" applyNumberFormat="1" applyFont="1" applyFill="1" applyBorder="1" applyAlignment="1" applyProtection="1">
      <alignment/>
      <protection/>
    </xf>
    <xf numFmtId="191" fontId="1" fillId="5" borderId="5" xfId="0" applyNumberFormat="1" applyFont="1" applyFill="1" applyBorder="1" applyAlignment="1" applyProtection="1">
      <alignment/>
      <protection/>
    </xf>
    <xf numFmtId="191" fontId="1" fillId="9" borderId="5" xfId="0" applyNumberFormat="1" applyFont="1" applyFill="1" applyBorder="1" applyAlignment="1" applyProtection="1">
      <alignment/>
      <protection/>
    </xf>
    <xf numFmtId="191" fontId="1" fillId="8" borderId="5" xfId="0" applyNumberFormat="1" applyFont="1" applyFill="1" applyBorder="1" applyAlignment="1" applyProtection="1">
      <alignment/>
      <protection/>
    </xf>
    <xf numFmtId="0" fontId="22" fillId="2" borderId="3" xfId="0" applyFont="1" applyFill="1" applyBorder="1" applyAlignment="1" applyProtection="1">
      <alignment vertical="top"/>
      <protection/>
    </xf>
    <xf numFmtId="191" fontId="1" fillId="9" borderId="26" xfId="0" applyNumberFormat="1" applyFont="1" applyFill="1" applyBorder="1" applyAlignment="1" applyProtection="1">
      <alignment/>
      <protection/>
    </xf>
    <xf numFmtId="191" fontId="1" fillId="8" borderId="26" xfId="0" applyNumberFormat="1" applyFont="1" applyFill="1" applyBorder="1" applyAlignment="1" applyProtection="1">
      <alignment/>
      <protection/>
    </xf>
    <xf numFmtId="0" fontId="22" fillId="2" borderId="3" xfId="0" applyFont="1" applyFill="1" applyBorder="1" applyAlignment="1" applyProtection="1">
      <alignment vertical="top" wrapText="1"/>
      <protection/>
    </xf>
    <xf numFmtId="3" fontId="0" fillId="10" borderId="3" xfId="0" applyNumberFormat="1" applyFont="1" applyFill="1" applyBorder="1" applyAlignment="1" applyProtection="1">
      <alignment horizontal="right"/>
      <protection/>
    </xf>
    <xf numFmtId="198" fontId="1" fillId="5" borderId="5" xfId="0" applyNumberFormat="1" applyFont="1" applyFill="1" applyBorder="1" applyAlignment="1" applyProtection="1">
      <alignment/>
      <protection/>
    </xf>
    <xf numFmtId="198" fontId="1" fillId="9" borderId="5" xfId="0" applyNumberFormat="1" applyFont="1" applyFill="1" applyBorder="1" applyAlignment="1" applyProtection="1">
      <alignment/>
      <protection/>
    </xf>
    <xf numFmtId="198" fontId="1" fillId="8" borderId="5" xfId="0" applyNumberFormat="1" applyFont="1" applyFill="1" applyBorder="1" applyAlignment="1" applyProtection="1">
      <alignment/>
      <protection/>
    </xf>
    <xf numFmtId="0" fontId="21" fillId="2" borderId="0" xfId="0" applyFont="1" applyFill="1" applyAlignment="1" applyProtection="1">
      <alignment/>
      <protection/>
    </xf>
    <xf numFmtId="3" fontId="1" fillId="2" borderId="6" xfId="0" applyNumberFormat="1" applyFont="1" applyFill="1" applyBorder="1" applyAlignment="1" applyProtection="1">
      <alignment vertical="top"/>
      <protection/>
    </xf>
    <xf numFmtId="3" fontId="0" fillId="2" borderId="6" xfId="0" applyNumberFormat="1" applyFont="1" applyFill="1" applyBorder="1" applyAlignment="1" applyProtection="1">
      <alignment vertical="top"/>
      <protection/>
    </xf>
    <xf numFmtId="3" fontId="0" fillId="10" borderId="2" xfId="0" applyNumberFormat="1" applyFont="1" applyFill="1" applyBorder="1" applyAlignment="1" applyProtection="1">
      <alignment horizontal="right"/>
      <protection/>
    </xf>
    <xf numFmtId="3" fontId="1" fillId="2" borderId="2" xfId="0" applyNumberFormat="1" applyFont="1" applyFill="1" applyBorder="1" applyAlignment="1" applyProtection="1">
      <alignment vertical="top"/>
      <protection/>
    </xf>
    <xf numFmtId="2" fontId="1" fillId="2" borderId="2" xfId="0" applyNumberFormat="1" applyFont="1" applyFill="1" applyBorder="1" applyAlignment="1" applyProtection="1">
      <alignment vertical="top"/>
      <protection/>
    </xf>
    <xf numFmtId="2" fontId="1" fillId="2" borderId="27" xfId="0" applyNumberFormat="1" applyFont="1" applyFill="1" applyBorder="1" applyAlignment="1" applyProtection="1">
      <alignment vertical="top"/>
      <protection/>
    </xf>
    <xf numFmtId="10" fontId="2" fillId="13" borderId="24" xfId="0" applyNumberFormat="1" applyFont="1" applyFill="1" applyBorder="1" applyAlignment="1" applyProtection="1">
      <alignment horizontal="center" vertical="center" wrapText="1"/>
      <protection/>
    </xf>
    <xf numFmtId="3" fontId="1" fillId="9" borderId="3" xfId="0" applyNumberFormat="1" applyFont="1" applyFill="1" applyBorder="1" applyAlignment="1" applyProtection="1">
      <alignment horizontal="right"/>
      <protection/>
    </xf>
    <xf numFmtId="3" fontId="1" fillId="8" borderId="3" xfId="0" applyNumberFormat="1" applyFont="1" applyFill="1" applyBorder="1" applyAlignment="1" applyProtection="1">
      <alignment horizontal="right"/>
      <protection/>
    </xf>
    <xf numFmtId="0" fontId="0" fillId="2" borderId="0" xfId="0" applyFont="1" applyFill="1" applyAlignment="1" applyProtection="1">
      <alignment/>
      <protection/>
    </xf>
    <xf numFmtId="0" fontId="14" fillId="2" borderId="0" xfId="0" applyFont="1" applyFill="1" applyAlignment="1" applyProtection="1">
      <alignment/>
      <protection/>
    </xf>
    <xf numFmtId="0" fontId="14" fillId="0" borderId="0" xfId="0" applyFont="1" applyAlignment="1" applyProtection="1">
      <alignment/>
      <protection/>
    </xf>
    <xf numFmtId="184" fontId="0" fillId="2" borderId="0" xfId="0" applyNumberFormat="1" applyFill="1" applyAlignment="1" applyProtection="1">
      <alignment/>
      <protection/>
    </xf>
    <xf numFmtId="184" fontId="0" fillId="2" borderId="0" xfId="0" applyNumberFormat="1" applyFill="1" applyAlignment="1" applyProtection="1">
      <alignment vertical="top"/>
      <protection/>
    </xf>
    <xf numFmtId="1" fontId="1" fillId="2" borderId="0" xfId="0" applyNumberFormat="1" applyFont="1" applyFill="1" applyAlignment="1" applyProtection="1">
      <alignment vertical="top"/>
      <protection/>
    </xf>
    <xf numFmtId="0" fontId="0" fillId="2" borderId="0" xfId="0" applyFont="1" applyFill="1" applyAlignment="1" applyProtection="1">
      <alignment horizontal="center"/>
      <protection/>
    </xf>
    <xf numFmtId="0" fontId="0" fillId="2" borderId="0" xfId="0" applyFont="1" applyFill="1" applyAlignment="1" applyProtection="1">
      <alignment horizontal="left"/>
      <protection/>
    </xf>
    <xf numFmtId="184" fontId="0" fillId="2" borderId="0" xfId="0" applyNumberFormat="1" applyFont="1" applyFill="1" applyAlignment="1" applyProtection="1">
      <alignment horizontal="center"/>
      <protection/>
    </xf>
    <xf numFmtId="1" fontId="0" fillId="2" borderId="0" xfId="0" applyNumberFormat="1" applyFont="1" applyFill="1" applyAlignment="1" applyProtection="1">
      <alignment horizontal="center"/>
      <protection/>
    </xf>
    <xf numFmtId="184" fontId="0" fillId="5" borderId="0" xfId="0" applyNumberFormat="1" applyFill="1" applyAlignment="1" applyProtection="1" quotePrefix="1">
      <alignment horizontal="right"/>
      <protection/>
    </xf>
    <xf numFmtId="184" fontId="0" fillId="9" borderId="0" xfId="0" applyNumberFormat="1" applyFill="1" applyAlignment="1" applyProtection="1" quotePrefix="1">
      <alignment horizontal="right"/>
      <protection/>
    </xf>
    <xf numFmtId="184" fontId="0" fillId="8" borderId="0" xfId="0" applyNumberFormat="1" applyFill="1" applyAlignment="1" applyProtection="1" quotePrefix="1">
      <alignment horizontal="right"/>
      <protection/>
    </xf>
    <xf numFmtId="0" fontId="0" fillId="2" borderId="0" xfId="0" applyFill="1" applyBorder="1" applyAlignment="1" applyProtection="1">
      <alignment/>
      <protection/>
    </xf>
    <xf numFmtId="0" fontId="1" fillId="5" borderId="28" xfId="0" applyFont="1" applyFill="1" applyBorder="1" applyAlignment="1" applyProtection="1">
      <alignment horizontal="right"/>
      <protection/>
    </xf>
    <xf numFmtId="184" fontId="0" fillId="5" borderId="28" xfId="0" applyNumberFormat="1" applyFill="1" applyBorder="1" applyAlignment="1" applyProtection="1">
      <alignment/>
      <protection/>
    </xf>
    <xf numFmtId="0" fontId="1" fillId="9" borderId="28" xfId="0" applyFont="1" applyFill="1" applyBorder="1" applyAlignment="1" applyProtection="1">
      <alignment horizontal="right"/>
      <protection/>
    </xf>
    <xf numFmtId="184" fontId="0" fillId="9" borderId="28" xfId="0" applyNumberFormat="1" applyFill="1" applyBorder="1" applyAlignment="1" applyProtection="1">
      <alignment/>
      <protection/>
    </xf>
    <xf numFmtId="0" fontId="1" fillId="8" borderId="28" xfId="0" applyFont="1" applyFill="1" applyBorder="1" applyAlignment="1" applyProtection="1">
      <alignment horizontal="right"/>
      <protection/>
    </xf>
    <xf numFmtId="184" fontId="0" fillId="8" borderId="28" xfId="0" applyNumberFormat="1" applyFill="1" applyBorder="1" applyAlignment="1" applyProtection="1">
      <alignment/>
      <protection/>
    </xf>
    <xf numFmtId="0" fontId="0" fillId="2" borderId="5" xfId="0" applyFont="1" applyFill="1" applyBorder="1" applyAlignment="1" applyProtection="1">
      <alignment/>
      <protection/>
    </xf>
    <xf numFmtId="3" fontId="1" fillId="5" borderId="5" xfId="0" applyNumberFormat="1" applyFont="1" applyFill="1" applyBorder="1" applyAlignment="1" applyProtection="1">
      <alignment/>
      <protection/>
    </xf>
    <xf numFmtId="184" fontId="1" fillId="5" borderId="5" xfId="0" applyNumberFormat="1" applyFont="1" applyFill="1" applyBorder="1" applyAlignment="1" applyProtection="1">
      <alignment/>
      <protection/>
    </xf>
    <xf numFmtId="184" fontId="0" fillId="9" borderId="5" xfId="0" applyNumberFormat="1" applyFill="1" applyBorder="1" applyAlignment="1" applyProtection="1">
      <alignment/>
      <protection/>
    </xf>
    <xf numFmtId="184" fontId="0" fillId="8" borderId="5" xfId="0" applyNumberFormat="1" applyFill="1" applyBorder="1" applyAlignment="1" applyProtection="1">
      <alignment/>
      <protection/>
    </xf>
    <xf numFmtId="0" fontId="0" fillId="2" borderId="4" xfId="0" applyFont="1" applyFill="1" applyBorder="1" applyAlignment="1" applyProtection="1">
      <alignment/>
      <protection/>
    </xf>
    <xf numFmtId="0" fontId="0" fillId="2" borderId="2" xfId="0" applyFont="1" applyFill="1" applyBorder="1" applyAlignment="1" applyProtection="1">
      <alignment/>
      <protection/>
    </xf>
    <xf numFmtId="3" fontId="0" fillId="5" borderId="2" xfId="0" applyNumberFormat="1" applyFill="1" applyBorder="1" applyAlignment="1" applyProtection="1">
      <alignment/>
      <protection/>
    </xf>
    <xf numFmtId="184" fontId="0" fillId="9" borderId="2" xfId="0" applyNumberFormat="1" applyFill="1" applyBorder="1" applyAlignment="1" applyProtection="1">
      <alignment/>
      <protection/>
    </xf>
    <xf numFmtId="184" fontId="0" fillId="8" borderId="2" xfId="0" applyNumberFormat="1" applyFill="1" applyBorder="1" applyAlignment="1" applyProtection="1">
      <alignment/>
      <protection/>
    </xf>
    <xf numFmtId="0" fontId="0" fillId="2" borderId="1" xfId="0" applyFont="1" applyFill="1" applyBorder="1" applyAlignment="1" applyProtection="1">
      <alignment/>
      <protection/>
    </xf>
    <xf numFmtId="184" fontId="0" fillId="9" borderId="1" xfId="0" applyNumberFormat="1" applyFill="1" applyBorder="1" applyAlignment="1" applyProtection="1">
      <alignment/>
      <protection/>
    </xf>
    <xf numFmtId="184" fontId="0" fillId="8" borderId="1" xfId="0" applyNumberFormat="1" applyFill="1" applyBorder="1" applyAlignment="1" applyProtection="1">
      <alignment/>
      <protection/>
    </xf>
    <xf numFmtId="0" fontId="0" fillId="2" borderId="2" xfId="0" applyFill="1" applyBorder="1" applyAlignment="1" applyProtection="1">
      <alignment/>
      <protection/>
    </xf>
    <xf numFmtId="0" fontId="0" fillId="2" borderId="2" xfId="0" applyFont="1" applyFill="1" applyBorder="1" applyAlignment="1" applyProtection="1" quotePrefix="1">
      <alignment horizontal="left"/>
      <protection/>
    </xf>
    <xf numFmtId="3" fontId="0" fillId="5" borderId="0" xfId="0" applyNumberFormat="1" applyFill="1" applyBorder="1" applyAlignment="1" applyProtection="1">
      <alignment/>
      <protection/>
    </xf>
    <xf numFmtId="0" fontId="1" fillId="2" borderId="5" xfId="0" applyFont="1" applyFill="1" applyBorder="1" applyAlignment="1" applyProtection="1">
      <alignment wrapText="1"/>
      <protection/>
    </xf>
    <xf numFmtId="3" fontId="1" fillId="5" borderId="3" xfId="0" applyNumberFormat="1" applyFont="1" applyFill="1" applyBorder="1" applyAlignment="1" applyProtection="1">
      <alignment/>
      <protection/>
    </xf>
    <xf numFmtId="3" fontId="1" fillId="9" borderId="3" xfId="0" applyNumberFormat="1" applyFont="1" applyFill="1" applyBorder="1" applyAlignment="1" applyProtection="1">
      <alignment/>
      <protection/>
    </xf>
    <xf numFmtId="184" fontId="1" fillId="9" borderId="3" xfId="0" applyNumberFormat="1" applyFont="1" applyFill="1" applyBorder="1" applyAlignment="1" applyProtection="1">
      <alignment/>
      <protection/>
    </xf>
    <xf numFmtId="3" fontId="1" fillId="8" borderId="3" xfId="0" applyNumberFormat="1" applyFont="1" applyFill="1" applyBorder="1" applyAlignment="1" applyProtection="1">
      <alignment/>
      <protection/>
    </xf>
    <xf numFmtId="184" fontId="1" fillId="8" borderId="3" xfId="0" applyNumberFormat="1" applyFont="1" applyFill="1" applyBorder="1" applyAlignment="1" applyProtection="1">
      <alignment/>
      <protection/>
    </xf>
    <xf numFmtId="0" fontId="1" fillId="2" borderId="0" xfId="0" applyFont="1" applyFill="1" applyBorder="1" applyAlignment="1" applyProtection="1">
      <alignment/>
      <protection/>
    </xf>
    <xf numFmtId="0" fontId="19" fillId="2" borderId="5" xfId="0" applyFont="1" applyFill="1" applyBorder="1" applyAlignment="1" applyProtection="1">
      <alignment horizontal="left"/>
      <protection/>
    </xf>
    <xf numFmtId="3" fontId="0" fillId="5" borderId="5" xfId="0" applyNumberFormat="1" applyFont="1" applyFill="1" applyBorder="1" applyAlignment="1" applyProtection="1">
      <alignment/>
      <protection/>
    </xf>
    <xf numFmtId="184" fontId="0" fillId="5" borderId="5" xfId="0" applyNumberFormat="1" applyFont="1" applyFill="1" applyBorder="1" applyAlignment="1" applyProtection="1">
      <alignment/>
      <protection/>
    </xf>
    <xf numFmtId="184" fontId="0" fillId="9" borderId="5" xfId="0" applyNumberFormat="1" applyFont="1" applyFill="1" applyBorder="1" applyAlignment="1" applyProtection="1">
      <alignment/>
      <protection/>
    </xf>
    <xf numFmtId="184" fontId="0" fillId="8" borderId="5" xfId="0" applyNumberFormat="1" applyFont="1" applyFill="1" applyBorder="1" applyAlignment="1" applyProtection="1">
      <alignment/>
      <protection/>
    </xf>
    <xf numFmtId="0" fontId="19" fillId="2" borderId="4" xfId="0" applyFont="1" applyFill="1" applyBorder="1" applyAlignment="1" applyProtection="1">
      <alignment horizontal="left"/>
      <protection/>
    </xf>
    <xf numFmtId="0" fontId="1" fillId="2" borderId="2" xfId="0" applyFont="1" applyFill="1" applyBorder="1" applyAlignment="1" applyProtection="1">
      <alignment wrapText="1"/>
      <protection/>
    </xf>
    <xf numFmtId="184" fontId="0" fillId="9" borderId="0" xfId="0" applyNumberFormat="1" applyFont="1" applyFill="1" applyBorder="1" applyAlignment="1" applyProtection="1">
      <alignment/>
      <protection/>
    </xf>
    <xf numFmtId="184" fontId="0" fillId="8" borderId="0" xfId="0" applyNumberFormat="1" applyFont="1" applyFill="1" applyBorder="1" applyAlignment="1" applyProtection="1">
      <alignment/>
      <protection/>
    </xf>
    <xf numFmtId="3" fontId="1" fillId="14" borderId="5" xfId="0" applyNumberFormat="1" applyFont="1" applyFill="1" applyBorder="1" applyAlignment="1" applyProtection="1">
      <alignment/>
      <protection/>
    </xf>
    <xf numFmtId="184" fontId="1" fillId="9" borderId="5" xfId="0" applyNumberFormat="1" applyFont="1" applyFill="1" applyBorder="1" applyAlignment="1" applyProtection="1">
      <alignment/>
      <protection/>
    </xf>
    <xf numFmtId="3" fontId="1" fillId="8" borderId="5" xfId="0" applyNumberFormat="1" applyFont="1" applyFill="1" applyBorder="1" applyAlignment="1" applyProtection="1">
      <alignment/>
      <protection/>
    </xf>
    <xf numFmtId="184" fontId="1" fillId="8" borderId="5" xfId="0" applyNumberFormat="1" applyFont="1" applyFill="1" applyBorder="1" applyAlignment="1" applyProtection="1">
      <alignment/>
      <protection/>
    </xf>
    <xf numFmtId="0" fontId="0" fillId="2" borderId="0" xfId="0" applyFont="1" applyFill="1" applyBorder="1" applyAlignment="1" applyProtection="1">
      <alignment/>
      <protection/>
    </xf>
    <xf numFmtId="0" fontId="0" fillId="2" borderId="2" xfId="0" applyFont="1" applyFill="1" applyBorder="1" applyAlignment="1" applyProtection="1">
      <alignment wrapText="1"/>
      <protection/>
    </xf>
    <xf numFmtId="184" fontId="0" fillId="5" borderId="2" xfId="0" applyNumberFormat="1" applyFill="1" applyBorder="1" applyAlignment="1" applyProtection="1">
      <alignment/>
      <protection/>
    </xf>
    <xf numFmtId="0" fontId="0" fillId="2" borderId="1" xfId="0" applyFont="1" applyFill="1" applyBorder="1" applyAlignment="1" applyProtection="1">
      <alignment horizontal="left"/>
      <protection/>
    </xf>
    <xf numFmtId="184" fontId="0" fillId="5" borderId="1" xfId="0" applyNumberFormat="1" applyFill="1" applyBorder="1" applyAlignment="1" applyProtection="1">
      <alignment/>
      <protection/>
    </xf>
    <xf numFmtId="0" fontId="1" fillId="2" borderId="3" xfId="0" applyFont="1" applyFill="1" applyBorder="1" applyAlignment="1" applyProtection="1">
      <alignment/>
      <protection/>
    </xf>
    <xf numFmtId="184" fontId="1" fillId="5" borderId="3" xfId="0" applyNumberFormat="1" applyFont="1" applyFill="1" applyBorder="1" applyAlignment="1" applyProtection="1">
      <alignment/>
      <protection/>
    </xf>
    <xf numFmtId="0" fontId="0" fillId="2" borderId="4" xfId="0" applyFill="1" applyBorder="1" applyAlignment="1" applyProtection="1">
      <alignment/>
      <protection/>
    </xf>
    <xf numFmtId="0" fontId="1" fillId="2" borderId="29" xfId="0" applyFont="1" applyFill="1" applyBorder="1" applyAlignment="1" applyProtection="1">
      <alignment/>
      <protection/>
    </xf>
    <xf numFmtId="3" fontId="1" fillId="5" borderId="29" xfId="0" applyNumberFormat="1" applyFont="1" applyFill="1" applyBorder="1" applyAlignment="1" applyProtection="1">
      <alignment/>
      <protection/>
    </xf>
    <xf numFmtId="184" fontId="1" fillId="5" borderId="29" xfId="0" applyNumberFormat="1" applyFont="1" applyFill="1" applyBorder="1" applyAlignment="1" applyProtection="1">
      <alignment/>
      <protection/>
    </xf>
    <xf numFmtId="3" fontId="1" fillId="9" borderId="29" xfId="0" applyNumberFormat="1" applyFont="1" applyFill="1" applyBorder="1" applyAlignment="1" applyProtection="1">
      <alignment/>
      <protection/>
    </xf>
    <xf numFmtId="184" fontId="1" fillId="9" borderId="29" xfId="0" applyNumberFormat="1" applyFont="1" applyFill="1" applyBorder="1" applyAlignment="1" applyProtection="1">
      <alignment/>
      <protection/>
    </xf>
    <xf numFmtId="3" fontId="1" fillId="8" borderId="29" xfId="0" applyNumberFormat="1" applyFont="1" applyFill="1" applyBorder="1" applyAlignment="1" applyProtection="1">
      <alignment/>
      <protection/>
    </xf>
    <xf numFmtId="184" fontId="1" fillId="8" borderId="29" xfId="0" applyNumberFormat="1" applyFont="1" applyFill="1" applyBorder="1" applyAlignment="1" applyProtection="1">
      <alignment/>
      <protection/>
    </xf>
    <xf numFmtId="0" fontId="20" fillId="2" borderId="0" xfId="0" applyFont="1" applyFill="1" applyAlignment="1" applyProtection="1">
      <alignment/>
      <protection/>
    </xf>
    <xf numFmtId="0" fontId="1" fillId="15" borderId="0" xfId="0" applyFont="1" applyFill="1" applyAlignment="1" applyProtection="1" quotePrefix="1">
      <alignment horizontal="right" vertical="top"/>
      <protection/>
    </xf>
    <xf numFmtId="0" fontId="0" fillId="2" borderId="4" xfId="0" applyFont="1" applyFill="1" applyBorder="1" applyAlignment="1" applyProtection="1">
      <alignment/>
      <protection/>
    </xf>
    <xf numFmtId="0" fontId="1" fillId="2" borderId="4" xfId="0" applyFont="1" applyFill="1" applyBorder="1" applyAlignment="1" applyProtection="1">
      <alignment/>
      <protection/>
    </xf>
    <xf numFmtId="0" fontId="0" fillId="2" borderId="2" xfId="0" applyFont="1" applyFill="1" applyBorder="1" applyAlignment="1" applyProtection="1">
      <alignment/>
      <protection/>
    </xf>
    <xf numFmtId="0" fontId="0" fillId="2" borderId="2" xfId="0" applyFont="1" applyFill="1" applyBorder="1" applyAlignment="1" applyProtection="1">
      <alignment wrapText="1"/>
      <protection/>
    </xf>
    <xf numFmtId="184" fontId="0" fillId="5" borderId="0" xfId="0" applyNumberFormat="1" applyFill="1" applyBorder="1" applyAlignment="1" applyProtection="1">
      <alignment/>
      <protection/>
    </xf>
    <xf numFmtId="184" fontId="0" fillId="9" borderId="0" xfId="0" applyNumberFormat="1" applyFill="1" applyBorder="1" applyAlignment="1" applyProtection="1">
      <alignment/>
      <protection/>
    </xf>
    <xf numFmtId="184" fontId="0" fillId="8" borderId="0" xfId="0" applyNumberFormat="1" applyFill="1" applyBorder="1" applyAlignment="1" applyProtection="1">
      <alignment/>
      <protection/>
    </xf>
    <xf numFmtId="0" fontId="1" fillId="2" borderId="7" xfId="0" applyFont="1" applyFill="1" applyBorder="1" applyAlignment="1" applyProtection="1">
      <alignment vertical="top" wrapText="1"/>
      <protection/>
    </xf>
    <xf numFmtId="3" fontId="0" fillId="5" borderId="7" xfId="0" applyNumberFormat="1" applyFill="1" applyBorder="1" applyAlignment="1" applyProtection="1">
      <alignment vertical="top"/>
      <protection/>
    </xf>
    <xf numFmtId="184" fontId="0" fillId="5" borderId="7" xfId="0" applyNumberFormat="1" applyFill="1" applyBorder="1" applyAlignment="1" applyProtection="1">
      <alignment vertical="top"/>
      <protection/>
    </xf>
    <xf numFmtId="3" fontId="1" fillId="14" borderId="7" xfId="0" applyNumberFormat="1" applyFont="1" applyFill="1" applyBorder="1" applyAlignment="1" applyProtection="1">
      <alignment vertical="top"/>
      <protection/>
    </xf>
    <xf numFmtId="184" fontId="0" fillId="9" borderId="7" xfId="0" applyNumberFormat="1" applyFill="1" applyBorder="1" applyAlignment="1" applyProtection="1">
      <alignment vertical="top"/>
      <protection/>
    </xf>
    <xf numFmtId="3" fontId="1" fillId="8" borderId="7" xfId="0" applyNumberFormat="1" applyFont="1" applyFill="1" applyBorder="1" applyAlignment="1" applyProtection="1">
      <alignment vertical="top"/>
      <protection/>
    </xf>
    <xf numFmtId="184" fontId="0" fillId="8" borderId="7" xfId="0" applyNumberFormat="1" applyFill="1" applyBorder="1" applyAlignment="1" applyProtection="1">
      <alignment vertical="top"/>
      <protection/>
    </xf>
    <xf numFmtId="0" fontId="0" fillId="2" borderId="1" xfId="0" applyFont="1" applyFill="1" applyBorder="1" applyAlignment="1" applyProtection="1">
      <alignment/>
      <protection/>
    </xf>
    <xf numFmtId="3" fontId="0" fillId="5" borderId="1" xfId="0" applyNumberFormat="1" applyFill="1" applyBorder="1" applyAlignment="1" applyProtection="1">
      <alignment/>
      <protection/>
    </xf>
    <xf numFmtId="0" fontId="0" fillId="2" borderId="6" xfId="0" applyFont="1" applyFill="1" applyBorder="1" applyAlignment="1" applyProtection="1">
      <alignment/>
      <protection/>
    </xf>
    <xf numFmtId="0" fontId="0" fillId="2" borderId="1" xfId="0" applyFont="1" applyFill="1" applyBorder="1" applyAlignment="1" applyProtection="1" quotePrefix="1">
      <alignment horizontal="left"/>
      <protection/>
    </xf>
    <xf numFmtId="184" fontId="0" fillId="2" borderId="0" xfId="0" applyNumberFormat="1" applyFill="1" applyBorder="1" applyAlignment="1" applyProtection="1">
      <alignment/>
      <protection/>
    </xf>
    <xf numFmtId="0" fontId="1" fillId="2" borderId="29" xfId="0" applyFont="1" applyFill="1" applyBorder="1" applyAlignment="1" applyProtection="1" quotePrefix="1">
      <alignment horizontal="left"/>
      <protection/>
    </xf>
    <xf numFmtId="0" fontId="0" fillId="2" borderId="30" xfId="0" applyFill="1" applyBorder="1" applyAlignment="1" applyProtection="1">
      <alignment/>
      <protection/>
    </xf>
    <xf numFmtId="184" fontId="0" fillId="2" borderId="30" xfId="0" applyNumberFormat="1" applyFill="1" applyBorder="1" applyAlignment="1" applyProtection="1">
      <alignment/>
      <protection/>
    </xf>
    <xf numFmtId="0" fontId="15" fillId="2" borderId="0" xfId="0" applyFont="1" applyFill="1" applyAlignment="1" applyProtection="1">
      <alignment/>
      <protection/>
    </xf>
    <xf numFmtId="0" fontId="1" fillId="2" borderId="5" xfId="0" applyFont="1" applyFill="1" applyBorder="1" applyAlignment="1" applyProtection="1" quotePrefix="1">
      <alignment horizontal="left"/>
      <protection/>
    </xf>
    <xf numFmtId="3" fontId="1" fillId="5" borderId="31" xfId="0" applyNumberFormat="1" applyFont="1" applyFill="1" applyBorder="1" applyAlignment="1" applyProtection="1">
      <alignment/>
      <protection/>
    </xf>
    <xf numFmtId="184" fontId="1" fillId="5" borderId="31" xfId="0" applyNumberFormat="1" applyFont="1" applyFill="1" applyBorder="1" applyAlignment="1" applyProtection="1">
      <alignment/>
      <protection/>
    </xf>
    <xf numFmtId="3" fontId="1" fillId="9" borderId="31" xfId="0" applyNumberFormat="1" applyFont="1" applyFill="1" applyBorder="1" applyAlignment="1" applyProtection="1">
      <alignment/>
      <protection/>
    </xf>
    <xf numFmtId="184" fontId="1" fillId="9" borderId="31" xfId="0" applyNumberFormat="1" applyFont="1" applyFill="1" applyBorder="1" applyAlignment="1" applyProtection="1">
      <alignment/>
      <protection/>
    </xf>
    <xf numFmtId="3" fontId="1" fillId="8" borderId="31" xfId="0" applyNumberFormat="1" applyFont="1" applyFill="1" applyBorder="1" applyAlignment="1" applyProtection="1">
      <alignment/>
      <protection/>
    </xf>
    <xf numFmtId="184" fontId="1" fillId="8" borderId="31" xfId="0" applyNumberFormat="1" applyFont="1" applyFill="1" applyBorder="1" applyAlignment="1" applyProtection="1">
      <alignment/>
      <protection/>
    </xf>
    <xf numFmtId="0" fontId="1" fillId="2" borderId="3" xfId="0" applyFont="1" applyFill="1" applyBorder="1" applyAlignment="1" applyProtection="1" quotePrefix="1">
      <alignment horizontal="left" wrapText="1"/>
      <protection/>
    </xf>
    <xf numFmtId="184" fontId="0" fillId="0" borderId="0" xfId="0" applyNumberFormat="1" applyAlignment="1" applyProtection="1">
      <alignment/>
      <protection/>
    </xf>
    <xf numFmtId="0" fontId="14" fillId="2" borderId="0" xfId="0" applyFont="1" applyFill="1" applyAlignment="1" applyProtection="1">
      <alignment/>
      <protection/>
    </xf>
    <xf numFmtId="0" fontId="1" fillId="2" borderId="2" xfId="0" applyFont="1" applyFill="1" applyBorder="1" applyAlignment="1" applyProtection="1">
      <alignment/>
      <protection/>
    </xf>
    <xf numFmtId="0" fontId="0" fillId="2" borderId="1" xfId="0" applyFill="1" applyBorder="1" applyAlignment="1" applyProtection="1">
      <alignment/>
      <protection/>
    </xf>
    <xf numFmtId="0" fontId="1" fillId="2" borderId="1" xfId="0" applyFont="1" applyFill="1" applyBorder="1" applyAlignment="1" applyProtection="1">
      <alignment/>
      <protection/>
    </xf>
    <xf numFmtId="3" fontId="0" fillId="14" borderId="1" xfId="0" applyNumberFormat="1" applyFill="1" applyBorder="1" applyAlignment="1" applyProtection="1">
      <alignment/>
      <protection/>
    </xf>
    <xf numFmtId="3" fontId="0" fillId="8" borderId="1" xfId="0" applyNumberFormat="1" applyFill="1" applyBorder="1" applyAlignment="1" applyProtection="1">
      <alignment/>
      <protection/>
    </xf>
    <xf numFmtId="0" fontId="1" fillId="2" borderId="3" xfId="0" applyFont="1" applyFill="1" applyBorder="1" applyAlignment="1" applyProtection="1">
      <alignment/>
      <protection/>
    </xf>
    <xf numFmtId="3" fontId="0" fillId="5" borderId="3" xfId="0" applyNumberFormat="1" applyFill="1" applyBorder="1" applyAlignment="1" applyProtection="1">
      <alignment/>
      <protection/>
    </xf>
    <xf numFmtId="184" fontId="0" fillId="5" borderId="3" xfId="0" applyNumberFormat="1" applyFill="1" applyBorder="1" applyAlignment="1" applyProtection="1">
      <alignment/>
      <protection/>
    </xf>
    <xf numFmtId="3" fontId="0" fillId="9" borderId="3" xfId="0" applyNumberFormat="1" applyFill="1" applyBorder="1" applyAlignment="1" applyProtection="1">
      <alignment/>
      <protection/>
    </xf>
    <xf numFmtId="3" fontId="0" fillId="8" borderId="3" xfId="0" applyNumberFormat="1" applyFill="1" applyBorder="1" applyAlignment="1" applyProtection="1">
      <alignment/>
      <protection/>
    </xf>
    <xf numFmtId="184" fontId="0" fillId="8" borderId="3" xfId="0" applyNumberFormat="1" applyFill="1" applyBorder="1" applyAlignment="1" applyProtection="1">
      <alignment/>
      <protection/>
    </xf>
    <xf numFmtId="0" fontId="0" fillId="2" borderId="5" xfId="0" applyFill="1" applyBorder="1" applyAlignment="1" applyProtection="1">
      <alignment/>
      <protection/>
    </xf>
    <xf numFmtId="3" fontId="0" fillId="5" borderId="5" xfId="0" applyNumberFormat="1" applyFill="1" applyBorder="1" applyAlignment="1" applyProtection="1">
      <alignment/>
      <protection/>
    </xf>
    <xf numFmtId="184" fontId="0" fillId="5" borderId="5" xfId="0" applyNumberFormat="1" applyFill="1" applyBorder="1" applyAlignment="1" applyProtection="1">
      <alignment/>
      <protection/>
    </xf>
    <xf numFmtId="3" fontId="0" fillId="9" borderId="1" xfId="0" applyNumberFormat="1" applyFill="1" applyBorder="1" applyAlignment="1" applyProtection="1">
      <alignment/>
      <protection/>
    </xf>
    <xf numFmtId="0" fontId="1" fillId="2" borderId="3" xfId="0" applyFont="1" applyFill="1" applyBorder="1" applyAlignment="1" applyProtection="1">
      <alignment wrapText="1"/>
      <protection/>
    </xf>
    <xf numFmtId="184" fontId="0" fillId="9" borderId="3" xfId="0" applyNumberFormat="1" applyFill="1" applyBorder="1" applyAlignment="1" applyProtection="1">
      <alignment/>
      <protection/>
    </xf>
    <xf numFmtId="0" fontId="0" fillId="2" borderId="2" xfId="0" applyFill="1" applyBorder="1" applyAlignment="1" applyProtection="1" quotePrefix="1">
      <alignment horizontal="left" wrapText="1"/>
      <protection/>
    </xf>
    <xf numFmtId="3" fontId="0" fillId="14" borderId="3" xfId="0" applyNumberFormat="1" applyFill="1" applyBorder="1" applyAlignment="1" applyProtection="1">
      <alignment/>
      <protection/>
    </xf>
    <xf numFmtId="0" fontId="0" fillId="2" borderId="2" xfId="0" applyFont="1" applyFill="1" applyBorder="1" applyAlignment="1" applyProtection="1">
      <alignment horizontal="left"/>
      <protection/>
    </xf>
    <xf numFmtId="0" fontId="0" fillId="2" borderId="1" xfId="0" applyFill="1" applyBorder="1" applyAlignment="1" applyProtection="1">
      <alignment horizontal="left" wrapText="1"/>
      <protection/>
    </xf>
    <xf numFmtId="0" fontId="1" fillId="2" borderId="3" xfId="0" applyFont="1" applyFill="1" applyBorder="1" applyAlignment="1" applyProtection="1" quotePrefix="1">
      <alignment horizontal="left" wrapText="1"/>
      <protection/>
    </xf>
    <xf numFmtId="0" fontId="1" fillId="2" borderId="29" xfId="0" applyFont="1" applyFill="1" applyBorder="1" applyAlignment="1" applyProtection="1" quotePrefix="1">
      <alignment horizontal="left" wrapText="1"/>
      <protection/>
    </xf>
    <xf numFmtId="0" fontId="15" fillId="2" borderId="0" xfId="0" applyFont="1" applyFill="1" applyAlignment="1" applyProtection="1">
      <alignment/>
      <protection/>
    </xf>
    <xf numFmtId="184" fontId="16" fillId="2" borderId="0" xfId="0" applyNumberFormat="1" applyFont="1" applyFill="1" applyAlignment="1" applyProtection="1">
      <alignment/>
      <protection/>
    </xf>
    <xf numFmtId="0" fontId="16" fillId="2" borderId="0" xfId="0" applyFont="1" applyFill="1" applyAlignment="1" applyProtection="1">
      <alignment/>
      <protection/>
    </xf>
    <xf numFmtId="3" fontId="1" fillId="9" borderId="5" xfId="0" applyNumberFormat="1" applyFont="1" applyFill="1" applyBorder="1" applyAlignment="1" applyProtection="1">
      <alignment/>
      <protection/>
    </xf>
    <xf numFmtId="0" fontId="17" fillId="2" borderId="0" xfId="0" applyFont="1" applyFill="1" applyBorder="1" applyAlignment="1" applyProtection="1">
      <alignment/>
      <protection/>
    </xf>
    <xf numFmtId="0" fontId="18" fillId="2" borderId="0" xfId="0" applyFont="1" applyFill="1" applyAlignment="1" applyProtection="1">
      <alignment/>
      <protection/>
    </xf>
    <xf numFmtId="0" fontId="0" fillId="2" borderId="6" xfId="0" applyFill="1" applyBorder="1" applyAlignment="1" applyProtection="1">
      <alignment/>
      <protection/>
    </xf>
    <xf numFmtId="0" fontId="1" fillId="2" borderId="5" xfId="0" applyFont="1" applyFill="1" applyBorder="1" applyAlignment="1" applyProtection="1" quotePrefix="1">
      <alignment horizontal="left"/>
      <protection/>
    </xf>
    <xf numFmtId="3" fontId="0" fillId="9" borderId="5" xfId="0" applyNumberFormat="1" applyFill="1" applyBorder="1" applyAlignment="1" applyProtection="1">
      <alignment/>
      <protection/>
    </xf>
    <xf numFmtId="3" fontId="0" fillId="8" borderId="5" xfId="0" applyNumberFormat="1" applyFill="1" applyBorder="1" applyAlignment="1" applyProtection="1">
      <alignment/>
      <protection/>
    </xf>
    <xf numFmtId="14" fontId="0" fillId="2" borderId="0" xfId="0" applyNumberFormat="1" applyFill="1" applyAlignment="1" applyProtection="1">
      <alignment vertical="top"/>
      <protection/>
    </xf>
    <xf numFmtId="0" fontId="0" fillId="2" borderId="0" xfId="0" applyFill="1" applyBorder="1" applyAlignment="1" applyProtection="1">
      <alignment horizontal="right" vertical="top"/>
      <protection/>
    </xf>
    <xf numFmtId="0" fontId="1" fillId="2" borderId="0" xfId="0" applyFont="1" applyFill="1" applyBorder="1" applyAlignment="1" applyProtection="1">
      <alignment vertical="top"/>
      <protection/>
    </xf>
    <xf numFmtId="0" fontId="29" fillId="2" borderId="0" xfId="0" applyFont="1" applyFill="1" applyAlignment="1" applyProtection="1">
      <alignment horizontal="right" vertical="top"/>
      <protection/>
    </xf>
    <xf numFmtId="0" fontId="0" fillId="2" borderId="0" xfId="0" applyFont="1" applyFill="1" applyBorder="1" applyAlignment="1" applyProtection="1">
      <alignment/>
      <protection/>
    </xf>
    <xf numFmtId="14" fontId="28" fillId="2" borderId="0" xfId="0" applyNumberFormat="1" applyFont="1" applyFill="1" applyBorder="1" applyAlignment="1" applyProtection="1">
      <alignment horizontal="left"/>
      <protection/>
    </xf>
    <xf numFmtId="14" fontId="1" fillId="2" borderId="0" xfId="0" applyNumberFormat="1" applyFont="1" applyFill="1" applyBorder="1" applyAlignment="1" applyProtection="1">
      <alignment horizontal="left"/>
      <protection/>
    </xf>
    <xf numFmtId="0" fontId="5" fillId="0" borderId="0" xfId="0" applyFont="1" applyAlignment="1" applyProtection="1">
      <alignment/>
      <protection/>
    </xf>
    <xf numFmtId="14" fontId="0" fillId="2" borderId="0" xfId="0" applyNumberFormat="1" applyFont="1" applyFill="1" applyBorder="1" applyAlignment="1" applyProtection="1">
      <alignment horizontal="left" vertical="center"/>
      <protection/>
    </xf>
    <xf numFmtId="0" fontId="0" fillId="0" borderId="2" xfId="0" applyFill="1" applyBorder="1" applyAlignment="1" applyProtection="1">
      <alignment/>
      <protection/>
    </xf>
    <xf numFmtId="0" fontId="0" fillId="0" borderId="1" xfId="0" applyFill="1" applyBorder="1" applyAlignment="1" applyProtection="1">
      <alignment wrapText="1"/>
      <protection/>
    </xf>
    <xf numFmtId="0" fontId="0" fillId="0" borderId="1" xfId="0" applyFill="1" applyBorder="1" applyAlignment="1" applyProtection="1">
      <alignment/>
      <protection/>
    </xf>
    <xf numFmtId="14" fontId="28" fillId="2" borderId="0" xfId="0" applyNumberFormat="1" applyFont="1" applyFill="1" applyBorder="1" applyAlignment="1" applyProtection="1">
      <alignment horizontal="left" vertical="center"/>
      <protection/>
    </xf>
    <xf numFmtId="0" fontId="0" fillId="2" borderId="5" xfId="0" applyFont="1" applyFill="1" applyBorder="1" applyAlignment="1" applyProtection="1">
      <alignment horizontal="center"/>
      <protection/>
    </xf>
    <xf numFmtId="49" fontId="15" fillId="2" borderId="0" xfId="0" applyNumberFormat="1" applyFont="1" applyFill="1" applyBorder="1" applyAlignment="1" applyProtection="1">
      <alignment vertical="center"/>
      <protection/>
    </xf>
    <xf numFmtId="14" fontId="21" fillId="2" borderId="32" xfId="0" applyNumberFormat="1" applyFont="1" applyFill="1" applyBorder="1" applyAlignment="1" applyProtection="1">
      <alignment horizontal="left" vertical="center"/>
      <protection/>
    </xf>
    <xf numFmtId="14" fontId="21" fillId="2" borderId="21" xfId="0" applyNumberFormat="1" applyFont="1" applyFill="1" applyBorder="1" applyAlignment="1" applyProtection="1">
      <alignment horizontal="left" vertical="center"/>
      <protection/>
    </xf>
    <xf numFmtId="14" fontId="21" fillId="2" borderId="15" xfId="0" applyNumberFormat="1" applyFont="1" applyFill="1" applyBorder="1" applyAlignment="1" applyProtection="1">
      <alignment horizontal="center" vertical="center"/>
      <protection/>
    </xf>
    <xf numFmtId="14" fontId="21" fillId="2" borderId="33" xfId="0" applyNumberFormat="1" applyFont="1" applyFill="1" applyBorder="1" applyAlignment="1" applyProtection="1">
      <alignment horizontal="left" vertical="center"/>
      <protection/>
    </xf>
    <xf numFmtId="0" fontId="5" fillId="2" borderId="0" xfId="0" applyFont="1" applyFill="1" applyAlignment="1" applyProtection="1">
      <alignment/>
      <protection/>
    </xf>
    <xf numFmtId="14" fontId="21" fillId="2" borderId="34" xfId="0" applyNumberFormat="1" applyFont="1" applyFill="1" applyBorder="1" applyAlignment="1" applyProtection="1">
      <alignment horizontal="left" vertical="center"/>
      <protection/>
    </xf>
    <xf numFmtId="14" fontId="21" fillId="2" borderId="35" xfId="0" applyNumberFormat="1" applyFont="1" applyFill="1" applyBorder="1" applyAlignment="1" applyProtection="1">
      <alignment horizontal="left" vertical="center"/>
      <protection/>
    </xf>
    <xf numFmtId="0" fontId="0" fillId="0" borderId="6" xfId="0" applyFill="1" applyBorder="1" applyAlignment="1" applyProtection="1">
      <alignment/>
      <protection/>
    </xf>
    <xf numFmtId="3" fontId="1" fillId="8" borderId="15" xfId="0" applyNumberFormat="1" applyFont="1" applyFill="1" applyBorder="1" applyAlignment="1" applyProtection="1">
      <alignment/>
      <protection/>
    </xf>
    <xf numFmtId="0" fontId="0" fillId="0" borderId="0" xfId="0" applyFill="1" applyBorder="1" applyAlignment="1" applyProtection="1">
      <alignment/>
      <protection/>
    </xf>
    <xf numFmtId="199" fontId="1" fillId="8" borderId="15" xfId="0" applyNumberFormat="1" applyFont="1" applyFill="1" applyBorder="1" applyAlignment="1" applyProtection="1">
      <alignment/>
      <protection/>
    </xf>
    <xf numFmtId="199" fontId="1" fillId="14" borderId="15" xfId="0" applyNumberFormat="1" applyFont="1" applyFill="1" applyBorder="1" applyAlignment="1" applyProtection="1">
      <alignment/>
      <protection/>
    </xf>
    <xf numFmtId="199" fontId="1" fillId="10" borderId="15" xfId="0" applyNumberFormat="1" applyFont="1" applyFill="1" applyBorder="1" applyAlignment="1" applyProtection="1">
      <alignment horizontal="right"/>
      <protection/>
    </xf>
    <xf numFmtId="0" fontId="28" fillId="2" borderId="0" xfId="0" applyFont="1" applyFill="1" applyBorder="1" applyAlignment="1" applyProtection="1">
      <alignment horizontal="left"/>
      <protection/>
    </xf>
    <xf numFmtId="0" fontId="30" fillId="2" borderId="0" xfId="0" applyFont="1" applyFill="1" applyBorder="1" applyAlignment="1" applyProtection="1">
      <alignment horizontal="center" vertical="center" wrapText="1"/>
      <protection/>
    </xf>
    <xf numFmtId="0" fontId="25" fillId="2" borderId="0" xfId="0" applyFont="1" applyFill="1" applyBorder="1" applyAlignment="1" applyProtection="1" quotePrefix="1">
      <alignment/>
      <protection/>
    </xf>
    <xf numFmtId="0" fontId="30" fillId="2" borderId="0" xfId="0" applyFont="1" applyFill="1" applyAlignment="1" applyProtection="1">
      <alignment horizontal="right" vertical="center" wrapText="1"/>
      <protection/>
    </xf>
    <xf numFmtId="9" fontId="30" fillId="2" borderId="0" xfId="19" applyFont="1" applyFill="1" applyAlignment="1" applyProtection="1">
      <alignment horizontal="right" vertical="center" wrapText="1"/>
      <protection/>
    </xf>
    <xf numFmtId="0" fontId="30" fillId="2" borderId="0" xfId="0" applyFont="1" applyFill="1" applyAlignment="1" applyProtection="1">
      <alignment horizontal="center" vertical="center" wrapText="1"/>
      <protection/>
    </xf>
    <xf numFmtId="0" fontId="25" fillId="2" borderId="0" xfId="0" applyFont="1" applyFill="1" applyAlignment="1" applyProtection="1" quotePrefix="1">
      <alignment/>
      <protection/>
    </xf>
    <xf numFmtId="0" fontId="30" fillId="2" borderId="0" xfId="0" applyFont="1" applyFill="1" applyAlignment="1" applyProtection="1">
      <alignment vertical="center" wrapText="1"/>
      <protection/>
    </xf>
    <xf numFmtId="0" fontId="1" fillId="2" borderId="0" xfId="0" applyFont="1" applyFill="1" applyAlignment="1" applyProtection="1">
      <alignment/>
      <protection/>
    </xf>
    <xf numFmtId="0" fontId="0" fillId="0" borderId="0" xfId="0" applyFill="1" applyAlignment="1" applyProtection="1">
      <alignment/>
      <protection/>
    </xf>
    <xf numFmtId="1" fontId="1" fillId="2" borderId="0" xfId="0" applyNumberFormat="1" applyFont="1" applyFill="1" applyBorder="1" applyAlignment="1" applyProtection="1">
      <alignment horizontal="center"/>
      <protection/>
    </xf>
    <xf numFmtId="14" fontId="0" fillId="2" borderId="0" xfId="0" applyNumberFormat="1" applyFont="1" applyFill="1" applyBorder="1" applyAlignment="1" applyProtection="1">
      <alignment horizontal="left"/>
      <protection/>
    </xf>
    <xf numFmtId="0" fontId="0" fillId="2" borderId="2" xfId="0" applyFill="1" applyBorder="1" applyAlignment="1" applyProtection="1" quotePrefix="1">
      <alignment/>
      <protection/>
    </xf>
    <xf numFmtId="190" fontId="7" fillId="2" borderId="2" xfId="0" applyNumberFormat="1" applyFont="1" applyFill="1" applyBorder="1" applyAlignment="1" applyProtection="1">
      <alignment/>
      <protection/>
    </xf>
    <xf numFmtId="0" fontId="0" fillId="2" borderId="1" xfId="0" applyFill="1" applyBorder="1" applyAlignment="1" applyProtection="1" quotePrefix="1">
      <alignment/>
      <protection/>
    </xf>
    <xf numFmtId="190" fontId="7" fillId="2" borderId="1" xfId="0" applyNumberFormat="1" applyFont="1" applyFill="1" applyBorder="1" applyAlignment="1" applyProtection="1">
      <alignment/>
      <protection/>
    </xf>
    <xf numFmtId="0" fontId="0" fillId="2" borderId="0" xfId="0" applyFont="1" applyFill="1" applyBorder="1" applyAlignment="1" applyProtection="1">
      <alignment horizontal="center"/>
      <protection/>
    </xf>
    <xf numFmtId="190" fontId="7" fillId="2" borderId="6" xfId="0" applyNumberFormat="1" applyFont="1" applyFill="1" applyBorder="1" applyAlignment="1" applyProtection="1">
      <alignment/>
      <protection/>
    </xf>
    <xf numFmtId="0" fontId="0" fillId="2" borderId="1" xfId="0" applyFont="1" applyFill="1" applyBorder="1" applyAlignment="1" applyProtection="1">
      <alignment horizontal="center"/>
      <protection/>
    </xf>
    <xf numFmtId="193" fontId="8" fillId="2" borderId="0" xfId="0" applyNumberFormat="1" applyFont="1" applyFill="1" applyAlignment="1" applyProtection="1">
      <alignment horizontal="left" vertical="center"/>
      <protection/>
    </xf>
    <xf numFmtId="0" fontId="29" fillId="2" borderId="0" xfId="0" applyFont="1" applyFill="1" applyAlignment="1" applyProtection="1">
      <alignment horizontal="left" vertical="center"/>
      <protection/>
    </xf>
    <xf numFmtId="0" fontId="1" fillId="2" borderId="0" xfId="0" applyFont="1" applyFill="1" applyBorder="1" applyAlignment="1" applyProtection="1">
      <alignment horizontal="right" vertical="center"/>
      <protection/>
    </xf>
    <xf numFmtId="0" fontId="0" fillId="2" borderId="0" xfId="0" applyFont="1" applyFill="1" applyAlignment="1" applyProtection="1">
      <alignment/>
      <protection/>
    </xf>
    <xf numFmtId="0" fontId="23" fillId="2" borderId="0" xfId="0" applyFont="1" applyFill="1" applyAlignment="1" applyProtection="1">
      <alignment/>
      <protection/>
    </xf>
    <xf numFmtId="0" fontId="10" fillId="2" borderId="0" xfId="0" applyFont="1" applyFill="1" applyAlignment="1" applyProtection="1">
      <alignment/>
      <protection/>
    </xf>
    <xf numFmtId="0" fontId="10" fillId="2" borderId="0" xfId="0" applyFont="1" applyFill="1" applyAlignment="1" applyProtection="1" quotePrefix="1">
      <alignment horizontal="left"/>
      <protection/>
    </xf>
    <xf numFmtId="0" fontId="1" fillId="2" borderId="0" xfId="0" applyFont="1" applyFill="1" applyAlignment="1" applyProtection="1">
      <alignment horizontal="center"/>
      <protection/>
    </xf>
    <xf numFmtId="0" fontId="0" fillId="2" borderId="0" xfId="0" applyFill="1" applyBorder="1" applyAlignment="1" applyProtection="1">
      <alignment horizontal="right" vertical="center"/>
      <protection/>
    </xf>
    <xf numFmtId="0" fontId="1" fillId="2" borderId="0" xfId="0" applyFont="1" applyFill="1" applyBorder="1" applyAlignment="1" applyProtection="1">
      <alignment vertical="center"/>
      <protection/>
    </xf>
    <xf numFmtId="0" fontId="1" fillId="2" borderId="0" xfId="0" applyFont="1" applyFill="1" applyAlignment="1" applyProtection="1">
      <alignment horizontal="right"/>
      <protection/>
    </xf>
    <xf numFmtId="0" fontId="0" fillId="2" borderId="0" xfId="0" applyFont="1" applyFill="1" applyAlignment="1" applyProtection="1">
      <alignment horizontal="right"/>
      <protection/>
    </xf>
    <xf numFmtId="0" fontId="0" fillId="2" borderId="0" xfId="0" applyFill="1" applyAlignment="1" applyProtection="1">
      <alignment horizontal="right"/>
      <protection/>
    </xf>
    <xf numFmtId="0" fontId="17" fillId="2" borderId="0" xfId="0" applyFont="1" applyFill="1" applyAlignment="1" applyProtection="1">
      <alignment/>
      <protection/>
    </xf>
    <xf numFmtId="0" fontId="0" fillId="2" borderId="0" xfId="0" applyFill="1" applyAlignment="1" applyProtection="1">
      <alignment horizontal="center"/>
      <protection/>
    </xf>
    <xf numFmtId="199" fontId="0" fillId="2" borderId="0" xfId="0" applyNumberFormat="1" applyFill="1" applyAlignment="1" applyProtection="1">
      <alignment/>
      <protection/>
    </xf>
    <xf numFmtId="199" fontId="0" fillId="8" borderId="2" xfId="0" applyNumberFormat="1" applyFont="1" applyFill="1" applyBorder="1" applyAlignment="1" applyProtection="1">
      <alignment/>
      <protection/>
    </xf>
    <xf numFmtId="199" fontId="17" fillId="5" borderId="2" xfId="0" applyNumberFormat="1" applyFont="1" applyFill="1" applyBorder="1" applyAlignment="1" applyProtection="1">
      <alignment/>
      <protection/>
    </xf>
    <xf numFmtId="199" fontId="0" fillId="8" borderId="1" xfId="0" applyNumberFormat="1" applyFont="1" applyFill="1" applyBorder="1" applyAlignment="1" applyProtection="1">
      <alignment/>
      <protection/>
    </xf>
    <xf numFmtId="199" fontId="17" fillId="5" borderId="1" xfId="0" applyNumberFormat="1" applyFont="1" applyFill="1" applyBorder="1" applyAlignment="1" applyProtection="1">
      <alignment/>
      <protection/>
    </xf>
    <xf numFmtId="199" fontId="0" fillId="2" borderId="0" xfId="0" applyNumberFormat="1" applyFont="1" applyFill="1" applyAlignment="1" applyProtection="1">
      <alignment/>
      <protection/>
    </xf>
    <xf numFmtId="199" fontId="0" fillId="8" borderId="6" xfId="0" applyNumberFormat="1" applyFont="1" applyFill="1" applyBorder="1" applyAlignment="1" applyProtection="1">
      <alignment/>
      <protection/>
    </xf>
    <xf numFmtId="199" fontId="17" fillId="5" borderId="6" xfId="0" applyNumberFormat="1" applyFont="1" applyFill="1" applyBorder="1" applyAlignment="1" applyProtection="1">
      <alignment/>
      <protection/>
    </xf>
    <xf numFmtId="199" fontId="1" fillId="8" borderId="3" xfId="0" applyNumberFormat="1" applyFont="1" applyFill="1" applyBorder="1" applyAlignment="1" applyProtection="1">
      <alignment/>
      <protection/>
    </xf>
    <xf numFmtId="199" fontId="17" fillId="5" borderId="3" xfId="0" applyNumberFormat="1" applyFont="1" applyFill="1" applyBorder="1" applyAlignment="1" applyProtection="1">
      <alignment/>
      <protection/>
    </xf>
    <xf numFmtId="199" fontId="1" fillId="10" borderId="3" xfId="0" applyNumberFormat="1" applyFont="1" applyFill="1" applyBorder="1" applyAlignment="1" applyProtection="1">
      <alignment horizontal="right"/>
      <protection/>
    </xf>
    <xf numFmtId="0" fontId="16" fillId="2" borderId="0" xfId="0" applyFont="1" applyFill="1" applyBorder="1" applyAlignment="1" applyProtection="1">
      <alignment/>
      <protection/>
    </xf>
    <xf numFmtId="199" fontId="0" fillId="0" borderId="0" xfId="0" applyNumberFormat="1" applyAlignment="1" applyProtection="1">
      <alignment/>
      <protection/>
    </xf>
    <xf numFmtId="0" fontId="19" fillId="2" borderId="5" xfId="0" applyFont="1" applyFill="1" applyBorder="1" applyAlignment="1" applyProtection="1">
      <alignment/>
      <protection/>
    </xf>
    <xf numFmtId="0" fontId="1" fillId="2" borderId="3" xfId="0" applyFont="1" applyFill="1" applyBorder="1" applyAlignment="1" applyProtection="1" quotePrefix="1">
      <alignment horizontal="left"/>
      <protection/>
    </xf>
    <xf numFmtId="0" fontId="0" fillId="16" borderId="0" xfId="0" applyFill="1" applyAlignment="1" quotePrefix="1">
      <alignment/>
    </xf>
    <xf numFmtId="0" fontId="0" fillId="16" borderId="0" xfId="0" applyFill="1" applyAlignment="1">
      <alignment/>
    </xf>
    <xf numFmtId="0" fontId="0" fillId="17" borderId="0" xfId="0" applyFill="1" applyAlignment="1" quotePrefix="1">
      <alignment/>
    </xf>
    <xf numFmtId="0" fontId="0" fillId="17" borderId="0" xfId="0" applyFill="1" applyAlignment="1">
      <alignment/>
    </xf>
    <xf numFmtId="0" fontId="0" fillId="10" borderId="0" xfId="0" applyFill="1" applyAlignment="1" quotePrefix="1">
      <alignment/>
    </xf>
    <xf numFmtId="0" fontId="0" fillId="10" borderId="0" xfId="0" applyFill="1" applyAlignment="1">
      <alignment/>
    </xf>
    <xf numFmtId="0" fontId="36" fillId="18" borderId="0" xfId="0" applyFont="1" applyFill="1" applyAlignment="1" quotePrefix="1">
      <alignment/>
    </xf>
    <xf numFmtId="0" fontId="0" fillId="14" borderId="0" xfId="0" applyFill="1" applyAlignment="1">
      <alignment/>
    </xf>
    <xf numFmtId="0" fontId="1" fillId="2" borderId="0" xfId="0" applyFont="1" applyFill="1" applyAlignment="1">
      <alignment horizontal="right"/>
    </xf>
    <xf numFmtId="0" fontId="1" fillId="2" borderId="0" xfId="0" applyFont="1" applyFill="1" applyAlignment="1" quotePrefix="1">
      <alignment horizontal="left"/>
    </xf>
    <xf numFmtId="3" fontId="0" fillId="8" borderId="1" xfId="0" applyNumberFormat="1" applyFont="1" applyFill="1" applyBorder="1" applyAlignment="1" applyProtection="1">
      <alignment horizontal="right"/>
      <protection/>
    </xf>
    <xf numFmtId="0" fontId="1" fillId="0" borderId="15" xfId="0" applyFont="1" applyFill="1" applyBorder="1" applyAlignment="1" applyProtection="1">
      <alignment/>
      <protection/>
    </xf>
    <xf numFmtId="199" fontId="0" fillId="10" borderId="2" xfId="0" applyNumberFormat="1" applyFont="1" applyFill="1" applyBorder="1" applyAlignment="1" applyProtection="1">
      <alignment/>
      <protection/>
    </xf>
    <xf numFmtId="199" fontId="0" fillId="10" borderId="1" xfId="0" applyNumberFormat="1" applyFont="1" applyFill="1" applyBorder="1" applyAlignment="1" applyProtection="1">
      <alignment/>
      <protection/>
    </xf>
    <xf numFmtId="199" fontId="0" fillId="8" borderId="2" xfId="0" applyNumberFormat="1" applyFont="1" applyFill="1" applyBorder="1" applyAlignment="1" applyProtection="1">
      <alignment/>
      <protection/>
    </xf>
    <xf numFmtId="199" fontId="0" fillId="8" borderId="1" xfId="0" applyNumberFormat="1" applyFont="1" applyFill="1" applyBorder="1" applyAlignment="1" applyProtection="1">
      <alignment/>
      <protection/>
    </xf>
    <xf numFmtId="199" fontId="0" fillId="8" borderId="6" xfId="0" applyNumberFormat="1" applyFont="1" applyFill="1" applyBorder="1" applyAlignment="1" applyProtection="1">
      <alignment/>
      <protection/>
    </xf>
    <xf numFmtId="199" fontId="0" fillId="8" borderId="3" xfId="0" applyNumberFormat="1" applyFont="1" applyFill="1" applyBorder="1" applyAlignment="1" applyProtection="1">
      <alignment/>
      <protection/>
    </xf>
    <xf numFmtId="3" fontId="36" fillId="3" borderId="2" xfId="0" applyNumberFormat="1" applyFont="1" applyFill="1" applyBorder="1" applyAlignment="1" applyProtection="1">
      <alignment/>
      <protection/>
    </xf>
    <xf numFmtId="201" fontId="9" fillId="8" borderId="1" xfId="0" applyNumberFormat="1" applyFont="1" applyFill="1" applyBorder="1" applyAlignment="1" applyProtection="1">
      <alignment/>
      <protection/>
    </xf>
    <xf numFmtId="3" fontId="1" fillId="14" borderId="5" xfId="0" applyNumberFormat="1" applyFont="1" applyFill="1" applyBorder="1" applyAlignment="1" applyProtection="1">
      <alignment/>
      <protection/>
    </xf>
    <xf numFmtId="3" fontId="0" fillId="14" borderId="2" xfId="0" applyNumberFormat="1" applyFont="1" applyFill="1" applyBorder="1" applyAlignment="1" applyProtection="1">
      <alignment/>
      <protection/>
    </xf>
    <xf numFmtId="3" fontId="0" fillId="14" borderId="1" xfId="0" applyNumberFormat="1" applyFont="1" applyFill="1" applyBorder="1" applyAlignment="1" applyProtection="1">
      <alignment/>
      <protection/>
    </xf>
    <xf numFmtId="193" fontId="0" fillId="2" borderId="0" xfId="0" applyNumberFormat="1" applyFill="1" applyBorder="1" applyAlignment="1">
      <alignment horizontal="left"/>
    </xf>
    <xf numFmtId="193" fontId="1" fillId="2" borderId="0" xfId="0" applyNumberFormat="1" applyFont="1" applyFill="1" applyBorder="1" applyAlignment="1">
      <alignment horizontal="left"/>
    </xf>
    <xf numFmtId="0" fontId="36" fillId="19" borderId="0" xfId="0" applyFont="1" applyFill="1" applyAlignment="1">
      <alignment/>
    </xf>
    <xf numFmtId="0" fontId="36" fillId="20" borderId="0" xfId="0" applyFont="1" applyFill="1" applyAlignment="1">
      <alignment/>
    </xf>
    <xf numFmtId="0" fontId="36" fillId="21" borderId="0" xfId="0" applyFont="1" applyFill="1" applyAlignment="1">
      <alignment/>
    </xf>
    <xf numFmtId="0" fontId="0" fillId="7" borderId="0" xfId="0" applyFill="1" applyAlignment="1">
      <alignment/>
    </xf>
    <xf numFmtId="0" fontId="36" fillId="22" borderId="0" xfId="0" applyFont="1" applyFill="1" applyAlignment="1">
      <alignment/>
    </xf>
    <xf numFmtId="0" fontId="36" fillId="23" borderId="0" xfId="0" applyFont="1" applyFill="1" applyAlignment="1">
      <alignment/>
    </xf>
    <xf numFmtId="0" fontId="36" fillId="6" borderId="0" xfId="0" applyFont="1" applyFill="1" applyAlignment="1">
      <alignment/>
    </xf>
    <xf numFmtId="0" fontId="37" fillId="18" borderId="17" xfId="0" applyFont="1" applyFill="1" applyBorder="1" applyAlignment="1">
      <alignment horizontal="center"/>
    </xf>
    <xf numFmtId="0" fontId="0" fillId="0" borderId="0" xfId="0" applyFill="1" applyAlignment="1">
      <alignment/>
    </xf>
    <xf numFmtId="0" fontId="10" fillId="2" borderId="0" xfId="0" applyFont="1" applyFill="1" applyAlignment="1" applyProtection="1">
      <alignment/>
      <protection/>
    </xf>
    <xf numFmtId="0" fontId="1" fillId="2" borderId="36" xfId="0" applyFont="1" applyFill="1" applyBorder="1" applyAlignment="1" applyProtection="1">
      <alignment horizontal="center"/>
      <protection/>
    </xf>
    <xf numFmtId="0" fontId="1" fillId="2" borderId="0" xfId="0" applyFont="1" applyFill="1" applyBorder="1" applyAlignment="1" applyProtection="1">
      <alignment horizontal="center"/>
      <protection/>
    </xf>
    <xf numFmtId="0" fontId="0" fillId="2" borderId="0" xfId="0" applyFill="1" applyBorder="1" applyAlignment="1" applyProtection="1">
      <alignment horizontal="right"/>
      <protection/>
    </xf>
    <xf numFmtId="0" fontId="0" fillId="2" borderId="36" xfId="0" applyFill="1" applyBorder="1" applyAlignment="1" applyProtection="1">
      <alignment horizontal="right"/>
      <protection/>
    </xf>
    <xf numFmtId="0" fontId="0" fillId="2" borderId="36" xfId="0" applyFill="1" applyBorder="1" applyAlignment="1" applyProtection="1">
      <alignment horizontal="center"/>
      <protection/>
    </xf>
    <xf numFmtId="0" fontId="0" fillId="2" borderId="0" xfId="0" applyFill="1" applyBorder="1" applyAlignment="1" applyProtection="1">
      <alignment horizontal="center"/>
      <protection/>
    </xf>
    <xf numFmtId="199" fontId="0" fillId="10" borderId="37" xfId="0" applyNumberFormat="1" applyFont="1" applyFill="1" applyBorder="1" applyAlignment="1" applyProtection="1">
      <alignment/>
      <protection/>
    </xf>
    <xf numFmtId="199" fontId="0" fillId="10" borderId="38" xfId="0" applyNumberFormat="1" applyFont="1" applyFill="1" applyBorder="1" applyAlignment="1" applyProtection="1">
      <alignment/>
      <protection/>
    </xf>
    <xf numFmtId="199" fontId="1" fillId="10" borderId="39" xfId="0" applyNumberFormat="1" applyFont="1" applyFill="1" applyBorder="1" applyAlignment="1" applyProtection="1">
      <alignment horizontal="right"/>
      <protection/>
    </xf>
    <xf numFmtId="187" fontId="39" fillId="4" borderId="0" xfId="0" applyNumberFormat="1" applyFont="1" applyFill="1" applyBorder="1" applyAlignment="1" applyProtection="1">
      <alignment vertical="top"/>
      <protection/>
    </xf>
    <xf numFmtId="3" fontId="0" fillId="5" borderId="1" xfId="0" applyNumberFormat="1" applyFont="1" applyFill="1" applyBorder="1" applyAlignment="1" applyProtection="1">
      <alignment horizontal="right" vertical="top"/>
      <protection/>
    </xf>
    <xf numFmtId="190" fontId="7" fillId="9" borderId="5" xfId="0" applyNumberFormat="1" applyFont="1" applyFill="1" applyBorder="1" applyAlignment="1" applyProtection="1">
      <alignment/>
      <protection locked="0"/>
    </xf>
    <xf numFmtId="190" fontId="7" fillId="8" borderId="5" xfId="0" applyNumberFormat="1" applyFont="1" applyFill="1" applyBorder="1" applyAlignment="1" applyProtection="1">
      <alignment/>
      <protection locked="0"/>
    </xf>
    <xf numFmtId="187" fontId="14" fillId="2" borderId="2" xfId="0" applyNumberFormat="1" applyFont="1" applyFill="1" applyBorder="1" applyAlignment="1" applyProtection="1" quotePrefix="1">
      <alignment horizontal="left" vertical="top" wrapText="1"/>
      <protection/>
    </xf>
    <xf numFmtId="187" fontId="14" fillId="2" borderId="1" xfId="0" applyNumberFormat="1" applyFont="1" applyFill="1" applyBorder="1" applyAlignment="1" applyProtection="1">
      <alignment vertical="top" wrapText="1"/>
      <protection/>
    </xf>
    <xf numFmtId="187" fontId="14" fillId="2" borderId="2" xfId="0" applyNumberFormat="1" applyFont="1" applyFill="1" applyBorder="1" applyAlignment="1" applyProtection="1">
      <alignment vertical="top" wrapText="1"/>
      <protection/>
    </xf>
    <xf numFmtId="3" fontId="1" fillId="9" borderId="3" xfId="0" applyNumberFormat="1" applyFont="1" applyFill="1" applyBorder="1" applyAlignment="1" applyProtection="1">
      <alignment vertical="top"/>
      <protection/>
    </xf>
    <xf numFmtId="3" fontId="1" fillId="8" borderId="3" xfId="0" applyNumberFormat="1" applyFont="1" applyFill="1" applyBorder="1" applyAlignment="1" applyProtection="1">
      <alignment vertical="top"/>
      <protection/>
    </xf>
    <xf numFmtId="3" fontId="1" fillId="10" borderId="3" xfId="0" applyNumberFormat="1" applyFont="1" applyFill="1" applyBorder="1" applyAlignment="1" applyProtection="1">
      <alignment horizontal="right" vertical="top"/>
      <protection/>
    </xf>
    <xf numFmtId="3" fontId="1" fillId="5" borderId="3" xfId="0" applyNumberFormat="1" applyFont="1" applyFill="1" applyBorder="1" applyAlignment="1" applyProtection="1">
      <alignment vertical="top"/>
      <protection/>
    </xf>
    <xf numFmtId="2" fontId="1" fillId="2" borderId="5" xfId="0" applyNumberFormat="1" applyFont="1" applyFill="1" applyBorder="1" applyAlignment="1" applyProtection="1">
      <alignment vertical="top"/>
      <protection/>
    </xf>
    <xf numFmtId="0" fontId="0" fillId="2" borderId="0" xfId="0" applyFill="1" applyAlignment="1" applyProtection="1">
      <alignment horizontal="center" vertical="top"/>
      <protection/>
    </xf>
    <xf numFmtId="174" fontId="0" fillId="2" borderId="0" xfId="0" applyNumberFormat="1" applyFill="1" applyAlignment="1" applyProtection="1">
      <alignment horizontal="center" vertical="top"/>
      <protection/>
    </xf>
    <xf numFmtId="0" fontId="0" fillId="0" borderId="0" xfId="0" applyAlignment="1" applyProtection="1">
      <alignment horizontal="center"/>
      <protection/>
    </xf>
    <xf numFmtId="2" fontId="1" fillId="2" borderId="4" xfId="0" applyNumberFormat="1" applyFont="1" applyFill="1" applyBorder="1" applyAlignment="1" applyProtection="1" quotePrefix="1">
      <alignment vertical="top"/>
      <protection/>
    </xf>
    <xf numFmtId="187" fontId="21" fillId="4" borderId="3" xfId="0" applyNumberFormat="1" applyFont="1" applyFill="1" applyBorder="1" applyAlignment="1" applyProtection="1">
      <alignment horizontal="left" vertical="top" wrapText="1"/>
      <protection/>
    </xf>
    <xf numFmtId="187" fontId="21" fillId="4" borderId="5" xfId="0" applyNumberFormat="1" applyFont="1" applyFill="1" applyBorder="1" applyAlignment="1" applyProtection="1">
      <alignment horizontal="left" vertical="top" wrapText="1"/>
      <protection/>
    </xf>
    <xf numFmtId="202" fontId="40" fillId="0" borderId="5" xfId="0" applyNumberFormat="1" applyFont="1" applyFill="1" applyBorder="1" applyAlignment="1" applyProtection="1">
      <alignment horizontal="left"/>
      <protection/>
    </xf>
    <xf numFmtId="202" fontId="41" fillId="4" borderId="5" xfId="0" applyNumberFormat="1" applyFont="1" applyFill="1" applyBorder="1" applyAlignment="1" applyProtection="1">
      <alignment horizontal="left"/>
      <protection/>
    </xf>
    <xf numFmtId="0" fontId="21" fillId="2" borderId="0" xfId="0" applyFont="1" applyFill="1" applyAlignment="1" applyProtection="1">
      <alignment horizontal="left" vertical="top"/>
      <protection/>
    </xf>
    <xf numFmtId="187" fontId="21" fillId="4" borderId="0" xfId="0" applyNumberFormat="1" applyFont="1" applyFill="1" applyBorder="1" applyAlignment="1" applyProtection="1">
      <alignment horizontal="left" vertical="top"/>
      <protection/>
    </xf>
    <xf numFmtId="202" fontId="40" fillId="0" borderId="2" xfId="0" applyNumberFormat="1" applyFont="1" applyFill="1" applyBorder="1" applyAlignment="1" applyProtection="1">
      <alignment horizontal="left" vertical="top"/>
      <protection/>
    </xf>
    <xf numFmtId="202" fontId="41" fillId="4" borderId="2" xfId="0" applyNumberFormat="1" applyFont="1" applyFill="1" applyBorder="1" applyAlignment="1" applyProtection="1">
      <alignment horizontal="left" vertical="top"/>
      <protection/>
    </xf>
    <xf numFmtId="187" fontId="22" fillId="4" borderId="3" xfId="0" applyNumberFormat="1" applyFont="1" applyFill="1" applyBorder="1" applyAlignment="1" applyProtection="1">
      <alignment horizontal="left" vertical="top"/>
      <protection/>
    </xf>
    <xf numFmtId="187" fontId="22" fillId="4" borderId="2" xfId="0" applyNumberFormat="1" applyFont="1" applyFill="1" applyBorder="1" applyAlignment="1" applyProtection="1">
      <alignment horizontal="left" vertical="top"/>
      <protection/>
    </xf>
    <xf numFmtId="187" fontId="21" fillId="4" borderId="5" xfId="0" applyNumberFormat="1" applyFont="1" applyFill="1" applyBorder="1" applyAlignment="1" applyProtection="1">
      <alignment horizontal="left" vertical="top"/>
      <protection/>
    </xf>
    <xf numFmtId="187" fontId="21" fillId="4" borderId="4" xfId="0" applyNumberFormat="1" applyFont="1" applyFill="1" applyBorder="1" applyAlignment="1" applyProtection="1">
      <alignment horizontal="left" vertical="top"/>
      <protection/>
    </xf>
    <xf numFmtId="187" fontId="25" fillId="4" borderId="4" xfId="0" applyNumberFormat="1" applyFont="1" applyFill="1" applyBorder="1" applyAlignment="1" applyProtection="1">
      <alignment horizontal="left" vertical="top"/>
      <protection/>
    </xf>
    <xf numFmtId="187" fontId="25" fillId="4" borderId="0" xfId="0" applyNumberFormat="1" applyFont="1" applyFill="1" applyBorder="1" applyAlignment="1" applyProtection="1">
      <alignment horizontal="left" vertical="top"/>
      <protection/>
    </xf>
    <xf numFmtId="187" fontId="14" fillId="4" borderId="0" xfId="0" applyNumberFormat="1" applyFont="1" applyFill="1" applyBorder="1" applyAlignment="1" applyProtection="1">
      <alignment horizontal="left" vertical="top"/>
      <protection/>
    </xf>
    <xf numFmtId="0" fontId="22" fillId="2" borderId="0" xfId="0" applyFont="1" applyFill="1" applyAlignment="1" applyProtection="1">
      <alignment horizontal="left" vertical="top"/>
      <protection/>
    </xf>
    <xf numFmtId="187" fontId="21" fillId="4" borderId="2" xfId="0" applyNumberFormat="1" applyFont="1" applyFill="1" applyBorder="1" applyAlignment="1" applyProtection="1">
      <alignment horizontal="left" vertical="top" wrapText="1"/>
      <protection/>
    </xf>
    <xf numFmtId="0" fontId="21" fillId="2" borderId="0" xfId="0" applyFont="1" applyFill="1" applyBorder="1" applyAlignment="1" applyProtection="1">
      <alignment horizontal="left" vertical="top"/>
      <protection/>
    </xf>
    <xf numFmtId="187" fontId="14" fillId="2" borderId="0" xfId="0" applyNumberFormat="1" applyFont="1" applyFill="1" applyBorder="1" applyAlignment="1" applyProtection="1">
      <alignment horizontal="left" vertical="top"/>
      <protection/>
    </xf>
    <xf numFmtId="187" fontId="14" fillId="4" borderId="0" xfId="0" applyNumberFormat="1" applyFont="1" applyFill="1" applyBorder="1" applyAlignment="1" applyProtection="1">
      <alignment horizontal="left" vertical="top" wrapText="1"/>
      <protection/>
    </xf>
    <xf numFmtId="0" fontId="25" fillId="2" borderId="4" xfId="0" applyFont="1" applyFill="1" applyBorder="1" applyAlignment="1" applyProtection="1">
      <alignment horizontal="left"/>
      <protection/>
    </xf>
    <xf numFmtId="187" fontId="21" fillId="2" borderId="0" xfId="0" applyNumberFormat="1" applyFont="1" applyFill="1" applyBorder="1" applyAlignment="1" applyProtection="1">
      <alignment horizontal="left" vertical="top"/>
      <protection/>
    </xf>
    <xf numFmtId="187" fontId="14" fillId="4" borderId="5" xfId="0" applyNumberFormat="1" applyFont="1" applyFill="1" applyBorder="1" applyAlignment="1" applyProtection="1">
      <alignment horizontal="left" vertical="top"/>
      <protection/>
    </xf>
    <xf numFmtId="187" fontId="21" fillId="4" borderId="0" xfId="0" applyNumberFormat="1" applyFont="1" applyFill="1" applyBorder="1" applyAlignment="1" applyProtection="1">
      <alignment horizontal="left"/>
      <protection/>
    </xf>
    <xf numFmtId="9" fontId="14" fillId="4" borderId="2" xfId="0" applyNumberFormat="1" applyFont="1" applyFill="1" applyBorder="1" applyAlignment="1" applyProtection="1">
      <alignment horizontal="left" vertical="top"/>
      <protection/>
    </xf>
    <xf numFmtId="187" fontId="14" fillId="4" borderId="3" xfId="0" applyNumberFormat="1" applyFont="1" applyFill="1" applyBorder="1" applyAlignment="1" applyProtection="1">
      <alignment horizontal="left" vertical="top"/>
      <protection/>
    </xf>
    <xf numFmtId="187" fontId="21" fillId="2" borderId="0" xfId="0" applyNumberFormat="1" applyFont="1" applyFill="1" applyBorder="1" applyAlignment="1" applyProtection="1">
      <alignment horizontal="left"/>
      <protection/>
    </xf>
    <xf numFmtId="187" fontId="26" fillId="4" borderId="0" xfId="0" applyNumberFormat="1" applyFont="1" applyFill="1" applyBorder="1" applyAlignment="1" applyProtection="1">
      <alignment horizontal="left" vertical="top"/>
      <protection/>
    </xf>
    <xf numFmtId="187" fontId="26" fillId="4" borderId="5" xfId="0" applyNumberFormat="1" applyFont="1" applyFill="1" applyBorder="1" applyAlignment="1" applyProtection="1">
      <alignment horizontal="left" vertical="top"/>
      <protection/>
    </xf>
    <xf numFmtId="187" fontId="14" fillId="2" borderId="2" xfId="0" applyNumberFormat="1" applyFont="1" applyFill="1" applyBorder="1" applyAlignment="1" applyProtection="1">
      <alignment horizontal="left" vertical="top" wrapText="1"/>
      <protection/>
    </xf>
    <xf numFmtId="187" fontId="14" fillId="4" borderId="5" xfId="0" applyNumberFormat="1" applyFont="1" applyFill="1" applyBorder="1" applyAlignment="1" applyProtection="1">
      <alignment horizontal="left" vertical="top" wrapText="1"/>
      <protection/>
    </xf>
    <xf numFmtId="187" fontId="27" fillId="4" borderId="0" xfId="0" applyNumberFormat="1" applyFont="1" applyFill="1" applyBorder="1" applyAlignment="1" applyProtection="1">
      <alignment horizontal="left" vertical="top"/>
      <protection/>
    </xf>
    <xf numFmtId="187" fontId="27" fillId="4" borderId="5" xfId="0" applyNumberFormat="1" applyFont="1" applyFill="1" applyBorder="1" applyAlignment="1" applyProtection="1">
      <alignment horizontal="left" vertical="top"/>
      <protection/>
    </xf>
    <xf numFmtId="0" fontId="21" fillId="2" borderId="0" xfId="0" applyFont="1" applyFill="1" applyAlignment="1" applyProtection="1">
      <alignment horizontal="left"/>
      <protection/>
    </xf>
    <xf numFmtId="187" fontId="14" fillId="4" borderId="3" xfId="0" applyNumberFormat="1" applyFont="1" applyFill="1" applyBorder="1" applyAlignment="1" applyProtection="1">
      <alignment horizontal="left" vertical="top" wrapText="1"/>
      <protection/>
    </xf>
    <xf numFmtId="187" fontId="14" fillId="4" borderId="7" xfId="0" applyNumberFormat="1" applyFont="1" applyFill="1" applyBorder="1" applyAlignment="1" applyProtection="1">
      <alignment horizontal="left" vertical="top"/>
      <protection/>
    </xf>
    <xf numFmtId="187" fontId="14" fillId="4" borderId="7" xfId="0" applyNumberFormat="1" applyFont="1" applyFill="1" applyBorder="1" applyAlignment="1" applyProtection="1">
      <alignment horizontal="left" vertical="top" wrapText="1"/>
      <protection/>
    </xf>
    <xf numFmtId="187" fontId="14" fillId="4" borderId="1" xfId="0" applyNumberFormat="1" applyFont="1" applyFill="1" applyBorder="1" applyAlignment="1" applyProtection="1">
      <alignment horizontal="left" vertical="top" wrapText="1"/>
      <protection/>
    </xf>
    <xf numFmtId="187" fontId="21" fillId="4" borderId="0" xfId="0" applyNumberFormat="1" applyFont="1" applyFill="1" applyBorder="1" applyAlignment="1" applyProtection="1">
      <alignment horizontal="left" vertical="top" wrapText="1"/>
      <protection/>
    </xf>
    <xf numFmtId="202" fontId="40" fillId="0" borderId="3" xfId="0" applyNumberFormat="1" applyFont="1" applyFill="1" applyBorder="1" applyAlignment="1" applyProtection="1">
      <alignment horizontal="left" vertical="top"/>
      <protection/>
    </xf>
    <xf numFmtId="202" fontId="41" fillId="4" borderId="3" xfId="0" applyNumberFormat="1" applyFont="1" applyFill="1" applyBorder="1" applyAlignment="1" applyProtection="1">
      <alignment horizontal="left" vertical="top"/>
      <protection/>
    </xf>
    <xf numFmtId="202" fontId="40" fillId="0" borderId="15" xfId="0" applyNumberFormat="1" applyFont="1" applyFill="1" applyBorder="1" applyAlignment="1" applyProtection="1">
      <alignment horizontal="left"/>
      <protection/>
    </xf>
    <xf numFmtId="202" fontId="41" fillId="4" borderId="15" xfId="0" applyNumberFormat="1" applyFont="1" applyFill="1" applyBorder="1" applyAlignment="1" applyProtection="1">
      <alignment horizontal="left"/>
      <protection/>
    </xf>
    <xf numFmtId="0" fontId="14" fillId="2" borderId="0" xfId="0" applyFont="1" applyFill="1" applyAlignment="1" applyProtection="1">
      <alignment horizontal="left"/>
      <protection/>
    </xf>
    <xf numFmtId="0" fontId="14" fillId="0" borderId="0" xfId="0" applyFont="1" applyAlignment="1" applyProtection="1">
      <alignment horizontal="left"/>
      <protection/>
    </xf>
    <xf numFmtId="0" fontId="8" fillId="2" borderId="0" xfId="0" applyFont="1" applyFill="1" applyAlignment="1">
      <alignment/>
    </xf>
    <xf numFmtId="0" fontId="10" fillId="2" borderId="0" xfId="0" applyFont="1" applyFill="1" applyAlignment="1" quotePrefix="1">
      <alignment/>
    </xf>
    <xf numFmtId="0" fontId="0" fillId="2" borderId="0" xfId="0" applyFill="1" applyAlignment="1" quotePrefix="1">
      <alignment/>
    </xf>
    <xf numFmtId="0" fontId="0" fillId="2" borderId="0" xfId="0" applyFill="1" applyAlignment="1">
      <alignment horizontal="left"/>
    </xf>
    <xf numFmtId="3" fontId="0" fillId="2" borderId="0" xfId="0" applyNumberFormat="1" applyFill="1" applyAlignment="1">
      <alignment horizontal="left"/>
    </xf>
    <xf numFmtId="0" fontId="0" fillId="2" borderId="0" xfId="0" applyFill="1" applyAlignment="1">
      <alignment horizontal="right"/>
    </xf>
    <xf numFmtId="0" fontId="0" fillId="2" borderId="0" xfId="0" applyFill="1" applyAlignment="1">
      <alignment horizontal="center"/>
    </xf>
    <xf numFmtId="0" fontId="0" fillId="2" borderId="5" xfId="0" applyFill="1" applyBorder="1" applyAlignment="1">
      <alignment horizontal="right"/>
    </xf>
    <xf numFmtId="0" fontId="0" fillId="2" borderId="5" xfId="0" applyFill="1" applyBorder="1" applyAlignment="1">
      <alignment horizontal="left"/>
    </xf>
    <xf numFmtId="0" fontId="10" fillId="2" borderId="0" xfId="0" applyFont="1" applyFill="1" applyAlignment="1">
      <alignment horizontal="left"/>
    </xf>
    <xf numFmtId="0" fontId="0" fillId="2" borderId="0" xfId="0" applyFill="1" applyBorder="1" applyAlignment="1">
      <alignment horizontal="right"/>
    </xf>
    <xf numFmtId="0" fontId="0" fillId="2" borderId="0" xfId="0" applyFill="1" applyAlignment="1" quotePrefix="1">
      <alignment horizontal="right"/>
    </xf>
    <xf numFmtId="0" fontId="0" fillId="2" borderId="2" xfId="0" applyFill="1" applyBorder="1" applyAlignment="1">
      <alignment/>
    </xf>
    <xf numFmtId="0" fontId="0" fillId="2" borderId="6" xfId="0" applyFill="1" applyBorder="1" applyAlignment="1">
      <alignment/>
    </xf>
    <xf numFmtId="0" fontId="0" fillId="2" borderId="1" xfId="0" applyFill="1" applyBorder="1" applyAlignment="1">
      <alignment/>
    </xf>
    <xf numFmtId="0" fontId="0" fillId="2" borderId="0" xfId="0" applyFill="1" applyBorder="1" applyAlignment="1">
      <alignment/>
    </xf>
    <xf numFmtId="0" fontId="0" fillId="2" borderId="1" xfId="0" applyFill="1" applyBorder="1" applyAlignment="1">
      <alignment horizontal="right"/>
    </xf>
    <xf numFmtId="0" fontId="10" fillId="2" borderId="2" xfId="0" applyFont="1" applyFill="1" applyBorder="1" applyAlignment="1">
      <alignment/>
    </xf>
    <xf numFmtId="0" fontId="10" fillId="2" borderId="0" xfId="0" applyFont="1" applyFill="1" applyAlignment="1">
      <alignment/>
    </xf>
    <xf numFmtId="0" fontId="8" fillId="2" borderId="0" xfId="0" applyFont="1" applyFill="1" applyAlignment="1">
      <alignment horizontal="right" vertical="center"/>
    </xf>
    <xf numFmtId="0" fontId="34" fillId="2" borderId="0" xfId="0" applyFont="1" applyFill="1" applyAlignment="1">
      <alignment horizontal="right" vertical="center"/>
    </xf>
    <xf numFmtId="205" fontId="7" fillId="2" borderId="0" xfId="0" applyNumberFormat="1" applyFont="1" applyFill="1" applyAlignment="1" applyProtection="1">
      <alignment/>
      <protection/>
    </xf>
    <xf numFmtId="0" fontId="0" fillId="2" borderId="0" xfId="0" applyFont="1" applyFill="1" applyBorder="1" applyAlignment="1" applyProtection="1">
      <alignment/>
      <protection/>
    </xf>
    <xf numFmtId="0" fontId="0" fillId="2" borderId="0" xfId="0" applyFill="1" applyAlignment="1">
      <alignment vertical="top"/>
    </xf>
    <xf numFmtId="0" fontId="0" fillId="2" borderId="2" xfId="0" applyFill="1" applyBorder="1" applyAlignment="1" quotePrefix="1">
      <alignment/>
    </xf>
    <xf numFmtId="3" fontId="10" fillId="2" borderId="2" xfId="0" applyNumberFormat="1" applyFont="1" applyFill="1" applyBorder="1" applyAlignment="1" quotePrefix="1">
      <alignment/>
    </xf>
    <xf numFmtId="0" fontId="10" fillId="2" borderId="2" xfId="0" applyFont="1" applyFill="1" applyBorder="1" applyAlignment="1" quotePrefix="1">
      <alignment/>
    </xf>
    <xf numFmtId="0" fontId="10" fillId="2" borderId="6" xfId="0" applyFont="1" applyFill="1" applyBorder="1" applyAlignment="1">
      <alignment/>
    </xf>
    <xf numFmtId="0" fontId="1" fillId="2" borderId="0" xfId="0" applyFont="1" applyFill="1" applyBorder="1" applyAlignment="1">
      <alignment/>
    </xf>
    <xf numFmtId="3" fontId="1" fillId="5" borderId="40" xfId="0" applyNumberFormat="1" applyFont="1" applyFill="1" applyBorder="1" applyAlignment="1" quotePrefix="1">
      <alignment horizontal="right"/>
    </xf>
    <xf numFmtId="0" fontId="7" fillId="2" borderId="2" xfId="0" applyFont="1" applyFill="1" applyBorder="1" applyAlignment="1">
      <alignment/>
    </xf>
    <xf numFmtId="0" fontId="0" fillId="2" borderId="0" xfId="0" applyFill="1" applyAlignment="1" applyProtection="1" quotePrefix="1">
      <alignment/>
      <protection/>
    </xf>
    <xf numFmtId="0" fontId="7" fillId="2" borderId="0" xfId="0" applyFont="1" applyFill="1" applyAlignment="1" applyProtection="1" quotePrefix="1">
      <alignment horizontal="left"/>
      <protection/>
    </xf>
    <xf numFmtId="0" fontId="10" fillId="2" borderId="0" xfId="0" applyFont="1" applyFill="1" applyBorder="1" applyAlignment="1">
      <alignment/>
    </xf>
    <xf numFmtId="0" fontId="10" fillId="2" borderId="0" xfId="0" applyFont="1" applyFill="1" applyBorder="1" applyAlignment="1" quotePrefix="1">
      <alignment/>
    </xf>
    <xf numFmtId="3" fontId="1" fillId="5" borderId="9" xfId="0" applyNumberFormat="1" applyFont="1" applyFill="1" applyBorder="1" applyAlignment="1" quotePrefix="1">
      <alignment horizontal="right"/>
    </xf>
    <xf numFmtId="0" fontId="10" fillId="2" borderId="6" xfId="0" applyFont="1" applyFill="1" applyBorder="1" applyAlignment="1" quotePrefix="1">
      <alignment/>
    </xf>
    <xf numFmtId="0" fontId="0" fillId="2" borderId="2" xfId="0" applyFill="1" applyBorder="1" applyAlignment="1">
      <alignment vertical="top" wrapText="1"/>
    </xf>
    <xf numFmtId="0" fontId="7" fillId="2" borderId="0" xfId="0" applyFont="1" applyFill="1" applyAlignment="1">
      <alignment/>
    </xf>
    <xf numFmtId="208" fontId="2" fillId="6" borderId="23" xfId="0" applyNumberFormat="1" applyFont="1" applyFill="1" applyBorder="1" applyAlignment="1" applyProtection="1">
      <alignment horizontal="center" vertical="top"/>
      <protection/>
    </xf>
    <xf numFmtId="208" fontId="2" fillId="6" borderId="24" xfId="0" applyNumberFormat="1" applyFont="1" applyFill="1" applyBorder="1" applyAlignment="1" applyProtection="1">
      <alignment horizontal="center" vertical="top"/>
      <protection/>
    </xf>
    <xf numFmtId="208" fontId="2" fillId="6" borderId="25" xfId="0" applyNumberFormat="1" applyFont="1" applyFill="1" applyBorder="1" applyAlignment="1" applyProtection="1">
      <alignment horizontal="center" vertical="top"/>
      <protection/>
    </xf>
    <xf numFmtId="0" fontId="14" fillId="2" borderId="0" xfId="0" applyFont="1" applyFill="1" applyAlignment="1" applyProtection="1">
      <alignment horizontal="right"/>
      <protection/>
    </xf>
    <xf numFmtId="210" fontId="0" fillId="2" borderId="0" xfId="0" applyNumberFormat="1" applyFill="1" applyAlignment="1">
      <alignment/>
    </xf>
    <xf numFmtId="0" fontId="0" fillId="2" borderId="0" xfId="0" applyFont="1" applyFill="1" applyAlignment="1" applyProtection="1">
      <alignment horizontal="right"/>
      <protection/>
    </xf>
    <xf numFmtId="0" fontId="0" fillId="2" borderId="0" xfId="0" applyFont="1" applyFill="1" applyAlignment="1" applyProtection="1">
      <alignment horizontal="right" vertical="top"/>
      <protection/>
    </xf>
    <xf numFmtId="0" fontId="13" fillId="2" borderId="0" xfId="0" applyFont="1" applyFill="1" applyAlignment="1" applyProtection="1">
      <alignment horizontal="right"/>
      <protection/>
    </xf>
    <xf numFmtId="0" fontId="7" fillId="2" borderId="0" xfId="0" applyFont="1" applyFill="1" applyAlignment="1" applyProtection="1">
      <alignment/>
      <protection/>
    </xf>
    <xf numFmtId="184" fontId="0" fillId="9" borderId="6" xfId="0" applyNumberFormat="1" applyFill="1" applyBorder="1" applyAlignment="1" applyProtection="1">
      <alignment/>
      <protection/>
    </xf>
    <xf numFmtId="184" fontId="0" fillId="8" borderId="6" xfId="0" applyNumberFormat="1" applyFill="1" applyBorder="1" applyAlignment="1" applyProtection="1">
      <alignment/>
      <protection/>
    </xf>
    <xf numFmtId="187" fontId="22" fillId="4" borderId="2" xfId="0" applyNumberFormat="1" applyFont="1" applyFill="1" applyBorder="1" applyAlignment="1" applyProtection="1">
      <alignment vertical="top" wrapText="1"/>
      <protection/>
    </xf>
    <xf numFmtId="189" fontId="0" fillId="2" borderId="0" xfId="0" applyNumberFormat="1" applyFont="1" applyFill="1" applyBorder="1" applyAlignment="1" applyProtection="1">
      <alignment/>
      <protection/>
    </xf>
    <xf numFmtId="0" fontId="7" fillId="2" borderId="0" xfId="0" applyFont="1" applyFill="1" applyAlignment="1" applyProtection="1">
      <alignment horizontal="right" vertical="top"/>
      <protection/>
    </xf>
    <xf numFmtId="199" fontId="0" fillId="2" borderId="0" xfId="0" applyNumberFormat="1" applyFont="1" applyFill="1" applyAlignment="1" applyProtection="1">
      <alignment horizontal="right"/>
      <protection/>
    </xf>
    <xf numFmtId="3" fontId="0" fillId="10" borderId="15" xfId="0" applyNumberFormat="1" applyFont="1" applyFill="1" applyBorder="1" applyAlignment="1" applyProtection="1">
      <alignment horizontal="right"/>
      <protection/>
    </xf>
    <xf numFmtId="3" fontId="29" fillId="2" borderId="0" xfId="0" applyNumberFormat="1" applyFont="1" applyFill="1" applyBorder="1" applyAlignment="1" applyProtection="1">
      <alignment vertical="top"/>
      <protection/>
    </xf>
    <xf numFmtId="2" fontId="29" fillId="2" borderId="0" xfId="0" applyNumberFormat="1" applyFont="1" applyFill="1" applyBorder="1" applyAlignment="1" applyProtection="1">
      <alignment horizontal="right" vertical="top"/>
      <protection/>
    </xf>
    <xf numFmtId="190" fontId="7" fillId="9" borderId="2" xfId="0" applyNumberFormat="1" applyFont="1" applyFill="1" applyBorder="1" applyAlignment="1" applyProtection="1">
      <alignment/>
      <protection locked="0"/>
    </xf>
    <xf numFmtId="190" fontId="7" fillId="8" borderId="2" xfId="0" applyNumberFormat="1" applyFont="1" applyFill="1" applyBorder="1" applyAlignment="1" applyProtection="1">
      <alignment/>
      <protection locked="0"/>
    </xf>
    <xf numFmtId="190" fontId="7" fillId="9" borderId="0" xfId="0" applyNumberFormat="1" applyFont="1" applyFill="1" applyBorder="1" applyAlignment="1" applyProtection="1">
      <alignment/>
      <protection locked="0"/>
    </xf>
    <xf numFmtId="190" fontId="7" fillId="8" borderId="0" xfId="0" applyNumberFormat="1" applyFont="1" applyFill="1" applyBorder="1" applyAlignment="1" applyProtection="1">
      <alignment/>
      <protection locked="0"/>
    </xf>
    <xf numFmtId="212" fontId="2" fillId="6" borderId="23" xfId="0" applyNumberFormat="1" applyFont="1" applyFill="1" applyBorder="1" applyAlignment="1" applyProtection="1">
      <alignment horizontal="center" vertical="top"/>
      <protection locked="0"/>
    </xf>
    <xf numFmtId="212" fontId="2" fillId="6" borderId="24" xfId="0" applyNumberFormat="1" applyFont="1" applyFill="1" applyBorder="1" applyAlignment="1" applyProtection="1">
      <alignment horizontal="center" vertical="top"/>
      <protection locked="0"/>
    </xf>
    <xf numFmtId="212" fontId="2" fillId="6" borderId="25" xfId="0" applyNumberFormat="1" applyFont="1" applyFill="1" applyBorder="1" applyAlignment="1" applyProtection="1">
      <alignment horizontal="center" vertical="top"/>
      <protection locked="0"/>
    </xf>
    <xf numFmtId="190" fontId="7" fillId="9" borderId="15" xfId="0" applyNumberFormat="1" applyFont="1" applyFill="1" applyBorder="1" applyAlignment="1" applyProtection="1">
      <alignment/>
      <protection locked="0"/>
    </xf>
    <xf numFmtId="190" fontId="7" fillId="8" borderId="41" xfId="0" applyNumberFormat="1" applyFont="1" applyFill="1" applyBorder="1" applyAlignment="1" applyProtection="1">
      <alignment/>
      <protection locked="0"/>
    </xf>
    <xf numFmtId="190" fontId="7" fillId="9" borderId="1" xfId="0" applyNumberFormat="1" applyFont="1" applyFill="1" applyBorder="1" applyAlignment="1" applyProtection="1">
      <alignment/>
      <protection locked="0"/>
    </xf>
    <xf numFmtId="190" fontId="7" fillId="8" borderId="1" xfId="0" applyNumberFormat="1" applyFont="1" applyFill="1" applyBorder="1" applyAlignment="1" applyProtection="1">
      <alignment/>
      <protection locked="0"/>
    </xf>
    <xf numFmtId="0" fontId="14" fillId="2" borderId="0" xfId="0" applyFont="1" applyFill="1" applyAlignment="1" applyProtection="1">
      <alignment horizontal="right" vertical="top"/>
      <protection/>
    </xf>
    <xf numFmtId="0" fontId="19" fillId="2" borderId="2" xfId="0" applyFont="1" applyFill="1" applyBorder="1" applyAlignment="1" applyProtection="1">
      <alignment wrapText="1"/>
      <protection/>
    </xf>
    <xf numFmtId="190" fontId="7" fillId="14" borderId="2" xfId="0" applyNumberFormat="1" applyFont="1" applyFill="1" applyBorder="1" applyAlignment="1" applyProtection="1">
      <alignment/>
      <protection locked="0"/>
    </xf>
    <xf numFmtId="190" fontId="7" fillId="10" borderId="2" xfId="0" applyNumberFormat="1" applyFont="1" applyFill="1" applyBorder="1" applyAlignment="1" applyProtection="1">
      <alignment/>
      <protection locked="0"/>
    </xf>
    <xf numFmtId="190" fontId="7" fillId="14" borderId="5" xfId="0" applyNumberFormat="1" applyFont="1" applyFill="1" applyBorder="1" applyAlignment="1" applyProtection="1">
      <alignment/>
      <protection locked="0"/>
    </xf>
    <xf numFmtId="190" fontId="29" fillId="9" borderId="2" xfId="0" applyNumberFormat="1" applyFont="1" applyFill="1" applyBorder="1" applyAlignment="1" applyProtection="1">
      <alignment/>
      <protection locked="0"/>
    </xf>
    <xf numFmtId="194" fontId="7" fillId="8" borderId="2" xfId="0" applyNumberFormat="1" applyFont="1" applyFill="1" applyBorder="1" applyAlignment="1" applyProtection="1">
      <alignment/>
      <protection locked="0"/>
    </xf>
    <xf numFmtId="194" fontId="7" fillId="8" borderId="1" xfId="0" applyNumberFormat="1" applyFont="1" applyFill="1" applyBorder="1" applyAlignment="1" applyProtection="1">
      <alignment/>
      <protection locked="0"/>
    </xf>
    <xf numFmtId="194" fontId="29" fillId="8" borderId="2" xfId="0" applyNumberFormat="1" applyFont="1" applyFill="1" applyBorder="1" applyAlignment="1" applyProtection="1">
      <alignment/>
      <protection locked="0"/>
    </xf>
    <xf numFmtId="194" fontId="29" fillId="8" borderId="1" xfId="0" applyNumberFormat="1" applyFont="1" applyFill="1" applyBorder="1" applyAlignment="1" applyProtection="1">
      <alignment/>
      <protection locked="0"/>
    </xf>
    <xf numFmtId="194" fontId="29" fillId="8" borderId="6" xfId="0" applyNumberFormat="1" applyFont="1" applyFill="1" applyBorder="1" applyAlignment="1" applyProtection="1">
      <alignment/>
      <protection locked="0"/>
    </xf>
    <xf numFmtId="194" fontId="7" fillId="8" borderId="0" xfId="0" applyNumberFormat="1" applyFont="1" applyFill="1" applyBorder="1" applyAlignment="1" applyProtection="1">
      <alignment/>
      <protection locked="0"/>
    </xf>
    <xf numFmtId="194" fontId="7" fillId="8" borderId="6" xfId="0" applyNumberFormat="1" applyFont="1" applyFill="1" applyBorder="1" applyAlignment="1" applyProtection="1">
      <alignment/>
      <protection locked="0"/>
    </xf>
    <xf numFmtId="190" fontId="32" fillId="8" borderId="2" xfId="0" applyNumberFormat="1" applyFont="1" applyFill="1" applyBorder="1" applyAlignment="1" applyProtection="1">
      <alignment vertical="center"/>
      <protection locked="0"/>
    </xf>
    <xf numFmtId="190" fontId="32" fillId="8" borderId="1" xfId="0" applyNumberFormat="1" applyFont="1" applyFill="1" applyBorder="1" applyAlignment="1" applyProtection="1">
      <alignment vertical="center"/>
      <protection locked="0"/>
    </xf>
    <xf numFmtId="0" fontId="44" fillId="8" borderId="1" xfId="0" applyFont="1" applyFill="1" applyBorder="1" applyAlignment="1" applyProtection="1">
      <alignment vertical="center"/>
      <protection/>
    </xf>
    <xf numFmtId="199" fontId="29" fillId="8" borderId="2" xfId="0" applyNumberFormat="1" applyFont="1" applyFill="1" applyBorder="1" applyAlignment="1" applyProtection="1">
      <alignment/>
      <protection locked="0"/>
    </xf>
    <xf numFmtId="199" fontId="29" fillId="8" borderId="1" xfId="0" applyNumberFormat="1" applyFont="1" applyFill="1" applyBorder="1" applyAlignment="1" applyProtection="1">
      <alignment/>
      <protection locked="0"/>
    </xf>
    <xf numFmtId="199" fontId="29" fillId="8" borderId="38" xfId="0" applyNumberFormat="1" applyFont="1" applyFill="1" applyBorder="1" applyAlignment="1" applyProtection="1">
      <alignment/>
      <protection locked="0"/>
    </xf>
    <xf numFmtId="0" fontId="0" fillId="0" borderId="0" xfId="0" applyFill="1" applyAlignment="1" applyProtection="1">
      <alignment/>
      <protection locked="0"/>
    </xf>
    <xf numFmtId="0" fontId="0" fillId="0" borderId="0" xfId="0" applyAlignment="1" applyProtection="1">
      <alignment/>
      <protection locked="0"/>
    </xf>
    <xf numFmtId="0" fontId="0" fillId="0" borderId="0" xfId="0" applyAlignment="1" applyProtection="1">
      <alignment vertical="top"/>
      <protection locked="0"/>
    </xf>
    <xf numFmtId="0" fontId="0" fillId="0" borderId="0" xfId="0" applyFill="1" applyAlignment="1" applyProtection="1">
      <alignment vertical="top"/>
      <protection locked="0"/>
    </xf>
    <xf numFmtId="0" fontId="0" fillId="0" borderId="0" xfId="0" applyBorder="1" applyAlignment="1" applyProtection="1">
      <alignment vertical="top"/>
      <protection locked="0"/>
    </xf>
    <xf numFmtId="0" fontId="0" fillId="0" borderId="0" xfId="0" applyAlignment="1" applyProtection="1" quotePrefix="1">
      <alignment vertical="top"/>
      <protection locked="0"/>
    </xf>
    <xf numFmtId="0" fontId="5" fillId="0" borderId="0" xfId="0" applyFont="1" applyAlignment="1" applyProtection="1">
      <alignment/>
      <protection locked="0"/>
    </xf>
    <xf numFmtId="0" fontId="5" fillId="0" borderId="0" xfId="0" applyFont="1" applyFill="1" applyAlignment="1" applyProtection="1">
      <alignment/>
      <protection locked="0"/>
    </xf>
    <xf numFmtId="199" fontId="0" fillId="0" borderId="0" xfId="0" applyNumberFormat="1" applyAlignment="1" applyProtection="1">
      <alignment/>
      <protection locked="0"/>
    </xf>
    <xf numFmtId="0" fontId="0" fillId="0" borderId="5" xfId="0" applyFont="1" applyFill="1" applyBorder="1" applyAlignment="1" applyProtection="1">
      <alignment/>
      <protection/>
    </xf>
    <xf numFmtId="0" fontId="1" fillId="15" borderId="28" xfId="0" applyFont="1" applyFill="1" applyBorder="1" applyAlignment="1" applyProtection="1">
      <alignment horizontal="right" vertical="top"/>
      <protection/>
    </xf>
    <xf numFmtId="0" fontId="0" fillId="2" borderId="1" xfId="0" applyFont="1" applyFill="1" applyBorder="1" applyAlignment="1" applyProtection="1">
      <alignment wrapText="1"/>
      <protection/>
    </xf>
    <xf numFmtId="0" fontId="0" fillId="2" borderId="2" xfId="0" applyFont="1" applyFill="1" applyBorder="1" applyAlignment="1">
      <alignment wrapText="1"/>
    </xf>
    <xf numFmtId="0" fontId="1" fillId="2" borderId="5" xfId="0" applyFont="1" applyFill="1" applyBorder="1" applyAlignment="1" applyProtection="1">
      <alignment horizontal="left" vertical="top" wrapText="1"/>
      <protection/>
    </xf>
    <xf numFmtId="0" fontId="46" fillId="2" borderId="2" xfId="0" applyFont="1" applyFill="1" applyBorder="1" applyAlignment="1" applyProtection="1">
      <alignment/>
      <protection/>
    </xf>
    <xf numFmtId="0" fontId="19" fillId="2" borderId="2" xfId="0" applyFont="1" applyFill="1" applyBorder="1" applyAlignment="1" applyProtection="1">
      <alignment/>
      <protection/>
    </xf>
    <xf numFmtId="0" fontId="0" fillId="2" borderId="1" xfId="0" applyFont="1" applyFill="1" applyBorder="1" applyAlignment="1">
      <alignment/>
    </xf>
    <xf numFmtId="0" fontId="0" fillId="2" borderId="0" xfId="0" applyFont="1" applyFill="1" applyAlignment="1">
      <alignment/>
    </xf>
    <xf numFmtId="0" fontId="1" fillId="2" borderId="29" xfId="0" applyFont="1" applyFill="1" applyBorder="1" applyAlignment="1" applyProtection="1">
      <alignment horizontal="left"/>
      <protection/>
    </xf>
    <xf numFmtId="0" fontId="22" fillId="0" borderId="0" xfId="0" applyFont="1" applyFill="1" applyAlignment="1" applyProtection="1">
      <alignment vertical="top"/>
      <protection/>
    </xf>
    <xf numFmtId="0" fontId="0" fillId="0" borderId="2" xfId="0" applyFont="1" applyFill="1" applyBorder="1" applyAlignment="1" applyProtection="1">
      <alignment/>
      <protection/>
    </xf>
    <xf numFmtId="0" fontId="1" fillId="0" borderId="3" xfId="0" applyFont="1" applyFill="1" applyBorder="1" applyAlignment="1" applyProtection="1">
      <alignment horizontal="left" wrapText="1"/>
      <protection/>
    </xf>
    <xf numFmtId="0" fontId="15" fillId="0" borderId="0" xfId="0" applyFont="1" applyFill="1" applyAlignment="1" applyProtection="1">
      <alignment vertical="top"/>
      <protection/>
    </xf>
    <xf numFmtId="0" fontId="0" fillId="0" borderId="2" xfId="0" applyFont="1" applyFill="1" applyBorder="1" applyAlignment="1" applyProtection="1">
      <alignment wrapText="1"/>
      <protection/>
    </xf>
    <xf numFmtId="187" fontId="21" fillId="4" borderId="5" xfId="0" applyNumberFormat="1" applyFont="1" applyFill="1" applyBorder="1" applyAlignment="1" applyProtection="1">
      <alignment horizontal="left" vertical="top" wrapText="1"/>
      <protection/>
    </xf>
    <xf numFmtId="187" fontId="21" fillId="4" borderId="42" xfId="0" applyNumberFormat="1" applyFont="1" applyFill="1" applyBorder="1" applyAlignment="1" applyProtection="1">
      <alignment horizontal="left" vertical="top" wrapText="1"/>
      <protection/>
    </xf>
    <xf numFmtId="0" fontId="15" fillId="2" borderId="0" xfId="0" applyFont="1" applyFill="1" applyAlignment="1" applyProtection="1" quotePrefix="1">
      <alignment/>
      <protection/>
    </xf>
    <xf numFmtId="0" fontId="30" fillId="0" borderId="0" xfId="0" applyFont="1" applyFill="1" applyAlignment="1" applyProtection="1">
      <alignment horizontal="right" vertical="center" wrapText="1"/>
      <protection/>
    </xf>
    <xf numFmtId="9" fontId="30" fillId="0" borderId="0" xfId="19" applyFont="1" applyFill="1" applyAlignment="1" applyProtection="1">
      <alignment horizontal="right" vertical="center" wrapText="1"/>
      <protection/>
    </xf>
    <xf numFmtId="0" fontId="50" fillId="2" borderId="0" xfId="0" applyFont="1" applyFill="1" applyAlignment="1">
      <alignment/>
    </xf>
    <xf numFmtId="0" fontId="0" fillId="2" borderId="1" xfId="0" applyFill="1" applyBorder="1" applyAlignment="1">
      <alignment/>
    </xf>
    <xf numFmtId="0" fontId="1" fillId="0" borderId="0" xfId="0" applyFont="1" applyFill="1" applyAlignment="1" applyProtection="1">
      <alignment horizontal="center" vertical="top"/>
      <protection/>
    </xf>
    <xf numFmtId="0" fontId="15" fillId="2" borderId="0" xfId="0" applyFont="1" applyFill="1" applyBorder="1" applyAlignment="1" applyProtection="1" quotePrefix="1">
      <alignment/>
      <protection/>
    </xf>
    <xf numFmtId="0" fontId="0" fillId="2" borderId="0" xfId="0" applyFont="1" applyFill="1" applyBorder="1" applyAlignment="1" applyProtection="1">
      <alignment/>
      <protection/>
    </xf>
    <xf numFmtId="187" fontId="14" fillId="0" borderId="2" xfId="0" applyNumberFormat="1" applyFont="1" applyFill="1" applyBorder="1" applyAlignment="1" applyProtection="1">
      <alignment vertical="top"/>
      <protection/>
    </xf>
    <xf numFmtId="187" fontId="21" fillId="0" borderId="3" xfId="0" applyNumberFormat="1" applyFont="1" applyFill="1" applyBorder="1" applyAlignment="1" applyProtection="1">
      <alignment vertical="top"/>
      <protection/>
    </xf>
    <xf numFmtId="187" fontId="25" fillId="0" borderId="0" xfId="0" applyNumberFormat="1" applyFont="1" applyFill="1" applyBorder="1" applyAlignment="1" applyProtection="1">
      <alignment vertical="top"/>
      <protection/>
    </xf>
    <xf numFmtId="187" fontId="14" fillId="0" borderId="1" xfId="0" applyNumberFormat="1" applyFont="1" applyFill="1" applyBorder="1" applyAlignment="1" applyProtection="1">
      <alignment vertical="top" wrapText="1"/>
      <protection/>
    </xf>
    <xf numFmtId="187" fontId="25" fillId="0" borderId="0" xfId="0" applyNumberFormat="1" applyFont="1" applyFill="1" applyBorder="1" applyAlignment="1" applyProtection="1">
      <alignment vertical="top"/>
      <protection/>
    </xf>
    <xf numFmtId="0" fontId="0" fillId="0" borderId="2" xfId="0" applyFill="1" applyBorder="1" applyAlignment="1">
      <alignment vertical="top" wrapText="1"/>
    </xf>
    <xf numFmtId="0" fontId="0" fillId="0" borderId="2" xfId="0" applyFill="1" applyBorder="1" applyAlignment="1">
      <alignment/>
    </xf>
    <xf numFmtId="0" fontId="0" fillId="0" borderId="0" xfId="0" applyFill="1" applyBorder="1" applyAlignment="1">
      <alignment/>
    </xf>
    <xf numFmtId="0" fontId="0" fillId="0" borderId="0" xfId="0" applyFill="1" applyAlignment="1">
      <alignment horizontal="left"/>
    </xf>
    <xf numFmtId="0" fontId="36" fillId="2" borderId="0" xfId="0" applyFont="1" applyFill="1" applyAlignment="1">
      <alignment/>
    </xf>
    <xf numFmtId="0" fontId="34" fillId="2" borderId="21" xfId="0" applyFont="1" applyFill="1" applyBorder="1" applyAlignment="1" applyProtection="1">
      <alignment vertical="center"/>
      <protection locked="0"/>
    </xf>
    <xf numFmtId="0" fontId="35" fillId="2" borderId="21" xfId="18" applyFont="1" applyFill="1" applyBorder="1" applyAlignment="1" applyProtection="1">
      <alignment vertical="center"/>
      <protection locked="0"/>
    </xf>
    <xf numFmtId="0" fontId="1" fillId="15" borderId="28" xfId="0" applyFont="1" applyFill="1" applyBorder="1" applyAlignment="1" applyProtection="1" quotePrefix="1">
      <alignment horizontal="right" vertical="top"/>
      <protection/>
    </xf>
    <xf numFmtId="190" fontId="7" fillId="14" borderId="0" xfId="0" applyNumberFormat="1" applyFont="1" applyFill="1" applyBorder="1" applyAlignment="1" applyProtection="1">
      <alignment/>
      <protection locked="0"/>
    </xf>
    <xf numFmtId="0" fontId="0" fillId="2" borderId="2" xfId="0" applyFont="1" applyFill="1" applyBorder="1" applyAlignment="1" applyProtection="1">
      <alignment/>
      <protection/>
    </xf>
    <xf numFmtId="0" fontId="0" fillId="2" borderId="1" xfId="0" applyFont="1" applyFill="1" applyBorder="1" applyAlignment="1" applyProtection="1">
      <alignment/>
      <protection/>
    </xf>
    <xf numFmtId="3" fontId="0" fillId="3" borderId="5" xfId="0" applyNumberFormat="1" applyFill="1" applyBorder="1" applyAlignment="1" applyProtection="1">
      <alignment/>
      <protection/>
    </xf>
    <xf numFmtId="0" fontId="0" fillId="2" borderId="6" xfId="0" applyFont="1" applyFill="1" applyBorder="1" applyAlignment="1" applyProtection="1">
      <alignment/>
      <protection/>
    </xf>
    <xf numFmtId="0" fontId="1" fillId="2" borderId="5" xfId="0" applyFont="1" applyFill="1" applyBorder="1" applyAlignment="1" applyProtection="1" quotePrefix="1">
      <alignment horizontal="left" wrapText="1"/>
      <protection/>
    </xf>
    <xf numFmtId="3" fontId="1" fillId="2" borderId="4" xfId="0" applyNumberFormat="1" applyFont="1" applyFill="1" applyBorder="1" applyAlignment="1" applyProtection="1">
      <alignment/>
      <protection/>
    </xf>
    <xf numFmtId="0" fontId="0" fillId="0" borderId="0" xfId="0" applyAlignment="1" applyProtection="1">
      <alignment wrapText="1"/>
      <protection/>
    </xf>
    <xf numFmtId="0" fontId="0" fillId="0" borderId="0" xfId="0" applyAlignment="1">
      <alignment wrapText="1"/>
    </xf>
    <xf numFmtId="0" fontId="0" fillId="0" borderId="0" xfId="0" applyFill="1" applyAlignment="1" applyProtection="1">
      <alignment wrapText="1"/>
      <protection/>
    </xf>
    <xf numFmtId="0" fontId="0" fillId="2" borderId="4" xfId="0" applyFont="1" applyFill="1" applyBorder="1" applyAlignment="1" applyProtection="1">
      <alignment wrapText="1"/>
      <protection/>
    </xf>
    <xf numFmtId="0" fontId="0" fillId="0" borderId="0" xfId="0" applyFont="1" applyAlignment="1" applyProtection="1">
      <alignment wrapText="1"/>
      <protection/>
    </xf>
    <xf numFmtId="3" fontId="1" fillId="9" borderId="7" xfId="0" applyNumberFormat="1" applyFont="1" applyFill="1" applyBorder="1" applyAlignment="1" applyProtection="1">
      <alignment vertical="top"/>
      <protection/>
    </xf>
    <xf numFmtId="3" fontId="0" fillId="2" borderId="4" xfId="0" applyNumberFormat="1" applyFill="1" applyBorder="1" applyAlignment="1" applyProtection="1">
      <alignment vertical="top"/>
      <protection/>
    </xf>
    <xf numFmtId="184" fontId="0" fillId="2" borderId="4" xfId="0" applyNumberFormat="1" applyFill="1" applyBorder="1" applyAlignment="1" applyProtection="1">
      <alignment vertical="top"/>
      <protection/>
    </xf>
    <xf numFmtId="3" fontId="1" fillId="2" borderId="0" xfId="0" applyNumberFormat="1" applyFont="1" applyFill="1" applyBorder="1" applyAlignment="1" applyProtection="1" quotePrefix="1">
      <alignment vertical="top"/>
      <protection/>
    </xf>
    <xf numFmtId="202" fontId="40" fillId="0" borderId="2" xfId="0" applyNumberFormat="1" applyFont="1" applyFill="1" applyBorder="1" applyAlignment="1" applyProtection="1">
      <alignment horizontal="left"/>
      <protection/>
    </xf>
    <xf numFmtId="202" fontId="41" fillId="4" borderId="2" xfId="0" applyNumberFormat="1" applyFont="1" applyFill="1" applyBorder="1" applyAlignment="1" applyProtection="1">
      <alignment horizontal="left"/>
      <protection/>
    </xf>
    <xf numFmtId="187" fontId="22" fillId="4" borderId="2" xfId="0" applyNumberFormat="1" applyFont="1" applyFill="1" applyBorder="1" applyAlignment="1" applyProtection="1">
      <alignment/>
      <protection/>
    </xf>
    <xf numFmtId="3" fontId="0" fillId="3" borderId="2" xfId="0" applyNumberFormat="1" applyFill="1" applyBorder="1" applyAlignment="1" applyProtection="1">
      <alignment/>
      <protection/>
    </xf>
    <xf numFmtId="174" fontId="0" fillId="2" borderId="0" xfId="0" applyNumberFormat="1" applyFill="1" applyAlignment="1" applyProtection="1">
      <alignment horizontal="center"/>
      <protection/>
    </xf>
    <xf numFmtId="187" fontId="25" fillId="2" borderId="0" xfId="0" applyNumberFormat="1" applyFont="1" applyFill="1" applyBorder="1" applyAlignment="1" applyProtection="1">
      <alignment vertical="top"/>
      <protection/>
    </xf>
    <xf numFmtId="3" fontId="1" fillId="14" borderId="3" xfId="0" applyNumberFormat="1" applyFont="1" applyFill="1" applyBorder="1" applyAlignment="1" applyProtection="1">
      <alignment/>
      <protection/>
    </xf>
    <xf numFmtId="0" fontId="0" fillId="8" borderId="2" xfId="0" applyFont="1" applyFill="1" applyBorder="1" applyAlignment="1" applyProtection="1">
      <alignment vertical="center"/>
      <protection/>
    </xf>
    <xf numFmtId="0" fontId="0" fillId="8" borderId="1" xfId="0" applyFont="1" applyFill="1" applyBorder="1" applyAlignment="1" applyProtection="1">
      <alignment vertical="center"/>
      <protection/>
    </xf>
    <xf numFmtId="0" fontId="0" fillId="8" borderId="1" xfId="0" applyFont="1" applyFill="1" applyBorder="1" applyAlignment="1" applyProtection="1">
      <alignment vertical="center" wrapText="1"/>
      <protection/>
    </xf>
    <xf numFmtId="0" fontId="1" fillId="2" borderId="5" xfId="0" applyFont="1" applyFill="1" applyBorder="1" applyAlignment="1">
      <alignment wrapText="1"/>
    </xf>
    <xf numFmtId="0" fontId="0" fillId="0" borderId="2" xfId="0" applyFont="1" applyFill="1" applyBorder="1" applyAlignment="1" applyProtection="1">
      <alignment/>
      <protection/>
    </xf>
    <xf numFmtId="0" fontId="0" fillId="0" borderId="5" xfId="0" applyFill="1" applyBorder="1" applyAlignment="1" applyProtection="1">
      <alignment/>
      <protection/>
    </xf>
    <xf numFmtId="3" fontId="0" fillId="14" borderId="2" xfId="0" applyNumberFormat="1" applyFont="1" applyFill="1" applyBorder="1" applyAlignment="1" applyProtection="1">
      <alignment vertical="top"/>
      <protection/>
    </xf>
    <xf numFmtId="174" fontId="7" fillId="2" borderId="0" xfId="0" applyNumberFormat="1" applyFont="1" applyFill="1" applyBorder="1" applyAlignment="1" applyProtection="1">
      <alignment horizontal="right" vertical="top"/>
      <protection/>
    </xf>
    <xf numFmtId="174" fontId="39" fillId="4" borderId="0" xfId="0" applyNumberFormat="1" applyFont="1" applyFill="1" applyBorder="1" applyAlignment="1" applyProtection="1">
      <alignment horizontal="left" vertical="top"/>
      <protection/>
    </xf>
    <xf numFmtId="187" fontId="21" fillId="4" borderId="0" xfId="0" applyNumberFormat="1" applyFont="1" applyFill="1" applyBorder="1" applyAlignment="1" applyProtection="1" quotePrefix="1">
      <alignment horizontal="left" vertical="top" wrapText="1"/>
      <protection/>
    </xf>
    <xf numFmtId="0" fontId="39" fillId="2" borderId="0" xfId="0" applyFont="1" applyFill="1" applyAlignment="1" applyProtection="1">
      <alignment vertical="top"/>
      <protection/>
    </xf>
    <xf numFmtId="10" fontId="1" fillId="2" borderId="0" xfId="0" applyNumberFormat="1" applyFont="1" applyFill="1" applyBorder="1" applyAlignment="1" applyProtection="1">
      <alignment vertical="top"/>
      <protection/>
    </xf>
    <xf numFmtId="0" fontId="1" fillId="0" borderId="0" xfId="0" applyFont="1" applyAlignment="1" applyProtection="1">
      <alignment vertical="top"/>
      <protection/>
    </xf>
    <xf numFmtId="211" fontId="9" fillId="9" borderId="5" xfId="0" applyNumberFormat="1" applyFont="1" applyFill="1" applyBorder="1" applyAlignment="1" applyProtection="1">
      <alignment/>
      <protection/>
    </xf>
    <xf numFmtId="211" fontId="0" fillId="9" borderId="5" xfId="0" applyNumberFormat="1" applyFont="1" applyFill="1" applyBorder="1" applyAlignment="1" applyProtection="1">
      <alignment/>
      <protection/>
    </xf>
    <xf numFmtId="211" fontId="0" fillId="8" borderId="5" xfId="0" applyNumberFormat="1" applyFont="1" applyFill="1" applyBorder="1" applyAlignment="1" applyProtection="1">
      <alignment/>
      <protection/>
    </xf>
    <xf numFmtId="3" fontId="1" fillId="14" borderId="0" xfId="0" applyNumberFormat="1" applyFont="1" applyFill="1" applyBorder="1" applyAlignment="1" applyProtection="1">
      <alignment/>
      <protection/>
    </xf>
    <xf numFmtId="174" fontId="29" fillId="2" borderId="0" xfId="0" applyNumberFormat="1" applyFont="1" applyFill="1" applyBorder="1" applyAlignment="1" applyProtection="1">
      <alignment horizontal="right" vertical="top"/>
      <protection/>
    </xf>
    <xf numFmtId="213" fontId="29" fillId="2" borderId="43" xfId="0" applyNumberFormat="1" applyFont="1" applyFill="1" applyBorder="1" applyAlignment="1" applyProtection="1">
      <alignment horizontal="center" vertical="top"/>
      <protection locked="0"/>
    </xf>
    <xf numFmtId="2" fontId="53" fillId="2" borderId="0" xfId="0" applyNumberFormat="1" applyFont="1" applyFill="1" applyBorder="1" applyAlignment="1" applyProtection="1">
      <alignment horizontal="right" vertical="top"/>
      <protection/>
    </xf>
    <xf numFmtId="202" fontId="1" fillId="2" borderId="44" xfId="0" applyNumberFormat="1" applyFont="1" applyFill="1" applyBorder="1" applyAlignment="1" applyProtection="1">
      <alignment vertical="top"/>
      <protection/>
    </xf>
    <xf numFmtId="202" fontId="1" fillId="2" borderId="45" xfId="0" applyNumberFormat="1" applyFont="1" applyFill="1" applyBorder="1" applyAlignment="1" applyProtection="1">
      <alignment vertical="top"/>
      <protection/>
    </xf>
    <xf numFmtId="202" fontId="1" fillId="2" borderId="46" xfId="0" applyNumberFormat="1" applyFont="1" applyFill="1" applyBorder="1" applyAlignment="1" applyProtection="1">
      <alignment vertical="top"/>
      <protection/>
    </xf>
    <xf numFmtId="3" fontId="21" fillId="0" borderId="23" xfId="0" applyNumberFormat="1" applyFont="1" applyFill="1" applyBorder="1" applyAlignment="1" applyProtection="1">
      <alignment horizontal="center" vertical="top"/>
      <protection/>
    </xf>
    <xf numFmtId="3" fontId="21" fillId="0" borderId="24" xfId="0" applyNumberFormat="1" applyFont="1" applyFill="1" applyBorder="1" applyAlignment="1" applyProtection="1">
      <alignment horizontal="center" vertical="top"/>
      <protection/>
    </xf>
    <xf numFmtId="3" fontId="21" fillId="0" borderId="25" xfId="0" applyNumberFormat="1" applyFont="1" applyFill="1" applyBorder="1" applyAlignment="1" applyProtection="1">
      <alignment horizontal="center" vertical="top"/>
      <protection/>
    </xf>
    <xf numFmtId="0" fontId="10" fillId="2" borderId="0" xfId="0" applyFont="1" applyFill="1" applyAlignment="1" applyProtection="1">
      <alignment horizontal="center" vertical="center"/>
      <protection/>
    </xf>
    <xf numFmtId="214" fontId="1" fillId="5" borderId="5" xfId="0" applyNumberFormat="1" applyFont="1" applyFill="1" applyBorder="1" applyAlignment="1" applyProtection="1">
      <alignment/>
      <protection/>
    </xf>
    <xf numFmtId="187" fontId="25" fillId="2" borderId="0" xfId="0" applyNumberFormat="1" applyFont="1" applyFill="1" applyBorder="1" applyAlignment="1" applyProtection="1">
      <alignment horizontal="left" vertical="top"/>
      <protection/>
    </xf>
    <xf numFmtId="0" fontId="15" fillId="2" borderId="0" xfId="0" applyFont="1" applyFill="1" applyBorder="1" applyAlignment="1" applyProtection="1" quotePrefix="1">
      <alignment wrapText="1"/>
      <protection/>
    </xf>
    <xf numFmtId="0" fontId="15" fillId="0" borderId="0" xfId="0" applyFont="1" applyFill="1" applyAlignment="1" applyProtection="1">
      <alignment/>
      <protection/>
    </xf>
    <xf numFmtId="174" fontId="7" fillId="2" borderId="0" xfId="0" applyNumberFormat="1" applyFont="1" applyFill="1" applyAlignment="1" applyProtection="1">
      <alignment horizontal="left"/>
      <protection/>
    </xf>
    <xf numFmtId="0" fontId="15" fillId="2" borderId="0" xfId="0" applyFont="1" applyFill="1" applyBorder="1" applyAlignment="1" applyProtection="1" quotePrefix="1">
      <alignment/>
      <protection/>
    </xf>
    <xf numFmtId="0" fontId="0" fillId="0" borderId="2" xfId="0" applyBorder="1" applyAlignment="1" applyProtection="1">
      <alignment horizontal="center" vertical="top"/>
      <protection locked="0"/>
    </xf>
    <xf numFmtId="0" fontId="0" fillId="0" borderId="1" xfId="0" applyBorder="1" applyAlignment="1" applyProtection="1">
      <alignment horizontal="center" vertical="top"/>
      <protection locked="0"/>
    </xf>
    <xf numFmtId="3" fontId="1" fillId="5" borderId="8" xfId="0" applyNumberFormat="1" applyFont="1" applyFill="1" applyBorder="1" applyAlignment="1" quotePrefix="1">
      <alignment horizontal="right"/>
    </xf>
    <xf numFmtId="3" fontId="2" fillId="6" borderId="9" xfId="0" applyNumberFormat="1" applyFont="1" applyFill="1" applyBorder="1" applyAlignment="1" quotePrefix="1">
      <alignment horizontal="right"/>
    </xf>
    <xf numFmtId="3" fontId="1" fillId="5" borderId="11" xfId="0" applyNumberFormat="1" applyFont="1" applyFill="1" applyBorder="1" applyAlignment="1" quotePrefix="1">
      <alignment horizontal="right"/>
    </xf>
    <xf numFmtId="10" fontId="1" fillId="2" borderId="0" xfId="0" applyNumberFormat="1" applyFont="1" applyFill="1" applyBorder="1" applyAlignment="1">
      <alignment/>
    </xf>
    <xf numFmtId="195" fontId="2" fillId="19" borderId="47" xfId="0" applyNumberFormat="1" applyFont="1" applyFill="1" applyBorder="1" applyAlignment="1">
      <alignment horizontal="right"/>
    </xf>
    <xf numFmtId="207" fontId="2" fillId="19" borderId="40" xfId="0" applyNumberFormat="1" applyFont="1" applyFill="1" applyBorder="1" applyAlignment="1">
      <alignment horizontal="right"/>
    </xf>
    <xf numFmtId="0" fontId="15" fillId="2" borderId="0" xfId="0" applyFont="1" applyFill="1" applyBorder="1" applyAlignment="1">
      <alignment vertical="top"/>
    </xf>
    <xf numFmtId="174" fontId="7" fillId="2" borderId="0" xfId="0" applyNumberFormat="1" applyFont="1" applyFill="1" applyBorder="1" applyAlignment="1">
      <alignment/>
    </xf>
    <xf numFmtId="190" fontId="7" fillId="9" borderId="2" xfId="0" applyNumberFormat="1" applyFont="1" applyFill="1" applyBorder="1" applyAlignment="1" applyProtection="1">
      <alignment/>
      <protection/>
    </xf>
    <xf numFmtId="190" fontId="7" fillId="8" borderId="2" xfId="0" applyNumberFormat="1" applyFont="1" applyFill="1" applyBorder="1" applyAlignment="1" applyProtection="1">
      <alignment/>
      <protection/>
    </xf>
    <xf numFmtId="3" fontId="0" fillId="5" borderId="0" xfId="0" applyNumberFormat="1" applyFont="1" applyFill="1" applyBorder="1" applyAlignment="1" applyProtection="1">
      <alignment/>
      <protection/>
    </xf>
    <xf numFmtId="0" fontId="0" fillId="0" borderId="1" xfId="0" applyFill="1" applyBorder="1" applyAlignment="1">
      <alignment/>
    </xf>
    <xf numFmtId="3" fontId="2" fillId="6" borderId="8" xfId="0" applyNumberFormat="1" applyFont="1" applyFill="1" applyBorder="1" applyAlignment="1">
      <alignment horizontal="right"/>
    </xf>
    <xf numFmtId="3" fontId="1" fillId="0" borderId="0" xfId="0" applyNumberFormat="1" applyFont="1" applyFill="1" applyBorder="1" applyAlignment="1">
      <alignment horizontal="right"/>
    </xf>
    <xf numFmtId="3" fontId="2" fillId="6" borderId="14" xfId="0" applyNumberFormat="1" applyFont="1" applyFill="1" applyBorder="1" applyAlignment="1">
      <alignment horizontal="right"/>
    </xf>
    <xf numFmtId="196" fontId="2" fillId="19" borderId="40" xfId="0" applyNumberFormat="1" applyFont="1" applyFill="1" applyBorder="1" applyAlignment="1">
      <alignment horizontal="right"/>
    </xf>
    <xf numFmtId="0" fontId="0" fillId="2" borderId="0" xfId="0" applyFont="1" applyFill="1" applyBorder="1" applyAlignment="1">
      <alignment/>
    </xf>
    <xf numFmtId="0" fontId="38" fillId="2" borderId="0" xfId="0" applyFont="1" applyFill="1" applyBorder="1" applyAlignment="1">
      <alignment/>
    </xf>
    <xf numFmtId="196" fontId="2" fillId="19" borderId="48" xfId="0" applyNumberFormat="1" applyFont="1" applyFill="1" applyBorder="1" applyAlignment="1">
      <alignment horizontal="right"/>
    </xf>
    <xf numFmtId="0" fontId="0" fillId="2" borderId="0" xfId="0" applyFill="1" applyBorder="1" applyAlignment="1" quotePrefix="1">
      <alignment/>
    </xf>
    <xf numFmtId="0" fontId="0" fillId="2" borderId="1" xfId="0" applyFill="1" applyBorder="1" applyAlignment="1">
      <alignment horizontal="center"/>
    </xf>
    <xf numFmtId="3" fontId="1" fillId="7" borderId="49" xfId="0" applyNumberFormat="1" applyFont="1" applyFill="1" applyBorder="1" applyAlignment="1">
      <alignment horizontal="right"/>
    </xf>
    <xf numFmtId="3" fontId="1" fillId="5" borderId="49" xfId="0" applyNumberFormat="1" applyFont="1" applyFill="1" applyBorder="1" applyAlignment="1">
      <alignment horizontal="right"/>
    </xf>
    <xf numFmtId="3" fontId="1" fillId="5" borderId="50" xfId="0" applyNumberFormat="1" applyFont="1" applyFill="1" applyBorder="1" applyAlignment="1">
      <alignment horizontal="right"/>
    </xf>
    <xf numFmtId="3" fontId="1" fillId="2" borderId="0" xfId="0" applyNumberFormat="1" applyFont="1" applyFill="1" applyBorder="1" applyAlignment="1" quotePrefix="1">
      <alignment horizontal="right"/>
    </xf>
    <xf numFmtId="3" fontId="1" fillId="7" borderId="50" xfId="0" applyNumberFormat="1" applyFont="1" applyFill="1" applyBorder="1" applyAlignment="1">
      <alignment horizontal="right"/>
    </xf>
    <xf numFmtId="3" fontId="2" fillId="6" borderId="49" xfId="0" applyNumberFormat="1" applyFont="1" applyFill="1" applyBorder="1" applyAlignment="1">
      <alignment horizontal="right"/>
    </xf>
    <xf numFmtId="187" fontId="14" fillId="0" borderId="0" xfId="0" applyNumberFormat="1" applyFont="1" applyFill="1" applyBorder="1" applyAlignment="1" applyProtection="1">
      <alignment vertical="top"/>
      <protection/>
    </xf>
    <xf numFmtId="187" fontId="22" fillId="4" borderId="0" xfId="0" applyNumberFormat="1" applyFont="1" applyFill="1" applyBorder="1" applyAlignment="1" applyProtection="1">
      <alignment vertical="top"/>
      <protection/>
    </xf>
    <xf numFmtId="202" fontId="40" fillId="0" borderId="0" xfId="0" applyNumberFormat="1" applyFont="1" applyFill="1" applyBorder="1" applyAlignment="1" applyProtection="1">
      <alignment horizontal="left" vertical="top"/>
      <protection/>
    </xf>
    <xf numFmtId="202" fontId="41" fillId="4" borderId="0" xfId="0" applyNumberFormat="1" applyFont="1" applyFill="1" applyBorder="1" applyAlignment="1" applyProtection="1">
      <alignment horizontal="left" vertical="top"/>
      <protection/>
    </xf>
    <xf numFmtId="3" fontId="0" fillId="10" borderId="0" xfId="0" applyNumberFormat="1" applyFont="1" applyFill="1" applyBorder="1" applyAlignment="1" applyProtection="1">
      <alignment horizontal="right" vertical="top"/>
      <protection/>
    </xf>
    <xf numFmtId="0" fontId="0" fillId="2" borderId="1" xfId="0" applyFill="1" applyBorder="1" applyAlignment="1" quotePrefix="1">
      <alignment/>
    </xf>
    <xf numFmtId="3" fontId="1" fillId="5" borderId="48" xfId="0" applyNumberFormat="1" applyFont="1" applyFill="1" applyBorder="1" applyAlignment="1" quotePrefix="1">
      <alignment horizontal="right"/>
    </xf>
    <xf numFmtId="0" fontId="56" fillId="2" borderId="0" xfId="0" applyFont="1" applyFill="1" applyAlignment="1" applyProtection="1" quotePrefix="1">
      <alignment/>
      <protection/>
    </xf>
    <xf numFmtId="0" fontId="0" fillId="5" borderId="0" xfId="0" applyFill="1" applyAlignment="1">
      <alignment/>
    </xf>
    <xf numFmtId="186" fontId="0" fillId="9" borderId="2" xfId="0" applyNumberFormat="1" applyFont="1" applyFill="1" applyBorder="1" applyAlignment="1" applyProtection="1">
      <alignment vertical="top"/>
      <protection/>
    </xf>
    <xf numFmtId="199" fontId="0" fillId="8" borderId="6" xfId="0" applyNumberFormat="1" applyFont="1" applyFill="1" applyBorder="1" applyAlignment="1" applyProtection="1">
      <alignment/>
      <protection/>
    </xf>
    <xf numFmtId="199" fontId="1" fillId="8" borderId="15" xfId="0" applyNumberFormat="1" applyFont="1" applyFill="1" applyBorder="1" applyAlignment="1" applyProtection="1">
      <alignment horizontal="right"/>
      <protection/>
    </xf>
    <xf numFmtId="194" fontId="1" fillId="10" borderId="0" xfId="0" applyNumberFormat="1" applyFont="1" applyFill="1" applyBorder="1" applyAlignment="1" applyProtection="1">
      <alignment/>
      <protection/>
    </xf>
    <xf numFmtId="174" fontId="7" fillId="2" borderId="0" xfId="0" applyNumberFormat="1" applyFont="1" applyFill="1" applyAlignment="1" applyProtection="1">
      <alignment horizontal="left" vertical="top"/>
      <protection/>
    </xf>
    <xf numFmtId="44" fontId="1" fillId="5" borderId="0" xfId="22" applyFont="1" applyFill="1" applyAlignment="1" applyProtection="1">
      <alignment horizontal="center"/>
      <protection/>
    </xf>
    <xf numFmtId="44" fontId="1" fillId="9" borderId="0" xfId="22" applyFont="1" applyFill="1" applyAlignment="1" applyProtection="1">
      <alignment horizontal="center"/>
      <protection/>
    </xf>
    <xf numFmtId="44" fontId="1" fillId="8" borderId="0" xfId="22" applyFont="1" applyFill="1" applyAlignment="1" applyProtection="1">
      <alignment horizontal="center"/>
      <protection/>
    </xf>
    <xf numFmtId="187" fontId="14" fillId="0" borderId="5" xfId="0" applyNumberFormat="1" applyFont="1" applyFill="1" applyBorder="1" applyAlignment="1" applyProtection="1">
      <alignment vertical="top" wrapText="1"/>
      <protection/>
    </xf>
    <xf numFmtId="0" fontId="0" fillId="0" borderId="5" xfId="0" applyBorder="1" applyAlignment="1">
      <alignment vertical="top" wrapText="1"/>
    </xf>
    <xf numFmtId="0" fontId="10" fillId="2" borderId="36" xfId="0" applyFont="1" applyFill="1" applyBorder="1" applyAlignment="1" applyProtection="1">
      <alignment vertical="center" wrapText="1"/>
      <protection/>
    </xf>
    <xf numFmtId="0" fontId="0" fillId="2" borderId="0" xfId="0" applyFill="1" applyAlignment="1" applyProtection="1">
      <alignment vertical="center"/>
      <protection/>
    </xf>
    <xf numFmtId="0" fontId="18" fillId="2" borderId="0" xfId="0" applyFont="1" applyFill="1" applyAlignment="1" applyProtection="1">
      <alignment horizontal="left" vertical="top" wrapText="1"/>
      <protection/>
    </xf>
    <xf numFmtId="0" fontId="0" fillId="0" borderId="0" xfId="0" applyAlignment="1">
      <alignment horizontal="left" vertical="top"/>
    </xf>
    <xf numFmtId="187" fontId="21" fillId="4" borderId="3" xfId="0" applyNumberFormat="1" applyFont="1" applyFill="1" applyBorder="1" applyAlignment="1" applyProtection="1">
      <alignment vertical="top" wrapText="1"/>
      <protection/>
    </xf>
    <xf numFmtId="0" fontId="0" fillId="0" borderId="3" xfId="0" applyBorder="1" applyAlignment="1">
      <alignment vertical="top" wrapText="1"/>
    </xf>
    <xf numFmtId="187" fontId="21" fillId="2" borderId="0" xfId="0" applyNumberFormat="1" applyFont="1" applyFill="1" applyBorder="1" applyAlignment="1" applyProtection="1">
      <alignment vertical="top" wrapText="1"/>
      <protection/>
    </xf>
    <xf numFmtId="0" fontId="0" fillId="0" borderId="0" xfId="0" applyAlignment="1">
      <alignment vertical="top" wrapText="1"/>
    </xf>
    <xf numFmtId="187" fontId="21" fillId="4" borderId="5" xfId="0" applyNumberFormat="1" applyFont="1" applyFill="1" applyBorder="1" applyAlignment="1" applyProtection="1">
      <alignment vertical="top" wrapText="1"/>
      <protection/>
    </xf>
    <xf numFmtId="190" fontId="29" fillId="8" borderId="2" xfId="0" applyNumberFormat="1" applyFont="1" applyFill="1" applyBorder="1" applyAlignment="1" applyProtection="1">
      <alignment/>
      <protection locked="0"/>
    </xf>
    <xf numFmtId="0" fontId="1" fillId="2" borderId="5" xfId="0" applyFont="1" applyFill="1" applyBorder="1" applyAlignment="1" applyProtection="1">
      <alignment horizontal="center"/>
      <protection/>
    </xf>
    <xf numFmtId="0" fontId="1" fillId="2" borderId="34" xfId="0" applyFont="1" applyFill="1" applyBorder="1" applyAlignment="1" applyProtection="1">
      <alignment horizontal="center"/>
      <protection/>
    </xf>
  </cellXfs>
  <cellStyles count="9">
    <cellStyle name="Normal" xfId="0"/>
    <cellStyle name="Followed Hyperlink" xfId="15"/>
    <cellStyle name="Comma" xfId="16"/>
    <cellStyle name="Comma [0]" xfId="17"/>
    <cellStyle name="Hyperlink" xfId="18"/>
    <cellStyle name="Percent" xfId="19"/>
    <cellStyle name="Currency" xfId="20"/>
    <cellStyle name="Currency [0]" xfId="21"/>
    <cellStyle name="Währung_Betriebsrechnung_Vorschlag Gliederung_V19_leer_06-02-2006" xfId="22"/>
  </cellStyles>
  <dxfs count="13">
    <dxf>
      <font>
        <b/>
        <i val="0"/>
        <color rgb="FFFF0000"/>
      </font>
      <border/>
    </dxf>
    <dxf>
      <fill>
        <patternFill>
          <bgColor rgb="FFAFEAFD"/>
        </patternFill>
      </fill>
      <border/>
    </dxf>
    <dxf>
      <fill>
        <patternFill>
          <bgColor rgb="FFFFCC99"/>
        </patternFill>
      </fill>
      <border/>
    </dxf>
    <dxf>
      <fill>
        <patternFill>
          <bgColor rgb="FFFF0000"/>
        </patternFill>
      </fill>
      <border/>
    </dxf>
    <dxf>
      <fill>
        <patternFill>
          <bgColor rgb="FF008080"/>
        </patternFill>
      </fill>
      <border/>
    </dxf>
    <dxf>
      <font>
        <color rgb="FFFFFFFF"/>
      </font>
      <border/>
    </dxf>
    <dxf>
      <font>
        <color rgb="FFFFFFFF"/>
      </font>
      <fill>
        <patternFill>
          <bgColor rgb="FFFF0000"/>
        </patternFill>
      </fill>
      <border/>
    </dxf>
    <dxf>
      <font>
        <b/>
        <i val="0"/>
        <color rgb="FFFFFFFF"/>
      </font>
      <fill>
        <patternFill>
          <bgColor rgb="FFFF0000"/>
        </patternFill>
      </fill>
      <border/>
    </dxf>
    <dxf>
      <font>
        <color rgb="FF969696"/>
      </font>
      <border/>
    </dxf>
    <dxf>
      <font>
        <color rgb="FFFFFFFF"/>
      </font>
      <fill>
        <patternFill>
          <bgColor rgb="FF008000"/>
        </patternFill>
      </fill>
      <border/>
    </dxf>
    <dxf>
      <font>
        <color rgb="FF808080"/>
      </font>
      <fill>
        <patternFill>
          <bgColor rgb="FFC0C0C0"/>
        </patternFill>
      </fill>
      <border/>
    </dxf>
    <dxf>
      <font>
        <b/>
        <i val="0"/>
        <color rgb="FFFFFFFF"/>
      </font>
      <fill>
        <patternFill>
          <bgColor rgb="FF008000"/>
        </patternFill>
      </fill>
      <border/>
    </dxf>
    <dxf>
      <font>
        <b/>
        <i val="0"/>
        <color rgb="FFC0C0C0"/>
      </font>
      <fill>
        <patternFill>
          <bgColor rgb="FF80808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5FFF5F"/>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AFEAFD"/>
      <rgbColor rgb="00B9FAAA"/>
      <rgbColor rgb="00FFFF99"/>
      <rgbColor rgb="0099CCFF"/>
      <rgbColor rgb="00FFB9DC"/>
      <rgbColor rgb="00DCB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Tabelle16">
    <tabColor indexed="23"/>
  </sheetPr>
  <dimension ref="A1:E25"/>
  <sheetViews>
    <sheetView workbookViewId="0" topLeftCell="A1">
      <pane ySplit="2" topLeftCell="BM3" activePane="bottomLeft" state="frozen"/>
      <selection pane="topLeft" activeCell="A1" sqref="A1"/>
      <selection pane="bottomLeft" activeCell="B23" sqref="B23"/>
    </sheetView>
  </sheetViews>
  <sheetFormatPr defaultColWidth="11.421875" defaultRowHeight="12.75"/>
  <sheetData>
    <row r="1" ht="12.75">
      <c r="A1" s="1" t="s">
        <v>34</v>
      </c>
    </row>
    <row r="2" spans="1:5" ht="12.75">
      <c r="A2" t="s">
        <v>576</v>
      </c>
      <c r="B2" t="str">
        <f ca="1">"'"&amp;REPLACE(CELL("Dateiname",B2),1,FIND("]",CELL("Dateiname",B2),1),"")&amp;"'!Z"&amp;ROW($3:$3)&amp;"S"&amp;COLUMN($A:$A)&amp;":Z"&amp;(ROW($3:$3)-1+COUNT($A$3:$A$47))&amp;"S"&amp;COLUMN($B:$B)</f>
        <v>'BVG-MINDESTZINSSATZ'!Z3S1:Z25S2</v>
      </c>
      <c r="D2" s="83"/>
      <c r="E2" t="s">
        <v>67</v>
      </c>
    </row>
    <row r="3" spans="1:2" ht="12.75">
      <c r="A3">
        <v>1985</v>
      </c>
      <c r="B3" s="82">
        <v>0.04</v>
      </c>
    </row>
    <row r="4" spans="1:2" ht="12.75">
      <c r="A4">
        <v>1986</v>
      </c>
      <c r="B4" s="82">
        <v>0.04</v>
      </c>
    </row>
    <row r="5" spans="1:2" ht="12.75">
      <c r="A5">
        <v>1987</v>
      </c>
      <c r="B5" s="82">
        <v>0.04</v>
      </c>
    </row>
    <row r="6" spans="1:2" ht="12.75">
      <c r="A6">
        <v>1988</v>
      </c>
      <c r="B6" s="82">
        <v>0.04</v>
      </c>
    </row>
    <row r="7" spans="1:2" ht="12.75">
      <c r="A7">
        <v>1989</v>
      </c>
      <c r="B7" s="82">
        <v>0.04</v>
      </c>
    </row>
    <row r="8" spans="1:2" ht="12.75">
      <c r="A8">
        <v>1990</v>
      </c>
      <c r="B8" s="82">
        <v>0.04</v>
      </c>
    </row>
    <row r="9" spans="1:2" ht="12.75">
      <c r="A9">
        <v>1991</v>
      </c>
      <c r="B9" s="82">
        <v>0.04</v>
      </c>
    </row>
    <row r="10" spans="1:2" ht="12.75">
      <c r="A10">
        <v>1992</v>
      </c>
      <c r="B10" s="82">
        <v>0.04</v>
      </c>
    </row>
    <row r="11" spans="1:2" ht="12.75">
      <c r="A11">
        <v>1993</v>
      </c>
      <c r="B11" s="82">
        <v>0.04</v>
      </c>
    </row>
    <row r="12" spans="1:2" ht="12.75">
      <c r="A12">
        <v>1994</v>
      </c>
      <c r="B12" s="82">
        <v>0.04</v>
      </c>
    </row>
    <row r="13" spans="1:2" ht="12.75">
      <c r="A13">
        <v>1995</v>
      </c>
      <c r="B13" s="82">
        <v>0.04</v>
      </c>
    </row>
    <row r="14" spans="1:2" ht="12.75">
      <c r="A14">
        <v>1996</v>
      </c>
      <c r="B14" s="82">
        <v>0.04</v>
      </c>
    </row>
    <row r="15" spans="1:2" ht="12.75">
      <c r="A15">
        <v>1997</v>
      </c>
      <c r="B15" s="82">
        <v>0.04</v>
      </c>
    </row>
    <row r="16" spans="1:2" ht="12.75">
      <c r="A16">
        <v>1998</v>
      </c>
      <c r="B16" s="82">
        <v>0.04</v>
      </c>
    </row>
    <row r="17" spans="1:2" ht="12.75">
      <c r="A17">
        <v>1999</v>
      </c>
      <c r="B17" s="82">
        <v>0.04</v>
      </c>
    </row>
    <row r="18" spans="1:2" ht="12.75">
      <c r="A18">
        <v>2000</v>
      </c>
      <c r="B18" s="82">
        <v>0.04</v>
      </c>
    </row>
    <row r="19" spans="1:2" ht="12.75">
      <c r="A19">
        <v>2001</v>
      </c>
      <c r="B19" s="82">
        <v>0.04</v>
      </c>
    </row>
    <row r="20" spans="1:2" ht="12.75">
      <c r="A20">
        <v>2002</v>
      </c>
      <c r="B20" s="82">
        <v>0.04</v>
      </c>
    </row>
    <row r="21" spans="1:2" ht="12.75">
      <c r="A21">
        <v>2003</v>
      </c>
      <c r="B21" s="82">
        <v>0.0325</v>
      </c>
    </row>
    <row r="22" spans="1:2" ht="12.75">
      <c r="A22">
        <v>2004</v>
      </c>
      <c r="B22" s="82">
        <v>0.0225</v>
      </c>
    </row>
    <row r="23" spans="1:2" ht="12.75">
      <c r="A23">
        <v>2005</v>
      </c>
      <c r="B23" s="82">
        <v>0.05</v>
      </c>
    </row>
    <row r="24" spans="1:2" ht="12.75">
      <c r="A24">
        <v>2006</v>
      </c>
      <c r="B24" s="82">
        <v>0.025</v>
      </c>
    </row>
    <row r="25" spans="1:2" ht="12.75">
      <c r="A25">
        <v>2007</v>
      </c>
      <c r="B25" s="82">
        <v>0.025</v>
      </c>
    </row>
  </sheetData>
  <sheetProtection/>
  <printOptions/>
  <pageMargins left="0.75" right="0.75" top="1" bottom="1" header="0.4921259845" footer="0.4921259845"/>
  <pageSetup horizontalDpi="600" verticalDpi="600" orientation="landscape" paperSize="9" scale="75" r:id="rId1"/>
  <headerFooter alignWithMargins="0">
    <oddFooter>&amp;L&amp;D   &amp;T&amp;C&amp;A&amp;R&amp;P / &amp;N</oddFooter>
  </headerFooter>
</worksheet>
</file>

<file path=xl/worksheets/sheet2.xml><?xml version="1.0" encoding="utf-8"?>
<worksheet xmlns="http://schemas.openxmlformats.org/spreadsheetml/2006/main" xmlns:r="http://schemas.openxmlformats.org/officeDocument/2006/relationships">
  <sheetPr codeName="Tabelle1"/>
  <dimension ref="A1:L33"/>
  <sheetViews>
    <sheetView zoomScale="80" zoomScaleNormal="80" workbookViewId="0" topLeftCell="A1">
      <selection activeCell="A2" sqref="A2"/>
    </sheetView>
  </sheetViews>
  <sheetFormatPr defaultColWidth="11.421875" defaultRowHeight="12.75"/>
  <cols>
    <col min="1" max="1" width="33.00390625" style="0" customWidth="1"/>
    <col min="2" max="2" width="4.7109375" style="0" customWidth="1"/>
    <col min="3" max="3" width="18.8515625" style="0" customWidth="1"/>
    <col min="4" max="4" width="4.00390625" style="0" customWidth="1"/>
    <col min="5" max="5" width="17.140625" style="0" customWidth="1"/>
    <col min="6" max="6" width="14.7109375" style="0" customWidth="1"/>
    <col min="7" max="7" width="15.7109375" style="0" customWidth="1"/>
    <col min="8" max="8" width="3.421875" style="0" customWidth="1"/>
    <col min="9" max="9" width="15.57421875" style="0" customWidth="1"/>
    <col min="10" max="10" width="17.140625" style="0" customWidth="1"/>
    <col min="11" max="11" width="27.421875" style="0" customWidth="1"/>
    <col min="12" max="12" width="3.00390625" style="0" customWidth="1"/>
  </cols>
  <sheetData>
    <row r="1" spans="1:12" ht="19.5" customHeight="1">
      <c r="A1" s="96" t="s">
        <v>63</v>
      </c>
      <c r="B1" s="4"/>
      <c r="C1" s="4"/>
      <c r="D1" s="4"/>
      <c r="E1" s="4"/>
      <c r="F1" s="4"/>
      <c r="G1" s="4"/>
      <c r="H1" s="4"/>
      <c r="I1" s="4"/>
      <c r="J1" s="4"/>
      <c r="K1" s="574" t="s">
        <v>68</v>
      </c>
      <c r="L1" s="4"/>
    </row>
    <row r="2" spans="1:12" ht="7.5" customHeight="1">
      <c r="A2" s="89"/>
      <c r="B2" s="4"/>
      <c r="C2" s="4"/>
      <c r="D2" s="4"/>
      <c r="E2" s="4"/>
      <c r="F2" s="4"/>
      <c r="G2" s="4"/>
      <c r="H2" s="4"/>
      <c r="I2" s="4"/>
      <c r="J2" s="4"/>
      <c r="K2" s="4"/>
      <c r="L2" s="4"/>
    </row>
    <row r="3" spans="1:12" ht="19.5" customHeight="1">
      <c r="A3" s="90" t="s">
        <v>654</v>
      </c>
      <c r="B3" s="18"/>
      <c r="C3" s="18"/>
      <c r="D3" s="18"/>
      <c r="E3" s="686" t="s">
        <v>90</v>
      </c>
      <c r="F3" s="84"/>
      <c r="G3" s="84"/>
      <c r="H3" s="84"/>
      <c r="I3" s="84"/>
      <c r="J3" s="85"/>
      <c r="K3" s="18"/>
      <c r="L3" s="18"/>
    </row>
    <row r="4" spans="1:12" ht="19.5" customHeight="1">
      <c r="A4" s="90" t="s">
        <v>655</v>
      </c>
      <c r="B4" s="18"/>
      <c r="C4" s="18"/>
      <c r="D4" s="18"/>
      <c r="E4" s="98" t="s">
        <v>91</v>
      </c>
      <c r="F4" s="84"/>
      <c r="G4" s="84"/>
      <c r="H4" s="84"/>
      <c r="I4" s="85"/>
      <c r="J4" s="101"/>
      <c r="K4" s="18"/>
      <c r="L4" s="18"/>
    </row>
    <row r="5" spans="1:12" ht="19.5" customHeight="1">
      <c r="A5" s="90" t="s">
        <v>656</v>
      </c>
      <c r="B5" s="18"/>
      <c r="C5" s="18"/>
      <c r="D5" s="18"/>
      <c r="E5" s="687" t="s">
        <v>565</v>
      </c>
      <c r="F5" s="84"/>
      <c r="G5" s="84"/>
      <c r="H5" s="84"/>
      <c r="I5" s="85"/>
      <c r="J5" s="18"/>
      <c r="K5" s="18"/>
      <c r="L5" s="18"/>
    </row>
    <row r="6" spans="1:12" ht="19.5" customHeight="1">
      <c r="A6" s="90" t="s">
        <v>657</v>
      </c>
      <c r="B6" s="18"/>
      <c r="C6" s="18"/>
      <c r="D6" s="18"/>
      <c r="E6" s="100">
        <v>0</v>
      </c>
      <c r="F6" s="99"/>
      <c r="G6" s="97"/>
      <c r="H6" s="97"/>
      <c r="I6" s="97"/>
      <c r="J6" s="18"/>
      <c r="K6" s="18"/>
      <c r="L6" s="18"/>
    </row>
    <row r="7" spans="1:12" ht="11.25" customHeight="1">
      <c r="A7" s="89"/>
      <c r="B7" s="4"/>
      <c r="C7" s="4"/>
      <c r="D7" s="4"/>
      <c r="E7" s="4"/>
      <c r="F7" s="4"/>
      <c r="G7" s="4"/>
      <c r="H7" s="4"/>
      <c r="I7" s="4"/>
      <c r="J7" s="4"/>
      <c r="K7" s="4"/>
      <c r="L7" s="4"/>
    </row>
    <row r="8" spans="1:12" ht="19.5" customHeight="1">
      <c r="A8" s="90" t="s">
        <v>658</v>
      </c>
      <c r="B8" s="4"/>
      <c r="C8" s="4"/>
      <c r="D8" s="86"/>
      <c r="E8" s="738">
        <v>3</v>
      </c>
      <c r="F8" s="86"/>
      <c r="G8" s="482">
        <f>2004+E8</f>
        <v>2007</v>
      </c>
      <c r="H8" s="86"/>
      <c r="I8" s="4"/>
      <c r="J8" s="91" t="s">
        <v>55</v>
      </c>
      <c r="K8" s="4"/>
      <c r="L8" s="4"/>
    </row>
    <row r="9" spans="1:12" ht="12.75">
      <c r="A9" s="4"/>
      <c r="B9" s="4"/>
      <c r="C9" s="4"/>
      <c r="D9" s="4"/>
      <c r="E9" s="4"/>
      <c r="F9" s="4"/>
      <c r="G9" s="4"/>
      <c r="H9" s="4"/>
      <c r="I9" s="4"/>
      <c r="J9" s="92">
        <v>2005</v>
      </c>
      <c r="K9" s="4"/>
      <c r="L9" s="4"/>
    </row>
    <row r="10" spans="1:12" ht="12.75">
      <c r="A10" s="5" t="s">
        <v>92</v>
      </c>
      <c r="B10" s="5" t="s">
        <v>93</v>
      </c>
      <c r="C10" s="4"/>
      <c r="D10" s="4"/>
      <c r="E10" s="4"/>
      <c r="F10" s="4"/>
      <c r="G10" s="4"/>
      <c r="H10" s="4"/>
      <c r="I10" s="4"/>
      <c r="J10" s="93">
        <v>2006</v>
      </c>
      <c r="K10" s="4"/>
      <c r="L10" s="4"/>
    </row>
    <row r="11" spans="1:12" ht="12.75">
      <c r="A11" s="481" t="s">
        <v>94</v>
      </c>
      <c r="B11" s="473">
        <v>1</v>
      </c>
      <c r="C11" s="4" t="s">
        <v>95</v>
      </c>
      <c r="D11" s="4"/>
      <c r="E11" s="4"/>
      <c r="F11" s="4"/>
      <c r="G11" s="4"/>
      <c r="H11" s="4"/>
      <c r="I11" s="4"/>
      <c r="J11" s="93">
        <v>2007</v>
      </c>
      <c r="K11" s="4"/>
      <c r="L11" s="4"/>
    </row>
    <row r="12" spans="1:12" ht="12.75">
      <c r="A12" s="481"/>
      <c r="B12" s="473">
        <v>2</v>
      </c>
      <c r="C12" s="4" t="s">
        <v>96</v>
      </c>
      <c r="D12" s="4"/>
      <c r="E12" s="4"/>
      <c r="F12" s="4"/>
      <c r="G12" s="4"/>
      <c r="H12" s="4"/>
      <c r="I12" s="4"/>
      <c r="J12" s="93">
        <v>2008</v>
      </c>
      <c r="K12" s="4"/>
      <c r="L12" s="4"/>
    </row>
    <row r="13" spans="1:12" ht="12.75">
      <c r="A13" s="480" t="s">
        <v>97</v>
      </c>
      <c r="B13" s="473">
        <v>3</v>
      </c>
      <c r="C13" s="4" t="s">
        <v>98</v>
      </c>
      <c r="D13" s="4"/>
      <c r="E13" s="4"/>
      <c r="F13" s="4"/>
      <c r="G13" s="4"/>
      <c r="H13" s="4"/>
      <c r="I13" s="4"/>
      <c r="J13" s="93">
        <v>2009</v>
      </c>
      <c r="K13" s="4"/>
      <c r="L13" s="4"/>
    </row>
    <row r="14" spans="1:12" ht="12.75">
      <c r="A14" s="480"/>
      <c r="B14" s="473">
        <v>4</v>
      </c>
      <c r="C14" s="4" t="s">
        <v>99</v>
      </c>
      <c r="D14" s="4"/>
      <c r="E14" s="4"/>
      <c r="F14" s="4"/>
      <c r="G14" s="4"/>
      <c r="H14" s="4"/>
      <c r="I14" s="4"/>
      <c r="J14" s="95">
        <v>2010</v>
      </c>
      <c r="K14" s="4"/>
      <c r="L14" s="4"/>
    </row>
    <row r="15" spans="1:12" ht="12.75">
      <c r="A15" s="480"/>
      <c r="B15" s="473">
        <v>5</v>
      </c>
      <c r="C15" s="4" t="s">
        <v>100</v>
      </c>
      <c r="D15" s="4"/>
      <c r="E15" s="4"/>
      <c r="F15" s="4"/>
      <c r="G15" s="4"/>
      <c r="H15" s="4"/>
      <c r="I15" s="4"/>
      <c r="J15" s="4"/>
      <c r="K15" s="4"/>
      <c r="L15" s="4"/>
    </row>
    <row r="16" spans="1:12" ht="12.75">
      <c r="A16" s="479" t="s">
        <v>101</v>
      </c>
      <c r="B16" s="473">
        <v>6</v>
      </c>
      <c r="C16" s="4" t="s">
        <v>102</v>
      </c>
      <c r="D16" s="4"/>
      <c r="E16" s="4"/>
      <c r="F16" s="4"/>
      <c r="G16" s="4"/>
      <c r="H16" s="4"/>
      <c r="I16" s="4"/>
      <c r="J16" s="4"/>
      <c r="K16" s="4"/>
      <c r="L16" s="4"/>
    </row>
    <row r="17" spans="1:12" ht="12.75">
      <c r="A17" s="479"/>
      <c r="B17" s="473">
        <v>7</v>
      </c>
      <c r="C17" s="4" t="s">
        <v>103</v>
      </c>
      <c r="D17" s="4"/>
      <c r="E17" s="4"/>
      <c r="F17" s="4"/>
      <c r="G17" s="4"/>
      <c r="H17" s="4"/>
      <c r="I17" s="4"/>
      <c r="J17" s="4"/>
      <c r="K17" s="4"/>
      <c r="L17" s="4"/>
    </row>
    <row r="18" spans="1:12" ht="12.75">
      <c r="A18" s="479"/>
      <c r="B18" s="473">
        <v>8</v>
      </c>
      <c r="C18" s="4" t="s">
        <v>104</v>
      </c>
      <c r="D18" s="4"/>
      <c r="E18" s="4"/>
      <c r="F18" s="4"/>
      <c r="G18" s="4"/>
      <c r="H18" s="4"/>
      <c r="I18" s="4"/>
      <c r="J18" s="4"/>
      <c r="K18" s="4"/>
      <c r="L18" s="4"/>
    </row>
    <row r="19" spans="1:12" ht="12.75">
      <c r="A19" s="479"/>
      <c r="B19" s="473">
        <v>9</v>
      </c>
      <c r="C19" s="4" t="s">
        <v>105</v>
      </c>
      <c r="D19" s="4"/>
      <c r="E19" s="4"/>
      <c r="F19" s="4"/>
      <c r="G19" s="4"/>
      <c r="H19" s="4"/>
      <c r="I19" s="459" t="s">
        <v>650</v>
      </c>
      <c r="J19" s="4"/>
      <c r="K19" s="4"/>
      <c r="L19" s="4"/>
    </row>
    <row r="20" spans="1:12" ht="12.75">
      <c r="A20" s="479"/>
      <c r="B20" s="473">
        <v>10</v>
      </c>
      <c r="C20" s="4" t="s">
        <v>106</v>
      </c>
      <c r="D20" s="4"/>
      <c r="E20" s="4"/>
      <c r="F20" s="4"/>
      <c r="G20" s="4"/>
      <c r="H20" s="4"/>
      <c r="I20" s="4"/>
      <c r="J20" s="4"/>
      <c r="K20" s="4"/>
      <c r="L20" s="4"/>
    </row>
    <row r="21" spans="1:12" ht="12.75">
      <c r="A21" s="478" t="s">
        <v>107</v>
      </c>
      <c r="B21" s="473">
        <v>11</v>
      </c>
      <c r="C21" s="4" t="s">
        <v>108</v>
      </c>
      <c r="D21" s="4"/>
      <c r="E21" s="4"/>
      <c r="F21" s="4"/>
      <c r="G21" s="4"/>
      <c r="H21" s="458" t="s">
        <v>581</v>
      </c>
      <c r="I21" s="4" t="s">
        <v>659</v>
      </c>
      <c r="J21" s="4"/>
      <c r="K21" s="4"/>
      <c r="L21" s="4"/>
    </row>
    <row r="22" spans="1:12" ht="12.75">
      <c r="A22" s="478"/>
      <c r="B22" s="473">
        <v>12</v>
      </c>
      <c r="C22" s="4" t="s">
        <v>109</v>
      </c>
      <c r="D22" s="4"/>
      <c r="E22" s="4"/>
      <c r="F22" s="4"/>
      <c r="G22" s="4"/>
      <c r="H22" s="458"/>
      <c r="I22" s="450" t="s">
        <v>118</v>
      </c>
      <c r="J22" s="451"/>
      <c r="K22" s="451"/>
      <c r="L22" s="4"/>
    </row>
    <row r="23" spans="1:12" ht="12.75">
      <c r="A23" s="478"/>
      <c r="B23" s="473">
        <v>13</v>
      </c>
      <c r="C23" s="4" t="s">
        <v>110</v>
      </c>
      <c r="D23" s="4"/>
      <c r="E23" s="4"/>
      <c r="F23" s="4"/>
      <c r="G23" s="4"/>
      <c r="H23" s="458"/>
      <c r="I23" s="452" t="s">
        <v>119</v>
      </c>
      <c r="J23" s="453"/>
      <c r="K23" s="453"/>
      <c r="L23" s="4"/>
    </row>
    <row r="24" spans="1:12" ht="12.75">
      <c r="A24" s="478"/>
      <c r="B24" s="473">
        <v>14</v>
      </c>
      <c r="C24" s="4" t="s">
        <v>111</v>
      </c>
      <c r="D24" s="4"/>
      <c r="E24" s="4"/>
      <c r="F24" s="4"/>
      <c r="G24" s="4"/>
      <c r="H24" s="4"/>
      <c r="I24" s="468" t="s">
        <v>120</v>
      </c>
      <c r="J24" s="468"/>
      <c r="K24" s="468"/>
      <c r="L24" s="4"/>
    </row>
    <row r="25" spans="1:12" ht="12.75">
      <c r="A25" s="477" t="s">
        <v>112</v>
      </c>
      <c r="B25" s="473">
        <v>15</v>
      </c>
      <c r="C25" s="4" t="s">
        <v>113</v>
      </c>
      <c r="D25" s="4"/>
      <c r="E25" s="4"/>
      <c r="F25" s="4"/>
      <c r="G25" s="4"/>
      <c r="H25" s="458" t="s">
        <v>582</v>
      </c>
      <c r="I25" s="4" t="s">
        <v>121</v>
      </c>
      <c r="J25" s="4"/>
      <c r="K25" s="4"/>
      <c r="L25" s="4"/>
    </row>
    <row r="26" spans="1:12" ht="12.75">
      <c r="A26" s="476" t="s">
        <v>114</v>
      </c>
      <c r="B26" s="473">
        <v>16</v>
      </c>
      <c r="C26" s="4" t="s">
        <v>115</v>
      </c>
      <c r="D26" s="4"/>
      <c r="E26" s="4"/>
      <c r="F26" s="4"/>
      <c r="G26" s="4"/>
      <c r="H26" s="458"/>
      <c r="I26" s="4" t="s">
        <v>325</v>
      </c>
      <c r="J26" s="4"/>
      <c r="K26" s="4"/>
      <c r="L26" s="4"/>
    </row>
    <row r="27" spans="1:12" ht="12.75">
      <c r="A27" s="476"/>
      <c r="B27" s="473">
        <v>17</v>
      </c>
      <c r="C27" s="4" t="s">
        <v>116</v>
      </c>
      <c r="D27" s="4"/>
      <c r="E27" s="4"/>
      <c r="F27" s="4"/>
      <c r="G27" s="4"/>
      <c r="H27" s="458" t="s">
        <v>563</v>
      </c>
      <c r="I27" s="4" t="s">
        <v>122</v>
      </c>
      <c r="J27" s="4"/>
      <c r="K27" s="4"/>
      <c r="L27" s="4"/>
    </row>
    <row r="28" spans="1:12" ht="12.75">
      <c r="A28" s="475" t="s">
        <v>117</v>
      </c>
      <c r="B28" s="473">
        <v>18</v>
      </c>
      <c r="C28" s="4" t="s">
        <v>651</v>
      </c>
      <c r="D28" s="4"/>
      <c r="E28" s="4"/>
      <c r="F28" s="4"/>
      <c r="G28" s="4"/>
      <c r="H28" s="458" t="s">
        <v>564</v>
      </c>
      <c r="I28" s="4" t="s">
        <v>123</v>
      </c>
      <c r="J28" s="4"/>
      <c r="K28" s="4"/>
      <c r="L28" s="4"/>
    </row>
    <row r="29" spans="1:12" ht="12.75">
      <c r="A29" s="4"/>
      <c r="B29" s="474"/>
      <c r="C29" s="4"/>
      <c r="D29" s="4"/>
      <c r="E29" s="4"/>
      <c r="F29" s="4"/>
      <c r="G29" s="4"/>
      <c r="H29" s="4"/>
      <c r="I29" s="454" t="s">
        <v>124</v>
      </c>
      <c r="J29" s="455"/>
      <c r="K29" s="455"/>
      <c r="L29" s="4"/>
    </row>
    <row r="30" spans="1:12" ht="12.75">
      <c r="A30" s="4"/>
      <c r="B30" s="685">
        <v>333</v>
      </c>
      <c r="C30" s="4"/>
      <c r="D30" s="4"/>
      <c r="E30" s="4"/>
      <c r="F30" s="4"/>
      <c r="G30" s="4"/>
      <c r="H30" s="4"/>
      <c r="I30" s="456" t="s">
        <v>652</v>
      </c>
      <c r="J30" s="456"/>
      <c r="K30" s="456"/>
      <c r="L30" s="4"/>
    </row>
    <row r="31" spans="1:12" ht="12.75">
      <c r="A31" s="4"/>
      <c r="B31" s="4"/>
      <c r="C31" s="4"/>
      <c r="D31" s="4"/>
      <c r="E31" s="4"/>
      <c r="F31" s="4"/>
      <c r="G31" s="4"/>
      <c r="H31" s="458" t="s">
        <v>561</v>
      </c>
      <c r="I31" s="457" t="s">
        <v>653</v>
      </c>
      <c r="J31" s="457"/>
      <c r="K31" s="457"/>
      <c r="L31" s="4"/>
    </row>
    <row r="32" spans="1:12" ht="12.75">
      <c r="A32" s="94"/>
      <c r="B32" s="4"/>
      <c r="C32" s="4"/>
      <c r="D32" s="4"/>
      <c r="E32" s="4"/>
      <c r="F32" s="4"/>
      <c r="G32" s="4"/>
      <c r="H32" s="4"/>
      <c r="I32" s="4"/>
      <c r="J32" s="4"/>
      <c r="K32" s="4"/>
      <c r="L32" s="4"/>
    </row>
    <row r="33" spans="1:11" ht="12.75">
      <c r="A33" s="782" t="str">
        <f ca="1">CELL("dateiname")</f>
        <v>L:\BPVFACH\Lebensversicherung\K o l l e k t i v - L e b e n\BVG-Datenerhebung 2008 für Bj 2007\1_Vorbereitung\1_Emappen_leer\[Erfassungsmappe_BRBV_06-12-2007_F_leer.xls]PUB SCHEMA</v>
      </c>
      <c r="B33" s="782"/>
      <c r="C33" s="782"/>
      <c r="D33" s="782"/>
      <c r="E33" s="782"/>
      <c r="F33" s="782"/>
      <c r="G33" s="782"/>
      <c r="H33" s="782"/>
      <c r="I33" s="782"/>
      <c r="J33" s="782"/>
      <c r="K33" s="782"/>
    </row>
  </sheetData>
  <sheetProtection/>
  <conditionalFormatting sqref="J9:J14">
    <cfRule type="expression" priority="1" dxfId="0" stopIfTrue="1">
      <formula>IF($G$8=J9,1,0)</formula>
    </cfRule>
  </conditionalFormatting>
  <printOptions gridLines="1" headings="1"/>
  <pageMargins left="0.33" right="0.27" top="0.78" bottom="0.56" header="0.4921259845" footer="0.23"/>
  <pageSetup horizontalDpi="600" verticalDpi="600" orientation="landscape" paperSize="9" scale="80" r:id="rId2"/>
  <headerFooter alignWithMargins="0">
    <oddFooter>&amp;L&amp;D   &amp;T&amp;C&amp;A&amp;R&amp;P / &amp;N</oddFooter>
  </headerFooter>
  <legacyDrawing r:id="rId1"/>
</worksheet>
</file>

<file path=xl/worksheets/sheet3.xml><?xml version="1.0" encoding="utf-8"?>
<worksheet xmlns="http://schemas.openxmlformats.org/spreadsheetml/2006/main" xmlns:r="http://schemas.openxmlformats.org/officeDocument/2006/relationships">
  <sheetPr codeName="Tabelle5">
    <tabColor indexed="12"/>
  </sheetPr>
  <dimension ref="A1:AH150"/>
  <sheetViews>
    <sheetView zoomScale="85" zoomScaleNormal="85" workbookViewId="0" topLeftCell="A1">
      <pane xSplit="2" ySplit="5" topLeftCell="C6" activePane="bottomRight" state="frozen"/>
      <selection pane="topLeft" activeCell="A2" sqref="A2"/>
      <selection pane="topRight" activeCell="A2" sqref="A2"/>
      <selection pane="bottomLeft" activeCell="A2" sqref="A2"/>
      <selection pane="bottomRight" activeCell="A2" sqref="A2"/>
    </sheetView>
  </sheetViews>
  <sheetFormatPr defaultColWidth="11.421875" defaultRowHeight="12.75"/>
  <cols>
    <col min="1" max="1" width="4.57421875" style="175" customWidth="1"/>
    <col min="2" max="2" width="58.140625" style="176" customWidth="1"/>
    <col min="3" max="4" width="12.421875" style="176" customWidth="1"/>
    <col min="5" max="5" width="8.140625" style="338" customWidth="1"/>
    <col min="6" max="7" width="12.421875" style="176" customWidth="1"/>
    <col min="8" max="8" width="8.140625" style="338" customWidth="1"/>
    <col min="9" max="10" width="12.421875" style="176" customWidth="1"/>
    <col min="11" max="11" width="8.140625" style="338" customWidth="1"/>
    <col min="12" max="12" width="21.421875" style="338" customWidth="1"/>
    <col min="13" max="13" width="1.1484375" style="176" customWidth="1"/>
    <col min="14" max="34" width="11.421875" style="643" customWidth="1"/>
    <col min="35" max="16384" width="11.421875" style="176" customWidth="1"/>
  </cols>
  <sheetData>
    <row r="1" spans="2:13" ht="3.75" customHeight="1">
      <c r="B1" s="175"/>
      <c r="C1" s="175"/>
      <c r="D1" s="175"/>
      <c r="E1" s="237"/>
      <c r="F1" s="175"/>
      <c r="G1" s="175"/>
      <c r="H1" s="237"/>
      <c r="I1" s="175"/>
      <c r="J1" s="175"/>
      <c r="K1" s="237"/>
      <c r="L1" s="237"/>
      <c r="M1" s="175"/>
    </row>
    <row r="2" spans="1:34" s="108" customFormat="1" ht="17.25" customHeight="1">
      <c r="A2" s="102">
        <v>1</v>
      </c>
      <c r="B2" s="103" t="s">
        <v>240</v>
      </c>
      <c r="C2" s="105" t="s">
        <v>241</v>
      </c>
      <c r="D2" s="105"/>
      <c r="E2" s="238"/>
      <c r="F2" s="105"/>
      <c r="G2" s="105"/>
      <c r="H2" s="238"/>
      <c r="I2" s="106"/>
      <c r="J2" s="106" t="s">
        <v>242</v>
      </c>
      <c r="K2" s="239">
        <f>jahr</f>
        <v>2007</v>
      </c>
      <c r="L2" s="239"/>
      <c r="M2" s="105"/>
      <c r="N2" s="644"/>
      <c r="O2" s="644"/>
      <c r="P2" s="644"/>
      <c r="Q2" s="644"/>
      <c r="R2" s="644"/>
      <c r="S2" s="644"/>
      <c r="T2" s="644"/>
      <c r="U2" s="644"/>
      <c r="V2" s="644"/>
      <c r="W2" s="644"/>
      <c r="X2" s="644"/>
      <c r="Y2" s="644"/>
      <c r="Z2" s="644"/>
      <c r="AA2" s="644"/>
      <c r="AB2" s="644"/>
      <c r="AC2" s="644"/>
      <c r="AD2" s="644"/>
      <c r="AE2" s="644"/>
      <c r="AF2" s="644"/>
      <c r="AG2" s="644"/>
      <c r="AH2" s="644"/>
    </row>
    <row r="3" spans="1:34" s="108" customFormat="1" ht="13.5" customHeight="1">
      <c r="A3" s="240"/>
      <c r="B3" s="241" t="s">
        <v>580</v>
      </c>
      <c r="C3" s="240" t="s">
        <v>566</v>
      </c>
      <c r="D3" s="240" t="s">
        <v>567</v>
      </c>
      <c r="E3" s="242" t="s">
        <v>574</v>
      </c>
      <c r="F3" s="240" t="s">
        <v>575</v>
      </c>
      <c r="G3" s="240" t="s">
        <v>573</v>
      </c>
      <c r="H3" s="242" t="s">
        <v>591</v>
      </c>
      <c r="I3" s="240" t="s">
        <v>592</v>
      </c>
      <c r="J3" s="240" t="s">
        <v>593</v>
      </c>
      <c r="K3" s="243" t="s">
        <v>594</v>
      </c>
      <c r="L3" s="243" t="s">
        <v>595</v>
      </c>
      <c r="M3" s="105"/>
      <c r="N3" s="644"/>
      <c r="O3" s="644"/>
      <c r="P3" s="644"/>
      <c r="Q3" s="644"/>
      <c r="R3" s="644"/>
      <c r="S3" s="644"/>
      <c r="T3" s="644"/>
      <c r="U3" s="644"/>
      <c r="V3" s="644"/>
      <c r="W3" s="644"/>
      <c r="X3" s="644"/>
      <c r="Y3" s="644"/>
      <c r="Z3" s="644"/>
      <c r="AA3" s="644"/>
      <c r="AB3" s="644"/>
      <c r="AC3" s="644"/>
      <c r="AD3" s="644"/>
      <c r="AE3" s="644"/>
      <c r="AF3" s="644"/>
      <c r="AG3" s="644"/>
      <c r="AH3" s="644"/>
    </row>
    <row r="4" spans="2:13" ht="12.75">
      <c r="B4" s="113" t="str">
        <f>Vr&amp;"  "</f>
        <v>Xxx Vie  </v>
      </c>
      <c r="C4" s="788" t="s">
        <v>243</v>
      </c>
      <c r="D4" s="788"/>
      <c r="E4" s="244" t="s">
        <v>779</v>
      </c>
      <c r="F4" s="789" t="s">
        <v>244</v>
      </c>
      <c r="G4" s="789"/>
      <c r="H4" s="245" t="s">
        <v>779</v>
      </c>
      <c r="I4" s="790" t="s">
        <v>245</v>
      </c>
      <c r="J4" s="790"/>
      <c r="K4" s="246" t="s">
        <v>779</v>
      </c>
      <c r="L4" s="306" t="s">
        <v>248</v>
      </c>
      <c r="M4" s="175"/>
    </row>
    <row r="5" spans="2:13" ht="12.75">
      <c r="B5" s="175"/>
      <c r="C5" s="248" t="s">
        <v>246</v>
      </c>
      <c r="D5" s="248" t="s">
        <v>247</v>
      </c>
      <c r="E5" s="249"/>
      <c r="F5" s="250" t="s">
        <v>246</v>
      </c>
      <c r="G5" s="250" t="s">
        <v>247</v>
      </c>
      <c r="H5" s="251"/>
      <c r="I5" s="252" t="s">
        <v>246</v>
      </c>
      <c r="J5" s="252" t="s">
        <v>247</v>
      </c>
      <c r="K5" s="253"/>
      <c r="L5" s="688" t="s">
        <v>249</v>
      </c>
      <c r="M5" s="175"/>
    </row>
    <row r="6" spans="1:13" ht="19.5" customHeight="1">
      <c r="A6" s="339">
        <v>1</v>
      </c>
      <c r="B6" s="340" t="s">
        <v>596</v>
      </c>
      <c r="C6" s="261">
        <f aca="true" t="shared" si="0" ref="C6:D10">F6+I6</f>
        <v>0</v>
      </c>
      <c r="D6" s="261">
        <f t="shared" si="0"/>
        <v>0</v>
      </c>
      <c r="E6" s="292" t="str">
        <f>IF(D6&lt;&gt;0,(C6-D6)*100/D6," ")</f>
        <v> </v>
      </c>
      <c r="F6" s="612"/>
      <c r="G6" s="612"/>
      <c r="H6" s="262" t="str">
        <f>IF(G6&lt;&gt;0,(F6-G6)*100/G6," ")</f>
        <v> </v>
      </c>
      <c r="I6" s="613"/>
      <c r="J6" s="613"/>
      <c r="K6" s="263" t="str">
        <f>IF(J6&lt;&gt;0,(I6-J6)*100/J6," ")</f>
        <v> </v>
      </c>
      <c r="L6" s="175"/>
      <c r="M6" s="175"/>
    </row>
    <row r="7" spans="1:13" ht="12.75">
      <c r="A7" s="339">
        <v>2</v>
      </c>
      <c r="B7" s="341" t="s">
        <v>35</v>
      </c>
      <c r="C7" s="261">
        <f t="shared" si="0"/>
        <v>0</v>
      </c>
      <c r="D7" s="261">
        <f t="shared" si="0"/>
        <v>0</v>
      </c>
      <c r="E7" s="292" t="str">
        <f>IF(D7&lt;&gt;0,(C7-D7)*100/D7," ")</f>
        <v> </v>
      </c>
      <c r="F7" s="612"/>
      <c r="G7" s="612"/>
      <c r="H7" s="262" t="str">
        <f>IF(G7&lt;&gt;0,(F7-G7)*100/G7," ")</f>
        <v> </v>
      </c>
      <c r="I7" s="613"/>
      <c r="J7" s="613"/>
      <c r="K7" s="263" t="str">
        <f>IF(J7&lt;&gt;0,(I7-J7)*100/J7," ")</f>
        <v> </v>
      </c>
      <c r="L7" s="175"/>
      <c r="M7" s="175"/>
    </row>
    <row r="8" spans="1:13" ht="12.75">
      <c r="A8" s="339">
        <v>3</v>
      </c>
      <c r="B8" s="342" t="s">
        <v>597</v>
      </c>
      <c r="C8" s="261">
        <f t="shared" si="0"/>
        <v>0</v>
      </c>
      <c r="D8" s="261">
        <f t="shared" si="0"/>
        <v>0</v>
      </c>
      <c r="E8" s="292" t="str">
        <f>IF(D8&lt;&gt;0,(C8-D8)*100/D8," ")</f>
        <v> </v>
      </c>
      <c r="F8" s="343">
        <f>F$6-F$7</f>
        <v>0</v>
      </c>
      <c r="G8" s="354">
        <f>G$6-G$7</f>
        <v>0</v>
      </c>
      <c r="H8" s="262" t="str">
        <f>IF(G8&lt;&gt;0,(F8-G8)*100/G8," ")</f>
        <v> </v>
      </c>
      <c r="I8" s="344">
        <f>I$6-I$7</f>
        <v>0</v>
      </c>
      <c r="J8" s="344">
        <f>J$6-J$7</f>
        <v>0</v>
      </c>
      <c r="K8" s="263" t="str">
        <f>IF(J8&lt;&gt;0,(I8-J8)*100/J8," ")</f>
        <v> </v>
      </c>
      <c r="L8" s="626"/>
      <c r="M8" s="175"/>
    </row>
    <row r="9" spans="1:13" ht="12.75">
      <c r="A9" s="339">
        <v>4</v>
      </c>
      <c r="B9" s="341" t="s">
        <v>36</v>
      </c>
      <c r="C9" s="261">
        <f t="shared" si="0"/>
        <v>0</v>
      </c>
      <c r="D9" s="261">
        <f t="shared" si="0"/>
        <v>0</v>
      </c>
      <c r="E9" s="292" t="str">
        <f>IF(D9&lt;&gt;0,(C9-D9)*100/D9," ")</f>
        <v> </v>
      </c>
      <c r="F9" s="625"/>
      <c r="G9" s="625"/>
      <c r="H9" s="262" t="str">
        <f>IF(G9&lt;&gt;0,(F9-G9)*100/G9," ")</f>
        <v> </v>
      </c>
      <c r="I9" s="613"/>
      <c r="J9" s="613"/>
      <c r="K9" s="263" t="str">
        <f>IF(J9&lt;&gt;0,(I9-J9)*100/J9," ")</f>
        <v> </v>
      </c>
      <c r="L9" s="175"/>
      <c r="M9" s="175"/>
    </row>
    <row r="10" spans="1:13" ht="12.75">
      <c r="A10" s="339">
        <v>5</v>
      </c>
      <c r="B10" s="345" t="s">
        <v>598</v>
      </c>
      <c r="C10" s="346">
        <f t="shared" si="0"/>
        <v>0</v>
      </c>
      <c r="D10" s="346">
        <f t="shared" si="0"/>
        <v>0</v>
      </c>
      <c r="E10" s="347" t="str">
        <f>IF(D10&lt;&gt;0,(C10-D10)*100/D10," ")</f>
        <v> </v>
      </c>
      <c r="F10" s="348">
        <f>F$8-F$9</f>
        <v>0</v>
      </c>
      <c r="G10" s="348">
        <f>G$8-G$9</f>
        <v>0</v>
      </c>
      <c r="H10" s="348" t="str">
        <f>IF(G10&lt;&gt;0,(F10-G10)*100/G10," ")</f>
        <v> </v>
      </c>
      <c r="I10" s="349">
        <f>I$8-I$9</f>
        <v>0</v>
      </c>
      <c r="J10" s="349">
        <f>J$8-J$9</f>
        <v>0</v>
      </c>
      <c r="K10" s="350" t="str">
        <f>IF(J10&lt;&gt;0,(I10-J10)*100/J10," ")</f>
        <v> </v>
      </c>
      <c r="L10" s="237"/>
      <c r="M10" s="175"/>
    </row>
    <row r="11" spans="1:13" ht="9" customHeight="1">
      <c r="A11" s="339"/>
      <c r="B11" s="297"/>
      <c r="C11" s="297"/>
      <c r="D11" s="297"/>
      <c r="E11" s="297"/>
      <c r="F11" s="297"/>
      <c r="G11" s="297"/>
      <c r="H11" s="297"/>
      <c r="I11" s="297"/>
      <c r="J11" s="297"/>
      <c r="K11" s="297"/>
      <c r="L11" s="175"/>
      <c r="M11" s="175"/>
    </row>
    <row r="12" spans="1:13" ht="12.75">
      <c r="A12" s="339">
        <v>6</v>
      </c>
      <c r="B12" s="351" t="s">
        <v>37</v>
      </c>
      <c r="C12" s="352">
        <f>F12+I12</f>
        <v>0</v>
      </c>
      <c r="D12" s="352">
        <f>G12+J12</f>
        <v>0</v>
      </c>
      <c r="E12" s="353" t="str">
        <f>IF(D12&lt;&gt;0,(C12-D12)*100/D12," ")</f>
        <v> </v>
      </c>
      <c r="F12" s="627"/>
      <c r="G12" s="627"/>
      <c r="H12" s="257" t="str">
        <f>IF(G12&lt;&gt;0,(F12-G12)*100/G12," ")</f>
        <v> </v>
      </c>
      <c r="I12" s="497"/>
      <c r="J12" s="497"/>
      <c r="K12" s="258" t="str">
        <f>IF(J12&lt;&gt;0,(I12-J12)*100/J12," ")</f>
        <v> </v>
      </c>
      <c r="L12" s="175"/>
      <c r="M12" s="175"/>
    </row>
    <row r="13" spans="1:13" ht="9" customHeight="1">
      <c r="A13" s="339"/>
      <c r="B13" s="247"/>
      <c r="C13" s="247"/>
      <c r="D13" s="247"/>
      <c r="E13" s="247"/>
      <c r="F13" s="247"/>
      <c r="G13" s="247"/>
      <c r="H13" s="247"/>
      <c r="I13" s="247"/>
      <c r="J13" s="247"/>
      <c r="K13" s="247"/>
      <c r="L13" s="175"/>
      <c r="M13" s="175"/>
    </row>
    <row r="14" spans="1:13" ht="12.75">
      <c r="A14" s="339">
        <v>7</v>
      </c>
      <c r="B14" s="267" t="s">
        <v>38</v>
      </c>
      <c r="C14" s="261">
        <f aca="true" t="shared" si="1" ref="C14:D20">F14+I14</f>
        <v>0</v>
      </c>
      <c r="D14" s="261">
        <f t="shared" si="1"/>
        <v>0</v>
      </c>
      <c r="E14" s="292" t="str">
        <f aca="true" t="shared" si="2" ref="E14:E20">IF(D14&lt;&gt;0,(C14-D14)*100/D14," ")</f>
        <v> </v>
      </c>
      <c r="F14" s="625"/>
      <c r="G14" s="625"/>
      <c r="H14" s="262" t="str">
        <f aca="true" t="shared" si="3" ref="H14:H20">IF(G14&lt;&gt;0,(F14-G14)*100/G14," ")</f>
        <v> </v>
      </c>
      <c r="I14" s="613"/>
      <c r="J14" s="613"/>
      <c r="K14" s="263" t="str">
        <f aca="true" t="shared" si="4" ref="K14:K20">IF(J14&lt;&gt;0,(I14-J14)*100/J14," ")</f>
        <v> </v>
      </c>
      <c r="L14" s="175"/>
      <c r="M14" s="175"/>
    </row>
    <row r="15" spans="1:13" ht="12.75">
      <c r="A15" s="339">
        <v>8</v>
      </c>
      <c r="B15" s="267" t="s">
        <v>39</v>
      </c>
      <c r="C15" s="261">
        <f t="shared" si="1"/>
        <v>0</v>
      </c>
      <c r="D15" s="261">
        <f t="shared" si="1"/>
        <v>0</v>
      </c>
      <c r="E15" s="292" t="str">
        <f t="shared" si="2"/>
        <v> </v>
      </c>
      <c r="F15" s="625"/>
      <c r="G15" s="625"/>
      <c r="H15" s="265" t="str">
        <f t="shared" si="3"/>
        <v> </v>
      </c>
      <c r="I15" s="613"/>
      <c r="J15" s="613"/>
      <c r="K15" s="266" t="str">
        <f t="shared" si="4"/>
        <v> </v>
      </c>
      <c r="L15" s="175"/>
      <c r="M15" s="175"/>
    </row>
    <row r="16" spans="1:13" ht="12.75">
      <c r="A16" s="339">
        <v>9</v>
      </c>
      <c r="B16" s="267" t="s">
        <v>40</v>
      </c>
      <c r="C16" s="261">
        <f t="shared" si="1"/>
        <v>0</v>
      </c>
      <c r="D16" s="261">
        <f t="shared" si="1"/>
        <v>0</v>
      </c>
      <c r="E16" s="292" t="str">
        <f t="shared" si="2"/>
        <v> </v>
      </c>
      <c r="F16" s="625"/>
      <c r="G16" s="625"/>
      <c r="H16" s="265" t="str">
        <f t="shared" si="3"/>
        <v> </v>
      </c>
      <c r="I16" s="613"/>
      <c r="J16" s="613"/>
      <c r="K16" s="266" t="str">
        <f t="shared" si="4"/>
        <v> </v>
      </c>
      <c r="L16" s="175"/>
      <c r="M16" s="175"/>
    </row>
    <row r="17" spans="1:13" ht="12.75">
      <c r="A17" s="339">
        <v>10</v>
      </c>
      <c r="B17" s="342" t="s">
        <v>494</v>
      </c>
      <c r="C17" s="261">
        <f t="shared" si="1"/>
        <v>0</v>
      </c>
      <c r="D17" s="261">
        <f t="shared" si="1"/>
        <v>0</v>
      </c>
      <c r="E17" s="292" t="str">
        <f t="shared" si="2"/>
        <v> </v>
      </c>
      <c r="F17" s="354">
        <f>F$14+F$15+F$16</f>
        <v>0</v>
      </c>
      <c r="G17" s="354">
        <f>G$14+G$15+G$16</f>
        <v>0</v>
      </c>
      <c r="H17" s="262" t="str">
        <f t="shared" si="3"/>
        <v> </v>
      </c>
      <c r="I17" s="344">
        <f>I$14+I$15+I$16</f>
        <v>0</v>
      </c>
      <c r="J17" s="344">
        <f>J$14+J$15+J$16</f>
        <v>0</v>
      </c>
      <c r="K17" s="263" t="str">
        <f t="shared" si="4"/>
        <v> </v>
      </c>
      <c r="L17" s="626"/>
      <c r="M17" s="175"/>
    </row>
    <row r="18" spans="1:13" ht="12.75">
      <c r="A18" s="339">
        <v>11</v>
      </c>
      <c r="B18" s="267" t="s">
        <v>753</v>
      </c>
      <c r="C18" s="261">
        <f t="shared" si="1"/>
        <v>0</v>
      </c>
      <c r="D18" s="261">
        <f t="shared" si="1"/>
        <v>0</v>
      </c>
      <c r="E18" s="292" t="str">
        <f t="shared" si="2"/>
        <v> </v>
      </c>
      <c r="F18" s="625"/>
      <c r="G18" s="625"/>
      <c r="H18" s="265" t="str">
        <f t="shared" si="3"/>
        <v> </v>
      </c>
      <c r="I18" s="613"/>
      <c r="J18" s="613"/>
      <c r="K18" s="266" t="str">
        <f t="shared" si="4"/>
        <v> </v>
      </c>
      <c r="L18" s="175"/>
      <c r="M18" s="175"/>
    </row>
    <row r="19" spans="1:13" ht="12.75">
      <c r="A19" s="339">
        <v>12</v>
      </c>
      <c r="B19" s="341" t="s">
        <v>41</v>
      </c>
      <c r="C19" s="261">
        <f t="shared" si="1"/>
        <v>0</v>
      </c>
      <c r="D19" s="261">
        <f t="shared" si="1"/>
        <v>0</v>
      </c>
      <c r="E19" s="292" t="str">
        <f t="shared" si="2"/>
        <v> </v>
      </c>
      <c r="F19" s="625"/>
      <c r="G19" s="625"/>
      <c r="H19" s="265" t="str">
        <f t="shared" si="3"/>
        <v> </v>
      </c>
      <c r="I19" s="613"/>
      <c r="J19" s="613"/>
      <c r="K19" s="266" t="str">
        <f t="shared" si="4"/>
        <v> </v>
      </c>
      <c r="L19" s="175"/>
      <c r="M19" s="175"/>
    </row>
    <row r="20" spans="1:13" ht="38.25">
      <c r="A20" s="112">
        <v>13</v>
      </c>
      <c r="B20" s="355" t="s">
        <v>42</v>
      </c>
      <c r="C20" s="346">
        <f t="shared" si="1"/>
        <v>0</v>
      </c>
      <c r="D20" s="346">
        <f t="shared" si="1"/>
        <v>0</v>
      </c>
      <c r="E20" s="347" t="str">
        <f t="shared" si="2"/>
        <v> </v>
      </c>
      <c r="F20" s="348">
        <f>F$17+F$18-F$19</f>
        <v>0</v>
      </c>
      <c r="G20" s="348">
        <f>G$17+G$18-G$19</f>
        <v>0</v>
      </c>
      <c r="H20" s="356" t="str">
        <f t="shared" si="3"/>
        <v> </v>
      </c>
      <c r="I20" s="349">
        <f>I$17+I$18-I$19</f>
        <v>0</v>
      </c>
      <c r="J20" s="349">
        <f>J$17+J$18-J$19</f>
        <v>0</v>
      </c>
      <c r="K20" s="350" t="str">
        <f t="shared" si="4"/>
        <v> </v>
      </c>
      <c r="L20" s="175"/>
      <c r="M20" s="175"/>
    </row>
    <row r="21" spans="1:13" ht="9" customHeight="1">
      <c r="A21" s="339"/>
      <c r="B21" s="247"/>
      <c r="C21" s="247"/>
      <c r="D21" s="247"/>
      <c r="E21" s="247"/>
      <c r="F21" s="247"/>
      <c r="G21" s="247"/>
      <c r="H21" s="247"/>
      <c r="I21" s="247"/>
      <c r="J21" s="247"/>
      <c r="K21" s="247"/>
      <c r="L21" s="175"/>
      <c r="M21" s="175"/>
    </row>
    <row r="22" spans="1:13" ht="14.25">
      <c r="A22" s="339">
        <v>14</v>
      </c>
      <c r="B22" s="267" t="s">
        <v>85</v>
      </c>
      <c r="C22" s="261">
        <f aca="true" t="shared" si="5" ref="C22:D27">F22+I22</f>
        <v>0</v>
      </c>
      <c r="D22" s="261">
        <f t="shared" si="5"/>
        <v>0</v>
      </c>
      <c r="E22" s="292" t="str">
        <f aca="true" t="shared" si="6" ref="E22:E27">IF(D22&lt;&gt;0,(C22-D22)*100/D22," ")</f>
        <v> </v>
      </c>
      <c r="F22" s="625"/>
      <c r="G22" s="625"/>
      <c r="H22" s="262" t="str">
        <f aca="true" t="shared" si="7" ref="H22:H27">IF(G22&lt;&gt;0,(F22-G22)*100/G22," ")</f>
        <v> </v>
      </c>
      <c r="I22" s="613"/>
      <c r="J22" s="613"/>
      <c r="K22" s="263" t="str">
        <f aca="true" t="shared" si="8" ref="K22:K27">IF(J22&lt;&gt;0,(I22-J22)*100/J22," ")</f>
        <v> </v>
      </c>
      <c r="L22" s="175"/>
      <c r="M22" s="175"/>
    </row>
    <row r="23" spans="1:13" ht="12.75">
      <c r="A23" s="339">
        <v>15</v>
      </c>
      <c r="B23" s="341" t="s">
        <v>43</v>
      </c>
      <c r="C23" s="261">
        <f t="shared" si="5"/>
        <v>0</v>
      </c>
      <c r="D23" s="261">
        <f t="shared" si="5"/>
        <v>0</v>
      </c>
      <c r="E23" s="294" t="str">
        <f t="shared" si="6"/>
        <v> </v>
      </c>
      <c r="F23" s="625"/>
      <c r="G23" s="625"/>
      <c r="H23" s="265" t="str">
        <f t="shared" si="7"/>
        <v> </v>
      </c>
      <c r="I23" s="613"/>
      <c r="J23" s="613"/>
      <c r="K23" s="266" t="str">
        <f t="shared" si="8"/>
        <v> </v>
      </c>
      <c r="L23" s="175"/>
      <c r="M23" s="175"/>
    </row>
    <row r="24" spans="1:13" ht="25.5">
      <c r="A24" s="112">
        <v>16</v>
      </c>
      <c r="B24" s="357" t="s">
        <v>44</v>
      </c>
      <c r="C24" s="261">
        <f t="shared" si="5"/>
        <v>0</v>
      </c>
      <c r="D24" s="261">
        <f t="shared" si="5"/>
        <v>0</v>
      </c>
      <c r="E24" s="292" t="str">
        <f t="shared" si="6"/>
        <v> </v>
      </c>
      <c r="F24" s="625"/>
      <c r="G24" s="625"/>
      <c r="H24" s="262" t="str">
        <f t="shared" si="7"/>
        <v> </v>
      </c>
      <c r="I24" s="613"/>
      <c r="J24" s="613"/>
      <c r="K24" s="263" t="str">
        <f t="shared" si="8"/>
        <v> </v>
      </c>
      <c r="L24" s="175"/>
      <c r="M24" s="175"/>
    </row>
    <row r="25" spans="1:13" ht="12.75">
      <c r="A25" s="339">
        <v>17</v>
      </c>
      <c r="B25" s="341" t="s">
        <v>660</v>
      </c>
      <c r="C25" s="261">
        <f t="shared" si="5"/>
        <v>0</v>
      </c>
      <c r="D25" s="261">
        <f t="shared" si="5"/>
        <v>0</v>
      </c>
      <c r="E25" s="294" t="str">
        <f t="shared" si="6"/>
        <v> </v>
      </c>
      <c r="F25" s="625"/>
      <c r="G25" s="625"/>
      <c r="H25" s="265" t="str">
        <f t="shared" si="7"/>
        <v> </v>
      </c>
      <c r="I25" s="613"/>
      <c r="J25" s="613"/>
      <c r="K25" s="266" t="str">
        <f t="shared" si="8"/>
        <v> </v>
      </c>
      <c r="L25" s="175"/>
      <c r="M25" s="175"/>
    </row>
    <row r="26" spans="1:13" ht="12.75">
      <c r="A26" s="339">
        <v>18</v>
      </c>
      <c r="B26" s="341" t="s">
        <v>661</v>
      </c>
      <c r="C26" s="261">
        <f t="shared" si="5"/>
        <v>0</v>
      </c>
      <c r="D26" s="261">
        <f t="shared" si="5"/>
        <v>0</v>
      </c>
      <c r="E26" s="294" t="str">
        <f t="shared" si="6"/>
        <v> </v>
      </c>
      <c r="F26" s="625"/>
      <c r="G26" s="625"/>
      <c r="H26" s="265" t="str">
        <f t="shared" si="7"/>
        <v> </v>
      </c>
      <c r="I26" s="613"/>
      <c r="J26" s="613"/>
      <c r="K26" s="266" t="str">
        <f t="shared" si="8"/>
        <v> </v>
      </c>
      <c r="L26" s="175"/>
      <c r="M26" s="175"/>
    </row>
    <row r="27" spans="1:13" ht="25.5">
      <c r="A27" s="112">
        <v>19</v>
      </c>
      <c r="B27" s="355" t="s">
        <v>662</v>
      </c>
      <c r="C27" s="346">
        <f t="shared" si="5"/>
        <v>0</v>
      </c>
      <c r="D27" s="346">
        <f t="shared" si="5"/>
        <v>0</v>
      </c>
      <c r="E27" s="347" t="str">
        <f t="shared" si="6"/>
        <v> </v>
      </c>
      <c r="F27" s="348">
        <f>F$22+F$23+F$25+F$24-F$26</f>
        <v>0</v>
      </c>
      <c r="G27" s="348">
        <f>G$22+G$23+G$25+G$24-G$26</f>
        <v>0</v>
      </c>
      <c r="H27" s="356" t="str">
        <f t="shared" si="7"/>
        <v> </v>
      </c>
      <c r="I27" s="349">
        <f>I$22+I$23+I$25+I$24-I$26</f>
        <v>0</v>
      </c>
      <c r="J27" s="349">
        <f>J$22+J$23+J$25+J$24-J$26</f>
        <v>0</v>
      </c>
      <c r="K27" s="350" t="str">
        <f t="shared" si="8"/>
        <v> </v>
      </c>
      <c r="L27" s="175"/>
      <c r="M27" s="175"/>
    </row>
    <row r="28" spans="1:13" ht="9" customHeight="1">
      <c r="A28" s="339"/>
      <c r="B28" s="247"/>
      <c r="C28" s="247"/>
      <c r="D28" s="247"/>
      <c r="E28" s="247"/>
      <c r="F28" s="247"/>
      <c r="G28" s="247"/>
      <c r="H28" s="247"/>
      <c r="I28" s="247"/>
      <c r="J28" s="247"/>
      <c r="K28" s="247"/>
      <c r="L28" s="175"/>
      <c r="M28" s="175"/>
    </row>
    <row r="29" spans="1:13" ht="12.75">
      <c r="A29" s="339">
        <v>20</v>
      </c>
      <c r="B29" s="267" t="s">
        <v>45</v>
      </c>
      <c r="C29" s="261">
        <f>F29+I29</f>
        <v>0</v>
      </c>
      <c r="D29" s="261">
        <f>G29+J29</f>
        <v>0</v>
      </c>
      <c r="E29" s="292" t="str">
        <f>IF(D29&lt;&gt;0,(C29-D29)*100/D29," ")</f>
        <v> </v>
      </c>
      <c r="F29" s="612"/>
      <c r="G29" s="612"/>
      <c r="H29" s="262" t="str">
        <f>IF(G29&lt;&gt;0,(F29-G29)*100/G29," ")</f>
        <v> </v>
      </c>
      <c r="I29" s="613"/>
      <c r="J29" s="613"/>
      <c r="K29" s="263" t="str">
        <f>IF(J29&lt;&gt;0,(I29-J29)*100/J29," ")</f>
        <v> </v>
      </c>
      <c r="L29" s="175"/>
      <c r="M29" s="175"/>
    </row>
    <row r="30" spans="1:13" ht="12.75">
      <c r="A30" s="339">
        <v>21</v>
      </c>
      <c r="B30" s="341" t="s">
        <v>601</v>
      </c>
      <c r="C30" s="261">
        <f>I30</f>
        <v>0</v>
      </c>
      <c r="D30" s="261">
        <f>J30</f>
        <v>0</v>
      </c>
      <c r="E30" s="294" t="str">
        <f>IF(D30&lt;&gt;0,(C30-D30)*100/D30," ")</f>
        <v> </v>
      </c>
      <c r="F30" s="6"/>
      <c r="G30" s="6"/>
      <c r="H30" s="265" t="str">
        <f>IF(G30&lt;&gt;0,(F30-G30)*100/G30," ")</f>
        <v> </v>
      </c>
      <c r="I30" s="613"/>
      <c r="J30" s="613"/>
      <c r="K30" s="266" t="str">
        <f>IF(J30&lt;&gt;0,(I30-J30)*100/J30," ")</f>
        <v> </v>
      </c>
      <c r="L30" s="175"/>
      <c r="M30" s="175"/>
    </row>
    <row r="31" spans="1:13" ht="12.75">
      <c r="A31" s="339">
        <v>22</v>
      </c>
      <c r="B31" s="341" t="s">
        <v>599</v>
      </c>
      <c r="C31" s="261">
        <f aca="true" t="shared" si="9" ref="C31:D33">F31+I31</f>
        <v>0</v>
      </c>
      <c r="D31" s="261">
        <f t="shared" si="9"/>
        <v>0</v>
      </c>
      <c r="E31" s="294" t="str">
        <f>IF(D31&lt;&gt;0,(C31-D31)*100/D31," ")</f>
        <v> </v>
      </c>
      <c r="F31" s="612"/>
      <c r="G31" s="612"/>
      <c r="H31" s="265" t="str">
        <f>IF(G31&lt;&gt;0,(F31-G31)*100/G31," ")</f>
        <v> </v>
      </c>
      <c r="I31" s="613"/>
      <c r="J31" s="613"/>
      <c r="K31" s="266" t="str">
        <f>IF(J31&lt;&gt;0,(I31-J31)*100/J31," ")</f>
        <v> </v>
      </c>
      <c r="L31" s="175"/>
      <c r="M31" s="175"/>
    </row>
    <row r="32" spans="1:13" ht="12.75">
      <c r="A32" s="597" t="s">
        <v>568</v>
      </c>
      <c r="B32" s="341" t="s">
        <v>600</v>
      </c>
      <c r="C32" s="261">
        <f t="shared" si="9"/>
        <v>0</v>
      </c>
      <c r="D32" s="261"/>
      <c r="E32" s="294" t="str">
        <f>IF(D32&lt;&gt;0,(C32-D32)*100/D32," ")</f>
        <v> </v>
      </c>
      <c r="F32" s="689"/>
      <c r="G32" s="612"/>
      <c r="H32" s="603"/>
      <c r="I32" s="615"/>
      <c r="J32" s="613"/>
      <c r="K32" s="604"/>
      <c r="L32" s="175"/>
      <c r="M32" s="175"/>
    </row>
    <row r="33" spans="1:13" ht="25.5">
      <c r="A33" s="112">
        <v>23</v>
      </c>
      <c r="B33" s="355" t="s">
        <v>46</v>
      </c>
      <c r="C33" s="346">
        <f t="shared" si="9"/>
        <v>0</v>
      </c>
      <c r="D33" s="346">
        <f t="shared" si="9"/>
        <v>0</v>
      </c>
      <c r="E33" s="347" t="str">
        <f>IF(D33&lt;&gt;0,(C33-D33)*100/D33," ")</f>
        <v> </v>
      </c>
      <c r="F33" s="358">
        <f>F$29+F$31-F$32</f>
        <v>0</v>
      </c>
      <c r="G33" s="358">
        <f>G$29+G$31-G$32</f>
        <v>0</v>
      </c>
      <c r="H33" s="356" t="str">
        <f>IF(G33&lt;&gt;0,(F33-G33)*100/G33," ")</f>
        <v> </v>
      </c>
      <c r="I33" s="349">
        <f>I$29-I$30+I$31-I$32</f>
        <v>0</v>
      </c>
      <c r="J33" s="349">
        <f>J$29-J$30+J$31-J$32</f>
        <v>0</v>
      </c>
      <c r="K33" s="350" t="str">
        <f>IF(J33&lt;&gt;0,(I33-J33)*100/J33," ")</f>
        <v> </v>
      </c>
      <c r="L33" s="175"/>
      <c r="M33" s="175"/>
    </row>
    <row r="34" spans="1:13" ht="9" customHeight="1">
      <c r="A34" s="339"/>
      <c r="B34" s="297"/>
      <c r="C34" s="297"/>
      <c r="D34" s="297"/>
      <c r="E34" s="297"/>
      <c r="F34" s="297"/>
      <c r="G34" s="297"/>
      <c r="H34" s="297"/>
      <c r="I34" s="297"/>
      <c r="J34" s="297"/>
      <c r="K34" s="297"/>
      <c r="L34" s="175"/>
      <c r="M34" s="175"/>
    </row>
    <row r="35" spans="1:13" ht="12.75">
      <c r="A35" s="339">
        <v>24</v>
      </c>
      <c r="B35" s="351" t="s">
        <v>663</v>
      </c>
      <c r="C35" s="352">
        <f>F35+I35</f>
        <v>0</v>
      </c>
      <c r="D35" s="352">
        <f>G35+J35</f>
        <v>0</v>
      </c>
      <c r="E35" s="353" t="str">
        <f aca="true" t="shared" si="10" ref="E35:E42">IF(D35&lt;&gt;0,(C35-D35)*100/D35," ")</f>
        <v> </v>
      </c>
      <c r="F35" s="627"/>
      <c r="G35" s="627"/>
      <c r="H35" s="257" t="str">
        <f aca="true" t="shared" si="11" ref="H35:H42">IF(G35&lt;&gt;0,(F35-G35)*100/G35," ")</f>
        <v> </v>
      </c>
      <c r="I35" s="497"/>
      <c r="J35" s="497"/>
      <c r="K35" s="258" t="str">
        <f aca="true" t="shared" si="12" ref="K35:K42">IF(J35&lt;&gt;0,(I35-J35)*100/J35," ")</f>
        <v> </v>
      </c>
      <c r="L35" s="175"/>
      <c r="M35" s="175"/>
    </row>
    <row r="36" spans="1:13" ht="9" customHeight="1">
      <c r="A36" s="339"/>
      <c r="B36" s="247"/>
      <c r="C36" s="247"/>
      <c r="D36" s="247"/>
      <c r="E36" s="247" t="str">
        <f t="shared" si="10"/>
        <v> </v>
      </c>
      <c r="F36" s="247"/>
      <c r="G36" s="247"/>
      <c r="H36" s="247" t="str">
        <f t="shared" si="11"/>
        <v> </v>
      </c>
      <c r="I36" s="297"/>
      <c r="J36" s="297"/>
      <c r="K36" s="247" t="str">
        <f t="shared" si="12"/>
        <v> </v>
      </c>
      <c r="L36" s="175"/>
      <c r="M36" s="175"/>
    </row>
    <row r="37" spans="1:13" ht="14.25">
      <c r="A37" s="339">
        <v>25</v>
      </c>
      <c r="B37" s="359" t="s">
        <v>86</v>
      </c>
      <c r="C37" s="261">
        <f>F37</f>
        <v>0</v>
      </c>
      <c r="D37" s="261">
        <f>G37</f>
        <v>0</v>
      </c>
      <c r="E37" s="292" t="str">
        <f t="shared" si="10"/>
        <v> </v>
      </c>
      <c r="F37" s="625"/>
      <c r="G37" s="625"/>
      <c r="H37" s="262" t="str">
        <f t="shared" si="11"/>
        <v> </v>
      </c>
      <c r="I37" s="156"/>
      <c r="J37" s="156"/>
      <c r="K37" s="263" t="str">
        <f t="shared" si="12"/>
        <v> </v>
      </c>
      <c r="L37" s="626"/>
      <c r="M37" s="175"/>
    </row>
    <row r="38" spans="1:13" ht="14.25">
      <c r="A38" s="339">
        <v>26</v>
      </c>
      <c r="B38" s="359" t="s">
        <v>87</v>
      </c>
      <c r="C38" s="261">
        <f aca="true" t="shared" si="13" ref="C38:D42">F38+I38</f>
        <v>0</v>
      </c>
      <c r="D38" s="261">
        <f t="shared" si="13"/>
        <v>0</v>
      </c>
      <c r="E38" s="292" t="str">
        <f t="shared" si="10"/>
        <v> </v>
      </c>
      <c r="F38" s="625"/>
      <c r="G38" s="625"/>
      <c r="H38" s="262" t="str">
        <f t="shared" si="11"/>
        <v> </v>
      </c>
      <c r="I38" s="613"/>
      <c r="J38" s="613"/>
      <c r="K38" s="263" t="str">
        <f t="shared" si="12"/>
        <v> </v>
      </c>
      <c r="L38" s="175"/>
      <c r="M38" s="175"/>
    </row>
    <row r="39" spans="1:13" ht="14.25">
      <c r="A39" s="112">
        <v>27</v>
      </c>
      <c r="B39" s="360" t="s">
        <v>88</v>
      </c>
      <c r="C39" s="261">
        <f t="shared" si="13"/>
        <v>0</v>
      </c>
      <c r="D39" s="261">
        <f t="shared" si="13"/>
        <v>0</v>
      </c>
      <c r="E39" s="294" t="str">
        <f t="shared" si="10"/>
        <v> </v>
      </c>
      <c r="F39" s="354">
        <f>F$40+F$41</f>
        <v>0</v>
      </c>
      <c r="G39" s="354">
        <f>G$40+IF(jahr=2006,0,G$41)</f>
        <v>0</v>
      </c>
      <c r="H39" s="262" t="str">
        <f t="shared" si="11"/>
        <v> </v>
      </c>
      <c r="I39" s="344">
        <f>I$40</f>
        <v>0</v>
      </c>
      <c r="J39" s="344">
        <f>J$40</f>
        <v>0</v>
      </c>
      <c r="K39" s="266" t="str">
        <f t="shared" si="12"/>
        <v> </v>
      </c>
      <c r="L39" s="175"/>
      <c r="M39" s="175"/>
    </row>
    <row r="40" spans="1:13" ht="12.75">
      <c r="A40" s="112">
        <v>28</v>
      </c>
      <c r="B40" s="360" t="s">
        <v>495</v>
      </c>
      <c r="C40" s="261">
        <f t="shared" si="13"/>
        <v>0</v>
      </c>
      <c r="D40" s="261">
        <f t="shared" si="13"/>
        <v>0</v>
      </c>
      <c r="E40" s="294" t="str">
        <f t="shared" si="10"/>
        <v> </v>
      </c>
      <c r="F40" s="625"/>
      <c r="G40" s="625"/>
      <c r="H40" s="262" t="str">
        <f t="shared" si="11"/>
        <v> </v>
      </c>
      <c r="I40" s="613"/>
      <c r="J40" s="613"/>
      <c r="K40" s="263" t="str">
        <f t="shared" si="12"/>
        <v> </v>
      </c>
      <c r="L40" s="626"/>
      <c r="M40" s="175"/>
    </row>
    <row r="41" spans="1:13" ht="28.5">
      <c r="A41" s="112">
        <v>29</v>
      </c>
      <c r="B41" s="360" t="s">
        <v>89</v>
      </c>
      <c r="C41" s="261">
        <f>F41</f>
        <v>0</v>
      </c>
      <c r="D41" s="261">
        <f>G41</f>
        <v>0</v>
      </c>
      <c r="E41" s="294" t="str">
        <f t="shared" si="10"/>
        <v> </v>
      </c>
      <c r="F41" s="625"/>
      <c r="G41" s="625"/>
      <c r="H41" s="265" t="str">
        <f t="shared" si="11"/>
        <v> </v>
      </c>
      <c r="I41" s="156"/>
      <c r="J41" s="156"/>
      <c r="K41" s="266" t="str">
        <f t="shared" si="12"/>
        <v> </v>
      </c>
      <c r="L41" s="602" t="s">
        <v>713</v>
      </c>
      <c r="M41" s="175"/>
    </row>
    <row r="42" spans="1:13" ht="38.25">
      <c r="A42" s="112">
        <v>30</v>
      </c>
      <c r="B42" s="361" t="s">
        <v>47</v>
      </c>
      <c r="C42" s="346">
        <f t="shared" si="13"/>
        <v>0</v>
      </c>
      <c r="D42" s="346">
        <f t="shared" si="13"/>
        <v>0</v>
      </c>
      <c r="E42" s="347" t="str">
        <f t="shared" si="10"/>
        <v> </v>
      </c>
      <c r="F42" s="371">
        <f>F$37+F$38</f>
        <v>0</v>
      </c>
      <c r="G42" s="348">
        <f>G$37+G$38</f>
        <v>0</v>
      </c>
      <c r="H42" s="356" t="str">
        <f t="shared" si="11"/>
        <v> </v>
      </c>
      <c r="I42" s="349">
        <f>I$38</f>
        <v>0</v>
      </c>
      <c r="J42" s="349">
        <f>J$38</f>
        <v>0</v>
      </c>
      <c r="K42" s="350" t="str">
        <f t="shared" si="12"/>
        <v> </v>
      </c>
      <c r="L42" s="175"/>
      <c r="M42" s="175"/>
    </row>
    <row r="43" spans="1:13" ht="8.25" customHeight="1">
      <c r="A43" s="339"/>
      <c r="B43" s="175"/>
      <c r="C43" s="175"/>
      <c r="D43" s="175"/>
      <c r="E43" s="175"/>
      <c r="F43" s="175"/>
      <c r="G43" s="175"/>
      <c r="H43" s="175"/>
      <c r="I43" s="175"/>
      <c r="J43" s="175"/>
      <c r="K43" s="175"/>
      <c r="L43" s="175"/>
      <c r="M43" s="175"/>
    </row>
    <row r="44" spans="1:13" ht="14.25" customHeight="1" thickBot="1">
      <c r="A44" s="112">
        <v>31</v>
      </c>
      <c r="B44" s="362" t="s">
        <v>48</v>
      </c>
      <c r="C44" s="299">
        <f>F44+I44</f>
        <v>0</v>
      </c>
      <c r="D44" s="299">
        <f>G44+J44</f>
        <v>0</v>
      </c>
      <c r="E44" s="300" t="str">
        <f>IF(D44&lt;&gt;0,(C44-D44)*100/D44," ")</f>
        <v> </v>
      </c>
      <c r="F44" s="301">
        <f>+F$10+F$12-F$20-F$27-F$33-F$35-F$42</f>
        <v>0</v>
      </c>
      <c r="G44" s="301">
        <f>+G$10+G$12-G$20-G$27-G$33-G$35-G$42</f>
        <v>0</v>
      </c>
      <c r="H44" s="302" t="str">
        <f>IF(G44&lt;&gt;0,(F44-G44)*100/G44," ")</f>
        <v> </v>
      </c>
      <c r="I44" s="303">
        <f>+I$10+I$12-I$20-I$27-I$33-I$35-I$42</f>
        <v>0</v>
      </c>
      <c r="J44" s="303">
        <f>+J$10+J$12-J$20-J$27-J$33-J$35-J$42</f>
        <v>0</v>
      </c>
      <c r="K44" s="304" t="str">
        <f>IF(J44&lt;&gt;0,(I44-J44)*100/J44," ")</f>
        <v> </v>
      </c>
      <c r="L44" s="175"/>
      <c r="M44" s="175"/>
    </row>
    <row r="45" spans="1:13" ht="14.25">
      <c r="A45" s="339"/>
      <c r="B45" s="329" t="s">
        <v>50</v>
      </c>
      <c r="C45" s="175"/>
      <c r="D45" s="175"/>
      <c r="E45" s="237"/>
      <c r="F45" s="175"/>
      <c r="G45" s="175"/>
      <c r="H45" s="237"/>
      <c r="I45" s="175"/>
      <c r="J45" s="175"/>
      <c r="K45" s="237"/>
      <c r="L45" s="175"/>
      <c r="M45" s="175"/>
    </row>
    <row r="46" spans="1:13" ht="14.25">
      <c r="A46" s="339"/>
      <c r="B46" s="329" t="s">
        <v>49</v>
      </c>
      <c r="C46" s="175"/>
      <c r="D46" s="175"/>
      <c r="E46" s="237"/>
      <c r="F46" s="175"/>
      <c r="G46" s="175"/>
      <c r="H46" s="237"/>
      <c r="I46" s="175"/>
      <c r="J46" s="175"/>
      <c r="K46" s="237"/>
      <c r="L46" s="175"/>
      <c r="M46" s="175"/>
    </row>
    <row r="47" spans="1:13" ht="14.25">
      <c r="A47" s="339"/>
      <c r="B47" s="363" t="s">
        <v>677</v>
      </c>
      <c r="C47" s="175"/>
      <c r="D47" s="175"/>
      <c r="E47" s="237"/>
      <c r="F47" s="175"/>
      <c r="G47" s="175"/>
      <c r="H47" s="237"/>
      <c r="I47" s="175"/>
      <c r="J47" s="175"/>
      <c r="K47" s="237"/>
      <c r="L47" s="175"/>
      <c r="M47" s="175"/>
    </row>
    <row r="48" spans="1:13" ht="12.75">
      <c r="A48" s="339"/>
      <c r="B48" s="364" t="s">
        <v>51</v>
      </c>
      <c r="C48" s="175"/>
      <c r="D48" s="175"/>
      <c r="E48" s="237"/>
      <c r="F48" s="175"/>
      <c r="G48" s="175"/>
      <c r="H48" s="237"/>
      <c r="I48" s="175"/>
      <c r="J48" s="175"/>
      <c r="K48" s="237"/>
      <c r="L48" s="175"/>
      <c r="M48" s="175"/>
    </row>
    <row r="49" spans="1:13" ht="14.25">
      <c r="A49" s="339"/>
      <c r="B49" s="363" t="s">
        <v>125</v>
      </c>
      <c r="C49" s="175"/>
      <c r="D49" s="175"/>
      <c r="E49" s="237"/>
      <c r="F49" s="175"/>
      <c r="G49" s="175"/>
      <c r="H49" s="237"/>
      <c r="I49" s="175"/>
      <c r="J49" s="175"/>
      <c r="K49" s="237"/>
      <c r="L49" s="175"/>
      <c r="M49" s="175"/>
    </row>
    <row r="50" spans="1:13" ht="12.75">
      <c r="A50" s="339"/>
      <c r="B50" s="365" t="s">
        <v>678</v>
      </c>
      <c r="C50" s="175"/>
      <c r="D50" s="175"/>
      <c r="E50" s="237"/>
      <c r="F50" s="175"/>
      <c r="G50" s="175"/>
      <c r="H50" s="237"/>
      <c r="I50" s="175"/>
      <c r="J50" s="175"/>
      <c r="K50" s="237"/>
      <c r="L50" s="175"/>
      <c r="M50" s="175"/>
    </row>
    <row r="51" spans="1:13" ht="14.25">
      <c r="A51" s="339"/>
      <c r="B51" s="329" t="s">
        <v>680</v>
      </c>
      <c r="C51" s="175"/>
      <c r="D51" s="175"/>
      <c r="E51" s="237"/>
      <c r="F51" s="175"/>
      <c r="G51" s="175"/>
      <c r="H51" s="237"/>
      <c r="I51" s="175"/>
      <c r="J51" s="175"/>
      <c r="K51" s="237"/>
      <c r="L51" s="175"/>
      <c r="M51" s="175"/>
    </row>
    <row r="52" spans="1:13" ht="14.25">
      <c r="A52" s="339"/>
      <c r="B52" s="329" t="s">
        <v>602</v>
      </c>
      <c r="C52" s="175"/>
      <c r="D52" s="175"/>
      <c r="E52" s="237"/>
      <c r="F52" s="175"/>
      <c r="G52" s="175"/>
      <c r="H52" s="237"/>
      <c r="I52" s="175"/>
      <c r="J52" s="175"/>
      <c r="K52" s="237"/>
      <c r="L52" s="175"/>
      <c r="M52" s="175"/>
    </row>
    <row r="53" spans="1:13" ht="6.75" customHeight="1">
      <c r="A53" s="339"/>
      <c r="B53" s="247"/>
      <c r="C53" s="247"/>
      <c r="D53" s="247"/>
      <c r="E53" s="247"/>
      <c r="F53" s="247"/>
      <c r="G53" s="247"/>
      <c r="H53" s="247"/>
      <c r="I53" s="247"/>
      <c r="J53" s="247"/>
      <c r="K53" s="247"/>
      <c r="L53" s="175"/>
      <c r="M53" s="175"/>
    </row>
    <row r="54" spans="1:34" s="108" customFormat="1" ht="17.25" customHeight="1">
      <c r="A54" s="102">
        <v>2</v>
      </c>
      <c r="B54" s="103" t="s">
        <v>757</v>
      </c>
      <c r="C54" s="105" t="s">
        <v>241</v>
      </c>
      <c r="D54" s="105"/>
      <c r="E54" s="238"/>
      <c r="F54" s="105"/>
      <c r="G54" s="105"/>
      <c r="H54" s="238"/>
      <c r="I54" s="106"/>
      <c r="J54" s="106" t="s">
        <v>242</v>
      </c>
      <c r="K54" s="239">
        <f>jahr</f>
        <v>2007</v>
      </c>
      <c r="L54" s="239"/>
      <c r="M54" s="105"/>
      <c r="N54" s="644"/>
      <c r="O54" s="644"/>
      <c r="P54" s="644"/>
      <c r="Q54" s="644"/>
      <c r="R54" s="644"/>
      <c r="S54" s="644"/>
      <c r="T54" s="644"/>
      <c r="U54" s="644"/>
      <c r="V54" s="644"/>
      <c r="W54" s="644"/>
      <c r="X54" s="644"/>
      <c r="Y54" s="644"/>
      <c r="Z54" s="644"/>
      <c r="AA54" s="644"/>
      <c r="AB54" s="644"/>
      <c r="AC54" s="644"/>
      <c r="AD54" s="644"/>
      <c r="AE54" s="644"/>
      <c r="AF54" s="644"/>
      <c r="AG54" s="644"/>
      <c r="AH54" s="644"/>
    </row>
    <row r="55" spans="1:34" s="108" customFormat="1" ht="13.5" customHeight="1">
      <c r="A55" s="240"/>
      <c r="B55" s="241" t="s">
        <v>580</v>
      </c>
      <c r="C55" s="240" t="s">
        <v>566</v>
      </c>
      <c r="D55" s="240" t="s">
        <v>567</v>
      </c>
      <c r="E55" s="242" t="s">
        <v>574</v>
      </c>
      <c r="F55" s="240" t="s">
        <v>575</v>
      </c>
      <c r="G55" s="240" t="s">
        <v>573</v>
      </c>
      <c r="H55" s="242" t="s">
        <v>591</v>
      </c>
      <c r="I55" s="240" t="s">
        <v>592</v>
      </c>
      <c r="J55" s="240" t="s">
        <v>593</v>
      </c>
      <c r="K55" s="243" t="s">
        <v>594</v>
      </c>
      <c r="L55" s="239"/>
      <c r="M55" s="105"/>
      <c r="N55" s="644"/>
      <c r="O55" s="644"/>
      <c r="P55" s="644"/>
      <c r="Q55" s="644"/>
      <c r="R55" s="644"/>
      <c r="S55" s="644"/>
      <c r="T55" s="644"/>
      <c r="U55" s="644"/>
      <c r="V55" s="644"/>
      <c r="W55" s="644"/>
      <c r="X55" s="644"/>
      <c r="Y55" s="644"/>
      <c r="Z55" s="644"/>
      <c r="AA55" s="644"/>
      <c r="AB55" s="644"/>
      <c r="AC55" s="644"/>
      <c r="AD55" s="644"/>
      <c r="AE55" s="644"/>
      <c r="AF55" s="644"/>
      <c r="AG55" s="644"/>
      <c r="AH55" s="644"/>
    </row>
    <row r="56" spans="1:13" ht="12.75">
      <c r="A56" s="339"/>
      <c r="B56" s="113" t="str">
        <f>Vr&amp;"  "</f>
        <v>Xxx Vie  </v>
      </c>
      <c r="C56" s="788" t="s">
        <v>243</v>
      </c>
      <c r="D56" s="788"/>
      <c r="E56" s="244" t="s">
        <v>779</v>
      </c>
      <c r="F56" s="789" t="s">
        <v>244</v>
      </c>
      <c r="G56" s="789"/>
      <c r="H56" s="245" t="s">
        <v>779</v>
      </c>
      <c r="I56" s="790" t="s">
        <v>245</v>
      </c>
      <c r="J56" s="790"/>
      <c r="K56" s="246" t="s">
        <v>779</v>
      </c>
      <c r="L56" s="239"/>
      <c r="M56" s="175"/>
    </row>
    <row r="57" spans="1:13" ht="12.75">
      <c r="A57" s="339"/>
      <c r="B57" s="175"/>
      <c r="C57" s="248" t="s">
        <v>246</v>
      </c>
      <c r="D57" s="248" t="s">
        <v>247</v>
      </c>
      <c r="E57" s="249"/>
      <c r="F57" s="250" t="s">
        <v>246</v>
      </c>
      <c r="G57" s="250" t="s">
        <v>247</v>
      </c>
      <c r="H57" s="251"/>
      <c r="I57" s="252" t="s">
        <v>246</v>
      </c>
      <c r="J57" s="252" t="s">
        <v>247</v>
      </c>
      <c r="K57" s="253"/>
      <c r="L57" s="239"/>
      <c r="M57" s="175"/>
    </row>
    <row r="58" spans="1:13" ht="19.5" customHeight="1">
      <c r="A58" s="339">
        <v>32</v>
      </c>
      <c r="B58" s="330" t="s">
        <v>126</v>
      </c>
      <c r="C58" s="255">
        <f>F58+I58</f>
        <v>0</v>
      </c>
      <c r="D58" s="255">
        <f>G58+J58</f>
        <v>0</v>
      </c>
      <c r="E58" s="256" t="str">
        <f>IF(D58&lt;&gt;0,(C58-D58)*100/D58," ")</f>
        <v> </v>
      </c>
      <c r="F58" s="366">
        <f>F$44</f>
        <v>0</v>
      </c>
      <c r="G58" s="366">
        <f>G$44</f>
        <v>0</v>
      </c>
      <c r="H58" s="287" t="str">
        <f>IF(G58&lt;&gt;0,(F58-G58)*100/G58," ")</f>
        <v> </v>
      </c>
      <c r="I58" s="288">
        <f>I$44</f>
        <v>0</v>
      </c>
      <c r="J58" s="288">
        <f>J$44</f>
        <v>0</v>
      </c>
      <c r="K58" s="289" t="str">
        <f>IF(J58&lt;&gt;0,(I58-J58)*100/J58," ")</f>
        <v> </v>
      </c>
      <c r="L58" s="239"/>
      <c r="M58" s="175"/>
    </row>
    <row r="59" spans="1:13" ht="12.75">
      <c r="A59" s="339"/>
      <c r="B59" s="377"/>
      <c r="C59" s="247"/>
      <c r="D59" s="247"/>
      <c r="E59" s="247"/>
      <c r="F59" s="247"/>
      <c r="G59" s="247"/>
      <c r="H59" s="247"/>
      <c r="I59" s="247"/>
      <c r="J59" s="247"/>
      <c r="K59" s="247"/>
      <c r="L59" s="239"/>
      <c r="M59" s="175"/>
    </row>
    <row r="60" spans="1:13" ht="12.75">
      <c r="A60" s="339">
        <v>33</v>
      </c>
      <c r="B60" s="690" t="s">
        <v>127</v>
      </c>
      <c r="C60" s="261">
        <f aca="true" t="shared" si="14" ref="C60:D66">F60+I60</f>
        <v>0</v>
      </c>
      <c r="D60" s="261">
        <f t="shared" si="14"/>
        <v>0</v>
      </c>
      <c r="E60" s="292" t="str">
        <f aca="true" t="shared" si="15" ref="E60:E66">IF(D60&lt;&gt;0,(C60-D60)*100/D60," ")</f>
        <v> </v>
      </c>
      <c r="F60" s="625"/>
      <c r="G60" s="625"/>
      <c r="H60" s="262" t="str">
        <f aca="true" t="shared" si="16" ref="H60:H66">IF(G60&lt;&gt;0,(F60-G60)*100/G60," ")</f>
        <v> </v>
      </c>
      <c r="I60" s="613"/>
      <c r="J60" s="613"/>
      <c r="K60" s="263" t="str">
        <f aca="true" t="shared" si="17" ref="K60:K66">IF(J60&lt;&gt;0,(I60-J60)*100/J60," ")</f>
        <v> </v>
      </c>
      <c r="L60" s="175"/>
      <c r="M60" s="175"/>
    </row>
    <row r="61" spans="1:13" ht="12.75">
      <c r="A61" s="339">
        <v>34</v>
      </c>
      <c r="B61" s="691" t="s">
        <v>128</v>
      </c>
      <c r="C61" s="261">
        <f t="shared" si="14"/>
        <v>0</v>
      </c>
      <c r="D61" s="261">
        <f t="shared" si="14"/>
        <v>0</v>
      </c>
      <c r="E61" s="292" t="str">
        <f t="shared" si="15"/>
        <v> </v>
      </c>
      <c r="F61" s="625"/>
      <c r="G61" s="625"/>
      <c r="H61" s="265" t="str">
        <f t="shared" si="16"/>
        <v> </v>
      </c>
      <c r="I61" s="613"/>
      <c r="J61" s="613"/>
      <c r="K61" s="266" t="str">
        <f t="shared" si="17"/>
        <v> </v>
      </c>
      <c r="L61" s="175"/>
      <c r="M61" s="175"/>
    </row>
    <row r="62" spans="1:13" ht="12.75">
      <c r="A62" s="339">
        <v>35</v>
      </c>
      <c r="B62" s="690" t="s">
        <v>129</v>
      </c>
      <c r="C62" s="261">
        <f t="shared" si="14"/>
        <v>0</v>
      </c>
      <c r="D62" s="261">
        <f t="shared" si="14"/>
        <v>0</v>
      </c>
      <c r="E62" s="292" t="str">
        <f t="shared" si="15"/>
        <v> </v>
      </c>
      <c r="F62" s="625"/>
      <c r="G62" s="625"/>
      <c r="H62" s="265" t="str">
        <f t="shared" si="16"/>
        <v> </v>
      </c>
      <c r="I62" s="613"/>
      <c r="J62" s="613"/>
      <c r="K62" s="266" t="str">
        <f t="shared" si="17"/>
        <v> </v>
      </c>
      <c r="L62" s="175"/>
      <c r="M62" s="175"/>
    </row>
    <row r="63" spans="1:13" ht="12.75">
      <c r="A63" s="339">
        <v>36</v>
      </c>
      <c r="B63" s="691" t="s">
        <v>130</v>
      </c>
      <c r="C63" s="261">
        <f t="shared" si="14"/>
        <v>0</v>
      </c>
      <c r="D63" s="261">
        <f t="shared" si="14"/>
        <v>0</v>
      </c>
      <c r="E63" s="292" t="str">
        <f t="shared" si="15"/>
        <v> </v>
      </c>
      <c r="F63" s="625"/>
      <c r="G63" s="625"/>
      <c r="H63" s="265" t="str">
        <f t="shared" si="16"/>
        <v> </v>
      </c>
      <c r="I63" s="613"/>
      <c r="J63" s="613"/>
      <c r="K63" s="266" t="str">
        <f t="shared" si="17"/>
        <v> </v>
      </c>
      <c r="L63" s="175"/>
      <c r="M63" s="175"/>
    </row>
    <row r="64" spans="1:13" ht="12.75">
      <c r="A64" s="339">
        <v>37</v>
      </c>
      <c r="B64" s="690" t="s">
        <v>131</v>
      </c>
      <c r="C64" s="261">
        <f t="shared" si="14"/>
        <v>0</v>
      </c>
      <c r="D64" s="261">
        <f t="shared" si="14"/>
        <v>0</v>
      </c>
      <c r="E64" s="292" t="str">
        <f t="shared" si="15"/>
        <v> </v>
      </c>
      <c r="F64" s="625"/>
      <c r="G64" s="625"/>
      <c r="H64" s="265" t="str">
        <f t="shared" si="16"/>
        <v> </v>
      </c>
      <c r="I64" s="613"/>
      <c r="J64" s="613"/>
      <c r="K64" s="266" t="str">
        <f t="shared" si="17"/>
        <v> </v>
      </c>
      <c r="L64" s="175"/>
      <c r="M64" s="175"/>
    </row>
    <row r="65" spans="1:13" ht="12.75">
      <c r="A65" s="112">
        <v>38</v>
      </c>
      <c r="B65" s="377" t="s">
        <v>132</v>
      </c>
      <c r="C65" s="261">
        <f t="shared" si="14"/>
        <v>0</v>
      </c>
      <c r="D65" s="261">
        <f t="shared" si="14"/>
        <v>0</v>
      </c>
      <c r="E65" s="292" t="str">
        <f t="shared" si="15"/>
        <v> </v>
      </c>
      <c r="F65" s="625"/>
      <c r="G65" s="625"/>
      <c r="H65" s="265" t="str">
        <f t="shared" si="16"/>
        <v> </v>
      </c>
      <c r="I65" s="613"/>
      <c r="J65" s="613"/>
      <c r="K65" s="266" t="str">
        <f t="shared" si="17"/>
        <v> </v>
      </c>
      <c r="L65" s="175"/>
      <c r="M65" s="175"/>
    </row>
    <row r="66" spans="1:13" ht="38.25">
      <c r="A66" s="112">
        <v>39</v>
      </c>
      <c r="B66" s="337" t="s">
        <v>496</v>
      </c>
      <c r="C66" s="346">
        <f t="shared" si="14"/>
        <v>0</v>
      </c>
      <c r="D66" s="346">
        <f t="shared" si="14"/>
        <v>0</v>
      </c>
      <c r="E66" s="347" t="str">
        <f t="shared" si="15"/>
        <v> </v>
      </c>
      <c r="F66" s="348">
        <f>F$60+F$61-F$62+F$63-F$64+F$65</f>
        <v>0</v>
      </c>
      <c r="G66" s="348">
        <f>G$60+G$61-G$62+G$63-G$64+G$65</f>
        <v>0</v>
      </c>
      <c r="H66" s="356" t="str">
        <f t="shared" si="16"/>
        <v> </v>
      </c>
      <c r="I66" s="349">
        <f>I$60+I$61-I$62+I$63-I$64+I$65</f>
        <v>0</v>
      </c>
      <c r="J66" s="349">
        <f>J$60+J$61-J$62+J$63-J$64+J$65</f>
        <v>0</v>
      </c>
      <c r="K66" s="350" t="str">
        <f t="shared" si="17"/>
        <v> </v>
      </c>
      <c r="L66" s="175"/>
      <c r="M66" s="175"/>
    </row>
    <row r="67" spans="1:13" ht="12.75">
      <c r="A67" s="368"/>
      <c r="B67" s="699"/>
      <c r="C67" s="297"/>
      <c r="D67" s="297"/>
      <c r="E67" s="297"/>
      <c r="F67" s="297"/>
      <c r="G67" s="297"/>
      <c r="H67" s="297"/>
      <c r="I67" s="297"/>
      <c r="J67" s="297"/>
      <c r="K67" s="297"/>
      <c r="L67" s="175"/>
      <c r="M67" s="175"/>
    </row>
    <row r="68" spans="1:13" ht="12.75">
      <c r="A68" s="112">
        <v>40</v>
      </c>
      <c r="B68" s="448" t="s">
        <v>133</v>
      </c>
      <c r="C68" s="352">
        <f>F68+I68</f>
        <v>0</v>
      </c>
      <c r="D68" s="352">
        <f>G68+J68</f>
        <v>0</v>
      </c>
      <c r="E68" s="353" t="str">
        <f>IF(D68&lt;&gt;0,(C68-D68)*100/D68," ")</f>
        <v> </v>
      </c>
      <c r="F68" s="496"/>
      <c r="G68" s="496"/>
      <c r="H68" s="257" t="str">
        <f>IF(G68&lt;&gt;0,(F68-G68)*100/G68," ")</f>
        <v> </v>
      </c>
      <c r="I68" s="497"/>
      <c r="J68" s="497"/>
      <c r="K68" s="258" t="str">
        <f>IF(J68&lt;&gt;0,(I68-J68)*100/J68," ")</f>
        <v> </v>
      </c>
      <c r="L68" s="175"/>
      <c r="M68" s="175"/>
    </row>
    <row r="69" spans="1:13" ht="12.75">
      <c r="A69" s="368"/>
      <c r="B69" s="377"/>
      <c r="C69" s="247"/>
      <c r="D69" s="247"/>
      <c r="E69" s="247"/>
      <c r="F69" s="297"/>
      <c r="G69" s="297"/>
      <c r="H69" s="247"/>
      <c r="I69" s="247"/>
      <c r="J69" s="247"/>
      <c r="K69" s="247"/>
      <c r="L69" s="175"/>
      <c r="M69" s="175"/>
    </row>
    <row r="70" spans="1:13" ht="25.5" customHeight="1">
      <c r="A70" s="112">
        <v>41</v>
      </c>
      <c r="B70" s="715" t="s">
        <v>134</v>
      </c>
      <c r="C70" s="352">
        <f>F70+I70</f>
        <v>0</v>
      </c>
      <c r="D70" s="352">
        <f>G70+J70</f>
        <v>0</v>
      </c>
      <c r="E70" s="353" t="str">
        <f>IF(D70&lt;&gt;0,(C70-D70)*100/D70," ")</f>
        <v> </v>
      </c>
      <c r="F70" s="692"/>
      <c r="G70" s="692"/>
      <c r="H70" s="257" t="str">
        <f>IF(G70&lt;&gt;0,(F70-G70)*100/G70," ")</f>
        <v> </v>
      </c>
      <c r="I70" s="497"/>
      <c r="J70" s="497"/>
      <c r="K70" s="258" t="str">
        <f>IF(J70&lt;&gt;0,(I70-J70)*100/J70," ")</f>
        <v> </v>
      </c>
      <c r="L70" s="175"/>
      <c r="M70" s="175"/>
    </row>
    <row r="71" spans="1:13" ht="12.75">
      <c r="A71" s="339"/>
      <c r="B71" s="693"/>
      <c r="C71" s="369"/>
      <c r="D71" s="369"/>
      <c r="E71" s="369"/>
      <c r="F71" s="247"/>
      <c r="G71" s="247"/>
      <c r="H71" s="369"/>
      <c r="I71" s="369"/>
      <c r="J71" s="369"/>
      <c r="K71" s="369"/>
      <c r="L71" s="175"/>
      <c r="M71" s="175"/>
    </row>
    <row r="72" spans="1:13" ht="12.75">
      <c r="A72" s="339">
        <v>42</v>
      </c>
      <c r="B72" s="351" t="s">
        <v>637</v>
      </c>
      <c r="C72" s="261">
        <f aca="true" t="shared" si="18" ref="C72:D76">F72+I72</f>
        <v>0</v>
      </c>
      <c r="D72" s="261">
        <f t="shared" si="18"/>
        <v>0</v>
      </c>
      <c r="E72" s="292" t="str">
        <f>IF(D72&lt;&gt;0,(C72-D72)*100/D72," ")</f>
        <v> </v>
      </c>
      <c r="F72" s="625"/>
      <c r="G72" s="625"/>
      <c r="H72" s="262" t="str">
        <f>IF(G72&lt;&gt;0,(F72-G72)*100/G72," ")</f>
        <v> </v>
      </c>
      <c r="I72" s="613"/>
      <c r="J72" s="613"/>
      <c r="K72" s="263" t="str">
        <f>IF(J72&lt;&gt;0,(I72-J72)*100/J72," ")</f>
        <v> </v>
      </c>
      <c r="L72" s="175"/>
      <c r="M72" s="175"/>
    </row>
    <row r="73" spans="1:13" ht="12.75">
      <c r="A73" s="339"/>
      <c r="B73" s="690"/>
      <c r="C73" s="247"/>
      <c r="D73" s="247"/>
      <c r="E73" s="247"/>
      <c r="F73" s="297"/>
      <c r="G73" s="297"/>
      <c r="H73" s="247"/>
      <c r="I73" s="247"/>
      <c r="J73" s="247"/>
      <c r="K73" s="247"/>
      <c r="L73" s="175"/>
      <c r="M73" s="175"/>
    </row>
    <row r="74" spans="1:13" ht="12.75">
      <c r="A74" s="339">
        <v>43</v>
      </c>
      <c r="B74" s="691" t="s">
        <v>135</v>
      </c>
      <c r="C74" s="261">
        <f t="shared" si="18"/>
        <v>0</v>
      </c>
      <c r="D74" s="261">
        <f t="shared" si="18"/>
        <v>0</v>
      </c>
      <c r="E74" s="294" t="str">
        <f>IF(D74&lt;&gt;0,(C74-D74)*100/D74," ")</f>
        <v> </v>
      </c>
      <c r="F74" s="625"/>
      <c r="G74" s="625"/>
      <c r="H74" s="265" t="str">
        <f>IF(G74&lt;&gt;0,(F74-G74)*100/G74," ")</f>
        <v> </v>
      </c>
      <c r="I74" s="613"/>
      <c r="J74" s="613"/>
      <c r="K74" s="266" t="str">
        <f>IF(J74&lt;&gt;0,(I74-J74)*100/J74," ")</f>
        <v> </v>
      </c>
      <c r="L74" s="175"/>
      <c r="M74" s="175"/>
    </row>
    <row r="75" spans="1:13" ht="12.75">
      <c r="A75" s="339">
        <v>44</v>
      </c>
      <c r="B75" s="691" t="s">
        <v>136</v>
      </c>
      <c r="C75" s="261">
        <f t="shared" si="18"/>
        <v>0</v>
      </c>
      <c r="D75" s="261">
        <f t="shared" si="18"/>
        <v>0</v>
      </c>
      <c r="E75" s="294" t="str">
        <f>IF(D75&lt;&gt;0,(C75-D75)*100/D75," ")</f>
        <v> </v>
      </c>
      <c r="F75" s="625"/>
      <c r="G75" s="625"/>
      <c r="H75" s="265" t="str">
        <f>IF(G75&lt;&gt;0,(F75-G75)*100/G75," ")</f>
        <v> </v>
      </c>
      <c r="I75" s="613"/>
      <c r="J75" s="613"/>
      <c r="K75" s="266" t="str">
        <f>IF(J75&lt;&gt;0,(I75-J75)*100/J75," ")</f>
        <v> </v>
      </c>
      <c r="L75" s="175"/>
      <c r="M75" s="175"/>
    </row>
    <row r="76" spans="1:13" ht="12.75">
      <c r="A76" s="339">
        <v>45</v>
      </c>
      <c r="B76" s="449" t="s">
        <v>641</v>
      </c>
      <c r="C76" s="346">
        <f t="shared" si="18"/>
        <v>0</v>
      </c>
      <c r="D76" s="346">
        <f t="shared" si="18"/>
        <v>0</v>
      </c>
      <c r="E76" s="347" t="str">
        <f>IF(D76&lt;&gt;0,(C76-D76)*100/D76," ")</f>
        <v> </v>
      </c>
      <c r="F76" s="358">
        <f>F$74+F$75</f>
        <v>0</v>
      </c>
      <c r="G76" s="348">
        <f>G$74+G$75</f>
        <v>0</v>
      </c>
      <c r="H76" s="356" t="str">
        <f>IF(G76&lt;&gt;0,(F76-G76)*100/G76," ")</f>
        <v> </v>
      </c>
      <c r="I76" s="349">
        <f>I$74+I$75</f>
        <v>0</v>
      </c>
      <c r="J76" s="349">
        <f>J$74+J$75</f>
        <v>0</v>
      </c>
      <c r="K76" s="350" t="str">
        <f>IF(J76&lt;&gt;0,(I76-J76)*100/J76," ")</f>
        <v> </v>
      </c>
      <c r="L76" s="175"/>
      <c r="M76" s="175"/>
    </row>
    <row r="77" spans="1:13" ht="12.75">
      <c r="A77" s="339"/>
      <c r="B77" s="297"/>
      <c r="C77" s="297"/>
      <c r="D77" s="297"/>
      <c r="E77" s="297"/>
      <c r="F77" s="297"/>
      <c r="G77" s="297"/>
      <c r="H77" s="297"/>
      <c r="I77" s="297"/>
      <c r="J77" s="297"/>
      <c r="K77" s="297"/>
      <c r="L77" s="175"/>
      <c r="M77" s="175"/>
    </row>
    <row r="78" spans="1:13" ht="12.75">
      <c r="A78" s="339">
        <v>46</v>
      </c>
      <c r="B78" s="370" t="s">
        <v>467</v>
      </c>
      <c r="C78" s="352">
        <f>F78+I78</f>
        <v>0</v>
      </c>
      <c r="D78" s="352">
        <f>G78+J78</f>
        <v>0</v>
      </c>
      <c r="E78" s="353" t="str">
        <f>IF(D78&lt;&gt;0,(C78-D78)*100/D78," ")</f>
        <v> </v>
      </c>
      <c r="F78" s="371">
        <f>F$66+F$70-F$72-F$76</f>
        <v>0</v>
      </c>
      <c r="G78" s="371">
        <f>G$66+G$70-G$72-G$76</f>
        <v>0</v>
      </c>
      <c r="H78" s="257" t="str">
        <f>IF(G78&lt;&gt;0,(F78-G78)*100/G78," ")</f>
        <v> </v>
      </c>
      <c r="I78" s="372">
        <f>I$66+I$70-I$72-I$76</f>
        <v>0</v>
      </c>
      <c r="J78" s="372">
        <f>J$66+J$70-J$72-J$76</f>
        <v>0</v>
      </c>
      <c r="K78" s="258" t="str">
        <f>IF(J78&lt;&gt;0,(I78-J78)*100/J78," ")</f>
        <v> </v>
      </c>
      <c r="L78" s="175"/>
      <c r="M78" s="175"/>
    </row>
    <row r="79" spans="1:13" ht="12.75">
      <c r="A79" s="368"/>
      <c r="B79" s="297"/>
      <c r="C79" s="297"/>
      <c r="D79" s="297"/>
      <c r="E79" s="297"/>
      <c r="F79" s="297"/>
      <c r="G79" s="297"/>
      <c r="H79" s="297"/>
      <c r="I79" s="297"/>
      <c r="J79" s="297"/>
      <c r="K79" s="297"/>
      <c r="L79" s="175"/>
      <c r="M79" s="175"/>
    </row>
    <row r="80" spans="1:13" ht="12.75">
      <c r="A80" s="339">
        <v>47</v>
      </c>
      <c r="B80" s="716" t="s">
        <v>137</v>
      </c>
      <c r="C80" s="261">
        <f>F80+I80</f>
        <v>0</v>
      </c>
      <c r="D80" s="261">
        <f>G80+J80</f>
        <v>0</v>
      </c>
      <c r="E80" s="292" t="str">
        <f>IF(D80&lt;&gt;0,(C80-D80)*100/D80," ")</f>
        <v> </v>
      </c>
      <c r="F80" s="625"/>
      <c r="G80" s="625"/>
      <c r="H80" s="262" t="str">
        <f>IF(G80&lt;&gt;0,(F80-G80)*100/G80," ")</f>
        <v> </v>
      </c>
      <c r="I80" s="613"/>
      <c r="J80" s="613"/>
      <c r="K80" s="263" t="str">
        <f>IF(J80&lt;&gt;0,(I80-J80)*100/J80," ")</f>
        <v> </v>
      </c>
      <c r="L80" s="175"/>
      <c r="M80" s="175"/>
    </row>
    <row r="81" spans="1:13" ht="12.75">
      <c r="A81" s="597" t="s">
        <v>571</v>
      </c>
      <c r="B81" s="717" t="s">
        <v>138</v>
      </c>
      <c r="C81" s="352">
        <f>F81+I81</f>
        <v>0</v>
      </c>
      <c r="D81" s="352">
        <f>G81+J81</f>
        <v>0</v>
      </c>
      <c r="E81" s="353" t="str">
        <f>IF(D81&lt;&gt;0,(C81-D81)*100/D81," ")</f>
        <v> </v>
      </c>
      <c r="F81" s="627"/>
      <c r="G81" s="625"/>
      <c r="H81" s="257" t="str">
        <f>IF(G81&lt;&gt;0,(F81-G81)*100/G81," ")</f>
        <v> </v>
      </c>
      <c r="I81" s="497"/>
      <c r="J81" s="613"/>
      <c r="K81" s="258" t="str">
        <f>IF(J81&lt;&gt;0,(I81-J81)*100/J81," ")</f>
        <v> </v>
      </c>
      <c r="L81" s="175"/>
      <c r="M81" s="175"/>
    </row>
    <row r="82" spans="1:13" ht="12.75">
      <c r="A82" s="339"/>
      <c r="B82" s="297"/>
      <c r="C82" s="297"/>
      <c r="D82" s="297"/>
      <c r="E82" s="297"/>
      <c r="F82" s="297"/>
      <c r="G82" s="297"/>
      <c r="H82" s="297"/>
      <c r="I82" s="297"/>
      <c r="J82" s="297"/>
      <c r="K82" s="297"/>
      <c r="L82" s="175"/>
      <c r="M82" s="175"/>
    </row>
    <row r="83" spans="1:13" ht="12.75">
      <c r="A83" s="112">
        <v>48</v>
      </c>
      <c r="B83" s="351" t="s">
        <v>139</v>
      </c>
      <c r="C83" s="352">
        <f>F83+I83</f>
        <v>0</v>
      </c>
      <c r="D83" s="352">
        <f>G83+J83</f>
        <v>0</v>
      </c>
      <c r="E83" s="353" t="str">
        <f>IF(D83&lt;&gt;0,(C83-D83)*100/D83," ")</f>
        <v> </v>
      </c>
      <c r="F83" s="627"/>
      <c r="G83" s="627"/>
      <c r="H83" s="257" t="str">
        <f>IF(G83&lt;&gt;0,(F83-G83)*100/G83," ")</f>
        <v> </v>
      </c>
      <c r="I83" s="497"/>
      <c r="J83" s="497"/>
      <c r="K83" s="258" t="str">
        <f>IF(J83&lt;&gt;0,(I83-J83)*100/J83," ")</f>
        <v> </v>
      </c>
      <c r="L83" s="175"/>
      <c r="M83" s="175"/>
    </row>
    <row r="84" spans="1:13" ht="12.75">
      <c r="A84" s="339"/>
      <c r="B84" s="297"/>
      <c r="C84" s="297"/>
      <c r="D84" s="297"/>
      <c r="E84" s="297"/>
      <c r="F84" s="297"/>
      <c r="G84" s="297"/>
      <c r="H84" s="297"/>
      <c r="I84" s="297"/>
      <c r="J84" s="297"/>
      <c r="K84" s="297"/>
      <c r="L84" s="175"/>
      <c r="M84" s="175"/>
    </row>
    <row r="85" spans="1:13" ht="25.5">
      <c r="A85" s="112">
        <v>49</v>
      </c>
      <c r="B85" s="694" t="s">
        <v>140</v>
      </c>
      <c r="C85" s="255">
        <f>F85+I85</f>
        <v>0</v>
      </c>
      <c r="D85" s="255">
        <f>G85+J85</f>
        <v>0</v>
      </c>
      <c r="E85" s="256" t="str">
        <f>IF(D85&lt;&gt;0,(C85-D85)*100/D85," ")</f>
        <v> </v>
      </c>
      <c r="F85" s="366">
        <f>F$58+F$78+F$80-F$81-F$83</f>
        <v>0</v>
      </c>
      <c r="G85" s="366">
        <f>G$58+G$78+G$80-G$81-G$83</f>
        <v>0</v>
      </c>
      <c r="H85" s="287" t="str">
        <f>IF(G85&lt;&gt;0,(F85-G85)*100/G85," ")</f>
        <v> </v>
      </c>
      <c r="I85" s="288">
        <f>I$58+I$78+I$80-I$81-I$83</f>
        <v>0</v>
      </c>
      <c r="J85" s="288">
        <f>J$58+J$78+J$80-J$81-J$83</f>
        <v>0</v>
      </c>
      <c r="K85" s="289" t="str">
        <f>IF(J85&lt;&gt;0,(I85-J85)*100/J85," ")</f>
        <v> </v>
      </c>
      <c r="L85" s="175"/>
      <c r="M85" s="175"/>
    </row>
    <row r="86" spans="1:13" ht="12.75">
      <c r="A86" s="339"/>
      <c r="B86" s="297"/>
      <c r="C86" s="297"/>
      <c r="D86" s="297"/>
      <c r="E86" s="297"/>
      <c r="F86" s="297"/>
      <c r="G86" s="297"/>
      <c r="H86" s="297"/>
      <c r="I86" s="297"/>
      <c r="J86" s="297"/>
      <c r="K86" s="297"/>
      <c r="L86" s="175"/>
      <c r="M86" s="175"/>
    </row>
    <row r="87" spans="1:13" ht="12.75">
      <c r="A87" s="339">
        <v>50</v>
      </c>
      <c r="B87" s="351" t="s">
        <v>141</v>
      </c>
      <c r="C87" s="352">
        <f>I87</f>
        <v>0</v>
      </c>
      <c r="D87" s="352">
        <f>J87</f>
        <v>0</v>
      </c>
      <c r="E87" s="353" t="str">
        <f>IF(D87&lt;&gt;0,(C87-D87)*100/D87," ")</f>
        <v> </v>
      </c>
      <c r="F87" s="156"/>
      <c r="G87" s="156"/>
      <c r="H87" s="257" t="str">
        <f>IF(G87&lt;&gt;0,(F87-G87)*100/G87," ")</f>
        <v> </v>
      </c>
      <c r="I87" s="497"/>
      <c r="J87" s="497"/>
      <c r="K87" s="258" t="str">
        <f>IF(J87&lt;&gt;0,(I87-J87)*100/J87," ")</f>
        <v> </v>
      </c>
      <c r="L87" s="175"/>
      <c r="M87" s="175"/>
    </row>
    <row r="88" spans="1:13" ht="12.75">
      <c r="A88" s="339"/>
      <c r="B88" s="297"/>
      <c r="C88" s="297"/>
      <c r="D88" s="297"/>
      <c r="E88" s="297" t="str">
        <f>IF(D88&lt;&gt;0,(C88-D88)*100/D88," ")</f>
        <v> </v>
      </c>
      <c r="F88" s="297"/>
      <c r="G88" s="297"/>
      <c r="H88" s="297" t="str">
        <f>IF(G88&lt;&gt;0,(F88-G88)*100/G88," ")</f>
        <v> </v>
      </c>
      <c r="I88" s="297"/>
      <c r="J88" s="297"/>
      <c r="K88" s="297" t="str">
        <f>IF(J88&lt;&gt;0,(I88-J88)*100/J88," ")</f>
        <v> </v>
      </c>
      <c r="L88" s="175"/>
      <c r="M88" s="175"/>
    </row>
    <row r="89" spans="1:13" ht="13.5" thickBot="1">
      <c r="A89" s="339">
        <v>51</v>
      </c>
      <c r="B89" s="326" t="s">
        <v>239</v>
      </c>
      <c r="C89" s="299">
        <f>F89+I89</f>
        <v>0</v>
      </c>
      <c r="D89" s="299">
        <f>G89+J89</f>
        <v>0</v>
      </c>
      <c r="E89" s="300" t="str">
        <f>IF(D89&lt;&gt;0,(C89-D89)*100/D89," ")</f>
        <v> </v>
      </c>
      <c r="F89" s="301">
        <f>F$85</f>
        <v>0</v>
      </c>
      <c r="G89" s="301">
        <f>G$85</f>
        <v>0</v>
      </c>
      <c r="H89" s="302" t="str">
        <f>IF(G89&lt;&gt;0,(F89-G89)*100/G89," ")</f>
        <v> </v>
      </c>
      <c r="I89" s="303">
        <f>I$85-I$87</f>
        <v>0</v>
      </c>
      <c r="J89" s="303">
        <f>J$85-J$87</f>
        <v>0</v>
      </c>
      <c r="K89" s="304" t="str">
        <f>IF(J89&lt;&gt;0,(I89-J89)*100/J89," ")</f>
        <v> </v>
      </c>
      <c r="L89" s="175"/>
      <c r="M89" s="175"/>
    </row>
    <row r="90" spans="2:13" ht="14.25">
      <c r="B90" s="305"/>
      <c r="C90" s="175"/>
      <c r="D90" s="175"/>
      <c r="E90" s="237"/>
      <c r="F90" s="175"/>
      <c r="G90" s="175"/>
      <c r="H90" s="237"/>
      <c r="I90" s="175"/>
      <c r="J90" s="175"/>
      <c r="K90" s="237"/>
      <c r="L90" s="175"/>
      <c r="M90" s="175"/>
    </row>
    <row r="91" spans="1:13" ht="24" customHeight="1">
      <c r="A91" s="623" t="s">
        <v>252</v>
      </c>
      <c r="B91" s="624" t="s">
        <v>681</v>
      </c>
      <c r="C91" s="352">
        <f>F91+I91</f>
        <v>0</v>
      </c>
      <c r="D91" s="352">
        <f>G91+J91</f>
        <v>0</v>
      </c>
      <c r="E91" s="353" t="str">
        <f>IF(D91&lt;&gt;0,(C91-D91)*100/D91," ")</f>
        <v> </v>
      </c>
      <c r="F91" s="496"/>
      <c r="G91" s="496"/>
      <c r="H91" s="257" t="str">
        <f>IF(G91&lt;&gt;0,(F91-G91)*100/G91," ")</f>
        <v> </v>
      </c>
      <c r="I91" s="497"/>
      <c r="J91" s="497"/>
      <c r="K91" s="258" t="str">
        <f>IF(J91&lt;&gt;0,(I91-J91)*100/J91," ")</f>
        <v> </v>
      </c>
      <c r="L91" s="175"/>
      <c r="M91" s="175"/>
    </row>
    <row r="92" spans="2:13" ht="14.25">
      <c r="B92" s="305"/>
      <c r="C92" s="175"/>
      <c r="D92" s="175"/>
      <c r="E92" s="237"/>
      <c r="F92" s="175"/>
      <c r="G92" s="175"/>
      <c r="H92" s="237"/>
      <c r="I92" s="175"/>
      <c r="J92" s="175"/>
      <c r="K92" s="237"/>
      <c r="L92" s="175"/>
      <c r="M92" s="175"/>
    </row>
    <row r="104" ht="12.75">
      <c r="B104" s="696"/>
    </row>
    <row r="113" ht="12.75">
      <c r="B113" s="696"/>
    </row>
    <row r="122" ht="12.75">
      <c r="B122" s="696"/>
    </row>
    <row r="147" ht="12.75">
      <c r="B147" s="696"/>
    </row>
    <row r="150" ht="12.75">
      <c r="B150" s="696"/>
    </row>
  </sheetData>
  <sheetProtection/>
  <mergeCells count="6">
    <mergeCell ref="C4:D4"/>
    <mergeCell ref="F4:G4"/>
    <mergeCell ref="I4:J4"/>
    <mergeCell ref="C56:D56"/>
    <mergeCell ref="F56:G56"/>
    <mergeCell ref="I56:J56"/>
  </mergeCells>
  <conditionalFormatting sqref="F60:F65 I60:I65 F80:F81 I70 I74:I75 F31:F32 F83 I83 I91 I87 F68 I68 F91 I80:I81 I29:I32 L37 F29 F40 F35 I35 F37:F38 L40 I38 L8 F9 I9 F12 I12 F6:F7 I6:I7 L17 F18:F19 F14:F16 I14:I16 I18:I19 I22:I26 F22:F26 I40 I72 F72 F74:F75">
    <cfRule type="expression" priority="1" dxfId="1" stopIfTrue="1">
      <formula>IF(ISBLANK(F6),1,0)</formula>
    </cfRule>
  </conditionalFormatting>
  <conditionalFormatting sqref="J87 G60:G65 J60:J65 G80:G81 J70 J74:J75 J40 G83 J83 J91 G68 J68 G91 J29:J32 G29 G40 G35 J35 G37:G38 J38 J9 G9 G12 J12 G6:G7 J6:J7 J18:J19 J14:J16 G14:G16 G18:G19 G22:G26 J22:J26 J72 G72 G74:G75 G31:G32 J80:J81">
    <cfRule type="expression" priority="2" dxfId="2" stopIfTrue="1">
      <formula>IF(ISBLANK(G6),1,0)</formula>
    </cfRule>
  </conditionalFormatting>
  <conditionalFormatting sqref="F41">
    <cfRule type="expression" priority="3" dxfId="3" stopIfTrue="1">
      <formula>IF($L41="",0,1)</formula>
    </cfRule>
    <cfRule type="expression" priority="4" dxfId="1" stopIfTrue="1">
      <formula>IF(ISBLANK(F41),1,0)</formula>
    </cfRule>
  </conditionalFormatting>
  <conditionalFormatting sqref="G41">
    <cfRule type="expression" priority="5" dxfId="4" stopIfTrue="1">
      <formula>IF(jahr=2006,1,0)</formula>
    </cfRule>
    <cfRule type="expression" priority="6" dxfId="3" stopIfTrue="1">
      <formula>IF($L41="Im BJ 2006 leer lassen !",1,0)</formula>
    </cfRule>
    <cfRule type="expression" priority="7" dxfId="2" stopIfTrue="1">
      <formula>IF(ISBLANK(G41),1,0)</formula>
    </cfRule>
  </conditionalFormatting>
  <printOptions headings="1"/>
  <pageMargins left="0.23" right="0.21" top="0.23" bottom="0.3" header="0.17" footer="0.16"/>
  <pageSetup horizontalDpi="300" verticalDpi="300" orientation="landscape" paperSize="9" scale="75" r:id="rId3"/>
  <headerFooter alignWithMargins="0">
    <oddFooter>&amp;L&amp;D   &amp;T&amp;C&amp;A&amp;R&amp;P / &amp;N</oddFooter>
  </headerFooter>
  <rowBreaks count="2" manualBreakCount="2">
    <brk id="53" max="255" man="1"/>
    <brk id="92" max="255" man="1"/>
  </rowBreaks>
  <legacyDrawing r:id="rId2"/>
</worksheet>
</file>

<file path=xl/worksheets/sheet4.xml><?xml version="1.0" encoding="utf-8"?>
<worksheet xmlns="http://schemas.openxmlformats.org/spreadsheetml/2006/main" xmlns:r="http://schemas.openxmlformats.org/officeDocument/2006/relationships">
  <sheetPr codeName="Tabelle6">
    <tabColor indexed="58"/>
  </sheetPr>
  <dimension ref="A1:AH148"/>
  <sheetViews>
    <sheetView zoomScale="85" zoomScaleNormal="85" workbookViewId="0" topLeftCell="A1">
      <pane xSplit="2" ySplit="5" topLeftCell="C6" activePane="bottomRight" state="frozen"/>
      <selection pane="topLeft" activeCell="A2" sqref="A2"/>
      <selection pane="topRight" activeCell="A2" sqref="A2"/>
      <selection pane="bottomLeft" activeCell="A2" sqref="A2"/>
      <selection pane="bottomRight" activeCell="A3" sqref="A3"/>
    </sheetView>
  </sheetViews>
  <sheetFormatPr defaultColWidth="11.421875" defaultRowHeight="12.75"/>
  <cols>
    <col min="1" max="1" width="5.28125" style="410" customWidth="1"/>
    <col min="2" max="2" width="57.00390625" style="176" customWidth="1"/>
    <col min="3" max="4" width="12.421875" style="176" customWidth="1"/>
    <col min="5" max="5" width="8.140625" style="338" customWidth="1"/>
    <col min="6" max="7" width="12.421875" style="176" customWidth="1"/>
    <col min="8" max="8" width="8.140625" style="338" customWidth="1"/>
    <col min="9" max="10" width="12.421875" style="176" customWidth="1"/>
    <col min="11" max="11" width="8.140625" style="338" customWidth="1"/>
    <col min="12" max="12" width="22.421875" style="338" customWidth="1"/>
    <col min="13" max="13" width="1.1484375" style="176" customWidth="1"/>
    <col min="14" max="34" width="11.421875" style="643" customWidth="1"/>
    <col min="35" max="16384" width="11.421875" style="176" customWidth="1"/>
  </cols>
  <sheetData>
    <row r="1" spans="1:13" ht="3" customHeight="1">
      <c r="A1" s="175"/>
      <c r="B1" s="175"/>
      <c r="C1" s="175"/>
      <c r="D1" s="175"/>
      <c r="E1" s="237"/>
      <c r="F1" s="175"/>
      <c r="G1" s="175"/>
      <c r="H1" s="237"/>
      <c r="I1" s="175"/>
      <c r="J1" s="175"/>
      <c r="K1" s="237"/>
      <c r="L1" s="237"/>
      <c r="M1" s="175"/>
    </row>
    <row r="2" spans="1:34" s="108" customFormat="1" ht="17.25" customHeight="1">
      <c r="A2" s="102">
        <v>3</v>
      </c>
      <c r="B2" s="103" t="s">
        <v>778</v>
      </c>
      <c r="C2" s="105" t="s">
        <v>241</v>
      </c>
      <c r="D2" s="105"/>
      <c r="E2" s="238"/>
      <c r="F2" s="105"/>
      <c r="G2" s="105"/>
      <c r="H2" s="238"/>
      <c r="I2" s="106"/>
      <c r="J2" s="106" t="s">
        <v>242</v>
      </c>
      <c r="K2" s="239">
        <f>jahr</f>
        <v>2007</v>
      </c>
      <c r="L2" s="239"/>
      <c r="M2" s="105"/>
      <c r="N2" s="644"/>
      <c r="O2" s="644"/>
      <c r="P2" s="644"/>
      <c r="Q2" s="644"/>
      <c r="R2" s="644"/>
      <c r="S2" s="644"/>
      <c r="T2" s="644"/>
      <c r="U2" s="644"/>
      <c r="V2" s="644"/>
      <c r="W2" s="644"/>
      <c r="X2" s="644"/>
      <c r="Y2" s="644"/>
      <c r="Z2" s="644"/>
      <c r="AA2" s="644"/>
      <c r="AB2" s="644"/>
      <c r="AC2" s="644"/>
      <c r="AD2" s="644"/>
      <c r="AE2" s="644"/>
      <c r="AF2" s="644"/>
      <c r="AG2" s="644"/>
      <c r="AH2" s="644"/>
    </row>
    <row r="3" spans="1:34" s="108" customFormat="1" ht="13.5" customHeight="1">
      <c r="A3" s="240"/>
      <c r="B3" s="241" t="s">
        <v>580</v>
      </c>
      <c r="C3" s="240" t="s">
        <v>566</v>
      </c>
      <c r="D3" s="240" t="s">
        <v>567</v>
      </c>
      <c r="E3" s="242" t="s">
        <v>574</v>
      </c>
      <c r="F3" s="240" t="s">
        <v>575</v>
      </c>
      <c r="G3" s="240" t="s">
        <v>573</v>
      </c>
      <c r="H3" s="242" t="s">
        <v>591</v>
      </c>
      <c r="I3" s="240" t="s">
        <v>592</v>
      </c>
      <c r="J3" s="240" t="s">
        <v>593</v>
      </c>
      <c r="K3" s="243" t="s">
        <v>594</v>
      </c>
      <c r="L3" s="239"/>
      <c r="M3" s="105"/>
      <c r="N3" s="644"/>
      <c r="O3" s="644"/>
      <c r="P3" s="644"/>
      <c r="Q3" s="644"/>
      <c r="R3" s="644"/>
      <c r="S3" s="644"/>
      <c r="T3" s="644"/>
      <c r="U3" s="644"/>
      <c r="V3" s="644"/>
      <c r="W3" s="644"/>
      <c r="X3" s="644"/>
      <c r="Y3" s="644"/>
      <c r="Z3" s="644"/>
      <c r="AA3" s="644"/>
      <c r="AB3" s="644"/>
      <c r="AC3" s="644"/>
      <c r="AD3" s="644"/>
      <c r="AE3" s="644"/>
      <c r="AF3" s="644"/>
      <c r="AG3" s="644"/>
      <c r="AH3" s="644"/>
    </row>
    <row r="4" spans="1:13" ht="12.75">
      <c r="A4" s="175"/>
      <c r="B4" s="113" t="str">
        <f>Vr&amp;"  "</f>
        <v>Xxx Vie  </v>
      </c>
      <c r="C4" s="788" t="s">
        <v>243</v>
      </c>
      <c r="D4" s="788"/>
      <c r="E4" s="244" t="s">
        <v>779</v>
      </c>
      <c r="F4" s="789" t="s">
        <v>244</v>
      </c>
      <c r="G4" s="789"/>
      <c r="H4" s="245" t="s">
        <v>779</v>
      </c>
      <c r="I4" s="790" t="s">
        <v>245</v>
      </c>
      <c r="J4" s="790"/>
      <c r="K4" s="246" t="s">
        <v>779</v>
      </c>
      <c r="L4" s="239"/>
      <c r="M4" s="175"/>
    </row>
    <row r="5" spans="1:13" ht="12.75">
      <c r="A5" s="175"/>
      <c r="B5" s="247"/>
      <c r="C5" s="248" t="s">
        <v>246</v>
      </c>
      <c r="D5" s="248" t="s">
        <v>247</v>
      </c>
      <c r="E5" s="249"/>
      <c r="F5" s="250" t="s">
        <v>246</v>
      </c>
      <c r="G5" s="250" t="s">
        <v>247</v>
      </c>
      <c r="H5" s="251"/>
      <c r="I5" s="252" t="s">
        <v>246</v>
      </c>
      <c r="J5" s="252" t="s">
        <v>247</v>
      </c>
      <c r="K5" s="253"/>
      <c r="L5" s="239"/>
      <c r="M5" s="175"/>
    </row>
    <row r="6" spans="1:13" ht="19.5" customHeight="1">
      <c r="A6" s="432">
        <v>52</v>
      </c>
      <c r="B6" s="254" t="s">
        <v>603</v>
      </c>
      <c r="C6" s="255">
        <f>F6+I6</f>
        <v>0</v>
      </c>
      <c r="D6" s="255">
        <f>G6+J6</f>
        <v>0</v>
      </c>
      <c r="E6" s="256" t="str">
        <f>IF(D6&lt;&gt;0,(C6-D6)*100/D6," ")</f>
        <v> </v>
      </c>
      <c r="F6" s="496"/>
      <c r="G6" s="496"/>
      <c r="H6" s="257" t="str">
        <f>IF(G6&lt;&gt;0,(F6-G6)*100/G6," ")</f>
        <v> </v>
      </c>
      <c r="I6" s="497"/>
      <c r="J6" s="497"/>
      <c r="K6" s="258" t="str">
        <f>IF(J6&lt;&gt;0,(I6-J6)*100/J6," ")</f>
        <v> </v>
      </c>
      <c r="L6" s="239"/>
      <c r="M6" s="175"/>
    </row>
    <row r="7" spans="1:13" ht="12.75">
      <c r="A7" s="432"/>
      <c r="B7" s="259"/>
      <c r="C7" s="695"/>
      <c r="D7" s="259"/>
      <c r="E7" s="259"/>
      <c r="F7" s="259"/>
      <c r="G7" s="259"/>
      <c r="H7" s="259"/>
      <c r="I7" s="259"/>
      <c r="J7" s="259"/>
      <c r="K7" s="259"/>
      <c r="L7" s="175"/>
      <c r="M7" s="175"/>
    </row>
    <row r="8" spans="1:13" ht="12.75">
      <c r="A8" s="432">
        <v>53</v>
      </c>
      <c r="B8" s="260" t="s">
        <v>604</v>
      </c>
      <c r="C8" s="261">
        <f aca="true" t="shared" si="0" ref="C8:D31">F8+I8</f>
        <v>0</v>
      </c>
      <c r="D8" s="261">
        <f t="shared" si="0"/>
        <v>0</v>
      </c>
      <c r="E8" s="292" t="str">
        <f aca="true" t="shared" si="1" ref="E8:E31">IF(D8&lt;&gt;0,(C8-D8)*100/D8," ")</f>
        <v> </v>
      </c>
      <c r="F8" s="625"/>
      <c r="G8" s="612"/>
      <c r="H8" s="262" t="str">
        <f aca="true" t="shared" si="2" ref="H8:H31">IF(G8&lt;&gt;0,(F8-G8)*100/G8," ")</f>
        <v> </v>
      </c>
      <c r="I8" s="613"/>
      <c r="J8" s="613"/>
      <c r="K8" s="263" t="str">
        <f aca="true" t="shared" si="3" ref="K8:K31">IF(J8&lt;&gt;0,(I8-J8)*100/J8," ")</f>
        <v> </v>
      </c>
      <c r="L8" s="237"/>
      <c r="M8" s="175"/>
    </row>
    <row r="9" spans="1:13" ht="12.75">
      <c r="A9" s="432">
        <v>54</v>
      </c>
      <c r="B9" s="264" t="s">
        <v>605</v>
      </c>
      <c r="C9" s="261">
        <f t="shared" si="0"/>
        <v>0</v>
      </c>
      <c r="D9" s="261">
        <f t="shared" si="0"/>
        <v>0</v>
      </c>
      <c r="E9" s="294" t="str">
        <f t="shared" si="1"/>
        <v> </v>
      </c>
      <c r="F9" s="625"/>
      <c r="G9" s="612"/>
      <c r="H9" s="265" t="str">
        <f t="shared" si="2"/>
        <v> </v>
      </c>
      <c r="I9" s="613"/>
      <c r="J9" s="613"/>
      <c r="K9" s="266" t="str">
        <f t="shared" si="3"/>
        <v> </v>
      </c>
      <c r="L9" s="175"/>
      <c r="M9" s="175"/>
    </row>
    <row r="10" spans="1:13" ht="12.75">
      <c r="A10" s="432">
        <v>55</v>
      </c>
      <c r="B10" s="264" t="s">
        <v>606</v>
      </c>
      <c r="C10" s="261">
        <f t="shared" si="0"/>
        <v>0</v>
      </c>
      <c r="D10" s="261">
        <f t="shared" si="0"/>
        <v>0</v>
      </c>
      <c r="E10" s="294" t="str">
        <f t="shared" si="1"/>
        <v> </v>
      </c>
      <c r="F10" s="625"/>
      <c r="G10" s="612"/>
      <c r="H10" s="265" t="str">
        <f t="shared" si="2"/>
        <v> </v>
      </c>
      <c r="I10" s="613"/>
      <c r="J10" s="613"/>
      <c r="K10" s="266" t="str">
        <f t="shared" si="3"/>
        <v> </v>
      </c>
      <c r="L10" s="237"/>
      <c r="M10" s="175"/>
    </row>
    <row r="11" spans="1:13" ht="12.75">
      <c r="A11" s="432">
        <v>56</v>
      </c>
      <c r="B11" s="267" t="s">
        <v>607</v>
      </c>
      <c r="C11" s="261">
        <f t="shared" si="0"/>
        <v>0</v>
      </c>
      <c r="D11" s="261">
        <f t="shared" si="0"/>
        <v>0</v>
      </c>
      <c r="E11" s="294" t="str">
        <f t="shared" si="1"/>
        <v> </v>
      </c>
      <c r="F11" s="625"/>
      <c r="G11" s="612"/>
      <c r="H11" s="265" t="str">
        <f t="shared" si="2"/>
        <v> </v>
      </c>
      <c r="I11" s="613"/>
      <c r="J11" s="613"/>
      <c r="K11" s="266" t="str">
        <f t="shared" si="3"/>
        <v> </v>
      </c>
      <c r="L11" s="175"/>
      <c r="M11" s="175"/>
    </row>
    <row r="12" spans="1:13" ht="12.75">
      <c r="A12" s="432">
        <v>57</v>
      </c>
      <c r="B12" s="264" t="s">
        <v>608</v>
      </c>
      <c r="C12" s="261">
        <f t="shared" si="0"/>
        <v>0</v>
      </c>
      <c r="D12" s="261">
        <f t="shared" si="0"/>
        <v>0</v>
      </c>
      <c r="E12" s="294" t="str">
        <f t="shared" si="1"/>
        <v> </v>
      </c>
      <c r="F12" s="625"/>
      <c r="G12" s="612"/>
      <c r="H12" s="265" t="str">
        <f t="shared" si="2"/>
        <v> </v>
      </c>
      <c r="I12" s="613"/>
      <c r="J12" s="613"/>
      <c r="K12" s="266" t="str">
        <f t="shared" si="3"/>
        <v> </v>
      </c>
      <c r="L12" s="175"/>
      <c r="M12" s="175"/>
    </row>
    <row r="13" spans="1:13" ht="12.75">
      <c r="A13" s="432">
        <v>58</v>
      </c>
      <c r="B13" s="260" t="s">
        <v>609</v>
      </c>
      <c r="C13" s="261">
        <f t="shared" si="0"/>
        <v>0</v>
      </c>
      <c r="D13" s="261">
        <f t="shared" si="0"/>
        <v>0</v>
      </c>
      <c r="E13" s="294" t="str">
        <f t="shared" si="1"/>
        <v> </v>
      </c>
      <c r="F13" s="625"/>
      <c r="G13" s="612"/>
      <c r="H13" s="265" t="str">
        <f t="shared" si="2"/>
        <v> </v>
      </c>
      <c r="I13" s="613"/>
      <c r="J13" s="613"/>
      <c r="K13" s="266" t="str">
        <f t="shared" si="3"/>
        <v> </v>
      </c>
      <c r="L13" s="175"/>
      <c r="M13" s="175"/>
    </row>
    <row r="14" spans="1:13" ht="12.75">
      <c r="A14" s="432">
        <v>59</v>
      </c>
      <c r="B14" s="268" t="s">
        <v>610</v>
      </c>
      <c r="C14" s="261">
        <f t="shared" si="0"/>
        <v>0</v>
      </c>
      <c r="D14" s="261">
        <f t="shared" si="0"/>
        <v>0</v>
      </c>
      <c r="E14" s="294" t="str">
        <f t="shared" si="1"/>
        <v> </v>
      </c>
      <c r="F14" s="625"/>
      <c r="G14" s="612"/>
      <c r="H14" s="265" t="str">
        <f t="shared" si="2"/>
        <v> </v>
      </c>
      <c r="I14" s="613"/>
      <c r="J14" s="613"/>
      <c r="K14" s="266" t="str">
        <f t="shared" si="3"/>
        <v> </v>
      </c>
      <c r="L14" s="237"/>
      <c r="M14" s="175"/>
    </row>
    <row r="15" spans="1:13" ht="12.75">
      <c r="A15" s="432">
        <v>60</v>
      </c>
      <c r="B15" s="264" t="s">
        <v>611</v>
      </c>
      <c r="C15" s="261">
        <f t="shared" si="0"/>
        <v>0</v>
      </c>
      <c r="D15" s="261">
        <f t="shared" si="0"/>
        <v>0</v>
      </c>
      <c r="E15" s="294" t="str">
        <f t="shared" si="1"/>
        <v> </v>
      </c>
      <c r="F15" s="625"/>
      <c r="G15" s="612"/>
      <c r="H15" s="265" t="str">
        <f t="shared" si="2"/>
        <v> </v>
      </c>
      <c r="I15" s="613"/>
      <c r="J15" s="613"/>
      <c r="K15" s="266" t="str">
        <f t="shared" si="3"/>
        <v> </v>
      </c>
      <c r="L15" s="175"/>
      <c r="M15" s="175"/>
    </row>
    <row r="16" spans="1:13" ht="12.75">
      <c r="A16" s="432">
        <v>61</v>
      </c>
      <c r="B16" s="264" t="s">
        <v>612</v>
      </c>
      <c r="C16" s="261">
        <f t="shared" si="0"/>
        <v>0</v>
      </c>
      <c r="D16" s="261">
        <f t="shared" si="0"/>
        <v>0</v>
      </c>
      <c r="E16" s="294" t="str">
        <f t="shared" si="1"/>
        <v> </v>
      </c>
      <c r="F16" s="625"/>
      <c r="G16" s="612"/>
      <c r="H16" s="265" t="str">
        <f t="shared" si="2"/>
        <v> </v>
      </c>
      <c r="I16" s="613"/>
      <c r="J16" s="613"/>
      <c r="K16" s="266" t="str">
        <f t="shared" si="3"/>
        <v> </v>
      </c>
      <c r="L16" s="175"/>
      <c r="M16" s="175"/>
    </row>
    <row r="17" spans="1:13" ht="12.75">
      <c r="A17" s="432">
        <v>62</v>
      </c>
      <c r="B17" s="264" t="s">
        <v>613</v>
      </c>
      <c r="C17" s="261">
        <f t="shared" si="0"/>
        <v>0</v>
      </c>
      <c r="D17" s="261">
        <f t="shared" si="0"/>
        <v>0</v>
      </c>
      <c r="E17" s="294" t="str">
        <f t="shared" si="1"/>
        <v> </v>
      </c>
      <c r="F17" s="625"/>
      <c r="G17" s="612"/>
      <c r="H17" s="265" t="str">
        <f t="shared" si="2"/>
        <v> </v>
      </c>
      <c r="I17" s="613"/>
      <c r="J17" s="613"/>
      <c r="K17" s="266" t="str">
        <f t="shared" si="3"/>
        <v> </v>
      </c>
      <c r="L17" s="175"/>
      <c r="M17" s="175"/>
    </row>
    <row r="18" spans="1:13" ht="12.75">
      <c r="A18" s="432">
        <v>63</v>
      </c>
      <c r="B18" s="264" t="s">
        <v>614</v>
      </c>
      <c r="C18" s="261">
        <f t="shared" si="0"/>
        <v>0</v>
      </c>
      <c r="D18" s="261">
        <f t="shared" si="0"/>
        <v>0</v>
      </c>
      <c r="E18" s="294" t="str">
        <f t="shared" si="1"/>
        <v> </v>
      </c>
      <c r="F18" s="625"/>
      <c r="G18" s="612"/>
      <c r="H18" s="265" t="str">
        <f t="shared" si="2"/>
        <v> </v>
      </c>
      <c r="I18" s="613"/>
      <c r="J18" s="613"/>
      <c r="K18" s="266" t="str">
        <f t="shared" si="3"/>
        <v> </v>
      </c>
      <c r="L18" s="175"/>
      <c r="M18" s="175"/>
    </row>
    <row r="19" spans="1:13" ht="12.75">
      <c r="A19" s="432">
        <v>64</v>
      </c>
      <c r="B19" s="264" t="s">
        <v>615</v>
      </c>
      <c r="C19" s="261">
        <f t="shared" si="0"/>
        <v>0</v>
      </c>
      <c r="D19" s="261">
        <f t="shared" si="0"/>
        <v>0</v>
      </c>
      <c r="E19" s="294" t="str">
        <f t="shared" si="1"/>
        <v> </v>
      </c>
      <c r="F19" s="625"/>
      <c r="G19" s="612"/>
      <c r="H19" s="265" t="str">
        <f t="shared" si="2"/>
        <v> </v>
      </c>
      <c r="I19" s="613"/>
      <c r="J19" s="613"/>
      <c r="K19" s="266" t="str">
        <f t="shared" si="3"/>
        <v> </v>
      </c>
      <c r="L19" s="175"/>
      <c r="M19" s="175"/>
    </row>
    <row r="20" spans="1:13" ht="12.75">
      <c r="A20" s="432">
        <v>65</v>
      </c>
      <c r="B20" s="264" t="s">
        <v>616</v>
      </c>
      <c r="C20" s="261">
        <f t="shared" si="0"/>
        <v>0</v>
      </c>
      <c r="D20" s="261">
        <f t="shared" si="0"/>
        <v>0</v>
      </c>
      <c r="E20" s="294" t="str">
        <f t="shared" si="1"/>
        <v> </v>
      </c>
      <c r="F20" s="625"/>
      <c r="G20" s="612"/>
      <c r="H20" s="265" t="str">
        <f t="shared" si="2"/>
        <v> </v>
      </c>
      <c r="I20" s="613"/>
      <c r="J20" s="613"/>
      <c r="K20" s="266" t="str">
        <f t="shared" si="3"/>
        <v> </v>
      </c>
      <c r="L20" s="175"/>
      <c r="M20" s="175"/>
    </row>
    <row r="21" spans="1:13" ht="12.75">
      <c r="A21" s="432">
        <v>66</v>
      </c>
      <c r="B21" s="264" t="s">
        <v>617</v>
      </c>
      <c r="C21" s="261">
        <f t="shared" si="0"/>
        <v>0</v>
      </c>
      <c r="D21" s="261">
        <f t="shared" si="0"/>
        <v>0</v>
      </c>
      <c r="E21" s="294" t="str">
        <f t="shared" si="1"/>
        <v> </v>
      </c>
      <c r="F21" s="625"/>
      <c r="G21" s="612"/>
      <c r="H21" s="265" t="str">
        <f t="shared" si="2"/>
        <v> </v>
      </c>
      <c r="I21" s="613"/>
      <c r="J21" s="613"/>
      <c r="K21" s="266" t="str">
        <f t="shared" si="3"/>
        <v> </v>
      </c>
      <c r="L21" s="175"/>
      <c r="M21" s="175"/>
    </row>
    <row r="22" spans="1:13" ht="12.75">
      <c r="A22" s="432">
        <v>67</v>
      </c>
      <c r="B22" s="264" t="s">
        <v>618</v>
      </c>
      <c r="C22" s="261">
        <f t="shared" si="0"/>
        <v>0</v>
      </c>
      <c r="D22" s="261">
        <f t="shared" si="0"/>
        <v>0</v>
      </c>
      <c r="E22" s="294" t="str">
        <f t="shared" si="1"/>
        <v> </v>
      </c>
      <c r="F22" s="625"/>
      <c r="G22" s="612"/>
      <c r="H22" s="265" t="str">
        <f t="shared" si="2"/>
        <v> </v>
      </c>
      <c r="I22" s="613"/>
      <c r="J22" s="613"/>
      <c r="K22" s="266" t="str">
        <f t="shared" si="3"/>
        <v> </v>
      </c>
      <c r="L22" s="175"/>
      <c r="M22" s="175"/>
    </row>
    <row r="23" spans="1:13" ht="25.5">
      <c r="A23" s="432">
        <v>68</v>
      </c>
      <c r="B23" s="653" t="s">
        <v>619</v>
      </c>
      <c r="C23" s="261">
        <f t="shared" si="0"/>
        <v>0</v>
      </c>
      <c r="D23" s="261">
        <f t="shared" si="0"/>
        <v>0</v>
      </c>
      <c r="E23" s="294" t="str">
        <f t="shared" si="1"/>
        <v> </v>
      </c>
      <c r="F23" s="625"/>
      <c r="G23" s="612"/>
      <c r="H23" s="265" t="str">
        <f t="shared" si="2"/>
        <v> </v>
      </c>
      <c r="I23" s="613"/>
      <c r="J23" s="613"/>
      <c r="K23" s="266" t="str">
        <f t="shared" si="3"/>
        <v> </v>
      </c>
      <c r="L23" s="175"/>
      <c r="M23" s="175"/>
    </row>
    <row r="24" spans="1:13" ht="12.75">
      <c r="A24" s="432">
        <v>69</v>
      </c>
      <c r="B24" s="264" t="s">
        <v>620</v>
      </c>
      <c r="C24" s="261">
        <f t="shared" si="0"/>
        <v>0</v>
      </c>
      <c r="D24" s="261">
        <f t="shared" si="0"/>
        <v>0</v>
      </c>
      <c r="E24" s="294" t="str">
        <f t="shared" si="1"/>
        <v> </v>
      </c>
      <c r="F24" s="625"/>
      <c r="G24" s="612"/>
      <c r="H24" s="265" t="str">
        <f t="shared" si="2"/>
        <v> </v>
      </c>
      <c r="I24" s="613"/>
      <c r="J24" s="613"/>
      <c r="K24" s="266" t="str">
        <f t="shared" si="3"/>
        <v> </v>
      </c>
      <c r="L24" s="175"/>
      <c r="M24" s="175"/>
    </row>
    <row r="25" spans="1:13" ht="12.75">
      <c r="A25" s="432">
        <v>70</v>
      </c>
      <c r="B25" s="264" t="s">
        <v>621</v>
      </c>
      <c r="C25" s="261">
        <f t="shared" si="0"/>
        <v>0</v>
      </c>
      <c r="D25" s="261">
        <f t="shared" si="0"/>
        <v>0</v>
      </c>
      <c r="E25" s="294" t="str">
        <f t="shared" si="1"/>
        <v> </v>
      </c>
      <c r="F25" s="625"/>
      <c r="G25" s="612"/>
      <c r="H25" s="265" t="str">
        <f t="shared" si="2"/>
        <v> </v>
      </c>
      <c r="I25" s="613"/>
      <c r="J25" s="613"/>
      <c r="K25" s="266" t="str">
        <f t="shared" si="3"/>
        <v> </v>
      </c>
      <c r="L25" s="175"/>
      <c r="M25" s="175"/>
    </row>
    <row r="26" spans="1:13" ht="12.75">
      <c r="A26" s="432">
        <v>71</v>
      </c>
      <c r="B26" s="264" t="s">
        <v>622</v>
      </c>
      <c r="C26" s="261">
        <f t="shared" si="0"/>
        <v>0</v>
      </c>
      <c r="D26" s="261">
        <f t="shared" si="0"/>
        <v>0</v>
      </c>
      <c r="E26" s="294" t="str">
        <f t="shared" si="1"/>
        <v> </v>
      </c>
      <c r="F26" s="625"/>
      <c r="G26" s="612"/>
      <c r="H26" s="265" t="str">
        <f t="shared" si="2"/>
        <v> </v>
      </c>
      <c r="I26" s="613"/>
      <c r="J26" s="613"/>
      <c r="K26" s="266" t="str">
        <f t="shared" si="3"/>
        <v> </v>
      </c>
      <c r="L26" s="175"/>
      <c r="M26" s="175"/>
    </row>
    <row r="27" spans="1:13" ht="12.75">
      <c r="A27" s="432">
        <v>72</v>
      </c>
      <c r="B27" s="264" t="s">
        <v>569</v>
      </c>
      <c r="C27" s="261">
        <f t="shared" si="0"/>
        <v>0</v>
      </c>
      <c r="D27" s="261">
        <f t="shared" si="0"/>
        <v>0</v>
      </c>
      <c r="E27" s="294" t="str">
        <f t="shared" si="1"/>
        <v> </v>
      </c>
      <c r="F27" s="625"/>
      <c r="G27" s="612"/>
      <c r="H27" s="265" t="str">
        <f t="shared" si="2"/>
        <v> </v>
      </c>
      <c r="I27" s="613"/>
      <c r="J27" s="613"/>
      <c r="K27" s="266" t="str">
        <f t="shared" si="3"/>
        <v> </v>
      </c>
      <c r="L27" s="175"/>
      <c r="M27" s="175"/>
    </row>
    <row r="28" spans="1:13" ht="12.75">
      <c r="A28" s="432">
        <v>73</v>
      </c>
      <c r="B28" s="264" t="s">
        <v>570</v>
      </c>
      <c r="C28" s="261">
        <f t="shared" si="0"/>
        <v>0</v>
      </c>
      <c r="D28" s="261">
        <f t="shared" si="0"/>
        <v>0</v>
      </c>
      <c r="E28" s="294" t="str">
        <f t="shared" si="1"/>
        <v> </v>
      </c>
      <c r="F28" s="625"/>
      <c r="G28" s="612"/>
      <c r="H28" s="265" t="str">
        <f t="shared" si="2"/>
        <v> </v>
      </c>
      <c r="I28" s="613"/>
      <c r="J28" s="613"/>
      <c r="K28" s="266" t="str">
        <f t="shared" si="3"/>
        <v> </v>
      </c>
      <c r="L28" s="175"/>
      <c r="M28" s="175"/>
    </row>
    <row r="29" spans="1:13" ht="12.75">
      <c r="A29" s="432">
        <v>74</v>
      </c>
      <c r="B29" s="264" t="s">
        <v>623</v>
      </c>
      <c r="C29" s="261">
        <f t="shared" si="0"/>
        <v>0</v>
      </c>
      <c r="D29" s="261">
        <f t="shared" si="0"/>
        <v>0</v>
      </c>
      <c r="E29" s="294" t="str">
        <f t="shared" si="1"/>
        <v> </v>
      </c>
      <c r="F29" s="625"/>
      <c r="G29" s="612"/>
      <c r="H29" s="265" t="str">
        <f t="shared" si="2"/>
        <v> </v>
      </c>
      <c r="I29" s="613"/>
      <c r="J29" s="613"/>
      <c r="K29" s="266" t="str">
        <f t="shared" si="3"/>
        <v> </v>
      </c>
      <c r="L29" s="175"/>
      <c r="M29" s="175"/>
    </row>
    <row r="30" spans="1:13" ht="12.75">
      <c r="A30" s="432">
        <v>75</v>
      </c>
      <c r="B30" s="264" t="s">
        <v>624</v>
      </c>
      <c r="C30" s="269">
        <f t="shared" si="0"/>
        <v>0</v>
      </c>
      <c r="D30" s="269">
        <f t="shared" si="0"/>
        <v>0</v>
      </c>
      <c r="E30" s="294" t="str">
        <f t="shared" si="1"/>
        <v> </v>
      </c>
      <c r="F30" s="625"/>
      <c r="G30" s="612"/>
      <c r="H30" s="265" t="str">
        <f t="shared" si="2"/>
        <v> </v>
      </c>
      <c r="I30" s="613"/>
      <c r="J30" s="613"/>
      <c r="K30" s="266" t="str">
        <f t="shared" si="3"/>
        <v> </v>
      </c>
      <c r="L30" s="175"/>
      <c r="M30" s="175"/>
    </row>
    <row r="31" spans="1:13" ht="25.5">
      <c r="A31" s="106">
        <v>76</v>
      </c>
      <c r="B31" s="270" t="s">
        <v>638</v>
      </c>
      <c r="C31" s="271">
        <f t="shared" si="0"/>
        <v>0</v>
      </c>
      <c r="D31" s="271">
        <f t="shared" si="0"/>
        <v>0</v>
      </c>
      <c r="E31" s="256" t="str">
        <f t="shared" si="1"/>
        <v> </v>
      </c>
      <c r="F31" s="272">
        <f>SUM(F$8:F$30)</f>
        <v>0</v>
      </c>
      <c r="G31" s="272">
        <f>SUM(G$8:G$30)</f>
        <v>0</v>
      </c>
      <c r="H31" s="273" t="str">
        <f t="shared" si="2"/>
        <v> </v>
      </c>
      <c r="I31" s="274">
        <f>SUM(I$8:I$30)</f>
        <v>0</v>
      </c>
      <c r="J31" s="274">
        <f>SUM(J$8:J$30)</f>
        <v>0</v>
      </c>
      <c r="K31" s="275" t="str">
        <f t="shared" si="3"/>
        <v> </v>
      </c>
      <c r="L31" s="175"/>
      <c r="M31" s="175"/>
    </row>
    <row r="32" spans="1:13" ht="12.75">
      <c r="A32" s="487"/>
      <c r="B32" s="276"/>
      <c r="C32" s="276"/>
      <c r="D32" s="276"/>
      <c r="E32" s="276"/>
      <c r="F32" s="276"/>
      <c r="G32" s="276"/>
      <c r="H32" s="276"/>
      <c r="I32" s="276"/>
      <c r="J32" s="276"/>
      <c r="K32" s="276"/>
      <c r="L32" s="175"/>
      <c r="M32" s="175"/>
    </row>
    <row r="33" spans="1:13" ht="12.75">
      <c r="A33" s="432">
        <v>77</v>
      </c>
      <c r="B33" s="277" t="s">
        <v>639</v>
      </c>
      <c r="C33" s="278">
        <f>F33+I33</f>
        <v>0</v>
      </c>
      <c r="D33" s="278">
        <f>G33+J33</f>
        <v>0</v>
      </c>
      <c r="E33" s="279" t="str">
        <f>IF(D33&lt;&gt;0,(C33-D33)*100/D33," ")</f>
        <v> </v>
      </c>
      <c r="F33" s="496"/>
      <c r="G33" s="496"/>
      <c r="H33" s="280" t="str">
        <f>IF(G33&lt;&gt;0,(F33-G33)*100/G33," ")</f>
        <v> </v>
      </c>
      <c r="I33" s="497"/>
      <c r="J33" s="497"/>
      <c r="K33" s="281" t="str">
        <f>IF(J33&lt;&gt;0,(I33-J33)*100/J33," ")</f>
        <v> </v>
      </c>
      <c r="L33" s="175"/>
      <c r="M33" s="175"/>
    </row>
    <row r="34" spans="1:13" ht="12.75">
      <c r="A34" s="432"/>
      <c r="B34" s="282"/>
      <c r="C34" s="282"/>
      <c r="D34" s="282"/>
      <c r="E34" s="282"/>
      <c r="F34" s="282"/>
      <c r="G34" s="282"/>
      <c r="H34" s="282"/>
      <c r="I34" s="282"/>
      <c r="J34" s="282"/>
      <c r="K34" s="282"/>
      <c r="L34" s="175"/>
      <c r="M34" s="175"/>
    </row>
    <row r="35" spans="1:13" ht="25.5" customHeight="1">
      <c r="A35" s="106">
        <v>78</v>
      </c>
      <c r="B35" s="283" t="s">
        <v>640</v>
      </c>
      <c r="C35" s="278">
        <f>I35</f>
        <v>0</v>
      </c>
      <c r="D35" s="278">
        <f>J35</f>
        <v>0</v>
      </c>
      <c r="E35" s="279" t="str">
        <f>IF(D35&lt;&gt;0,(C35-D35)*100/D35," ")</f>
        <v> </v>
      </c>
      <c r="F35" s="156"/>
      <c r="G35" s="156"/>
      <c r="H35" s="284"/>
      <c r="I35" s="615"/>
      <c r="J35" s="615"/>
      <c r="K35" s="285"/>
      <c r="L35" s="175"/>
      <c r="M35" s="175"/>
    </row>
    <row r="36" spans="1:13" ht="12.75">
      <c r="A36" s="432"/>
      <c r="B36" s="259"/>
      <c r="C36" s="259"/>
      <c r="D36" s="259"/>
      <c r="E36" s="259"/>
      <c r="F36" s="259"/>
      <c r="G36" s="259"/>
      <c r="H36" s="259"/>
      <c r="I36" s="259"/>
      <c r="J36" s="259"/>
      <c r="K36" s="259"/>
      <c r="L36" s="175"/>
      <c r="M36" s="175"/>
    </row>
    <row r="37" spans="1:13" ht="25.5">
      <c r="A37" s="106">
        <v>79</v>
      </c>
      <c r="B37" s="270" t="s">
        <v>712</v>
      </c>
      <c r="C37" s="255">
        <f>F37+I37</f>
        <v>0</v>
      </c>
      <c r="D37" s="255">
        <f>G37+J37</f>
        <v>0</v>
      </c>
      <c r="E37" s="256" t="str">
        <f>IF(D37&lt;&gt;0,(C37-D37)*100/D37," ")</f>
        <v> </v>
      </c>
      <c r="F37" s="286">
        <f>F$31</f>
        <v>0</v>
      </c>
      <c r="G37" s="366">
        <f>G$31</f>
        <v>0</v>
      </c>
      <c r="H37" s="287" t="str">
        <f>IF(G37&lt;&gt;0,(F37-G37)*100/G37," ")</f>
        <v> </v>
      </c>
      <c r="I37" s="288">
        <f>I$31+I$35</f>
        <v>0</v>
      </c>
      <c r="J37" s="288">
        <f>J$31+J$35</f>
        <v>0</v>
      </c>
      <c r="K37" s="289" t="str">
        <f>IF(J37&lt;&gt;0,(I37-J37)*100/J37," ")</f>
        <v> </v>
      </c>
      <c r="L37" s="175"/>
      <c r="M37" s="175"/>
    </row>
    <row r="38" spans="1:13" ht="12.75">
      <c r="A38" s="432"/>
      <c r="B38" s="290"/>
      <c r="C38" s="290"/>
      <c r="D38" s="290"/>
      <c r="E38" s="290"/>
      <c r="F38" s="290"/>
      <c r="G38" s="290"/>
      <c r="H38" s="290"/>
      <c r="I38" s="290"/>
      <c r="J38" s="290"/>
      <c r="K38" s="290"/>
      <c r="L38" s="175"/>
      <c r="M38" s="175"/>
    </row>
    <row r="39" spans="1:13" ht="12.75">
      <c r="A39" s="106">
        <v>80</v>
      </c>
      <c r="B39" s="291" t="s">
        <v>642</v>
      </c>
      <c r="C39" s="261">
        <f aca="true" t="shared" si="4" ref="C39:D43">F39+I39</f>
        <v>0</v>
      </c>
      <c r="D39" s="261">
        <f t="shared" si="4"/>
        <v>0</v>
      </c>
      <c r="E39" s="292" t="str">
        <f aca="true" t="shared" si="5" ref="E39:E46">IF(D39&lt;&gt;0,(C39-D39)*100/D39," ")</f>
        <v> </v>
      </c>
      <c r="F39" s="612"/>
      <c r="G39" s="612"/>
      <c r="H39" s="262" t="str">
        <f aca="true" t="shared" si="6" ref="H39:H46">IF(G39&lt;&gt;0,(F39-G39)*100/G39," ")</f>
        <v> </v>
      </c>
      <c r="I39" s="613"/>
      <c r="J39" s="613"/>
      <c r="K39" s="263" t="str">
        <f aca="true" t="shared" si="7" ref="K39:K46">IF(J39&lt;&gt;0,(I39-J39)*100/J39," ")</f>
        <v> </v>
      </c>
      <c r="L39" s="175"/>
      <c r="M39" s="175"/>
    </row>
    <row r="40" spans="1:13" ht="12.75">
      <c r="A40" s="432">
        <v>81</v>
      </c>
      <c r="B40" s="293" t="s">
        <v>643</v>
      </c>
      <c r="C40" s="261">
        <f t="shared" si="4"/>
        <v>0</v>
      </c>
      <c r="D40" s="261">
        <f t="shared" si="4"/>
        <v>0</v>
      </c>
      <c r="E40" s="294" t="str">
        <f t="shared" si="5"/>
        <v> </v>
      </c>
      <c r="F40" s="612"/>
      <c r="G40" s="612"/>
      <c r="H40" s="265" t="str">
        <f t="shared" si="6"/>
        <v> </v>
      </c>
      <c r="I40" s="613"/>
      <c r="J40" s="613"/>
      <c r="K40" s="266" t="str">
        <f t="shared" si="7"/>
        <v> </v>
      </c>
      <c r="L40" s="175"/>
      <c r="M40" s="175"/>
    </row>
    <row r="41" spans="1:13" ht="12.75">
      <c r="A41" s="432">
        <v>82</v>
      </c>
      <c r="B41" s="264" t="s">
        <v>644</v>
      </c>
      <c r="C41" s="261">
        <f t="shared" si="4"/>
        <v>0</v>
      </c>
      <c r="D41" s="261">
        <f t="shared" si="4"/>
        <v>0</v>
      </c>
      <c r="E41" s="294" t="str">
        <f t="shared" si="5"/>
        <v> </v>
      </c>
      <c r="F41" s="612"/>
      <c r="G41" s="612"/>
      <c r="H41" s="265" t="str">
        <f t="shared" si="6"/>
        <v> </v>
      </c>
      <c r="I41" s="613"/>
      <c r="J41" s="613"/>
      <c r="K41" s="266" t="str">
        <f t="shared" si="7"/>
        <v> </v>
      </c>
      <c r="L41" s="175"/>
      <c r="M41" s="175"/>
    </row>
    <row r="42" spans="1:13" ht="12.75">
      <c r="A42" s="432">
        <v>83</v>
      </c>
      <c r="B42" s="264" t="s">
        <v>645</v>
      </c>
      <c r="C42" s="261">
        <f t="shared" si="4"/>
        <v>0</v>
      </c>
      <c r="D42" s="261">
        <f t="shared" si="4"/>
        <v>0</v>
      </c>
      <c r="E42" s="294" t="str">
        <f t="shared" si="5"/>
        <v> </v>
      </c>
      <c r="F42" s="612"/>
      <c r="G42" s="612"/>
      <c r="H42" s="265" t="str">
        <f t="shared" si="6"/>
        <v> </v>
      </c>
      <c r="I42" s="613"/>
      <c r="J42" s="613"/>
      <c r="K42" s="266" t="str">
        <f t="shared" si="7"/>
        <v> </v>
      </c>
      <c r="L42" s="237"/>
      <c r="M42" s="175"/>
    </row>
    <row r="43" spans="1:13" ht="12.75">
      <c r="A43" s="432">
        <v>84</v>
      </c>
      <c r="B43" s="264" t="s">
        <v>646</v>
      </c>
      <c r="C43" s="261">
        <f t="shared" si="4"/>
        <v>0</v>
      </c>
      <c r="D43" s="261">
        <f t="shared" si="4"/>
        <v>0</v>
      </c>
      <c r="E43" s="294" t="str">
        <f t="shared" si="5"/>
        <v> </v>
      </c>
      <c r="F43" s="612"/>
      <c r="G43" s="612"/>
      <c r="H43" s="265" t="str">
        <f t="shared" si="6"/>
        <v> </v>
      </c>
      <c r="I43" s="613"/>
      <c r="J43" s="613"/>
      <c r="K43" s="266" t="str">
        <f t="shared" si="7"/>
        <v> </v>
      </c>
      <c r="L43" s="175"/>
      <c r="M43" s="175"/>
    </row>
    <row r="44" spans="1:13" ht="12.75">
      <c r="A44" s="432">
        <v>85</v>
      </c>
      <c r="B44" s="264" t="s">
        <v>647</v>
      </c>
      <c r="C44" s="261">
        <f>I44</f>
        <v>0</v>
      </c>
      <c r="D44" s="261">
        <f>J44</f>
        <v>0</v>
      </c>
      <c r="E44" s="294" t="str">
        <f t="shared" si="5"/>
        <v> </v>
      </c>
      <c r="F44" s="6"/>
      <c r="G44" s="6"/>
      <c r="H44" s="265" t="str">
        <f t="shared" si="6"/>
        <v> </v>
      </c>
      <c r="I44" s="613"/>
      <c r="J44" s="613"/>
      <c r="K44" s="266" t="str">
        <f t="shared" si="7"/>
        <v> </v>
      </c>
      <c r="L44" s="175"/>
      <c r="M44" s="175"/>
    </row>
    <row r="45" spans="1:13" ht="25.5">
      <c r="A45" s="106">
        <v>86</v>
      </c>
      <c r="B45" s="291" t="s">
        <v>648</v>
      </c>
      <c r="C45" s="261">
        <f>F45+I45</f>
        <v>0</v>
      </c>
      <c r="D45" s="261">
        <f>G45+J45</f>
        <v>0</v>
      </c>
      <c r="E45" s="292" t="str">
        <f t="shared" si="5"/>
        <v> </v>
      </c>
      <c r="F45" s="612"/>
      <c r="G45" s="612"/>
      <c r="H45" s="265" t="str">
        <f t="shared" si="6"/>
        <v> </v>
      </c>
      <c r="I45" s="613"/>
      <c r="J45" s="613"/>
      <c r="K45" s="263" t="str">
        <f t="shared" si="7"/>
        <v> </v>
      </c>
      <c r="L45" s="175"/>
      <c r="M45" s="175"/>
    </row>
    <row r="46" spans="1:13" ht="12.75">
      <c r="A46" s="432">
        <v>87</v>
      </c>
      <c r="B46" s="295" t="s">
        <v>649</v>
      </c>
      <c r="C46" s="271">
        <f>F46+I46</f>
        <v>0</v>
      </c>
      <c r="D46" s="135">
        <f>G46+J46</f>
        <v>0</v>
      </c>
      <c r="E46" s="296" t="str">
        <f t="shared" si="5"/>
        <v> </v>
      </c>
      <c r="F46" s="272">
        <f>SUM(F$39:F$43)+F$45</f>
        <v>0</v>
      </c>
      <c r="G46" s="272">
        <f>SUM(G$39:G$43)+G$45</f>
        <v>0</v>
      </c>
      <c r="H46" s="273" t="str">
        <f t="shared" si="6"/>
        <v> </v>
      </c>
      <c r="I46" s="274">
        <f>SUM(I$39:I$45)</f>
        <v>0</v>
      </c>
      <c r="J46" s="274">
        <f>SUM(J$39:J$45)</f>
        <v>0</v>
      </c>
      <c r="K46" s="275" t="str">
        <f t="shared" si="7"/>
        <v> </v>
      </c>
      <c r="L46" s="175"/>
      <c r="M46" s="175"/>
    </row>
    <row r="47" spans="1:13" ht="12.75">
      <c r="A47" s="432"/>
      <c r="B47" s="297"/>
      <c r="C47" s="297"/>
      <c r="D47" s="297"/>
      <c r="E47" s="297"/>
      <c r="F47" s="297"/>
      <c r="G47" s="297"/>
      <c r="H47" s="297"/>
      <c r="I47" s="297"/>
      <c r="J47" s="297"/>
      <c r="K47" s="297"/>
      <c r="L47" s="175"/>
      <c r="M47" s="175"/>
    </row>
    <row r="48" spans="1:13" ht="13.5" thickBot="1">
      <c r="A48" s="432">
        <v>88</v>
      </c>
      <c r="B48" s="298" t="s">
        <v>682</v>
      </c>
      <c r="C48" s="299">
        <f>F48+I48</f>
        <v>0</v>
      </c>
      <c r="D48" s="299">
        <f>G48+J48</f>
        <v>0</v>
      </c>
      <c r="E48" s="300" t="str">
        <f>IF(D48&lt;&gt;0,(C48-D48)*100/D48," ")</f>
        <v> </v>
      </c>
      <c r="F48" s="301">
        <f>F$6+F$37+F$46</f>
        <v>0</v>
      </c>
      <c r="G48" s="301">
        <f>G$6+G$37+G$46</f>
        <v>0</v>
      </c>
      <c r="H48" s="302" t="str">
        <f>IF(G48&lt;&gt;0,(F48-G48)*100/G48," ")</f>
        <v> </v>
      </c>
      <c r="I48" s="303">
        <f>I$6+I$37+I$46</f>
        <v>0</v>
      </c>
      <c r="J48" s="303">
        <f>J$6+J$37+J$46</f>
        <v>0</v>
      </c>
      <c r="K48" s="304" t="str">
        <f>IF(J48&lt;&gt;0,(I48-J48)*100/J48," ")</f>
        <v> </v>
      </c>
      <c r="L48" s="175"/>
      <c r="M48" s="175"/>
    </row>
    <row r="49" spans="1:13" ht="14.25">
      <c r="A49" s="432"/>
      <c r="B49" s="305"/>
      <c r="C49" s="175"/>
      <c r="D49" s="175"/>
      <c r="E49" s="237"/>
      <c r="F49" s="175"/>
      <c r="G49" s="175"/>
      <c r="H49" s="237"/>
      <c r="I49" s="175"/>
      <c r="J49" s="175"/>
      <c r="K49" s="237"/>
      <c r="L49" s="175"/>
      <c r="M49" s="175"/>
    </row>
    <row r="50" spans="1:13" ht="12.75">
      <c r="A50" s="175"/>
      <c r="B50" s="175"/>
      <c r="C50" s="175"/>
      <c r="D50" s="175"/>
      <c r="E50" s="237"/>
      <c r="F50" s="175"/>
      <c r="G50" s="175"/>
      <c r="H50" s="237"/>
      <c r="I50" s="175"/>
      <c r="J50" s="175"/>
      <c r="K50" s="237"/>
      <c r="L50" s="175"/>
      <c r="M50" s="175"/>
    </row>
    <row r="51" spans="1:34" s="108" customFormat="1" ht="17.25" customHeight="1">
      <c r="A51" s="102">
        <v>4</v>
      </c>
      <c r="B51" s="103" t="s">
        <v>780</v>
      </c>
      <c r="C51" s="105" t="s">
        <v>241</v>
      </c>
      <c r="D51" s="105"/>
      <c r="E51" s="238"/>
      <c r="F51" s="105"/>
      <c r="G51" s="105"/>
      <c r="H51" s="238"/>
      <c r="I51" s="106"/>
      <c r="J51" s="106" t="s">
        <v>242</v>
      </c>
      <c r="K51" s="239">
        <f>jahr</f>
        <v>2007</v>
      </c>
      <c r="L51" s="239"/>
      <c r="M51" s="175"/>
      <c r="N51" s="644"/>
      <c r="O51" s="644"/>
      <c r="P51" s="644"/>
      <c r="Q51" s="644"/>
      <c r="R51" s="644"/>
      <c r="S51" s="644"/>
      <c r="T51" s="644"/>
      <c r="U51" s="644"/>
      <c r="V51" s="644"/>
      <c r="W51" s="644"/>
      <c r="X51" s="644"/>
      <c r="Y51" s="644"/>
      <c r="Z51" s="644"/>
      <c r="AA51" s="644"/>
      <c r="AB51" s="644"/>
      <c r="AC51" s="644"/>
      <c r="AD51" s="644"/>
      <c r="AE51" s="644"/>
      <c r="AF51" s="644"/>
      <c r="AG51" s="644"/>
      <c r="AH51" s="644"/>
    </row>
    <row r="52" spans="1:34" s="108" customFormat="1" ht="13.5" customHeight="1">
      <c r="A52" s="240"/>
      <c r="B52" s="241" t="s">
        <v>580</v>
      </c>
      <c r="C52" s="240" t="s">
        <v>566</v>
      </c>
      <c r="D52" s="240" t="s">
        <v>567</v>
      </c>
      <c r="E52" s="242" t="s">
        <v>574</v>
      </c>
      <c r="F52" s="240" t="s">
        <v>575</v>
      </c>
      <c r="G52" s="240" t="s">
        <v>573</v>
      </c>
      <c r="H52" s="242" t="s">
        <v>591</v>
      </c>
      <c r="I52" s="240" t="s">
        <v>592</v>
      </c>
      <c r="J52" s="240" t="s">
        <v>593</v>
      </c>
      <c r="K52" s="243" t="s">
        <v>594</v>
      </c>
      <c r="L52" s="243" t="s">
        <v>595</v>
      </c>
      <c r="M52" s="175"/>
      <c r="N52" s="644"/>
      <c r="O52" s="644"/>
      <c r="P52" s="644"/>
      <c r="Q52" s="644"/>
      <c r="R52" s="644"/>
      <c r="S52" s="644"/>
      <c r="T52" s="644"/>
      <c r="U52" s="644"/>
      <c r="V52" s="644"/>
      <c r="W52" s="644"/>
      <c r="X52" s="644"/>
      <c r="Y52" s="644"/>
      <c r="Z52" s="644"/>
      <c r="AA52" s="644"/>
      <c r="AB52" s="644"/>
      <c r="AC52" s="644"/>
      <c r="AD52" s="644"/>
      <c r="AE52" s="644"/>
      <c r="AF52" s="644"/>
      <c r="AG52" s="644"/>
      <c r="AH52" s="644"/>
    </row>
    <row r="53" spans="1:13" ht="12.75">
      <c r="A53" s="175"/>
      <c r="B53" s="113" t="str">
        <f>Vr&amp;"  "</f>
        <v>Xxx Vie  </v>
      </c>
      <c r="C53" s="788" t="s">
        <v>243</v>
      </c>
      <c r="D53" s="788"/>
      <c r="E53" s="244" t="s">
        <v>779</v>
      </c>
      <c r="F53" s="789" t="s">
        <v>244</v>
      </c>
      <c r="G53" s="789"/>
      <c r="H53" s="245" t="s">
        <v>779</v>
      </c>
      <c r="I53" s="790" t="s">
        <v>245</v>
      </c>
      <c r="J53" s="790"/>
      <c r="K53" s="246" t="s">
        <v>779</v>
      </c>
      <c r="L53" s="306" t="s">
        <v>248</v>
      </c>
      <c r="M53" s="105"/>
    </row>
    <row r="54" spans="1:13" ht="14.25">
      <c r="A54" s="175"/>
      <c r="B54" s="247"/>
      <c r="C54" s="248" t="s">
        <v>246</v>
      </c>
      <c r="D54" s="248" t="s">
        <v>247</v>
      </c>
      <c r="E54" s="249"/>
      <c r="F54" s="250" t="s">
        <v>246</v>
      </c>
      <c r="G54" s="250" t="s">
        <v>247</v>
      </c>
      <c r="H54" s="251"/>
      <c r="I54" s="252" t="s">
        <v>246</v>
      </c>
      <c r="J54" s="252" t="s">
        <v>247</v>
      </c>
      <c r="K54" s="253"/>
      <c r="L54" s="652" t="s">
        <v>782</v>
      </c>
      <c r="M54" s="105"/>
    </row>
    <row r="55" spans="1:13" ht="19.5" customHeight="1">
      <c r="A55" s="432">
        <v>89</v>
      </c>
      <c r="B55" s="651" t="s">
        <v>763</v>
      </c>
      <c r="C55" s="278">
        <f>F55+I55</f>
        <v>0</v>
      </c>
      <c r="D55" s="278">
        <f>G55+J55</f>
        <v>0</v>
      </c>
      <c r="E55" s="279" t="str">
        <f>IF(D55&lt;&gt;0,(C55-D55)*100/D55," ")</f>
        <v> </v>
      </c>
      <c r="F55" s="496"/>
      <c r="G55" s="496"/>
      <c r="H55" s="280" t="str">
        <f>IF(G55&lt;&gt;0,(F55-G55)*100/G55," ")</f>
        <v> </v>
      </c>
      <c r="I55" s="497"/>
      <c r="J55" s="497"/>
      <c r="K55" s="281" t="str">
        <f>IF(J55&lt;&gt;0,(I55-J55)*100/J55," ")</f>
        <v> </v>
      </c>
      <c r="L55" s="175"/>
      <c r="M55" s="175"/>
    </row>
    <row r="56" spans="1:13" ht="12.75">
      <c r="A56" s="432"/>
      <c r="B56" s="307"/>
      <c r="C56" s="307"/>
      <c r="D56" s="307"/>
      <c r="E56" s="307"/>
      <c r="F56" s="307"/>
      <c r="G56" s="307"/>
      <c r="H56" s="307"/>
      <c r="I56" s="307"/>
      <c r="J56" s="307"/>
      <c r="K56" s="307"/>
      <c r="L56" s="175"/>
      <c r="M56" s="175"/>
    </row>
    <row r="57" spans="1:13" ht="12.75">
      <c r="A57" s="432">
        <v>90</v>
      </c>
      <c r="B57" s="254" t="s">
        <v>735</v>
      </c>
      <c r="C57" s="278">
        <f>F57+I57</f>
        <v>0</v>
      </c>
      <c r="D57" s="278">
        <f>G57+J57</f>
        <v>0</v>
      </c>
      <c r="E57" s="279" t="str">
        <f>IF(D57&lt;&gt;0,(C57-D57)*100/D57," ")</f>
        <v> </v>
      </c>
      <c r="F57" s="496"/>
      <c r="G57" s="496"/>
      <c r="H57" s="280" t="str">
        <f>IF(G57&lt;&gt;0,(F57-G57)*100/G57," ")</f>
        <v> </v>
      </c>
      <c r="I57" s="497"/>
      <c r="J57" s="497"/>
      <c r="K57" s="281" t="str">
        <f>IF(J57&lt;&gt;0,(I57-J57)*100/J57," ")</f>
        <v> </v>
      </c>
      <c r="L57" s="175"/>
      <c r="M57" s="175"/>
    </row>
    <row r="58" spans="1:13" ht="12.75">
      <c r="A58" s="432"/>
      <c r="B58" s="308"/>
      <c r="C58" s="247"/>
      <c r="D58" s="247"/>
      <c r="E58" s="247"/>
      <c r="F58" s="247"/>
      <c r="G58" s="247"/>
      <c r="H58" s="247"/>
      <c r="I58" s="247"/>
      <c r="J58" s="247"/>
      <c r="K58" s="247"/>
      <c r="L58" s="175"/>
      <c r="M58" s="175"/>
    </row>
    <row r="59" spans="1:13" ht="12.75">
      <c r="A59" s="599">
        <v>91</v>
      </c>
      <c r="B59" s="309" t="s">
        <v>738</v>
      </c>
      <c r="C59" s="261">
        <f aca="true" t="shared" si="8" ref="C59:D65">F59+I59</f>
        <v>0</v>
      </c>
      <c r="D59" s="261">
        <f t="shared" si="8"/>
        <v>0</v>
      </c>
      <c r="E59" s="292" t="str">
        <f aca="true" t="shared" si="9" ref="E59:E80">IF(D59&lt;&gt;0,(C59-D59)*100/D59," ")</f>
        <v> </v>
      </c>
      <c r="F59" s="612"/>
      <c r="G59" s="612"/>
      <c r="H59" s="262" t="str">
        <f aca="true" t="shared" si="10" ref="H59:H78">IF(G59&lt;&gt;0,(F59-G59)*100/G59," ")</f>
        <v> </v>
      </c>
      <c r="I59" s="613"/>
      <c r="J59" s="613"/>
      <c r="K59" s="263" t="str">
        <f aca="true" t="shared" si="11" ref="K59:K80">IF(J59&lt;&gt;0,(I59-J59)*100/J59," ")</f>
        <v> </v>
      </c>
      <c r="L59" s="626"/>
      <c r="M59" s="175"/>
    </row>
    <row r="60" spans="1:13" ht="12.75">
      <c r="A60" s="599">
        <v>92</v>
      </c>
      <c r="B60" s="309" t="s">
        <v>739</v>
      </c>
      <c r="C60" s="261">
        <f t="shared" si="8"/>
        <v>0</v>
      </c>
      <c r="D60" s="261">
        <f t="shared" si="8"/>
        <v>0</v>
      </c>
      <c r="E60" s="292" t="str">
        <f t="shared" si="9"/>
        <v> </v>
      </c>
      <c r="F60" s="612"/>
      <c r="G60" s="612"/>
      <c r="H60" s="262" t="str">
        <f t="shared" si="10"/>
        <v> </v>
      </c>
      <c r="I60" s="613"/>
      <c r="J60" s="613"/>
      <c r="K60" s="263" t="str">
        <f t="shared" si="11"/>
        <v> </v>
      </c>
      <c r="L60" s="626"/>
      <c r="M60" s="175"/>
    </row>
    <row r="61" spans="1:13" ht="12.75">
      <c r="A61" s="600">
        <v>93</v>
      </c>
      <c r="B61" s="309" t="s">
        <v>740</v>
      </c>
      <c r="C61" s="261">
        <f t="shared" si="8"/>
        <v>0</v>
      </c>
      <c r="D61" s="261">
        <f t="shared" si="8"/>
        <v>0</v>
      </c>
      <c r="E61" s="292" t="str">
        <f t="shared" si="9"/>
        <v> </v>
      </c>
      <c r="F61" s="612"/>
      <c r="G61" s="612"/>
      <c r="H61" s="262" t="str">
        <f t="shared" si="10"/>
        <v> </v>
      </c>
      <c r="I61" s="613"/>
      <c r="J61" s="613"/>
      <c r="K61" s="263" t="str">
        <f t="shared" si="11"/>
        <v> </v>
      </c>
      <c r="L61" s="175"/>
      <c r="M61" s="175"/>
    </row>
    <row r="62" spans="1:13" ht="12.75">
      <c r="A62" s="599">
        <v>94</v>
      </c>
      <c r="B62" s="309" t="s">
        <v>741</v>
      </c>
      <c r="C62" s="261">
        <f t="shared" si="8"/>
        <v>0</v>
      </c>
      <c r="D62" s="261">
        <f t="shared" si="8"/>
        <v>0</v>
      </c>
      <c r="E62" s="292" t="str">
        <f t="shared" si="9"/>
        <v> </v>
      </c>
      <c r="F62" s="612"/>
      <c r="G62" s="612"/>
      <c r="H62" s="262" t="str">
        <f t="shared" si="10"/>
        <v> </v>
      </c>
      <c r="I62" s="613"/>
      <c r="J62" s="613"/>
      <c r="K62" s="263" t="str">
        <f t="shared" si="11"/>
        <v> </v>
      </c>
      <c r="L62" s="626"/>
      <c r="M62" s="175"/>
    </row>
    <row r="63" spans="1:13" ht="12.75">
      <c r="A63" s="600">
        <v>95</v>
      </c>
      <c r="B63" s="309" t="s">
        <v>736</v>
      </c>
      <c r="C63" s="261">
        <f t="shared" si="8"/>
        <v>0</v>
      </c>
      <c r="D63" s="261">
        <f t="shared" si="8"/>
        <v>0</v>
      </c>
      <c r="E63" s="292" t="str">
        <f t="shared" si="9"/>
        <v> </v>
      </c>
      <c r="F63" s="612"/>
      <c r="G63" s="612"/>
      <c r="H63" s="262" t="str">
        <f t="shared" si="10"/>
        <v> </v>
      </c>
      <c r="I63" s="613"/>
      <c r="J63" s="613"/>
      <c r="K63" s="263" t="str">
        <f t="shared" si="11"/>
        <v> </v>
      </c>
      <c r="L63" s="175"/>
      <c r="M63" s="175"/>
    </row>
    <row r="64" spans="1:13" ht="12.75">
      <c r="A64" s="599">
        <v>96</v>
      </c>
      <c r="B64" s="309" t="s">
        <v>742</v>
      </c>
      <c r="C64" s="261">
        <f t="shared" si="8"/>
        <v>0</v>
      </c>
      <c r="D64" s="261">
        <f t="shared" si="8"/>
        <v>0</v>
      </c>
      <c r="E64" s="292" t="str">
        <f t="shared" si="9"/>
        <v> </v>
      </c>
      <c r="F64" s="612"/>
      <c r="G64" s="612"/>
      <c r="H64" s="262" t="str">
        <f t="shared" si="10"/>
        <v> </v>
      </c>
      <c r="I64" s="613"/>
      <c r="J64" s="613"/>
      <c r="K64" s="263" t="str">
        <f t="shared" si="11"/>
        <v> </v>
      </c>
      <c r="L64" s="626"/>
      <c r="M64" s="175"/>
    </row>
    <row r="65" spans="1:13" ht="12.75">
      <c r="A65" s="600">
        <v>97</v>
      </c>
      <c r="B65" s="309" t="s">
        <v>737</v>
      </c>
      <c r="C65" s="261">
        <f t="shared" si="8"/>
        <v>0</v>
      </c>
      <c r="D65" s="261">
        <f t="shared" si="8"/>
        <v>0</v>
      </c>
      <c r="E65" s="292" t="str">
        <f t="shared" si="9"/>
        <v> </v>
      </c>
      <c r="F65" s="612"/>
      <c r="G65" s="612"/>
      <c r="H65" s="262" t="str">
        <f t="shared" si="10"/>
        <v> </v>
      </c>
      <c r="I65" s="613"/>
      <c r="J65" s="613"/>
      <c r="K65" s="263" t="str">
        <f t="shared" si="11"/>
        <v> </v>
      </c>
      <c r="L65" s="175"/>
      <c r="M65" s="175"/>
    </row>
    <row r="66" spans="1:13" ht="12.75">
      <c r="A66" s="599">
        <v>98</v>
      </c>
      <c r="B66" s="309" t="s">
        <v>743</v>
      </c>
      <c r="C66" s="261">
        <f>F66</f>
        <v>0</v>
      </c>
      <c r="D66" s="261">
        <f>G66</f>
        <v>0</v>
      </c>
      <c r="E66" s="292" t="str">
        <f t="shared" si="9"/>
        <v> </v>
      </c>
      <c r="F66" s="612"/>
      <c r="G66" s="612"/>
      <c r="H66" s="262" t="str">
        <f t="shared" si="10"/>
        <v> </v>
      </c>
      <c r="I66" s="6"/>
      <c r="J66" s="6"/>
      <c r="K66" s="263" t="str">
        <f t="shared" si="11"/>
        <v> </v>
      </c>
      <c r="L66" s="175"/>
      <c r="M66" s="175"/>
    </row>
    <row r="67" spans="1:13" ht="25.5">
      <c r="A67" s="600">
        <v>99</v>
      </c>
      <c r="B67" s="310" t="s">
        <v>672</v>
      </c>
      <c r="C67" s="261">
        <f>I67</f>
        <v>0</v>
      </c>
      <c r="D67" s="261">
        <f>J67</f>
        <v>0</v>
      </c>
      <c r="E67" s="292" t="str">
        <f t="shared" si="9"/>
        <v> </v>
      </c>
      <c r="F67" s="6"/>
      <c r="G67" s="6"/>
      <c r="H67" s="262" t="str">
        <f t="shared" si="10"/>
        <v> </v>
      </c>
      <c r="I67" s="613"/>
      <c r="J67" s="613"/>
      <c r="K67" s="263" t="str">
        <f t="shared" si="11"/>
        <v> </v>
      </c>
      <c r="L67" s="175"/>
      <c r="M67" s="175"/>
    </row>
    <row r="68" spans="1:13" ht="12.75">
      <c r="A68" s="600">
        <v>100</v>
      </c>
      <c r="B68" s="309" t="s">
        <v>744</v>
      </c>
      <c r="C68" s="261">
        <f>F68+I68</f>
        <v>0</v>
      </c>
      <c r="D68" s="261">
        <f>G68+J68</f>
        <v>0</v>
      </c>
      <c r="E68" s="292" t="str">
        <f t="shared" si="9"/>
        <v> </v>
      </c>
      <c r="F68" s="612"/>
      <c r="G68" s="612"/>
      <c r="H68" s="262" t="str">
        <f t="shared" si="10"/>
        <v> </v>
      </c>
      <c r="I68" s="613"/>
      <c r="J68" s="613"/>
      <c r="K68" s="263" t="str">
        <f t="shared" si="11"/>
        <v> </v>
      </c>
      <c r="L68" s="175"/>
      <c r="M68" s="175"/>
    </row>
    <row r="69" spans="1:13" ht="25.5">
      <c r="A69" s="600">
        <v>101</v>
      </c>
      <c r="B69" s="654" t="s">
        <v>745</v>
      </c>
      <c r="C69" s="269">
        <f aca="true" t="shared" si="12" ref="C69:D80">F69+I69</f>
        <v>0</v>
      </c>
      <c r="D69" s="269">
        <f t="shared" si="12"/>
        <v>0</v>
      </c>
      <c r="E69" s="311" t="str">
        <f t="shared" si="9"/>
        <v> </v>
      </c>
      <c r="F69" s="614"/>
      <c r="G69" s="614"/>
      <c r="H69" s="312" t="str">
        <f t="shared" si="10"/>
        <v> </v>
      </c>
      <c r="I69" s="615"/>
      <c r="J69" s="615"/>
      <c r="K69" s="313" t="str">
        <f t="shared" si="11"/>
        <v> </v>
      </c>
      <c r="L69" s="175"/>
      <c r="M69" s="175"/>
    </row>
    <row r="70" spans="1:34" s="108" customFormat="1" ht="25.5" customHeight="1">
      <c r="A70" s="600">
        <v>102</v>
      </c>
      <c r="B70" s="314" t="s">
        <v>673</v>
      </c>
      <c r="C70" s="315">
        <f t="shared" si="12"/>
        <v>0</v>
      </c>
      <c r="D70" s="315">
        <f t="shared" si="12"/>
        <v>0</v>
      </c>
      <c r="E70" s="316" t="str">
        <f t="shared" si="9"/>
        <v> </v>
      </c>
      <c r="F70" s="317">
        <f>SUM(F$59:F$66)+SUM(F$68:F$69)</f>
        <v>0</v>
      </c>
      <c r="G70" s="701">
        <f>SUM(G$59:G$66)+SUM(G$68:G$69)</f>
        <v>0</v>
      </c>
      <c r="H70" s="318" t="str">
        <f t="shared" si="10"/>
        <v> </v>
      </c>
      <c r="I70" s="319">
        <f>SUM(I$59:I$65)+SUM(I$67:I$69)</f>
        <v>0</v>
      </c>
      <c r="J70" s="319">
        <f>SUM(J$59:J$65)+SUM(J$67:J$69)</f>
        <v>0</v>
      </c>
      <c r="K70" s="320" t="str">
        <f t="shared" si="11"/>
        <v> </v>
      </c>
      <c r="L70" s="105"/>
      <c r="M70" s="175"/>
      <c r="N70" s="644"/>
      <c r="O70" s="644"/>
      <c r="P70" s="644"/>
      <c r="Q70" s="644"/>
      <c r="R70" s="644"/>
      <c r="S70" s="644"/>
      <c r="T70" s="644"/>
      <c r="U70" s="644"/>
      <c r="V70" s="644"/>
      <c r="W70" s="644"/>
      <c r="X70" s="644"/>
      <c r="Y70" s="644"/>
      <c r="Z70" s="644"/>
      <c r="AA70" s="644"/>
      <c r="AB70" s="644"/>
      <c r="AC70" s="644"/>
      <c r="AD70" s="644"/>
      <c r="AE70" s="644"/>
      <c r="AF70" s="644"/>
      <c r="AG70" s="644"/>
      <c r="AH70" s="644"/>
    </row>
    <row r="71" spans="1:13" ht="12.75">
      <c r="A71" s="599">
        <v>103</v>
      </c>
      <c r="B71" s="321" t="s">
        <v>746</v>
      </c>
      <c r="C71" s="261">
        <f t="shared" si="12"/>
        <v>0</v>
      </c>
      <c r="D71" s="261">
        <f t="shared" si="12"/>
        <v>0</v>
      </c>
      <c r="E71" s="294" t="str">
        <f t="shared" si="9"/>
        <v> </v>
      </c>
      <c r="F71" s="612"/>
      <c r="G71" s="612"/>
      <c r="H71" s="265" t="str">
        <f t="shared" si="10"/>
        <v> </v>
      </c>
      <c r="I71" s="613"/>
      <c r="J71" s="613"/>
      <c r="K71" s="266" t="str">
        <f t="shared" si="11"/>
        <v> </v>
      </c>
      <c r="L71" s="175"/>
      <c r="M71" s="175"/>
    </row>
    <row r="72" spans="1:13" ht="12.75">
      <c r="A72" s="599">
        <v>104</v>
      </c>
      <c r="B72" s="309" t="s">
        <v>747</v>
      </c>
      <c r="C72" s="261">
        <f t="shared" si="12"/>
        <v>0</v>
      </c>
      <c r="D72" s="261">
        <f t="shared" si="12"/>
        <v>0</v>
      </c>
      <c r="E72" s="292" t="str">
        <f t="shared" si="9"/>
        <v> </v>
      </c>
      <c r="F72" s="612"/>
      <c r="G72" s="612"/>
      <c r="H72" s="262" t="str">
        <f t="shared" si="10"/>
        <v> </v>
      </c>
      <c r="I72" s="613"/>
      <c r="J72" s="613"/>
      <c r="K72" s="263" t="str">
        <f t="shared" si="11"/>
        <v> </v>
      </c>
      <c r="L72" s="175"/>
      <c r="M72" s="175"/>
    </row>
    <row r="73" spans="1:13" ht="12.75">
      <c r="A73" s="600">
        <v>105</v>
      </c>
      <c r="B73" s="321" t="s">
        <v>748</v>
      </c>
      <c r="C73" s="261">
        <f t="shared" si="12"/>
        <v>0</v>
      </c>
      <c r="D73" s="261">
        <f t="shared" si="12"/>
        <v>0</v>
      </c>
      <c r="E73" s="292" t="str">
        <f t="shared" si="9"/>
        <v> </v>
      </c>
      <c r="F73" s="612"/>
      <c r="G73" s="612"/>
      <c r="H73" s="262" t="str">
        <f t="shared" si="10"/>
        <v> </v>
      </c>
      <c r="I73" s="613"/>
      <c r="J73" s="613"/>
      <c r="K73" s="263" t="str">
        <f t="shared" si="11"/>
        <v> </v>
      </c>
      <c r="L73" s="175"/>
      <c r="M73" s="175"/>
    </row>
    <row r="74" spans="1:13" ht="12.75">
      <c r="A74" s="600">
        <v>106</v>
      </c>
      <c r="B74" s="309" t="s">
        <v>749</v>
      </c>
      <c r="C74" s="261">
        <f t="shared" si="12"/>
        <v>0</v>
      </c>
      <c r="D74" s="261">
        <f t="shared" si="12"/>
        <v>0</v>
      </c>
      <c r="E74" s="292" t="str">
        <f t="shared" si="9"/>
        <v> </v>
      </c>
      <c r="F74" s="625"/>
      <c r="G74" s="625"/>
      <c r="H74" s="262" t="str">
        <f t="shared" si="10"/>
        <v> </v>
      </c>
      <c r="I74" s="613"/>
      <c r="J74" s="613"/>
      <c r="K74" s="263" t="str">
        <f t="shared" si="11"/>
        <v> </v>
      </c>
      <c r="L74" s="175"/>
      <c r="M74" s="175"/>
    </row>
    <row r="75" spans="1:13" ht="12.75">
      <c r="A75" s="599">
        <v>107</v>
      </c>
      <c r="B75" s="309" t="s">
        <v>751</v>
      </c>
      <c r="C75" s="261">
        <f t="shared" si="12"/>
        <v>0</v>
      </c>
      <c r="D75" s="261">
        <f t="shared" si="12"/>
        <v>0</v>
      </c>
      <c r="E75" s="292" t="str">
        <f t="shared" si="9"/>
        <v> </v>
      </c>
      <c r="F75" s="625"/>
      <c r="G75" s="625"/>
      <c r="H75" s="262" t="str">
        <f t="shared" si="10"/>
        <v> </v>
      </c>
      <c r="I75" s="613"/>
      <c r="J75" s="613"/>
      <c r="K75" s="263" t="str">
        <f t="shared" si="11"/>
        <v> </v>
      </c>
      <c r="L75" s="175"/>
      <c r="M75" s="175"/>
    </row>
    <row r="76" spans="1:13" ht="12.75">
      <c r="A76" s="599">
        <v>108</v>
      </c>
      <c r="B76" s="309" t="s">
        <v>752</v>
      </c>
      <c r="C76" s="261">
        <f t="shared" si="12"/>
        <v>0</v>
      </c>
      <c r="D76" s="261">
        <f t="shared" si="12"/>
        <v>0</v>
      </c>
      <c r="E76" s="292" t="str">
        <f t="shared" si="9"/>
        <v> </v>
      </c>
      <c r="F76" s="625"/>
      <c r="G76" s="625"/>
      <c r="H76" s="262" t="str">
        <f t="shared" si="10"/>
        <v> </v>
      </c>
      <c r="I76" s="613"/>
      <c r="J76" s="613"/>
      <c r="K76" s="263" t="str">
        <f t="shared" si="11"/>
        <v> </v>
      </c>
      <c r="L76" s="175"/>
      <c r="M76" s="175"/>
    </row>
    <row r="77" spans="1:13" ht="12.75">
      <c r="A77" s="599">
        <v>109</v>
      </c>
      <c r="B77" s="321" t="s">
        <v>674</v>
      </c>
      <c r="C77" s="261">
        <f t="shared" si="12"/>
        <v>0</v>
      </c>
      <c r="D77" s="261">
        <f t="shared" si="12"/>
        <v>0</v>
      </c>
      <c r="E77" s="294" t="str">
        <f t="shared" si="9"/>
        <v> </v>
      </c>
      <c r="F77" s="625"/>
      <c r="G77" s="625"/>
      <c r="H77" s="265" t="str">
        <f t="shared" si="10"/>
        <v> </v>
      </c>
      <c r="I77" s="613"/>
      <c r="J77" s="613"/>
      <c r="K77" s="266" t="str">
        <f t="shared" si="11"/>
        <v> </v>
      </c>
      <c r="L77" s="237"/>
      <c r="M77" s="175"/>
    </row>
    <row r="78" spans="1:13" ht="12.75">
      <c r="A78" s="600">
        <v>111</v>
      </c>
      <c r="B78" s="321" t="s">
        <v>754</v>
      </c>
      <c r="C78" s="261">
        <f t="shared" si="12"/>
        <v>0</v>
      </c>
      <c r="D78" s="261">
        <f t="shared" si="12"/>
        <v>0</v>
      </c>
      <c r="E78" s="294" t="str">
        <f t="shared" si="9"/>
        <v> </v>
      </c>
      <c r="F78" s="625"/>
      <c r="G78" s="625"/>
      <c r="H78" s="265" t="str">
        <f t="shared" si="10"/>
        <v> </v>
      </c>
      <c r="I78" s="613"/>
      <c r="J78" s="613"/>
      <c r="K78" s="266" t="str">
        <f t="shared" si="11"/>
        <v> </v>
      </c>
      <c r="L78" s="175"/>
      <c r="M78" s="175"/>
    </row>
    <row r="79" spans="1:13" ht="12.75">
      <c r="A79" s="599">
        <v>110</v>
      </c>
      <c r="B79" s="321" t="s">
        <v>759</v>
      </c>
      <c r="C79" s="322">
        <f>F79+I79</f>
        <v>0</v>
      </c>
      <c r="D79" s="322">
        <f>G79+J79</f>
        <v>0</v>
      </c>
      <c r="E79" s="294" t="str">
        <f>IF(D79&lt;&gt;0,(C79-D79)*100/D79," ")</f>
        <v> </v>
      </c>
      <c r="F79" s="612"/>
      <c r="G79" s="612"/>
      <c r="H79" s="265" t="str">
        <f>IF(G79&lt;&gt;0,(F79-G79)*100/G79," ")</f>
        <v> </v>
      </c>
      <c r="I79" s="613"/>
      <c r="J79" s="613"/>
      <c r="K79" s="266" t="str">
        <f>IF(J79&lt;&gt;0,(I79-J79)*100/J79," ")</f>
        <v> </v>
      </c>
      <c r="L79" s="237"/>
      <c r="M79" s="175"/>
    </row>
    <row r="80" spans="1:13" ht="51" customHeight="1">
      <c r="A80" s="600">
        <v>116</v>
      </c>
      <c r="B80" s="655" t="s">
        <v>676</v>
      </c>
      <c r="C80" s="271">
        <f t="shared" si="12"/>
        <v>0</v>
      </c>
      <c r="D80" s="271">
        <f t="shared" si="12"/>
        <v>0</v>
      </c>
      <c r="E80" s="296" t="str">
        <f t="shared" si="9"/>
        <v> </v>
      </c>
      <c r="F80" s="272">
        <f>F$70-F$71+F$72-F$73+SUM(F$74:F$78)-F$79</f>
        <v>0</v>
      </c>
      <c r="G80" s="272">
        <f>G$70-G$71+G$72-G$73+SUM(G$74:G$78)-G$79</f>
        <v>0</v>
      </c>
      <c r="H80" s="273" t="str">
        <f>IF(G80&lt;&gt;0,(F80-G80)*100/G80," ")</f>
        <v> </v>
      </c>
      <c r="I80" s="274">
        <f>I$70-I$71+I$72-I$73+SUM(I$74:I$78)-I$79</f>
        <v>0</v>
      </c>
      <c r="J80" s="274">
        <f>J$70-J$71+J$72-J$73+SUM(J$74:J$78)-J$79</f>
        <v>0</v>
      </c>
      <c r="K80" s="275" t="str">
        <f t="shared" si="11"/>
        <v> </v>
      </c>
      <c r="L80" s="237"/>
      <c r="M80" s="175"/>
    </row>
    <row r="81" spans="1:13" ht="12.75">
      <c r="A81" s="600"/>
      <c r="B81" s="297"/>
      <c r="C81" s="247"/>
      <c r="D81" s="247"/>
      <c r="E81" s="325"/>
      <c r="F81" s="247"/>
      <c r="G81" s="247"/>
      <c r="H81" s="325"/>
      <c r="I81" s="247"/>
      <c r="J81" s="247"/>
      <c r="K81" s="325"/>
      <c r="L81" s="237"/>
      <c r="M81" s="175"/>
    </row>
    <row r="82" spans="1:13" ht="13.5" thickBot="1">
      <c r="A82" s="600">
        <v>117</v>
      </c>
      <c r="B82" s="326" t="s">
        <v>760</v>
      </c>
      <c r="C82" s="299">
        <f>F82+I82</f>
        <v>0</v>
      </c>
      <c r="D82" s="299">
        <f>G82+J82</f>
        <v>0</v>
      </c>
      <c r="E82" s="300" t="str">
        <f>IF(D82&lt;&gt;0,(C82-D82)*100/D82," ")</f>
        <v> </v>
      </c>
      <c r="F82" s="301">
        <f>F$55+F$57+F$80</f>
        <v>0</v>
      </c>
      <c r="G82" s="301">
        <f>G$55+G$57+G$80</f>
        <v>0</v>
      </c>
      <c r="H82" s="302" t="str">
        <f>IF(G82&lt;&gt;0,(F82-G82)*100/G82," ")</f>
        <v> </v>
      </c>
      <c r="I82" s="303">
        <f>I$55+I$57+I$80</f>
        <v>0</v>
      </c>
      <c r="J82" s="303">
        <f>J$55+J$57+J$80</f>
        <v>0</v>
      </c>
      <c r="K82" s="304" t="str">
        <f>IF(J82&lt;&gt;0,(I82-J82)*100/J82," ")</f>
        <v> </v>
      </c>
      <c r="L82" s="237"/>
      <c r="M82" s="175"/>
    </row>
    <row r="83" spans="1:13" ht="12.75">
      <c r="A83" s="600"/>
      <c r="B83" s="327"/>
      <c r="C83" s="327"/>
      <c r="D83" s="327"/>
      <c r="E83" s="328"/>
      <c r="F83" s="327"/>
      <c r="G83" s="327"/>
      <c r="H83" s="328"/>
      <c r="I83" s="327"/>
      <c r="J83" s="327"/>
      <c r="K83" s="328"/>
      <c r="L83" s="237"/>
      <c r="M83" s="175"/>
    </row>
    <row r="84" spans="1:13" ht="12.75">
      <c r="A84" s="600">
        <v>118</v>
      </c>
      <c r="B84" s="657" t="s">
        <v>761</v>
      </c>
      <c r="C84" s="261">
        <f aca="true" t="shared" si="13" ref="C84:D86">F84+I84</f>
        <v>0</v>
      </c>
      <c r="D84" s="261">
        <f t="shared" si="13"/>
        <v>0</v>
      </c>
      <c r="E84" s="292" t="str">
        <f>IF(D84&lt;&gt;0,(C84-D84)*100/D84," ")</f>
        <v> </v>
      </c>
      <c r="F84" s="612"/>
      <c r="G84" s="612"/>
      <c r="H84" s="262" t="str">
        <f>IF(G84&lt;&gt;0,(F84-G84)*100/G84," ")</f>
        <v> </v>
      </c>
      <c r="I84" s="613"/>
      <c r="J84" s="613"/>
      <c r="K84" s="263" t="str">
        <f>IF(J84&lt;&gt;0,(I84-J84)*100/J84," ")</f>
        <v> </v>
      </c>
      <c r="L84" s="237"/>
      <c r="M84" s="175"/>
    </row>
    <row r="85" spans="1:13" ht="14.25">
      <c r="A85" s="600">
        <v>119</v>
      </c>
      <c r="B85" s="656" t="s">
        <v>762</v>
      </c>
      <c r="C85" s="261">
        <f t="shared" si="13"/>
        <v>0</v>
      </c>
      <c r="D85" s="261">
        <f t="shared" si="13"/>
        <v>0</v>
      </c>
      <c r="E85" s="292" t="str">
        <f>IF(D85&lt;&gt;0,(C85-D85)*100/D85," ")</f>
        <v> </v>
      </c>
      <c r="F85" s="612"/>
      <c r="G85" s="612"/>
      <c r="H85" s="262" t="str">
        <f>IF(G85&lt;&gt;0,(F85-G85)*100/G85," ")</f>
        <v> </v>
      </c>
      <c r="I85" s="613"/>
      <c r="J85" s="613"/>
      <c r="K85" s="263" t="str">
        <f>IF(J85&lt;&gt;0,(I85-J85)*100/J85," ")</f>
        <v> </v>
      </c>
      <c r="L85" s="237"/>
      <c r="M85" s="175"/>
    </row>
    <row r="86" spans="1:13" ht="14.25">
      <c r="A86" s="600">
        <v>120</v>
      </c>
      <c r="B86" s="656" t="s">
        <v>683</v>
      </c>
      <c r="C86" s="261">
        <f t="shared" si="13"/>
        <v>0</v>
      </c>
      <c r="D86" s="261">
        <f t="shared" si="13"/>
        <v>0</v>
      </c>
      <c r="E86" s="292" t="str">
        <f>IF(D86&lt;&gt;0,(C86-D86)*100/D86," ")</f>
        <v> </v>
      </c>
      <c r="F86" s="612"/>
      <c r="G86" s="612"/>
      <c r="H86" s="262" t="str">
        <f>IF(G86&lt;&gt;0,(F86-G86)*100/G86," ")</f>
        <v> </v>
      </c>
      <c r="I86" s="613"/>
      <c r="J86" s="613"/>
      <c r="K86" s="263" t="str">
        <f>IF(J86&lt;&gt;0,(I86-J86)*100/J86," ")</f>
        <v> </v>
      </c>
      <c r="L86" s="237"/>
      <c r="M86" s="175"/>
    </row>
    <row r="87" spans="1:13" ht="12.75">
      <c r="A87" s="175"/>
      <c r="B87" s="175"/>
      <c r="C87" s="175"/>
      <c r="D87" s="175"/>
      <c r="E87" s="237"/>
      <c r="F87" s="175"/>
      <c r="G87" s="175"/>
      <c r="H87" s="237"/>
      <c r="I87" s="175"/>
      <c r="J87" s="175"/>
      <c r="K87" s="237"/>
      <c r="L87" s="237"/>
      <c r="M87" s="175"/>
    </row>
    <row r="88" spans="1:13" ht="14.25">
      <c r="A88" s="175"/>
      <c r="B88" s="329" t="s">
        <v>685</v>
      </c>
      <c r="C88" s="175"/>
      <c r="D88" s="175"/>
      <c r="E88" s="237"/>
      <c r="F88" s="175"/>
      <c r="G88" s="175"/>
      <c r="H88" s="237"/>
      <c r="I88" s="175"/>
      <c r="J88" s="175"/>
      <c r="K88" s="237"/>
      <c r="L88" s="175"/>
      <c r="M88" s="4"/>
    </row>
    <row r="89" spans="1:13" ht="14.25">
      <c r="A89" s="175"/>
      <c r="B89" s="329" t="s">
        <v>686</v>
      </c>
      <c r="C89" s="175"/>
      <c r="D89" s="175"/>
      <c r="E89" s="237"/>
      <c r="F89" s="175"/>
      <c r="G89" s="175"/>
      <c r="H89" s="237"/>
      <c r="I89" s="175"/>
      <c r="J89" s="175"/>
      <c r="K89" s="237"/>
      <c r="L89" s="175"/>
      <c r="M89" s="4"/>
    </row>
    <row r="90" spans="1:13" ht="14.25">
      <c r="A90" s="175"/>
      <c r="B90" s="329" t="s">
        <v>684</v>
      </c>
      <c r="C90" s="175"/>
      <c r="D90" s="175"/>
      <c r="E90" s="237"/>
      <c r="F90" s="175"/>
      <c r="G90" s="175"/>
      <c r="H90" s="237"/>
      <c r="I90" s="175"/>
      <c r="J90" s="175"/>
      <c r="K90" s="237"/>
      <c r="L90" s="237"/>
      <c r="M90" s="4"/>
    </row>
    <row r="91" spans="1:13" ht="12.75">
      <c r="A91" s="175"/>
      <c r="B91" s="175"/>
      <c r="C91" s="175"/>
      <c r="D91" s="175"/>
      <c r="E91" s="237"/>
      <c r="F91" s="175"/>
      <c r="G91" s="175"/>
      <c r="H91" s="237"/>
      <c r="I91" s="175"/>
      <c r="J91" s="175"/>
      <c r="K91" s="237"/>
      <c r="L91" s="237"/>
      <c r="M91" s="4"/>
    </row>
    <row r="92" spans="1:34" s="108" customFormat="1" ht="17.25" customHeight="1">
      <c r="A92" s="102">
        <v>5</v>
      </c>
      <c r="B92" s="103" t="s">
        <v>781</v>
      </c>
      <c r="C92" s="105" t="s">
        <v>241</v>
      </c>
      <c r="D92" s="105"/>
      <c r="E92" s="238"/>
      <c r="F92" s="105"/>
      <c r="G92" s="105"/>
      <c r="H92" s="238"/>
      <c r="I92" s="106"/>
      <c r="J92" s="106" t="s">
        <v>242</v>
      </c>
      <c r="K92" s="239">
        <f>jahr</f>
        <v>2007</v>
      </c>
      <c r="L92" s="237"/>
      <c r="M92" s="4"/>
      <c r="N92" s="644"/>
      <c r="O92" s="644"/>
      <c r="P92" s="644"/>
      <c r="Q92" s="644"/>
      <c r="R92" s="644"/>
      <c r="S92" s="644"/>
      <c r="T92" s="644"/>
      <c r="U92" s="644"/>
      <c r="V92" s="644"/>
      <c r="W92" s="644"/>
      <c r="X92" s="644"/>
      <c r="Y92" s="644"/>
      <c r="Z92" s="644"/>
      <c r="AA92" s="644"/>
      <c r="AB92" s="644"/>
      <c r="AC92" s="644"/>
      <c r="AD92" s="644"/>
      <c r="AE92" s="644"/>
      <c r="AF92" s="644"/>
      <c r="AG92" s="644"/>
      <c r="AH92" s="644"/>
    </row>
    <row r="93" spans="1:34" s="108" customFormat="1" ht="13.5" customHeight="1">
      <c r="A93" s="240"/>
      <c r="B93" s="241" t="s">
        <v>580</v>
      </c>
      <c r="C93" s="240" t="s">
        <v>566</v>
      </c>
      <c r="D93" s="240" t="s">
        <v>567</v>
      </c>
      <c r="E93" s="242" t="s">
        <v>574</v>
      </c>
      <c r="F93" s="240" t="s">
        <v>575</v>
      </c>
      <c r="G93" s="240" t="s">
        <v>573</v>
      </c>
      <c r="H93" s="242" t="s">
        <v>591</v>
      </c>
      <c r="I93" s="240" t="s">
        <v>592</v>
      </c>
      <c r="J93" s="240" t="s">
        <v>593</v>
      </c>
      <c r="K93" s="243" t="s">
        <v>594</v>
      </c>
      <c r="L93" s="237"/>
      <c r="M93" s="4"/>
      <c r="N93" s="644"/>
      <c r="O93" s="644"/>
      <c r="P93" s="644"/>
      <c r="Q93" s="644"/>
      <c r="R93" s="644"/>
      <c r="S93" s="644"/>
      <c r="T93" s="644"/>
      <c r="U93" s="644"/>
      <c r="V93" s="644"/>
      <c r="W93" s="644"/>
      <c r="X93" s="644"/>
      <c r="Y93" s="644"/>
      <c r="Z93" s="644"/>
      <c r="AA93" s="644"/>
      <c r="AB93" s="644"/>
      <c r="AC93" s="644"/>
      <c r="AD93" s="644"/>
      <c r="AE93" s="644"/>
      <c r="AF93" s="644"/>
      <c r="AG93" s="644"/>
      <c r="AH93" s="644"/>
    </row>
    <row r="94" spans="1:13" ht="12.75">
      <c r="A94" s="175"/>
      <c r="B94" s="113" t="str">
        <f>Vr&amp;"  "</f>
        <v>Xxx Vie  </v>
      </c>
      <c r="C94" s="788" t="s">
        <v>243</v>
      </c>
      <c r="D94" s="788"/>
      <c r="E94" s="244" t="s">
        <v>779</v>
      </c>
      <c r="F94" s="789" t="s">
        <v>244</v>
      </c>
      <c r="G94" s="789"/>
      <c r="H94" s="245" t="s">
        <v>779</v>
      </c>
      <c r="I94" s="790" t="s">
        <v>245</v>
      </c>
      <c r="J94" s="790"/>
      <c r="K94" s="246" t="s">
        <v>779</v>
      </c>
      <c r="L94" s="237"/>
      <c r="M94" s="4"/>
    </row>
    <row r="95" spans="1:13" ht="12.75">
      <c r="A95" s="175"/>
      <c r="B95" s="247"/>
      <c r="C95" s="248" t="s">
        <v>246</v>
      </c>
      <c r="D95" s="248" t="s">
        <v>247</v>
      </c>
      <c r="E95" s="311"/>
      <c r="F95" s="250" t="s">
        <v>246</v>
      </c>
      <c r="G95" s="250" t="s">
        <v>247</v>
      </c>
      <c r="H95" s="312"/>
      <c r="I95" s="252" t="s">
        <v>246</v>
      </c>
      <c r="J95" s="252" t="s">
        <v>247</v>
      </c>
      <c r="K95" s="313"/>
      <c r="L95" s="237"/>
      <c r="M95" s="4"/>
    </row>
    <row r="96" spans="1:13" ht="19.5" customHeight="1">
      <c r="A96" s="599">
        <v>121</v>
      </c>
      <c r="B96" s="330" t="s">
        <v>764</v>
      </c>
      <c r="C96" s="331">
        <f>F96+I96</f>
        <v>0</v>
      </c>
      <c r="D96" s="331">
        <f>G96+J96</f>
        <v>0</v>
      </c>
      <c r="E96" s="332" t="str">
        <f>IF(D96&lt;&gt;0,(C96-D96)*100/D96," ")</f>
        <v> </v>
      </c>
      <c r="F96" s="333">
        <f>F$82</f>
        <v>0</v>
      </c>
      <c r="G96" s="333">
        <f>G$82</f>
        <v>0</v>
      </c>
      <c r="H96" s="334" t="str">
        <f>IF(G96&lt;&gt;0,(F96-G96)*100/G96," ")</f>
        <v> </v>
      </c>
      <c r="I96" s="335">
        <f>I$82</f>
        <v>0</v>
      </c>
      <c r="J96" s="335">
        <f>J$82</f>
        <v>0</v>
      </c>
      <c r="K96" s="336" t="str">
        <f>IF(J96&lt;&gt;0,(I96-J96)*100/J96," ")</f>
        <v> </v>
      </c>
      <c r="L96" s="237"/>
      <c r="M96" s="4"/>
    </row>
    <row r="97" spans="1:13" ht="12.75">
      <c r="A97" s="601"/>
      <c r="B97" s="307"/>
      <c r="C97" s="577"/>
      <c r="D97" s="577"/>
      <c r="E97" s="577"/>
      <c r="F97" s="577"/>
      <c r="G97" s="577"/>
      <c r="H97" s="577"/>
      <c r="I97" s="577"/>
      <c r="J97" s="577"/>
      <c r="K97" s="577"/>
      <c r="L97" s="237"/>
      <c r="M97" s="4"/>
    </row>
    <row r="98" spans="1:13" ht="12.75">
      <c r="A98" s="599" t="s">
        <v>572</v>
      </c>
      <c r="B98" s="662" t="s">
        <v>826</v>
      </c>
      <c r="C98" s="261">
        <f aca="true" t="shared" si="14" ref="C98:D113">F98+I98</f>
        <v>0</v>
      </c>
      <c r="D98" s="261"/>
      <c r="E98" s="292" t="str">
        <f>IF(D98&lt;&gt;0,(C98-D98)*100/D98," ")</f>
        <v> </v>
      </c>
      <c r="F98" s="625"/>
      <c r="G98" s="625"/>
      <c r="H98" s="262" t="str">
        <f>IF(G98&lt;&gt;0,(F98-G98)*100/G98," ")</f>
        <v> </v>
      </c>
      <c r="I98" s="613"/>
      <c r="J98" s="613"/>
      <c r="K98" s="263" t="str">
        <f>IF(J98&lt;&gt;0,(I98-J98)*100/J98," ")</f>
        <v> </v>
      </c>
      <c r="L98" s="175"/>
      <c r="M98" s="4"/>
    </row>
    <row r="99" spans="1:13" ht="12.75">
      <c r="A99" s="599">
        <v>112</v>
      </c>
      <c r="B99" s="323" t="s">
        <v>765</v>
      </c>
      <c r="C99" s="261">
        <f t="shared" si="14"/>
        <v>0</v>
      </c>
      <c r="D99" s="261">
        <f t="shared" si="14"/>
        <v>0</v>
      </c>
      <c r="E99" s="292" t="str">
        <f>IF(D99&lt;&gt;0,(C99-D99)*100/D99," ")</f>
        <v> </v>
      </c>
      <c r="F99" s="625"/>
      <c r="G99" s="625"/>
      <c r="H99" s="262" t="str">
        <f>IF(G99&lt;&gt;0,(F99-G99)*100/G99," ")</f>
        <v> </v>
      </c>
      <c r="I99" s="613"/>
      <c r="J99" s="613"/>
      <c r="K99" s="263" t="str">
        <f>IF(J99&lt;&gt;0,(I99-J99)*100/J99," ")</f>
        <v> </v>
      </c>
      <c r="L99" s="175"/>
      <c r="M99" s="4"/>
    </row>
    <row r="100" spans="1:13" ht="12.75">
      <c r="A100" s="599">
        <v>113</v>
      </c>
      <c r="B100" s="324" t="s">
        <v>766</v>
      </c>
      <c r="C100" s="261">
        <f t="shared" si="14"/>
        <v>0</v>
      </c>
      <c r="D100" s="261">
        <f t="shared" si="14"/>
        <v>0</v>
      </c>
      <c r="E100" s="292" t="str">
        <f>IF(D100&lt;&gt;0,(C100-D100)*100/D100," ")</f>
        <v> </v>
      </c>
      <c r="F100" s="625"/>
      <c r="G100" s="625"/>
      <c r="H100" s="262" t="str">
        <f>IF(G100&lt;&gt;0,(F100-G100)*100/G100," ")</f>
        <v> </v>
      </c>
      <c r="I100" s="613"/>
      <c r="J100" s="613"/>
      <c r="K100" s="263" t="str">
        <f>IF(J100&lt;&gt;0,(I100-J100)*100/J100," ")</f>
        <v> </v>
      </c>
      <c r="L100" s="175"/>
      <c r="M100" s="4"/>
    </row>
    <row r="101" spans="1:13" ht="28.5">
      <c r="A101" s="599">
        <v>114</v>
      </c>
      <c r="B101" s="310" t="s">
        <v>687</v>
      </c>
      <c r="C101" s="261">
        <f t="shared" si="14"/>
        <v>0</v>
      </c>
      <c r="D101" s="261">
        <f t="shared" si="14"/>
        <v>0</v>
      </c>
      <c r="E101" s="292" t="str">
        <f>IF(D101&lt;&gt;0,(C101-D101)*100/D101," ")</f>
        <v> </v>
      </c>
      <c r="F101" s="612"/>
      <c r="G101" s="628"/>
      <c r="H101" s="262"/>
      <c r="I101" s="613"/>
      <c r="J101" s="613"/>
      <c r="K101" s="263" t="str">
        <f>IF(J101&lt;&gt;0,(I101-J101)*100/J101," ")</f>
        <v> </v>
      </c>
      <c r="L101" s="602">
        <f>IF(OR($F101&gt;0,$G101&gt;0,$F101+$F100&lt;0,$G101+$G100&lt;0),"Faute de saisie !","")</f>
      </c>
      <c r="M101" s="4"/>
    </row>
    <row r="102" spans="1:13" ht="12.75">
      <c r="A102" s="599">
        <v>115</v>
      </c>
      <c r="B102" s="321" t="s">
        <v>688</v>
      </c>
      <c r="C102" s="322">
        <f t="shared" si="14"/>
        <v>0</v>
      </c>
      <c r="D102" s="322">
        <f t="shared" si="14"/>
        <v>0</v>
      </c>
      <c r="E102" s="294" t="str">
        <f>IF(D102&lt;&gt;0,(C102-D102)*100/D102," ")</f>
        <v> </v>
      </c>
      <c r="F102" s="612"/>
      <c r="G102" s="612"/>
      <c r="H102" s="265" t="str">
        <f>IF(G102&lt;&gt;0,(F102-G102)*100/G102," ")</f>
        <v> </v>
      </c>
      <c r="I102" s="613"/>
      <c r="J102" s="613"/>
      <c r="K102" s="266" t="str">
        <f>IF(J102&lt;&gt;0,(I102-J102)*100/J102," ")</f>
        <v> </v>
      </c>
      <c r="L102" s="237"/>
      <c r="M102" s="4"/>
    </row>
    <row r="103" spans="1:13" ht="12.75">
      <c r="A103" s="599">
        <v>122</v>
      </c>
      <c r="B103" s="309" t="s">
        <v>767</v>
      </c>
      <c r="C103" s="261">
        <f>I103</f>
        <v>0</v>
      </c>
      <c r="D103" s="322">
        <f t="shared" si="14"/>
        <v>0</v>
      </c>
      <c r="E103" s="292" t="str">
        <f aca="true" t="shared" si="15" ref="E103:E114">IF(D103&lt;&gt;0,(C103-D103)*100/D103," ")</f>
        <v> </v>
      </c>
      <c r="F103" s="6"/>
      <c r="G103" s="6"/>
      <c r="H103" s="262" t="str">
        <f aca="true" t="shared" si="16" ref="H103:H114">IF(G103&lt;&gt;0,(F103-G103)*100/G103," ")</f>
        <v> </v>
      </c>
      <c r="I103" s="613"/>
      <c r="J103" s="613"/>
      <c r="K103" s="263" t="str">
        <f aca="true" t="shared" si="17" ref="K103:K114">IF(J103&lt;&gt;0,(I103-J103)*100/J103," ")</f>
        <v> </v>
      </c>
      <c r="L103" s="237"/>
      <c r="M103" s="4"/>
    </row>
    <row r="104" spans="1:13" ht="12.75">
      <c r="A104" s="599">
        <v>123</v>
      </c>
      <c r="B104" s="321" t="s">
        <v>768</v>
      </c>
      <c r="C104" s="261">
        <f aca="true" t="shared" si="18" ref="C104:D114">F104+I104</f>
        <v>0</v>
      </c>
      <c r="D104" s="261">
        <f t="shared" si="14"/>
        <v>0</v>
      </c>
      <c r="E104" s="294" t="str">
        <f t="shared" si="15"/>
        <v> </v>
      </c>
      <c r="F104" s="612"/>
      <c r="G104" s="612"/>
      <c r="H104" s="265" t="str">
        <f t="shared" si="16"/>
        <v> </v>
      </c>
      <c r="I104" s="613"/>
      <c r="J104" s="613"/>
      <c r="K104" s="266" t="str">
        <f t="shared" si="17"/>
        <v> </v>
      </c>
      <c r="L104" s="237"/>
      <c r="M104" s="4"/>
    </row>
    <row r="105" spans="1:13" ht="25.5">
      <c r="A105" s="600">
        <v>124</v>
      </c>
      <c r="B105" s="665" t="s">
        <v>830</v>
      </c>
      <c r="C105" s="261">
        <f t="shared" si="18"/>
        <v>0</v>
      </c>
      <c r="D105" s="261">
        <f t="shared" si="14"/>
        <v>0</v>
      </c>
      <c r="E105" s="292" t="str">
        <f t="shared" si="15"/>
        <v> </v>
      </c>
      <c r="F105" s="612"/>
      <c r="G105" s="612"/>
      <c r="H105" s="262" t="str">
        <f t="shared" si="16"/>
        <v> </v>
      </c>
      <c r="I105" s="613"/>
      <c r="J105" s="613"/>
      <c r="K105" s="263" t="str">
        <f t="shared" si="17"/>
        <v> </v>
      </c>
      <c r="L105" s="237"/>
      <c r="M105" s="4"/>
    </row>
    <row r="106" spans="1:13" ht="12.75">
      <c r="A106" s="600">
        <v>125</v>
      </c>
      <c r="B106" s="310" t="s">
        <v>769</v>
      </c>
      <c r="C106" s="261">
        <f t="shared" si="18"/>
        <v>0</v>
      </c>
      <c r="D106" s="261">
        <f t="shared" si="14"/>
        <v>0</v>
      </c>
      <c r="E106" s="292" t="str">
        <f t="shared" si="15"/>
        <v> </v>
      </c>
      <c r="F106" s="612"/>
      <c r="G106" s="612"/>
      <c r="H106" s="262" t="str">
        <f t="shared" si="16"/>
        <v> </v>
      </c>
      <c r="I106" s="613"/>
      <c r="J106" s="613"/>
      <c r="K106" s="263" t="str">
        <f t="shared" si="17"/>
        <v> </v>
      </c>
      <c r="L106" s="237"/>
      <c r="M106" s="4"/>
    </row>
    <row r="107" spans="1:13" ht="12.75">
      <c r="A107" s="600">
        <v>126</v>
      </c>
      <c r="B107" s="321" t="s">
        <v>770</v>
      </c>
      <c r="C107" s="261">
        <f t="shared" si="18"/>
        <v>0</v>
      </c>
      <c r="D107" s="261">
        <f t="shared" si="14"/>
        <v>0</v>
      </c>
      <c r="E107" s="294" t="str">
        <f t="shared" si="15"/>
        <v> </v>
      </c>
      <c r="F107" s="612"/>
      <c r="G107" s="612"/>
      <c r="H107" s="265" t="str">
        <f t="shared" si="16"/>
        <v> </v>
      </c>
      <c r="I107" s="613"/>
      <c r="J107" s="613"/>
      <c r="K107" s="266" t="str">
        <f t="shared" si="17"/>
        <v> </v>
      </c>
      <c r="L107" s="237"/>
      <c r="M107" s="4"/>
    </row>
    <row r="108" spans="1:13" ht="12.75">
      <c r="A108" s="600">
        <v>127</v>
      </c>
      <c r="B108" s="321" t="s">
        <v>771</v>
      </c>
      <c r="C108" s="261">
        <f t="shared" si="18"/>
        <v>0</v>
      </c>
      <c r="D108" s="261">
        <f t="shared" si="14"/>
        <v>0</v>
      </c>
      <c r="E108" s="294" t="str">
        <f t="shared" si="15"/>
        <v> </v>
      </c>
      <c r="F108" s="612"/>
      <c r="G108" s="612"/>
      <c r="H108" s="265" t="str">
        <f t="shared" si="16"/>
        <v> </v>
      </c>
      <c r="I108" s="613"/>
      <c r="J108" s="613"/>
      <c r="K108" s="266" t="str">
        <f t="shared" si="17"/>
        <v> </v>
      </c>
      <c r="L108" s="237"/>
      <c r="M108" s="4"/>
    </row>
    <row r="109" spans="1:13" ht="12.75">
      <c r="A109" s="600">
        <v>128</v>
      </c>
      <c r="B109" s="321" t="s">
        <v>772</v>
      </c>
      <c r="C109" s="261">
        <f t="shared" si="18"/>
        <v>0</v>
      </c>
      <c r="D109" s="261">
        <f t="shared" si="14"/>
        <v>0</v>
      </c>
      <c r="E109" s="292" t="str">
        <f t="shared" si="15"/>
        <v> </v>
      </c>
      <c r="F109" s="612"/>
      <c r="G109" s="612"/>
      <c r="H109" s="262" t="str">
        <f t="shared" si="16"/>
        <v> </v>
      </c>
      <c r="I109" s="613"/>
      <c r="J109" s="613"/>
      <c r="K109" s="263" t="str">
        <f t="shared" si="17"/>
        <v> </v>
      </c>
      <c r="L109" s="237"/>
      <c r="M109" s="4"/>
    </row>
    <row r="110" spans="1:13" ht="12.75">
      <c r="A110" s="599">
        <v>129</v>
      </c>
      <c r="B110" s="321" t="s">
        <v>773</v>
      </c>
      <c r="C110" s="322">
        <f t="shared" si="18"/>
        <v>0</v>
      </c>
      <c r="D110" s="322">
        <f t="shared" si="14"/>
        <v>0</v>
      </c>
      <c r="E110" s="294" t="str">
        <f t="shared" si="15"/>
        <v> </v>
      </c>
      <c r="F110" s="612"/>
      <c r="G110" s="612"/>
      <c r="H110" s="265" t="str">
        <f t="shared" si="16"/>
        <v> </v>
      </c>
      <c r="I110" s="613"/>
      <c r="J110" s="613"/>
      <c r="K110" s="266" t="str">
        <f t="shared" si="17"/>
        <v> </v>
      </c>
      <c r="L110" s="237"/>
      <c r="M110" s="4"/>
    </row>
    <row r="111" spans="1:13" ht="12.75">
      <c r="A111" s="600">
        <v>130</v>
      </c>
      <c r="B111" s="310" t="s">
        <v>774</v>
      </c>
      <c r="C111" s="261">
        <f t="shared" si="18"/>
        <v>0</v>
      </c>
      <c r="D111" s="261">
        <f t="shared" si="14"/>
        <v>0</v>
      </c>
      <c r="E111" s="292" t="str">
        <f t="shared" si="15"/>
        <v> </v>
      </c>
      <c r="F111" s="612"/>
      <c r="G111" s="612"/>
      <c r="H111" s="262" t="str">
        <f t="shared" si="16"/>
        <v> </v>
      </c>
      <c r="I111" s="613"/>
      <c r="J111" s="613"/>
      <c r="K111" s="263" t="str">
        <f t="shared" si="17"/>
        <v> </v>
      </c>
      <c r="L111" s="237"/>
      <c r="M111" s="4"/>
    </row>
    <row r="112" spans="1:13" ht="12.75">
      <c r="A112" s="600">
        <v>131</v>
      </c>
      <c r="B112" s="658" t="s">
        <v>775</v>
      </c>
      <c r="C112" s="261">
        <f t="shared" si="18"/>
        <v>0</v>
      </c>
      <c r="D112" s="261">
        <f t="shared" si="14"/>
        <v>0</v>
      </c>
      <c r="E112" s="294" t="str">
        <f t="shared" si="15"/>
        <v> </v>
      </c>
      <c r="F112" s="612"/>
      <c r="G112" s="612"/>
      <c r="H112" s="265" t="str">
        <f t="shared" si="16"/>
        <v> </v>
      </c>
      <c r="I112" s="613"/>
      <c r="J112" s="613"/>
      <c r="K112" s="266" t="str">
        <f t="shared" si="17"/>
        <v> </v>
      </c>
      <c r="L112" s="237"/>
      <c r="M112" s="4"/>
    </row>
    <row r="113" spans="1:13" ht="12.75">
      <c r="A113" s="599">
        <v>132</v>
      </c>
      <c r="B113" s="659" t="s">
        <v>776</v>
      </c>
      <c r="C113" s="261">
        <f t="shared" si="18"/>
        <v>0</v>
      </c>
      <c r="D113" s="261">
        <f t="shared" si="14"/>
        <v>0</v>
      </c>
      <c r="E113" s="294" t="str">
        <f t="shared" si="15"/>
        <v> </v>
      </c>
      <c r="F113" s="612"/>
      <c r="G113" s="612"/>
      <c r="H113" s="265" t="str">
        <f t="shared" si="16"/>
        <v> </v>
      </c>
      <c r="I113" s="613"/>
      <c r="J113" s="613"/>
      <c r="K113" s="266" t="str">
        <f t="shared" si="17"/>
        <v> </v>
      </c>
      <c r="L113" s="237"/>
      <c r="M113" s="4"/>
    </row>
    <row r="114" spans="1:13" ht="25.5">
      <c r="A114" s="600">
        <v>133</v>
      </c>
      <c r="B114" s="663" t="s">
        <v>827</v>
      </c>
      <c r="C114" s="271">
        <f t="shared" si="18"/>
        <v>0</v>
      </c>
      <c r="D114" s="271">
        <f t="shared" si="18"/>
        <v>0</v>
      </c>
      <c r="E114" s="296" t="str">
        <f t="shared" si="15"/>
        <v> </v>
      </c>
      <c r="F114" s="272">
        <f>F$98+F$99+F$100+F$101-F$102+SUM(F$104:F$113)</f>
        <v>0</v>
      </c>
      <c r="G114" s="272">
        <f>G$98+G$99+G$100+G$101-G$102+SUM(G$104:G$113)</f>
        <v>0</v>
      </c>
      <c r="H114" s="273" t="str">
        <f t="shared" si="16"/>
        <v> </v>
      </c>
      <c r="I114" s="274">
        <f>I$98+I$99+I$100+I$101-I$102+SUM(I$103:I$113)</f>
        <v>0</v>
      </c>
      <c r="J114" s="274">
        <f>J$98+J$99+J$100+J$101-J$102+SUM(J$103:J$113)</f>
        <v>0</v>
      </c>
      <c r="K114" s="275" t="str">
        <f t="shared" si="17"/>
        <v> </v>
      </c>
      <c r="L114" s="237"/>
      <c r="M114" s="4"/>
    </row>
    <row r="115" spans="1:34" s="108" customFormat="1" ht="25.5" customHeight="1">
      <c r="A115" s="600"/>
      <c r="B115" s="664" t="s">
        <v>689</v>
      </c>
      <c r="C115" s="702"/>
      <c r="D115" s="702"/>
      <c r="E115" s="703"/>
      <c r="F115" s="141"/>
      <c r="G115" s="141"/>
      <c r="H115" s="703"/>
      <c r="I115" s="141"/>
      <c r="J115" s="141"/>
      <c r="K115" s="703"/>
      <c r="L115" s="105"/>
      <c r="M115" s="4"/>
      <c r="N115" s="644"/>
      <c r="O115" s="644"/>
      <c r="P115" s="644"/>
      <c r="Q115" s="644"/>
      <c r="R115" s="644"/>
      <c r="S115" s="644"/>
      <c r="T115" s="644"/>
      <c r="U115" s="644"/>
      <c r="V115" s="644"/>
      <c r="W115" s="644"/>
      <c r="X115" s="644"/>
      <c r="Y115" s="644"/>
      <c r="Z115" s="644"/>
      <c r="AA115" s="644"/>
      <c r="AB115" s="644"/>
      <c r="AC115" s="644"/>
      <c r="AD115" s="644"/>
      <c r="AE115" s="644"/>
      <c r="AF115" s="644"/>
      <c r="AG115" s="644"/>
      <c r="AH115" s="644"/>
    </row>
    <row r="116" spans="1:13" ht="13.5" thickBot="1">
      <c r="A116" s="600">
        <v>134</v>
      </c>
      <c r="B116" s="660" t="s">
        <v>777</v>
      </c>
      <c r="C116" s="299">
        <f>F116+I116</f>
        <v>0</v>
      </c>
      <c r="D116" s="299">
        <f>G116+J116</f>
        <v>0</v>
      </c>
      <c r="E116" s="300" t="str">
        <f>IF(D116&lt;&gt;0,(C116-D116)*100/D116," ")</f>
        <v> </v>
      </c>
      <c r="F116" s="301">
        <f>F$96+F$114</f>
        <v>0</v>
      </c>
      <c r="G116" s="301">
        <f>G$96+G$114</f>
        <v>0</v>
      </c>
      <c r="H116" s="302" t="str">
        <f>IF(G116&lt;&gt;0,(F116-G116)*100/G116," ")</f>
        <v> </v>
      </c>
      <c r="I116" s="303">
        <f>I$96+I$114</f>
        <v>0</v>
      </c>
      <c r="J116" s="303">
        <f>J$96+J$114</f>
        <v>0</v>
      </c>
      <c r="K116" s="304" t="str">
        <f>IF(J116&lt;&gt;0,(I116-J116)*100/J116," ")</f>
        <v> </v>
      </c>
      <c r="L116" s="237"/>
      <c r="M116" s="4"/>
    </row>
    <row r="117" spans="1:13" ht="12.75">
      <c r="A117" s="175"/>
      <c r="B117" s="576">
        <f>IF(OR(ABS($F117)&gt;2,ABS($G117)&gt;2,ABS($I117)&gt;2,ABS($J117)&gt;2),"L'actif et le passif doivent correspondre.","")</f>
      </c>
      <c r="C117" s="576"/>
      <c r="D117" s="576"/>
      <c r="E117" s="576"/>
      <c r="F117" s="576">
        <f>F$48-F$116</f>
        <v>0</v>
      </c>
      <c r="G117" s="576">
        <f>G$48-G$116</f>
        <v>0</v>
      </c>
      <c r="H117" s="576"/>
      <c r="I117" s="576">
        <f>I$48-I$116</f>
        <v>0</v>
      </c>
      <c r="J117" s="576">
        <f>J$48-J$116</f>
        <v>0</v>
      </c>
      <c r="K117" s="576"/>
      <c r="L117" s="237"/>
      <c r="M117" s="4"/>
    </row>
    <row r="118" spans="1:13" ht="12.75">
      <c r="A118" s="175"/>
      <c r="B118" s="175"/>
      <c r="C118" s="175"/>
      <c r="D118" s="175"/>
      <c r="E118" s="237"/>
      <c r="F118" s="175"/>
      <c r="G118" s="175"/>
      <c r="H118" s="237"/>
      <c r="I118" s="175"/>
      <c r="J118" s="175"/>
      <c r="K118" s="237"/>
      <c r="L118" s="237"/>
      <c r="M118" s="4"/>
    </row>
    <row r="120" ht="12.75">
      <c r="B120" s="696"/>
    </row>
    <row r="145" ht="12.75">
      <c r="B145" s="696"/>
    </row>
    <row r="148" ht="12.75">
      <c r="B148" s="696"/>
    </row>
  </sheetData>
  <sheetProtection/>
  <mergeCells count="9">
    <mergeCell ref="C94:D94"/>
    <mergeCell ref="F94:G94"/>
    <mergeCell ref="I94:J94"/>
    <mergeCell ref="C4:D4"/>
    <mergeCell ref="F4:G4"/>
    <mergeCell ref="I4:J4"/>
    <mergeCell ref="C53:D53"/>
    <mergeCell ref="F53:G53"/>
    <mergeCell ref="I53:J53"/>
  </mergeCells>
  <conditionalFormatting sqref="F117:G117 I117:J117">
    <cfRule type="expression" priority="1" dxfId="5" stopIfTrue="1">
      <formula>IF(ABS(F117)&lt;=2,1,0)</formula>
    </cfRule>
  </conditionalFormatting>
  <conditionalFormatting sqref="I67:I69 F71:F79 I71:I79 F59:F66 I8:I30 F6 I6 I35 F39:F43 F8:F30 I39:I45 F33 I33 F45 F68:F69 I84:I86 F84:F86 L62 L64 L59:L60 I59:I65 F57 F55 I55 I57 I98:I113 F104:F113 F98:F100 F102">
    <cfRule type="expression" priority="2" dxfId="1" stopIfTrue="1">
      <formula>IF(ISBLANK(F6),1,0)</formula>
    </cfRule>
  </conditionalFormatting>
  <conditionalFormatting sqref="J57 J67:J69 G71:G79 J71:J79 J6 J35 G39:G43 G8:G30 J39:J45 G33 J33 G45 J8:J30 G6 G59:G66 G68:G69 J84:J86 G84:G86 J59:J65 G55 G57 J55 J98:J113 G98:G100 G102 G104:G113">
    <cfRule type="expression" priority="3" dxfId="2" stopIfTrue="1">
      <formula>IF(ISBLANK(G6),1,0)</formula>
    </cfRule>
  </conditionalFormatting>
  <conditionalFormatting sqref="G101">
    <cfRule type="expression" priority="4" dxfId="6" stopIfTrue="1">
      <formula>IF(OR(G101&gt;0,G101+G100&lt;0),1,0)</formula>
    </cfRule>
    <cfRule type="expression" priority="5" dxfId="2" stopIfTrue="1">
      <formula>IF(ISBLANK(G101),1,0)</formula>
    </cfRule>
  </conditionalFormatting>
  <conditionalFormatting sqref="F101">
    <cfRule type="expression" priority="6" dxfId="6" stopIfTrue="1">
      <formula>IF(OR(F101&gt;0,F101+F100&lt;0),1,0)</formula>
    </cfRule>
    <cfRule type="expression" priority="7" dxfId="1" stopIfTrue="1">
      <formula>IF(ISBLANK(F101),1,0)</formula>
    </cfRule>
  </conditionalFormatting>
  <conditionalFormatting sqref="F116:G116 I116:J116">
    <cfRule type="expression" priority="8" dxfId="7" stopIfTrue="1">
      <formula>IF(ABS(F$48-F$116)&gt;2,1,0)</formula>
    </cfRule>
  </conditionalFormatting>
  <printOptions headings="1"/>
  <pageMargins left="0.24" right="0.19" top="0.27" bottom="0.34" header="0.17" footer="0.16"/>
  <pageSetup horizontalDpi="300" verticalDpi="300" orientation="landscape" paperSize="9" scale="75" r:id="rId3"/>
  <headerFooter alignWithMargins="0">
    <oddFooter>&amp;L&amp;D   &amp;T&amp;C&amp;A&amp;R&amp;P / &amp;N</oddFooter>
  </headerFooter>
  <rowBreaks count="3" manualBreakCount="3">
    <brk id="50" max="255" man="1"/>
    <brk id="91" max="255" man="1"/>
    <brk id="118" max="255" man="1"/>
  </rowBreaks>
  <legacyDrawing r:id="rId2"/>
</worksheet>
</file>

<file path=xl/worksheets/sheet5.xml><?xml version="1.0" encoding="utf-8"?>
<worksheet xmlns="http://schemas.openxmlformats.org/spreadsheetml/2006/main" xmlns:r="http://schemas.openxmlformats.org/officeDocument/2006/relationships">
  <sheetPr codeName="Tabelle13">
    <tabColor indexed="60"/>
  </sheetPr>
  <dimension ref="A1:AK217"/>
  <sheetViews>
    <sheetView zoomScale="75" zoomScaleNormal="75" workbookViewId="0" topLeftCell="A1">
      <pane xSplit="5" ySplit="5" topLeftCell="H6" activePane="bottomRight" state="frozen"/>
      <selection pane="topLeft" activeCell="A2" sqref="A2"/>
      <selection pane="topRight" activeCell="A2" sqref="A2"/>
      <selection pane="bottomLeft" activeCell="A2" sqref="A2"/>
      <selection pane="bottomRight" activeCell="A1" sqref="A1"/>
    </sheetView>
  </sheetViews>
  <sheetFormatPr defaultColWidth="11.421875" defaultRowHeight="12.75"/>
  <cols>
    <col min="1" max="1" width="4.421875" style="175" customWidth="1"/>
    <col min="2" max="2" width="55.140625" style="176" customWidth="1"/>
    <col min="3" max="3" width="12.28125" style="236" customWidth="1"/>
    <col min="4" max="4" width="5.8515625" style="554" customWidth="1"/>
    <col min="5" max="5" width="6.57421875" style="554" customWidth="1"/>
    <col min="6" max="14" width="14.00390625" style="176" customWidth="1"/>
    <col min="15" max="15" width="3.00390625" style="508" customWidth="1"/>
    <col min="16" max="16" width="1.57421875" style="176" customWidth="1"/>
    <col min="17" max="37" width="11.421875" style="643" customWidth="1"/>
    <col min="38" max="16384" width="11.421875" style="176" customWidth="1"/>
  </cols>
  <sheetData>
    <row r="1" spans="1:37" s="108" customFormat="1" ht="15.75" customHeight="1">
      <c r="A1" s="102">
        <v>6</v>
      </c>
      <c r="B1" s="103" t="s">
        <v>783</v>
      </c>
      <c r="C1" s="104"/>
      <c r="D1" s="514"/>
      <c r="E1" s="514"/>
      <c r="F1" s="105"/>
      <c r="G1" s="105" t="s">
        <v>241</v>
      </c>
      <c r="H1" s="105"/>
      <c r="I1" s="105"/>
      <c r="J1" s="105"/>
      <c r="K1" s="105"/>
      <c r="L1" s="106"/>
      <c r="M1" s="106" t="s">
        <v>242</v>
      </c>
      <c r="N1" s="107">
        <f>jahr</f>
        <v>2007</v>
      </c>
      <c r="O1" s="506"/>
      <c r="P1" s="105"/>
      <c r="Q1" s="644"/>
      <c r="R1" s="644"/>
      <c r="S1" s="644"/>
      <c r="T1" s="644"/>
      <c r="U1" s="644"/>
      <c r="V1" s="644"/>
      <c r="W1" s="644"/>
      <c r="X1" s="644"/>
      <c r="Y1" s="644"/>
      <c r="Z1" s="644"/>
      <c r="AA1" s="644"/>
      <c r="AB1" s="644"/>
      <c r="AC1" s="644"/>
      <c r="AD1" s="644"/>
      <c r="AE1" s="644"/>
      <c r="AF1" s="644"/>
      <c r="AG1" s="644"/>
      <c r="AH1" s="644"/>
      <c r="AI1" s="644"/>
      <c r="AJ1" s="644"/>
      <c r="AK1" s="644"/>
    </row>
    <row r="2" spans="1:37" s="108" customFormat="1" ht="12" customHeight="1">
      <c r="A2" s="103"/>
      <c r="B2" s="109" t="s">
        <v>580</v>
      </c>
      <c r="C2" s="110" t="s">
        <v>566</v>
      </c>
      <c r="D2" s="110"/>
      <c r="E2" s="110"/>
      <c r="F2" s="111" t="s">
        <v>567</v>
      </c>
      <c r="G2" s="111" t="s">
        <v>574</v>
      </c>
      <c r="H2" s="111" t="s">
        <v>575</v>
      </c>
      <c r="I2" s="111" t="s">
        <v>573</v>
      </c>
      <c r="J2" s="111" t="s">
        <v>591</v>
      </c>
      <c r="K2" s="111" t="s">
        <v>592</v>
      </c>
      <c r="L2" s="111" t="s">
        <v>593</v>
      </c>
      <c r="M2" s="111" t="s">
        <v>594</v>
      </c>
      <c r="N2" s="111" t="s">
        <v>33</v>
      </c>
      <c r="O2" s="506"/>
      <c r="P2" s="105"/>
      <c r="Q2" s="644"/>
      <c r="R2" s="644"/>
      <c r="S2" s="644"/>
      <c r="T2" s="644"/>
      <c r="U2" s="644"/>
      <c r="V2" s="644"/>
      <c r="W2" s="644"/>
      <c r="X2" s="644"/>
      <c r="Y2" s="644"/>
      <c r="Z2" s="644"/>
      <c r="AA2" s="644"/>
      <c r="AB2" s="644"/>
      <c r="AC2" s="644"/>
      <c r="AD2" s="644"/>
      <c r="AE2" s="644"/>
      <c r="AF2" s="644"/>
      <c r="AG2" s="644"/>
      <c r="AH2" s="644"/>
      <c r="AI2" s="644"/>
      <c r="AJ2" s="644"/>
      <c r="AK2" s="644"/>
    </row>
    <row r="3" spans="1:37" s="108" customFormat="1" ht="12.75" customHeight="1">
      <c r="A3" s="112"/>
      <c r="B3" s="113" t="str">
        <f>Vr&amp;"  "</f>
        <v>Xxx Vie  </v>
      </c>
      <c r="C3" s="114" t="s">
        <v>784</v>
      </c>
      <c r="D3" s="795">
        <f>IF(SUM($O$6:$O$498)&gt;0,"FAUTE à corriger","")</f>
      </c>
      <c r="E3" s="796"/>
      <c r="F3" s="115" t="s">
        <v>786</v>
      </c>
      <c r="G3" s="116"/>
      <c r="H3" s="117"/>
      <c r="I3" s="118" t="s">
        <v>786</v>
      </c>
      <c r="J3" s="119"/>
      <c r="K3" s="120"/>
      <c r="L3" s="121" t="s">
        <v>786</v>
      </c>
      <c r="M3" s="122"/>
      <c r="N3" s="123"/>
      <c r="O3" s="506"/>
      <c r="P3" s="105"/>
      <c r="Q3" s="644"/>
      <c r="R3" s="644"/>
      <c r="S3" s="644"/>
      <c r="T3" s="644"/>
      <c r="U3" s="644"/>
      <c r="V3" s="644"/>
      <c r="W3" s="644"/>
      <c r="X3" s="644"/>
      <c r="Y3" s="644"/>
      <c r="Z3" s="644"/>
      <c r="AA3" s="644"/>
      <c r="AB3" s="644"/>
      <c r="AC3" s="644"/>
      <c r="AD3" s="644"/>
      <c r="AE3" s="644"/>
      <c r="AF3" s="644"/>
      <c r="AG3" s="644"/>
      <c r="AH3" s="644"/>
      <c r="AI3" s="644"/>
      <c r="AJ3" s="644"/>
      <c r="AK3" s="644"/>
    </row>
    <row r="4" spans="1:37" s="108" customFormat="1" ht="12.75">
      <c r="A4" s="105"/>
      <c r="B4" s="105"/>
      <c r="C4" s="661" t="s">
        <v>785</v>
      </c>
      <c r="D4" s="796"/>
      <c r="E4" s="796"/>
      <c r="F4" s="124" t="s">
        <v>579</v>
      </c>
      <c r="G4" s="116"/>
      <c r="H4" s="117"/>
      <c r="I4" s="125" t="s">
        <v>787</v>
      </c>
      <c r="J4" s="126"/>
      <c r="K4" s="120"/>
      <c r="L4" s="127" t="s">
        <v>788</v>
      </c>
      <c r="M4" s="127"/>
      <c r="N4" s="123"/>
      <c r="O4" s="506"/>
      <c r="P4" s="105"/>
      <c r="Q4" s="644"/>
      <c r="R4" s="644"/>
      <c r="S4" s="644"/>
      <c r="T4" s="644"/>
      <c r="U4" s="644"/>
      <c r="V4" s="644"/>
      <c r="W4" s="644"/>
      <c r="X4" s="644"/>
      <c r="Y4" s="644"/>
      <c r="Z4" s="644"/>
      <c r="AA4" s="644"/>
      <c r="AB4" s="644"/>
      <c r="AC4" s="644"/>
      <c r="AD4" s="644"/>
      <c r="AE4" s="644"/>
      <c r="AF4" s="644"/>
      <c r="AG4" s="644"/>
      <c r="AH4" s="644"/>
      <c r="AI4" s="644"/>
      <c r="AJ4" s="644"/>
      <c r="AK4" s="644"/>
    </row>
    <row r="5" spans="1:37" s="108" customFormat="1" ht="12.75">
      <c r="A5" s="112"/>
      <c r="B5" s="105"/>
      <c r="C5" s="114"/>
      <c r="D5" s="796"/>
      <c r="E5" s="796"/>
      <c r="F5" s="128" t="s">
        <v>246</v>
      </c>
      <c r="G5" s="128" t="s">
        <v>247</v>
      </c>
      <c r="H5" s="128" t="s">
        <v>789</v>
      </c>
      <c r="I5" s="129" t="s">
        <v>246</v>
      </c>
      <c r="J5" s="129" t="s">
        <v>247</v>
      </c>
      <c r="K5" s="129" t="s">
        <v>789</v>
      </c>
      <c r="L5" s="130" t="s">
        <v>246</v>
      </c>
      <c r="M5" s="130" t="s">
        <v>247</v>
      </c>
      <c r="N5" s="130" t="s">
        <v>789</v>
      </c>
      <c r="O5" s="673" t="s">
        <v>562</v>
      </c>
      <c r="P5" s="105"/>
      <c r="Q5" s="644"/>
      <c r="R5" s="644"/>
      <c r="S5" s="644"/>
      <c r="T5" s="644"/>
      <c r="U5" s="644"/>
      <c r="V5" s="644"/>
      <c r="W5" s="644"/>
      <c r="X5" s="644"/>
      <c r="Y5" s="644"/>
      <c r="Z5" s="644"/>
      <c r="AA5" s="644"/>
      <c r="AB5" s="644"/>
      <c r="AC5" s="644"/>
      <c r="AD5" s="644"/>
      <c r="AE5" s="644"/>
      <c r="AF5" s="644"/>
      <c r="AG5" s="644"/>
      <c r="AH5" s="644"/>
      <c r="AI5" s="644"/>
      <c r="AJ5" s="644"/>
      <c r="AK5" s="644"/>
    </row>
    <row r="6" spans="1:37" s="108" customFormat="1" ht="12.75">
      <c r="A6" s="112"/>
      <c r="B6" s="7" t="s">
        <v>697</v>
      </c>
      <c r="C6" s="7"/>
      <c r="D6" s="515"/>
      <c r="E6" s="515"/>
      <c r="F6" s="131"/>
      <c r="G6" s="131"/>
      <c r="H6" s="132"/>
      <c r="I6" s="131"/>
      <c r="J6" s="131"/>
      <c r="K6" s="132"/>
      <c r="L6" s="131"/>
      <c r="M6" s="131"/>
      <c r="N6" s="131"/>
      <c r="O6" s="507">
        <f>IF(OR($D6="AE",$E6="AE-1"),1,0)</f>
        <v>0</v>
      </c>
      <c r="P6" s="105"/>
      <c r="Q6" s="644"/>
      <c r="R6" s="644"/>
      <c r="S6" s="644"/>
      <c r="T6" s="644"/>
      <c r="U6" s="644"/>
      <c r="V6" s="644"/>
      <c r="W6" s="644"/>
      <c r="X6" s="644"/>
      <c r="Y6" s="644"/>
      <c r="Z6" s="644"/>
      <c r="AA6" s="644"/>
      <c r="AB6" s="644"/>
      <c r="AC6" s="644"/>
      <c r="AD6" s="644"/>
      <c r="AE6" s="644"/>
      <c r="AF6" s="644"/>
      <c r="AG6" s="644"/>
      <c r="AH6" s="644"/>
      <c r="AI6" s="644"/>
      <c r="AJ6" s="644"/>
      <c r="AK6" s="644"/>
    </row>
    <row r="7" spans="1:37" s="108" customFormat="1" ht="12.75">
      <c r="A7" s="112">
        <v>143</v>
      </c>
      <c r="B7" s="676" t="s">
        <v>669</v>
      </c>
      <c r="C7" s="9" t="s">
        <v>583</v>
      </c>
      <c r="D7" s="516">
        <f>IF(ABS(F7-(I7+L7))&lt;2,0,"AE")</f>
        <v>0</v>
      </c>
      <c r="E7" s="517">
        <f>IF(ABS(G7-(J7+M7))&lt;2,0,"AE-1")</f>
        <v>0</v>
      </c>
      <c r="F7" s="133">
        <f>BILAN!$F$70</f>
        <v>0</v>
      </c>
      <c r="G7" s="133">
        <f>BILAN!$G$70</f>
        <v>0</v>
      </c>
      <c r="H7" s="134">
        <f>K7+N7</f>
        <v>0</v>
      </c>
      <c r="I7" s="612"/>
      <c r="J7" s="614"/>
      <c r="K7" s="614"/>
      <c r="L7" s="613"/>
      <c r="M7" s="613"/>
      <c r="N7" s="613"/>
      <c r="O7" s="507">
        <f aca="true" t="shared" si="0" ref="O7:O70">IF(OR($D7="AE",$E7="AE-1"),1,0)</f>
        <v>0</v>
      </c>
      <c r="P7" s="105"/>
      <c r="Q7" s="644"/>
      <c r="R7" s="644"/>
      <c r="S7" s="644"/>
      <c r="T7" s="644"/>
      <c r="U7" s="644"/>
      <c r="V7" s="644"/>
      <c r="W7" s="644"/>
      <c r="X7" s="644"/>
      <c r="Y7" s="644"/>
      <c r="Z7" s="644"/>
      <c r="AA7" s="644"/>
      <c r="AB7" s="644"/>
      <c r="AC7" s="644"/>
      <c r="AD7" s="644"/>
      <c r="AE7" s="644"/>
      <c r="AF7" s="644"/>
      <c r="AG7" s="644"/>
      <c r="AH7" s="644"/>
      <c r="AI7" s="644"/>
      <c r="AJ7" s="644"/>
      <c r="AK7" s="644"/>
    </row>
    <row r="8" spans="1:37" s="108" customFormat="1" ht="12.75">
      <c r="A8" s="623" t="s">
        <v>717</v>
      </c>
      <c r="B8" s="774" t="s">
        <v>718</v>
      </c>
      <c r="C8" s="775"/>
      <c r="D8" s="776"/>
      <c r="E8" s="777"/>
      <c r="F8" s="778">
        <f>I8+L8</f>
        <v>0</v>
      </c>
      <c r="G8" s="778">
        <f>J8+M8</f>
        <v>0</v>
      </c>
      <c r="H8" s="134">
        <f>K8+N8</f>
        <v>0</v>
      </c>
      <c r="I8" s="178">
        <f aca="true" t="shared" si="1" ref="I8:N8">I$216</f>
        <v>0</v>
      </c>
      <c r="J8" s="178">
        <f t="shared" si="1"/>
        <v>0</v>
      </c>
      <c r="K8" s="178">
        <f t="shared" si="1"/>
        <v>0</v>
      </c>
      <c r="L8" s="178">
        <f t="shared" si="1"/>
        <v>0</v>
      </c>
      <c r="M8" s="178">
        <f t="shared" si="1"/>
        <v>0</v>
      </c>
      <c r="N8" s="178">
        <f t="shared" si="1"/>
        <v>0</v>
      </c>
      <c r="O8" s="507">
        <f t="shared" si="0"/>
        <v>0</v>
      </c>
      <c r="P8" s="105"/>
      <c r="Q8" s="644"/>
      <c r="R8" s="644"/>
      <c r="S8" s="644"/>
      <c r="T8" s="644"/>
      <c r="U8" s="644"/>
      <c r="V8" s="644"/>
      <c r="W8" s="644"/>
      <c r="X8" s="644"/>
      <c r="Y8" s="644"/>
      <c r="Z8" s="644"/>
      <c r="AA8" s="644"/>
      <c r="AB8" s="644"/>
      <c r="AC8" s="644"/>
      <c r="AD8" s="644"/>
      <c r="AE8" s="644"/>
      <c r="AF8" s="644"/>
      <c r="AG8" s="644"/>
      <c r="AH8" s="644"/>
      <c r="AI8" s="644"/>
      <c r="AJ8" s="644"/>
      <c r="AK8" s="644"/>
    </row>
    <row r="9" spans="1:37" s="108" customFormat="1" ht="12.75">
      <c r="A9" s="112">
        <v>146</v>
      </c>
      <c r="B9" s="677" t="s">
        <v>719</v>
      </c>
      <c r="C9" s="66"/>
      <c r="D9" s="518"/>
      <c r="E9" s="518"/>
      <c r="F9" s="503">
        <f>I9+L9</f>
        <v>0</v>
      </c>
      <c r="G9" s="503">
        <f>J9+M9</f>
        <v>0</v>
      </c>
      <c r="H9" s="504">
        <f>K9+N9</f>
        <v>0</v>
      </c>
      <c r="I9" s="501">
        <f aca="true" t="shared" si="2" ref="I9:N9">I8+I7</f>
        <v>0</v>
      </c>
      <c r="J9" s="501">
        <f t="shared" si="2"/>
        <v>0</v>
      </c>
      <c r="K9" s="501">
        <f t="shared" si="2"/>
        <v>0</v>
      </c>
      <c r="L9" s="502">
        <f t="shared" si="2"/>
        <v>0</v>
      </c>
      <c r="M9" s="502">
        <f t="shared" si="2"/>
        <v>0</v>
      </c>
      <c r="N9" s="502">
        <f t="shared" si="2"/>
        <v>0</v>
      </c>
      <c r="O9" s="507">
        <f t="shared" si="0"/>
        <v>0</v>
      </c>
      <c r="P9" s="105"/>
      <c r="Q9" s="644"/>
      <c r="R9" s="644"/>
      <c r="S9" s="644"/>
      <c r="T9" s="644"/>
      <c r="U9" s="644"/>
      <c r="V9" s="644"/>
      <c r="W9" s="644"/>
      <c r="X9" s="644"/>
      <c r="Y9" s="644"/>
      <c r="Z9" s="644"/>
      <c r="AA9" s="644"/>
      <c r="AB9" s="644"/>
      <c r="AC9" s="644"/>
      <c r="AD9" s="644"/>
      <c r="AE9" s="644"/>
      <c r="AF9" s="644"/>
      <c r="AG9" s="644"/>
      <c r="AH9" s="644"/>
      <c r="AI9" s="644"/>
      <c r="AJ9" s="644"/>
      <c r="AK9" s="644"/>
    </row>
    <row r="10" spans="1:37" s="108" customFormat="1" ht="12.75">
      <c r="A10" s="112"/>
      <c r="B10" s="7"/>
      <c r="C10" s="7"/>
      <c r="D10" s="515"/>
      <c r="E10" s="515"/>
      <c r="F10" s="131"/>
      <c r="G10" s="131"/>
      <c r="H10" s="132"/>
      <c r="I10" s="704"/>
      <c r="J10" s="131"/>
      <c r="K10" s="132"/>
      <c r="L10" s="131"/>
      <c r="M10" s="131"/>
      <c r="N10" s="131"/>
      <c r="O10" s="507">
        <f t="shared" si="0"/>
        <v>0</v>
      </c>
      <c r="P10" s="105"/>
      <c r="Q10" s="644"/>
      <c r="R10" s="644"/>
      <c r="S10" s="644"/>
      <c r="T10" s="644"/>
      <c r="U10" s="644"/>
      <c r="V10" s="644"/>
      <c r="W10" s="644"/>
      <c r="X10" s="644"/>
      <c r="Y10" s="644"/>
      <c r="Z10" s="644"/>
      <c r="AA10" s="644"/>
      <c r="AB10" s="644"/>
      <c r="AC10" s="644"/>
      <c r="AD10" s="644"/>
      <c r="AE10" s="644"/>
      <c r="AF10" s="644"/>
      <c r="AG10" s="644"/>
      <c r="AH10" s="644"/>
      <c r="AI10" s="644"/>
      <c r="AJ10" s="644"/>
      <c r="AK10" s="644"/>
    </row>
    <row r="11" spans="1:37" s="108" customFormat="1" ht="13.5">
      <c r="A11" s="112">
        <v>135</v>
      </c>
      <c r="B11" s="8" t="s">
        <v>691</v>
      </c>
      <c r="C11" s="9" t="s">
        <v>794</v>
      </c>
      <c r="D11" s="519"/>
      <c r="E11" s="519"/>
      <c r="F11" s="133">
        <f>'CR'!$F$60</f>
        <v>0</v>
      </c>
      <c r="G11" s="133">
        <f>'CR'!$G$60</f>
        <v>0</v>
      </c>
      <c r="H11" s="134">
        <f aca="true" t="shared" si="3" ref="H11:H18">K11+N11</f>
        <v>0</v>
      </c>
      <c r="I11" s="178">
        <f>IF((I$9+L$9)&gt;0,INT(F11*I$9/(I$9+L$9)),0)</f>
        <v>0</v>
      </c>
      <c r="J11" s="612"/>
      <c r="K11" s="612"/>
      <c r="L11" s="179">
        <f>IF((I$9+L$9)&gt;0,INT(F11*L$9/(I$9+L$9)),0)</f>
        <v>0</v>
      </c>
      <c r="M11" s="613"/>
      <c r="N11" s="613"/>
      <c r="O11" s="507">
        <f t="shared" si="0"/>
        <v>0</v>
      </c>
      <c r="P11" s="105"/>
      <c r="Q11" s="644"/>
      <c r="R11" s="644"/>
      <c r="S11" s="644"/>
      <c r="T11" s="644"/>
      <c r="U11" s="644"/>
      <c r="V11" s="644"/>
      <c r="W11" s="644"/>
      <c r="X11" s="644"/>
      <c r="Y11" s="644"/>
      <c r="Z11" s="644"/>
      <c r="AA11" s="644"/>
      <c r="AB11" s="644"/>
      <c r="AC11" s="644"/>
      <c r="AD11" s="644"/>
      <c r="AE11" s="644"/>
      <c r="AF11" s="644"/>
      <c r="AG11" s="644"/>
      <c r="AH11" s="644"/>
      <c r="AI11" s="644"/>
      <c r="AJ11" s="644"/>
      <c r="AK11" s="644"/>
    </row>
    <row r="12" spans="1:37" s="108" customFormat="1" ht="13.5">
      <c r="A12" s="112">
        <v>136</v>
      </c>
      <c r="B12" s="8" t="s">
        <v>690</v>
      </c>
      <c r="C12" s="9" t="s">
        <v>795</v>
      </c>
      <c r="D12" s="519"/>
      <c r="E12" s="519"/>
      <c r="F12" s="133">
        <f>'CR'!$F$61-'CR'!$F$62</f>
        <v>0</v>
      </c>
      <c r="G12" s="133">
        <f>'CR'!$G$61-'CR'!$G$62</f>
        <v>0</v>
      </c>
      <c r="H12" s="134">
        <f t="shared" si="3"/>
        <v>0</v>
      </c>
      <c r="I12" s="178">
        <f>IF((I$9+L$9)&gt;0,INT(F12*I$9/(I$9+L$9)),0)</f>
        <v>0</v>
      </c>
      <c r="J12" s="612"/>
      <c r="K12" s="612"/>
      <c r="L12" s="179">
        <f>IF((I$9+L$9)&gt;0,INT(F12*L$9/(I$9+L$9)),0)</f>
        <v>0</v>
      </c>
      <c r="M12" s="613"/>
      <c r="N12" s="613"/>
      <c r="O12" s="507">
        <f t="shared" si="0"/>
        <v>0</v>
      </c>
      <c r="P12" s="105"/>
      <c r="Q12" s="644"/>
      <c r="R12" s="644"/>
      <c r="S12" s="644"/>
      <c r="T12" s="644"/>
      <c r="U12" s="644"/>
      <c r="V12" s="644"/>
      <c r="W12" s="644"/>
      <c r="X12" s="644"/>
      <c r="Y12" s="644"/>
      <c r="Z12" s="644"/>
      <c r="AA12" s="644"/>
      <c r="AB12" s="644"/>
      <c r="AC12" s="644"/>
      <c r="AD12" s="644"/>
      <c r="AE12" s="644"/>
      <c r="AF12" s="644"/>
      <c r="AG12" s="644"/>
      <c r="AH12" s="644"/>
      <c r="AI12" s="644"/>
      <c r="AJ12" s="644"/>
      <c r="AK12" s="644"/>
    </row>
    <row r="13" spans="1:37" s="108" customFormat="1" ht="13.5">
      <c r="A13" s="112">
        <v>137</v>
      </c>
      <c r="B13" s="8" t="s">
        <v>692</v>
      </c>
      <c r="C13" s="9" t="s">
        <v>796</v>
      </c>
      <c r="D13" s="519"/>
      <c r="E13" s="519"/>
      <c r="F13" s="133">
        <f>'CR'!$F$63-'CR'!$F$64</f>
        <v>0</v>
      </c>
      <c r="G13" s="133">
        <f>'CR'!$G$63-'CR'!$G$64</f>
        <v>0</v>
      </c>
      <c r="H13" s="134">
        <f t="shared" si="3"/>
        <v>0</v>
      </c>
      <c r="I13" s="178">
        <f>IF((I$9+L$9)&gt;0,INT(F13*I$9/(I$9+L$9)),0)</f>
        <v>0</v>
      </c>
      <c r="J13" s="612"/>
      <c r="K13" s="612"/>
      <c r="L13" s="179">
        <f>IF((I$9+L$9)&gt;0,INT(F13*L$9/(I$9+L$9)),0)</f>
        <v>0</v>
      </c>
      <c r="M13" s="613"/>
      <c r="N13" s="613"/>
      <c r="O13" s="507">
        <f t="shared" si="0"/>
        <v>0</v>
      </c>
      <c r="P13" s="105"/>
      <c r="Q13" s="644"/>
      <c r="R13" s="644"/>
      <c r="S13" s="644"/>
      <c r="T13" s="644"/>
      <c r="U13" s="644"/>
      <c r="V13" s="644"/>
      <c r="W13" s="644"/>
      <c r="X13" s="644"/>
      <c r="Y13" s="644"/>
      <c r="Z13" s="644"/>
      <c r="AA13" s="644"/>
      <c r="AB13" s="644"/>
      <c r="AC13" s="644"/>
      <c r="AD13" s="644"/>
      <c r="AE13" s="644"/>
      <c r="AF13" s="644"/>
      <c r="AG13" s="644"/>
      <c r="AH13" s="644"/>
      <c r="AI13" s="644"/>
      <c r="AJ13" s="644"/>
      <c r="AK13" s="644"/>
    </row>
    <row r="14" spans="1:37" s="108" customFormat="1" ht="13.5">
      <c r="A14" s="112">
        <v>138</v>
      </c>
      <c r="B14" s="8" t="s">
        <v>693</v>
      </c>
      <c r="C14" s="9" t="s">
        <v>797</v>
      </c>
      <c r="D14" s="519"/>
      <c r="E14" s="519"/>
      <c r="F14" s="133">
        <f>'CR'!$F$65</f>
        <v>0</v>
      </c>
      <c r="G14" s="133">
        <f>'CR'!$G$65</f>
        <v>0</v>
      </c>
      <c r="H14" s="134">
        <f t="shared" si="3"/>
        <v>0</v>
      </c>
      <c r="I14" s="178">
        <f>IF((I$9+L$9)&gt;0,INT(F14*I$9/(I$9+L$9)),0)</f>
        <v>0</v>
      </c>
      <c r="J14" s="612"/>
      <c r="K14" s="612"/>
      <c r="L14" s="179">
        <f>IF((I$9+L$9)&gt;0,INT(F14*L$9/(I$9+L$9)),0)</f>
        <v>0</v>
      </c>
      <c r="M14" s="613"/>
      <c r="N14" s="613"/>
      <c r="O14" s="507">
        <f t="shared" si="0"/>
        <v>0</v>
      </c>
      <c r="P14" s="105"/>
      <c r="Q14" s="644"/>
      <c r="R14" s="644"/>
      <c r="S14" s="644"/>
      <c r="T14" s="644"/>
      <c r="U14" s="644"/>
      <c r="V14" s="644"/>
      <c r="W14" s="644"/>
      <c r="X14" s="644"/>
      <c r="Y14" s="644"/>
      <c r="Z14" s="644"/>
      <c r="AA14" s="644"/>
      <c r="AB14" s="644"/>
      <c r="AC14" s="644"/>
      <c r="AD14" s="644"/>
      <c r="AE14" s="644"/>
      <c r="AF14" s="644"/>
      <c r="AG14" s="644"/>
      <c r="AH14" s="644"/>
      <c r="AI14" s="644"/>
      <c r="AJ14" s="644"/>
      <c r="AK14" s="644"/>
    </row>
    <row r="15" spans="1:37" s="108" customFormat="1" ht="13.5">
      <c r="A15" s="112">
        <v>139</v>
      </c>
      <c r="B15" s="10" t="s">
        <v>694</v>
      </c>
      <c r="C15" s="9" t="s">
        <v>798</v>
      </c>
      <c r="D15" s="519"/>
      <c r="E15" s="519"/>
      <c r="F15" s="156"/>
      <c r="G15" s="156"/>
      <c r="H15" s="134">
        <f t="shared" si="3"/>
        <v>0</v>
      </c>
      <c r="I15" s="156"/>
      <c r="J15" s="156"/>
      <c r="K15" s="612"/>
      <c r="L15" s="156"/>
      <c r="M15" s="156"/>
      <c r="N15" s="613"/>
      <c r="O15" s="507">
        <f t="shared" si="0"/>
        <v>0</v>
      </c>
      <c r="P15" s="105"/>
      <c r="Q15" s="644"/>
      <c r="R15" s="644"/>
      <c r="S15" s="644"/>
      <c r="T15" s="644"/>
      <c r="U15" s="644"/>
      <c r="V15" s="644"/>
      <c r="W15" s="644"/>
      <c r="X15" s="644"/>
      <c r="Y15" s="644"/>
      <c r="Z15" s="644"/>
      <c r="AA15" s="644"/>
      <c r="AB15" s="644"/>
      <c r="AC15" s="644"/>
      <c r="AD15" s="644"/>
      <c r="AE15" s="644"/>
      <c r="AF15" s="644"/>
      <c r="AG15" s="644"/>
      <c r="AH15" s="644"/>
      <c r="AI15" s="644"/>
      <c r="AJ15" s="644"/>
      <c r="AK15" s="644"/>
    </row>
    <row r="16" spans="1:37" s="108" customFormat="1" ht="13.5">
      <c r="A16" s="112">
        <v>140</v>
      </c>
      <c r="B16" s="8" t="s">
        <v>695</v>
      </c>
      <c r="C16" s="9" t="s">
        <v>799</v>
      </c>
      <c r="D16" s="519"/>
      <c r="E16" s="519"/>
      <c r="F16" s="133">
        <f>'CR'!$F$74+'CR'!$F$75</f>
        <v>0</v>
      </c>
      <c r="G16" s="133">
        <f>'CR'!$G$74+'CR'!$G$75</f>
        <v>0</v>
      </c>
      <c r="H16" s="134">
        <f t="shared" si="3"/>
        <v>0</v>
      </c>
      <c r="I16" s="178">
        <f>IF((I$9+L$9)&gt;0,INT(F16*I$9/(I$9+L$9)),0)</f>
        <v>0</v>
      </c>
      <c r="J16" s="612"/>
      <c r="K16" s="612"/>
      <c r="L16" s="179">
        <f>IF((I$9+L$9)&gt;0,INT(F16*L$9/(I$9+L$9)),0)</f>
        <v>0</v>
      </c>
      <c r="M16" s="613"/>
      <c r="N16" s="613"/>
      <c r="O16" s="507">
        <f t="shared" si="0"/>
        <v>0</v>
      </c>
      <c r="P16" s="105"/>
      <c r="Q16" s="644"/>
      <c r="R16" s="644"/>
      <c r="S16" s="644"/>
      <c r="T16" s="644"/>
      <c r="U16" s="644"/>
      <c r="V16" s="644"/>
      <c r="W16" s="644"/>
      <c r="X16" s="644"/>
      <c r="Y16" s="644"/>
      <c r="Z16" s="644"/>
      <c r="AA16" s="644"/>
      <c r="AB16" s="644"/>
      <c r="AC16" s="644"/>
      <c r="AD16" s="644"/>
      <c r="AE16" s="644"/>
      <c r="AF16" s="644"/>
      <c r="AG16" s="644"/>
      <c r="AH16" s="644"/>
      <c r="AI16" s="644"/>
      <c r="AJ16" s="644"/>
      <c r="AK16" s="644"/>
    </row>
    <row r="17" spans="1:37" s="108" customFormat="1" ht="13.5">
      <c r="A17" s="112">
        <v>141</v>
      </c>
      <c r="B17" s="11" t="s">
        <v>696</v>
      </c>
      <c r="C17" s="9" t="s">
        <v>800</v>
      </c>
      <c r="D17" s="519"/>
      <c r="E17" s="519"/>
      <c r="F17" s="133">
        <f>'CR'!$F$72</f>
        <v>0</v>
      </c>
      <c r="G17" s="133">
        <f>'CR'!$G$72</f>
        <v>0</v>
      </c>
      <c r="H17" s="134">
        <f t="shared" si="3"/>
        <v>0</v>
      </c>
      <c r="I17" s="178">
        <f>IF((I$9+L$9)&gt;0,INT(F17*I$9/(I$9+L$9)),0)</f>
        <v>0</v>
      </c>
      <c r="J17" s="612"/>
      <c r="K17" s="612"/>
      <c r="L17" s="179">
        <f>IF((I$9+L$9)&gt;0,INT(F17*L$9/(I$9+L$9)),0)</f>
        <v>0</v>
      </c>
      <c r="M17" s="613"/>
      <c r="N17" s="613"/>
      <c r="O17" s="507">
        <f t="shared" si="0"/>
        <v>0</v>
      </c>
      <c r="P17" s="105"/>
      <c r="Q17" s="644"/>
      <c r="R17" s="644"/>
      <c r="S17" s="644"/>
      <c r="T17" s="644"/>
      <c r="U17" s="644"/>
      <c r="V17" s="644"/>
      <c r="W17" s="644"/>
      <c r="X17" s="644"/>
      <c r="Y17" s="644"/>
      <c r="Z17" s="644"/>
      <c r="AA17" s="644"/>
      <c r="AB17" s="644"/>
      <c r="AC17" s="644"/>
      <c r="AD17" s="644"/>
      <c r="AE17" s="644"/>
      <c r="AF17" s="644"/>
      <c r="AG17" s="644"/>
      <c r="AH17" s="644"/>
      <c r="AI17" s="644"/>
      <c r="AJ17" s="644"/>
      <c r="AK17" s="644"/>
    </row>
    <row r="18" spans="1:37" s="108" customFormat="1" ht="24">
      <c r="A18" s="112">
        <v>142</v>
      </c>
      <c r="B18" s="12" t="s">
        <v>790</v>
      </c>
      <c r="C18" s="13"/>
      <c r="D18" s="510"/>
      <c r="E18" s="510"/>
      <c r="F18" s="135">
        <f>I18+L18</f>
        <v>0</v>
      </c>
      <c r="G18" s="135">
        <f>J18+M18</f>
        <v>0</v>
      </c>
      <c r="H18" s="135">
        <f t="shared" si="3"/>
        <v>0</v>
      </c>
      <c r="I18" s="136">
        <f>I$11+I$12+I$13+I$14-I$16-I$17</f>
        <v>0</v>
      </c>
      <c r="J18" s="136">
        <f>J$11+J$12+J$13+J$14+J$15-J$16-J$17</f>
        <v>0</v>
      </c>
      <c r="K18" s="136">
        <f>K$11+K$12+K$13+K$14+K$15-K$16-K$17</f>
        <v>0</v>
      </c>
      <c r="L18" s="137">
        <f>L$11+L$12+L$13+L$14-L$16-L$17</f>
        <v>0</v>
      </c>
      <c r="M18" s="137">
        <f>M$11+M$12+M$13+M$14+M$15-M$16-M$17</f>
        <v>0</v>
      </c>
      <c r="N18" s="137">
        <f>N$11+N$12+N$13+N$14+N$15-N$16-N$17</f>
        <v>0</v>
      </c>
      <c r="O18" s="507">
        <f t="shared" si="0"/>
        <v>0</v>
      </c>
      <c r="P18" s="105"/>
      <c r="Q18" s="644"/>
      <c r="R18" s="644"/>
      <c r="S18" s="644"/>
      <c r="T18" s="644"/>
      <c r="U18" s="644"/>
      <c r="V18" s="644"/>
      <c r="W18" s="644"/>
      <c r="X18" s="644"/>
      <c r="Y18" s="644"/>
      <c r="Z18" s="644"/>
      <c r="AA18" s="644"/>
      <c r="AB18" s="644"/>
      <c r="AC18" s="644"/>
      <c r="AD18" s="644"/>
      <c r="AE18" s="644"/>
      <c r="AF18" s="644"/>
      <c r="AG18" s="644"/>
      <c r="AH18" s="644"/>
      <c r="AI18" s="644"/>
      <c r="AJ18" s="644"/>
      <c r="AK18" s="644"/>
    </row>
    <row r="19" spans="1:37" s="108" customFormat="1" ht="13.5">
      <c r="A19" s="138"/>
      <c r="B19" s="710" t="s">
        <v>422</v>
      </c>
      <c r="C19" s="30"/>
      <c r="D19" s="531"/>
      <c r="E19" s="531"/>
      <c r="F19" s="131"/>
      <c r="G19" s="131"/>
      <c r="H19" s="132"/>
      <c r="I19" s="131"/>
      <c r="J19" s="131"/>
      <c r="K19" s="132"/>
      <c r="L19" s="131"/>
      <c r="M19" s="131"/>
      <c r="N19" s="132"/>
      <c r="O19" s="507">
        <f t="shared" si="0"/>
        <v>0</v>
      </c>
      <c r="P19" s="105"/>
      <c r="Q19" s="644"/>
      <c r="R19" s="644"/>
      <c r="S19" s="644"/>
      <c r="T19" s="644"/>
      <c r="U19" s="644"/>
      <c r="V19" s="644"/>
      <c r="W19" s="644"/>
      <c r="X19" s="644"/>
      <c r="Y19" s="644"/>
      <c r="Z19" s="644"/>
      <c r="AA19" s="644"/>
      <c r="AB19" s="644"/>
      <c r="AC19" s="644"/>
      <c r="AD19" s="644"/>
      <c r="AE19" s="644"/>
      <c r="AF19" s="644"/>
      <c r="AG19" s="644"/>
      <c r="AH19" s="644"/>
      <c r="AI19" s="644"/>
      <c r="AJ19" s="644"/>
      <c r="AK19" s="644"/>
    </row>
    <row r="20" spans="1:37" s="108" customFormat="1" ht="9" customHeight="1">
      <c r="A20" s="138"/>
      <c r="B20" s="7"/>
      <c r="C20" s="7"/>
      <c r="D20" s="515"/>
      <c r="E20" s="515"/>
      <c r="F20" s="131"/>
      <c r="G20" s="131"/>
      <c r="H20" s="132"/>
      <c r="I20" s="131"/>
      <c r="J20" s="131"/>
      <c r="K20" s="132"/>
      <c r="L20" s="132"/>
      <c r="M20" s="132"/>
      <c r="N20" s="132"/>
      <c r="O20" s="507">
        <f t="shared" si="0"/>
        <v>0</v>
      </c>
      <c r="P20" s="105"/>
      <c r="Q20" s="644"/>
      <c r="R20" s="644"/>
      <c r="S20" s="644"/>
      <c r="T20" s="644"/>
      <c r="U20" s="644"/>
      <c r="V20" s="644"/>
      <c r="W20" s="644"/>
      <c r="X20" s="644"/>
      <c r="Y20" s="644"/>
      <c r="Z20" s="644"/>
      <c r="AA20" s="644"/>
      <c r="AB20" s="644"/>
      <c r="AC20" s="644"/>
      <c r="AD20" s="644"/>
      <c r="AE20" s="644"/>
      <c r="AF20" s="644"/>
      <c r="AG20" s="644"/>
      <c r="AH20" s="644"/>
      <c r="AI20" s="644"/>
      <c r="AJ20" s="644"/>
      <c r="AK20" s="644"/>
    </row>
    <row r="21" spans="1:37" s="108" customFormat="1" ht="12.75">
      <c r="A21" s="112">
        <v>147</v>
      </c>
      <c r="B21" s="16" t="s">
        <v>421</v>
      </c>
      <c r="C21" s="16"/>
      <c r="D21" s="520"/>
      <c r="E21" s="520"/>
      <c r="F21" s="189"/>
      <c r="G21" s="189"/>
      <c r="H21" s="505"/>
      <c r="I21" s="140">
        <f>IF(I$9&gt;0,I$18/(I$9+J$9)*2,0)</f>
        <v>0</v>
      </c>
      <c r="J21" s="140">
        <f>IF(J$9&gt;0,J$18/(J$9+K$9)*2,0)</f>
        <v>0</v>
      </c>
      <c r="K21" s="140">
        <f>IF(K$9&gt;0,K$18/K$9,0)</f>
        <v>0</v>
      </c>
      <c r="L21" s="132"/>
      <c r="M21" s="132"/>
      <c r="N21" s="132"/>
      <c r="O21" s="507">
        <f t="shared" si="0"/>
        <v>0</v>
      </c>
      <c r="P21" s="105"/>
      <c r="Q21" s="644"/>
      <c r="R21" s="644"/>
      <c r="S21" s="644"/>
      <c r="T21" s="644"/>
      <c r="U21" s="644"/>
      <c r="V21" s="644"/>
      <c r="W21" s="644"/>
      <c r="X21" s="644"/>
      <c r="Y21" s="644"/>
      <c r="Z21" s="644"/>
      <c r="AA21" s="644"/>
      <c r="AB21" s="644"/>
      <c r="AC21" s="644"/>
      <c r="AD21" s="644"/>
      <c r="AE21" s="644"/>
      <c r="AF21" s="644"/>
      <c r="AG21" s="644"/>
      <c r="AH21" s="644"/>
      <c r="AI21" s="644"/>
      <c r="AJ21" s="644"/>
      <c r="AK21" s="644"/>
    </row>
    <row r="22" spans="1:37" s="108" customFormat="1" ht="12.75">
      <c r="A22" s="112"/>
      <c r="B22" s="15"/>
      <c r="C22" s="15"/>
      <c r="D22" s="521"/>
      <c r="E22" s="521"/>
      <c r="F22" s="141"/>
      <c r="G22" s="141"/>
      <c r="H22" s="142"/>
      <c r="I22" s="141"/>
      <c r="J22" s="141"/>
      <c r="K22" s="509"/>
      <c r="L22" s="131"/>
      <c r="M22" s="131"/>
      <c r="N22" s="132"/>
      <c r="O22" s="507">
        <f t="shared" si="0"/>
        <v>0</v>
      </c>
      <c r="P22" s="105"/>
      <c r="Q22" s="644"/>
      <c r="R22" s="644"/>
      <c r="S22" s="644"/>
      <c r="T22" s="644"/>
      <c r="U22" s="644"/>
      <c r="V22" s="644"/>
      <c r="W22" s="644"/>
      <c r="X22" s="644"/>
      <c r="Y22" s="644"/>
      <c r="Z22" s="644"/>
      <c r="AA22" s="644"/>
      <c r="AB22" s="644"/>
      <c r="AC22" s="644"/>
      <c r="AD22" s="644"/>
      <c r="AE22" s="644"/>
      <c r="AF22" s="644"/>
      <c r="AG22" s="644"/>
      <c r="AH22" s="644"/>
      <c r="AI22" s="644"/>
      <c r="AJ22" s="644"/>
      <c r="AK22" s="644"/>
    </row>
    <row r="23" spans="1:37" s="108" customFormat="1" ht="12.75">
      <c r="A23" s="112">
        <v>148</v>
      </c>
      <c r="B23" s="16" t="s">
        <v>791</v>
      </c>
      <c r="C23" s="16"/>
      <c r="D23" s="520"/>
      <c r="E23" s="520"/>
      <c r="F23" s="143"/>
      <c r="G23" s="144"/>
      <c r="H23" s="145"/>
      <c r="I23" s="146">
        <f ca="1">OFFSET('BVG-MINDESTZINSSATZ'!$A$3,jahr-1985,1,1,1)</f>
        <v>0.025</v>
      </c>
      <c r="J23" s="147">
        <f ca="1">OFFSET('BVG-MINDESTZINSSATZ'!$A$3,jahr-1-1985,1,1,1)</f>
        <v>0.025</v>
      </c>
      <c r="K23" s="148">
        <f ca="1">OFFSET('BVG-MINDESTZINSSATZ'!$A$3,jahr-2-1985,1,1,1)</f>
        <v>0.05</v>
      </c>
      <c r="L23" s="149"/>
      <c r="M23" s="149"/>
      <c r="N23" s="150"/>
      <c r="O23" s="507">
        <f t="shared" si="0"/>
        <v>0</v>
      </c>
      <c r="P23" s="105"/>
      <c r="Q23" s="644"/>
      <c r="R23" s="644"/>
      <c r="S23" s="644"/>
      <c r="T23" s="644"/>
      <c r="U23" s="644"/>
      <c r="V23" s="644"/>
      <c r="W23" s="644"/>
      <c r="X23" s="644"/>
      <c r="Y23" s="644"/>
      <c r="Z23" s="644"/>
      <c r="AA23" s="644"/>
      <c r="AB23" s="644"/>
      <c r="AC23" s="644"/>
      <c r="AD23" s="644"/>
      <c r="AE23" s="644"/>
      <c r="AF23" s="644"/>
      <c r="AG23" s="644"/>
      <c r="AH23" s="644"/>
      <c r="AI23" s="644"/>
      <c r="AJ23" s="644"/>
      <c r="AK23" s="644"/>
    </row>
    <row r="24" spans="1:37" s="108" customFormat="1" ht="12.75">
      <c r="A24" s="112"/>
      <c r="B24" s="15"/>
      <c r="C24" s="15"/>
      <c r="D24" s="521"/>
      <c r="E24" s="521"/>
      <c r="F24" s="141"/>
      <c r="G24" s="141"/>
      <c r="H24" s="142"/>
      <c r="I24" s="141"/>
      <c r="J24" s="141"/>
      <c r="K24" s="141"/>
      <c r="L24" s="131"/>
      <c r="M24" s="131"/>
      <c r="N24" s="132"/>
      <c r="O24" s="507">
        <f t="shared" si="0"/>
        <v>0</v>
      </c>
      <c r="P24" s="105"/>
      <c r="Q24" s="644"/>
      <c r="R24" s="644"/>
      <c r="S24" s="644"/>
      <c r="T24" s="644"/>
      <c r="U24" s="644"/>
      <c r="V24" s="644"/>
      <c r="W24" s="644"/>
      <c r="X24" s="644"/>
      <c r="Y24" s="644"/>
      <c r="Z24" s="644"/>
      <c r="AA24" s="644"/>
      <c r="AB24" s="644"/>
      <c r="AC24" s="644"/>
      <c r="AD24" s="644"/>
      <c r="AE24" s="644"/>
      <c r="AF24" s="644"/>
      <c r="AG24" s="644"/>
      <c r="AH24" s="644"/>
      <c r="AI24" s="644"/>
      <c r="AJ24" s="644"/>
      <c r="AK24" s="644"/>
    </row>
    <row r="25" spans="1:37" s="108" customFormat="1" ht="27.75" customHeight="1">
      <c r="A25" s="112">
        <v>149</v>
      </c>
      <c r="B25" s="801" t="s">
        <v>698</v>
      </c>
      <c r="C25" s="801"/>
      <c r="D25" s="511"/>
      <c r="E25" s="511"/>
      <c r="F25" s="151"/>
      <c r="G25" s="151"/>
      <c r="H25" s="152"/>
      <c r="I25" s="153" t="str">
        <f>IF(AND(I$21&gt;=0.06,I$23&lt;=2/3*I$21),"Oui","Non")</f>
        <v>Non</v>
      </c>
      <c r="J25" s="153" t="str">
        <f>IF(AND(J$21&gt;=0.06,J$23&lt;=2/3*J$21),"Oui","Non")</f>
        <v>Non</v>
      </c>
      <c r="K25" s="153" t="str">
        <f>IF(AND(K$21&gt;=0.06,K$23&lt;=2/3*K$21),"Oui","Non")</f>
        <v>Non</v>
      </c>
      <c r="L25" s="793" t="s">
        <v>792</v>
      </c>
      <c r="M25" s="794"/>
      <c r="N25" s="794"/>
      <c r="O25" s="507">
        <f t="shared" si="0"/>
        <v>0</v>
      </c>
      <c r="P25" s="155"/>
      <c r="Q25" s="644"/>
      <c r="R25" s="644"/>
      <c r="S25" s="644"/>
      <c r="T25" s="644"/>
      <c r="U25" s="644"/>
      <c r="V25" s="644"/>
      <c r="W25" s="644"/>
      <c r="X25" s="644"/>
      <c r="Y25" s="644"/>
      <c r="Z25" s="644"/>
      <c r="AA25" s="644"/>
      <c r="AB25" s="644"/>
      <c r="AC25" s="644"/>
      <c r="AD25" s="644"/>
      <c r="AE25" s="644"/>
      <c r="AF25" s="644"/>
      <c r="AG25" s="644"/>
      <c r="AH25" s="644"/>
      <c r="AI25" s="644"/>
      <c r="AJ25" s="644"/>
      <c r="AK25" s="644"/>
    </row>
    <row r="26" spans="1:37" s="108" customFormat="1" ht="12.75">
      <c r="A26" s="138"/>
      <c r="B26" s="7"/>
      <c r="C26" s="7"/>
      <c r="D26" s="515"/>
      <c r="E26" s="515"/>
      <c r="F26" s="131"/>
      <c r="G26" s="131"/>
      <c r="H26" s="132"/>
      <c r="I26" s="131"/>
      <c r="J26" s="131"/>
      <c r="K26" s="132"/>
      <c r="L26" s="131"/>
      <c r="M26" s="131"/>
      <c r="N26" s="132"/>
      <c r="O26" s="507">
        <f t="shared" si="0"/>
        <v>0</v>
      </c>
      <c r="P26" s="105"/>
      <c r="Q26" s="644"/>
      <c r="R26" s="644"/>
      <c r="S26" s="644"/>
      <c r="T26" s="644"/>
      <c r="U26" s="644"/>
      <c r="V26" s="644"/>
      <c r="W26" s="644"/>
      <c r="X26" s="644"/>
      <c r="Y26" s="644"/>
      <c r="Z26" s="644"/>
      <c r="AA26" s="644"/>
      <c r="AB26" s="644"/>
      <c r="AC26" s="644"/>
      <c r="AD26" s="644"/>
      <c r="AE26" s="644"/>
      <c r="AF26" s="644"/>
      <c r="AG26" s="644"/>
      <c r="AH26" s="644"/>
      <c r="AI26" s="644"/>
      <c r="AJ26" s="644"/>
      <c r="AK26" s="644"/>
    </row>
    <row r="27" spans="1:37" s="108" customFormat="1" ht="12.75">
      <c r="A27" s="112">
        <v>150</v>
      </c>
      <c r="B27" s="8" t="s">
        <v>468</v>
      </c>
      <c r="C27" s="8"/>
      <c r="D27" s="21"/>
      <c r="E27" s="21"/>
      <c r="F27" s="134">
        <f>I27+L27</f>
        <v>0</v>
      </c>
      <c r="G27" s="134">
        <f>J27+M27</f>
        <v>0</v>
      </c>
      <c r="H27" s="134">
        <f>K27+N27</f>
        <v>0</v>
      </c>
      <c r="I27" s="612"/>
      <c r="J27" s="612"/>
      <c r="K27" s="612"/>
      <c r="L27" s="613"/>
      <c r="M27" s="613"/>
      <c r="N27" s="613"/>
      <c r="O27" s="507">
        <f t="shared" si="0"/>
        <v>0</v>
      </c>
      <c r="P27" s="105"/>
      <c r="Q27" s="644"/>
      <c r="R27" s="644"/>
      <c r="S27" s="644"/>
      <c r="T27" s="644"/>
      <c r="U27" s="644"/>
      <c r="V27" s="644"/>
      <c r="W27" s="644"/>
      <c r="X27" s="644"/>
      <c r="Y27" s="644"/>
      <c r="Z27" s="644"/>
      <c r="AA27" s="644"/>
      <c r="AB27" s="644"/>
      <c r="AC27" s="644"/>
      <c r="AD27" s="644"/>
      <c r="AE27" s="644"/>
      <c r="AF27" s="644"/>
      <c r="AG27" s="644"/>
      <c r="AH27" s="644"/>
      <c r="AI27" s="644"/>
      <c r="AJ27" s="644"/>
      <c r="AK27" s="644"/>
    </row>
    <row r="28" spans="1:37" s="108" customFormat="1" ht="27">
      <c r="A28" s="112">
        <v>151</v>
      </c>
      <c r="B28" s="23" t="s">
        <v>700</v>
      </c>
      <c r="C28" s="707" t="s">
        <v>793</v>
      </c>
      <c r="D28" s="705">
        <f>IF(ABS(F28-(I28+L28))&lt;2,0,"AE")</f>
        <v>0</v>
      </c>
      <c r="E28" s="706">
        <f>IF(ABS(G28-(J28+M28))&lt;2,0,"AE-1")</f>
        <v>0</v>
      </c>
      <c r="F28" s="227">
        <f>'CR'!$F$37</f>
        <v>0</v>
      </c>
      <c r="G28" s="227">
        <f>'CR'!$G$37</f>
        <v>0</v>
      </c>
      <c r="H28" s="157">
        <f>N28</f>
        <v>0</v>
      </c>
      <c r="I28" s="708"/>
      <c r="J28" s="708"/>
      <c r="K28" s="708"/>
      <c r="L28" s="613"/>
      <c r="M28" s="613"/>
      <c r="N28" s="613"/>
      <c r="O28" s="709">
        <f t="shared" si="0"/>
        <v>0</v>
      </c>
      <c r="P28" s="105"/>
      <c r="Q28" s="644"/>
      <c r="R28" s="644"/>
      <c r="S28" s="644"/>
      <c r="T28" s="644"/>
      <c r="U28" s="644"/>
      <c r="V28" s="644"/>
      <c r="W28" s="644"/>
      <c r="X28" s="644"/>
      <c r="Y28" s="644"/>
      <c r="Z28" s="644"/>
      <c r="AA28" s="644"/>
      <c r="AB28" s="644"/>
      <c r="AC28" s="644"/>
      <c r="AD28" s="644"/>
      <c r="AE28" s="644"/>
      <c r="AF28" s="644"/>
      <c r="AG28" s="644"/>
      <c r="AH28" s="644"/>
      <c r="AI28" s="644"/>
      <c r="AJ28" s="644"/>
      <c r="AK28" s="644"/>
    </row>
    <row r="29" spans="1:37" s="108" customFormat="1" ht="12.75">
      <c r="A29" s="112">
        <v>153</v>
      </c>
      <c r="B29" s="8" t="s">
        <v>801</v>
      </c>
      <c r="C29" s="21"/>
      <c r="D29" s="21"/>
      <c r="E29" s="21"/>
      <c r="F29" s="134">
        <f aca="true" t="shared" si="4" ref="F29:H34">I29+L29</f>
        <v>0</v>
      </c>
      <c r="G29" s="134">
        <f t="shared" si="4"/>
        <v>0</v>
      </c>
      <c r="H29" s="134">
        <f t="shared" si="4"/>
        <v>0</v>
      </c>
      <c r="I29" s="612"/>
      <c r="J29" s="612"/>
      <c r="K29" s="612"/>
      <c r="L29" s="613"/>
      <c r="M29" s="613"/>
      <c r="N29" s="613"/>
      <c r="O29" s="507">
        <f t="shared" si="0"/>
        <v>0</v>
      </c>
      <c r="P29" s="105"/>
      <c r="Q29" s="644"/>
      <c r="R29" s="644"/>
      <c r="S29" s="644"/>
      <c r="T29" s="644"/>
      <c r="U29" s="644"/>
      <c r="V29" s="644"/>
      <c r="W29" s="644"/>
      <c r="X29" s="644"/>
      <c r="Y29" s="644"/>
      <c r="Z29" s="644"/>
      <c r="AA29" s="644"/>
      <c r="AB29" s="644"/>
      <c r="AC29" s="644"/>
      <c r="AD29" s="644"/>
      <c r="AE29" s="644"/>
      <c r="AF29" s="644"/>
      <c r="AG29" s="644"/>
      <c r="AH29" s="644"/>
      <c r="AI29" s="644"/>
      <c r="AJ29" s="644"/>
      <c r="AK29" s="644"/>
    </row>
    <row r="30" spans="1:37" s="108" customFormat="1" ht="12.75">
      <c r="A30" s="112">
        <v>154</v>
      </c>
      <c r="B30" s="14" t="s">
        <v>679</v>
      </c>
      <c r="C30" s="8"/>
      <c r="D30" s="21"/>
      <c r="E30" s="21"/>
      <c r="F30" s="134">
        <f t="shared" si="4"/>
        <v>0</v>
      </c>
      <c r="G30" s="134">
        <f t="shared" si="4"/>
        <v>0</v>
      </c>
      <c r="H30" s="134">
        <f t="shared" si="4"/>
        <v>0</v>
      </c>
      <c r="I30" s="612"/>
      <c r="J30" s="612"/>
      <c r="K30" s="612"/>
      <c r="L30" s="613"/>
      <c r="M30" s="613"/>
      <c r="N30" s="613"/>
      <c r="O30" s="507">
        <f t="shared" si="0"/>
        <v>0</v>
      </c>
      <c r="P30" s="105"/>
      <c r="Q30" s="644"/>
      <c r="R30" s="644"/>
      <c r="S30" s="644"/>
      <c r="T30" s="644"/>
      <c r="U30" s="644"/>
      <c r="V30" s="644"/>
      <c r="W30" s="644"/>
      <c r="X30" s="644"/>
      <c r="Y30" s="644"/>
      <c r="Z30" s="644"/>
      <c r="AA30" s="644"/>
      <c r="AB30" s="644"/>
      <c r="AC30" s="644"/>
      <c r="AD30" s="644"/>
      <c r="AE30" s="644"/>
      <c r="AF30" s="644"/>
      <c r="AG30" s="644"/>
      <c r="AH30" s="644"/>
      <c r="AI30" s="644"/>
      <c r="AJ30" s="644"/>
      <c r="AK30" s="644"/>
    </row>
    <row r="31" spans="1:37" s="108" customFormat="1" ht="12.75" customHeight="1">
      <c r="A31" s="112">
        <v>155</v>
      </c>
      <c r="B31" s="22" t="s">
        <v>802</v>
      </c>
      <c r="C31" s="23"/>
      <c r="D31" s="69"/>
      <c r="E31" s="69"/>
      <c r="F31" s="157">
        <f t="shared" si="4"/>
        <v>0</v>
      </c>
      <c r="G31" s="157">
        <f t="shared" si="4"/>
        <v>0</v>
      </c>
      <c r="H31" s="157">
        <f t="shared" si="4"/>
        <v>0</v>
      </c>
      <c r="I31" s="612"/>
      <c r="J31" s="612"/>
      <c r="K31" s="612"/>
      <c r="L31" s="613"/>
      <c r="M31" s="613"/>
      <c r="N31" s="613"/>
      <c r="O31" s="507">
        <f t="shared" si="0"/>
        <v>0</v>
      </c>
      <c r="P31" s="105"/>
      <c r="Q31" s="644"/>
      <c r="R31" s="644"/>
      <c r="S31" s="644"/>
      <c r="T31" s="644"/>
      <c r="U31" s="644"/>
      <c r="V31" s="644"/>
      <c r="W31" s="644"/>
      <c r="X31" s="644"/>
      <c r="Y31" s="644"/>
      <c r="Z31" s="644"/>
      <c r="AA31" s="644"/>
      <c r="AB31" s="644"/>
      <c r="AC31" s="644"/>
      <c r="AD31" s="644"/>
      <c r="AE31" s="644"/>
      <c r="AF31" s="644"/>
      <c r="AG31" s="644"/>
      <c r="AH31" s="644"/>
      <c r="AI31" s="644"/>
      <c r="AJ31" s="644"/>
      <c r="AK31" s="644"/>
    </row>
    <row r="32" spans="1:37" s="108" customFormat="1" ht="13.5">
      <c r="A32" s="112">
        <v>156</v>
      </c>
      <c r="B32" s="22" t="s">
        <v>803</v>
      </c>
      <c r="C32" s="23"/>
      <c r="D32" s="69"/>
      <c r="E32" s="69"/>
      <c r="F32" s="157">
        <f t="shared" si="4"/>
        <v>0</v>
      </c>
      <c r="G32" s="157">
        <f t="shared" si="4"/>
        <v>0</v>
      </c>
      <c r="H32" s="157">
        <f t="shared" si="4"/>
        <v>0</v>
      </c>
      <c r="I32" s="612"/>
      <c r="J32" s="612"/>
      <c r="K32" s="612"/>
      <c r="L32" s="613"/>
      <c r="M32" s="613"/>
      <c r="N32" s="613"/>
      <c r="O32" s="507">
        <f t="shared" si="0"/>
        <v>0</v>
      </c>
      <c r="P32" s="105"/>
      <c r="Q32" s="644"/>
      <c r="R32" s="644"/>
      <c r="S32" s="644"/>
      <c r="T32" s="644"/>
      <c r="U32" s="644"/>
      <c r="V32" s="644"/>
      <c r="W32" s="644"/>
      <c r="X32" s="644"/>
      <c r="Y32" s="644"/>
      <c r="Z32" s="644"/>
      <c r="AA32" s="644"/>
      <c r="AB32" s="644"/>
      <c r="AC32" s="644"/>
      <c r="AD32" s="644"/>
      <c r="AE32" s="644"/>
      <c r="AF32" s="644"/>
      <c r="AG32" s="644"/>
      <c r="AH32" s="644"/>
      <c r="AI32" s="644"/>
      <c r="AJ32" s="644"/>
      <c r="AK32" s="644"/>
    </row>
    <row r="33" spans="1:37" s="108" customFormat="1" ht="13.5" customHeight="1">
      <c r="A33" s="112">
        <v>157</v>
      </c>
      <c r="B33" s="22" t="s">
        <v>804</v>
      </c>
      <c r="C33" s="707" t="s">
        <v>675</v>
      </c>
      <c r="D33" s="705">
        <f>IF('CR'!$F$18-($F$33+$F$59)&lt;2,0,"AE")</f>
        <v>0</v>
      </c>
      <c r="E33" s="69"/>
      <c r="F33" s="157">
        <f t="shared" si="4"/>
        <v>0</v>
      </c>
      <c r="G33" s="157">
        <f t="shared" si="4"/>
        <v>0</v>
      </c>
      <c r="H33" s="157">
        <f t="shared" si="4"/>
        <v>0</v>
      </c>
      <c r="I33" s="612"/>
      <c r="J33" s="612"/>
      <c r="K33" s="612"/>
      <c r="L33" s="613"/>
      <c r="M33" s="613"/>
      <c r="N33" s="613"/>
      <c r="O33" s="507">
        <f t="shared" si="0"/>
        <v>0</v>
      </c>
      <c r="P33" s="105"/>
      <c r="Q33" s="644"/>
      <c r="R33" s="644"/>
      <c r="S33" s="644"/>
      <c r="T33" s="644"/>
      <c r="U33" s="644"/>
      <c r="V33" s="644"/>
      <c r="W33" s="644"/>
      <c r="X33" s="644"/>
      <c r="Y33" s="644"/>
      <c r="Z33" s="644"/>
      <c r="AA33" s="644"/>
      <c r="AB33" s="644"/>
      <c r="AC33" s="644"/>
      <c r="AD33" s="644"/>
      <c r="AE33" s="644"/>
      <c r="AF33" s="644"/>
      <c r="AG33" s="644"/>
      <c r="AH33" s="644"/>
      <c r="AI33" s="644"/>
      <c r="AJ33" s="644"/>
      <c r="AK33" s="644"/>
    </row>
    <row r="34" spans="1:37" s="108" customFormat="1" ht="24">
      <c r="A34" s="112">
        <v>158</v>
      </c>
      <c r="B34" s="13" t="s">
        <v>585</v>
      </c>
      <c r="C34" s="13"/>
      <c r="D34" s="510"/>
      <c r="E34" s="510"/>
      <c r="F34" s="135">
        <f t="shared" si="4"/>
        <v>0</v>
      </c>
      <c r="G34" s="135">
        <f t="shared" si="4"/>
        <v>0</v>
      </c>
      <c r="H34" s="135">
        <f t="shared" si="4"/>
        <v>0</v>
      </c>
      <c r="I34" s="136">
        <f>I$27+I$29-I$30+I$31-I$32+I$33</f>
        <v>0</v>
      </c>
      <c r="J34" s="136">
        <f>J$27+J$29-J$30+J$31-J$32+J$33</f>
        <v>0</v>
      </c>
      <c r="K34" s="136">
        <f>K$27+K$29-K$30+K$31-K$32+K$33</f>
        <v>0</v>
      </c>
      <c r="L34" s="137">
        <f>L$27+L$28+L$29-L$30+L$31-L$32+L$33</f>
        <v>0</v>
      </c>
      <c r="M34" s="137">
        <f>M$27+M$28+M$29-M$30+M$31-M$32+M$33</f>
        <v>0</v>
      </c>
      <c r="N34" s="137">
        <f>N$27+N$28+N$29-N$30+N$31-N$32+N$33</f>
        <v>0</v>
      </c>
      <c r="O34" s="507">
        <f t="shared" si="0"/>
        <v>0</v>
      </c>
      <c r="P34" s="105"/>
      <c r="Q34" s="644"/>
      <c r="R34" s="644"/>
      <c r="S34" s="644"/>
      <c r="T34" s="644"/>
      <c r="U34" s="644"/>
      <c r="V34" s="644"/>
      <c r="W34" s="644"/>
      <c r="X34" s="644"/>
      <c r="Y34" s="644"/>
      <c r="Z34" s="644"/>
      <c r="AA34" s="644"/>
      <c r="AB34" s="644"/>
      <c r="AC34" s="644"/>
      <c r="AD34" s="644"/>
      <c r="AE34" s="644"/>
      <c r="AF34" s="644"/>
      <c r="AG34" s="644"/>
      <c r="AH34" s="644"/>
      <c r="AI34" s="644"/>
      <c r="AJ34" s="644"/>
      <c r="AK34" s="644"/>
    </row>
    <row r="35" spans="1:37" s="108" customFormat="1" ht="13.5">
      <c r="A35" s="112"/>
      <c r="B35" s="88" t="s">
        <v>805</v>
      </c>
      <c r="C35" s="88"/>
      <c r="D35" s="522"/>
      <c r="E35" s="522"/>
      <c r="F35" s="141"/>
      <c r="G35" s="141"/>
      <c r="H35" s="142"/>
      <c r="I35" s="141"/>
      <c r="J35" s="141"/>
      <c r="K35" s="142"/>
      <c r="L35" s="141"/>
      <c r="M35" s="141"/>
      <c r="N35" s="141"/>
      <c r="O35" s="507">
        <f t="shared" si="0"/>
        <v>0</v>
      </c>
      <c r="P35" s="105"/>
      <c r="Q35" s="644"/>
      <c r="R35" s="644"/>
      <c r="S35" s="644"/>
      <c r="T35" s="644"/>
      <c r="U35" s="644"/>
      <c r="V35" s="644"/>
      <c r="W35" s="644"/>
      <c r="X35" s="644"/>
      <c r="Y35" s="644"/>
      <c r="Z35" s="644"/>
      <c r="AA35" s="644"/>
      <c r="AB35" s="644"/>
      <c r="AC35" s="644"/>
      <c r="AD35" s="644"/>
      <c r="AE35" s="644"/>
      <c r="AF35" s="644"/>
      <c r="AG35" s="644"/>
      <c r="AH35" s="644"/>
      <c r="AI35" s="644"/>
      <c r="AJ35" s="644"/>
      <c r="AK35" s="644"/>
    </row>
    <row r="36" spans="1:37" s="108" customFormat="1" ht="23.25" customHeight="1">
      <c r="A36" s="112"/>
      <c r="B36" s="24" t="s">
        <v>699</v>
      </c>
      <c r="C36" s="24"/>
      <c r="D36" s="523"/>
      <c r="E36" s="523"/>
      <c r="F36" s="131"/>
      <c r="G36" s="131"/>
      <c r="H36" s="132"/>
      <c r="I36" s="131"/>
      <c r="J36" s="131"/>
      <c r="K36" s="132"/>
      <c r="L36" s="131"/>
      <c r="M36" s="131"/>
      <c r="N36" s="131"/>
      <c r="O36" s="507">
        <f t="shared" si="0"/>
        <v>0</v>
      </c>
      <c r="P36" s="105"/>
      <c r="Q36" s="644"/>
      <c r="R36" s="644"/>
      <c r="S36" s="644"/>
      <c r="T36" s="644"/>
      <c r="U36" s="644"/>
      <c r="V36" s="644"/>
      <c r="W36" s="644"/>
      <c r="X36" s="644"/>
      <c r="Y36" s="644"/>
      <c r="Z36" s="644"/>
      <c r="AA36" s="644"/>
      <c r="AB36" s="644"/>
      <c r="AC36" s="644"/>
      <c r="AD36" s="644"/>
      <c r="AE36" s="644"/>
      <c r="AF36" s="644"/>
      <c r="AG36" s="644"/>
      <c r="AH36" s="644"/>
      <c r="AI36" s="644"/>
      <c r="AJ36" s="644"/>
      <c r="AK36" s="644"/>
    </row>
    <row r="37" spans="1:37" s="108" customFormat="1" ht="12.75">
      <c r="A37" s="112">
        <v>159</v>
      </c>
      <c r="B37" s="16" t="s">
        <v>806</v>
      </c>
      <c r="C37" s="16"/>
      <c r="D37" s="520"/>
      <c r="E37" s="520"/>
      <c r="F37" s="158">
        <f>I37+L37</f>
        <v>0</v>
      </c>
      <c r="G37" s="158">
        <f>J37+M37</f>
        <v>0</v>
      </c>
      <c r="H37" s="158">
        <f>K37+N37</f>
        <v>0</v>
      </c>
      <c r="I37" s="159">
        <f aca="true" t="shared" si="5" ref="I37:N37">I$18-I$34</f>
        <v>0</v>
      </c>
      <c r="J37" s="159">
        <f t="shared" si="5"/>
        <v>0</v>
      </c>
      <c r="K37" s="159">
        <f t="shared" si="5"/>
        <v>0</v>
      </c>
      <c r="L37" s="160">
        <f t="shared" si="5"/>
        <v>0</v>
      </c>
      <c r="M37" s="160">
        <f t="shared" si="5"/>
        <v>0</v>
      </c>
      <c r="N37" s="160">
        <f t="shared" si="5"/>
        <v>0</v>
      </c>
      <c r="O37" s="507">
        <f t="shared" si="0"/>
        <v>0</v>
      </c>
      <c r="P37" s="105"/>
      <c r="Q37" s="644"/>
      <c r="R37" s="644"/>
      <c r="S37" s="644"/>
      <c r="T37" s="644"/>
      <c r="U37" s="644"/>
      <c r="V37" s="644"/>
      <c r="W37" s="644"/>
      <c r="X37" s="644"/>
      <c r="Y37" s="644"/>
      <c r="Z37" s="644"/>
      <c r="AA37" s="644"/>
      <c r="AB37" s="644"/>
      <c r="AC37" s="644"/>
      <c r="AD37" s="644"/>
      <c r="AE37" s="644"/>
      <c r="AF37" s="644"/>
      <c r="AG37" s="644"/>
      <c r="AH37" s="644"/>
      <c r="AI37" s="644"/>
      <c r="AJ37" s="644"/>
      <c r="AK37" s="644"/>
    </row>
    <row r="38" spans="1:37" s="108" customFormat="1" ht="13.5">
      <c r="A38" s="112"/>
      <c r="B38" s="24"/>
      <c r="C38" s="24"/>
      <c r="D38" s="523"/>
      <c r="E38" s="523"/>
      <c r="F38" s="131"/>
      <c r="G38" s="131"/>
      <c r="H38" s="132"/>
      <c r="I38" s="131"/>
      <c r="J38" s="131"/>
      <c r="K38" s="132"/>
      <c r="L38" s="131"/>
      <c r="M38" s="131"/>
      <c r="N38" s="131"/>
      <c r="O38" s="507">
        <f t="shared" si="0"/>
        <v>0</v>
      </c>
      <c r="P38" s="105"/>
      <c r="Q38" s="644"/>
      <c r="R38" s="644"/>
      <c r="S38" s="644"/>
      <c r="T38" s="644"/>
      <c r="U38" s="644"/>
      <c r="V38" s="644"/>
      <c r="W38" s="644"/>
      <c r="X38" s="644"/>
      <c r="Y38" s="644"/>
      <c r="Z38" s="644"/>
      <c r="AA38" s="644"/>
      <c r="AB38" s="644"/>
      <c r="AC38" s="644"/>
      <c r="AD38" s="644"/>
      <c r="AE38" s="644"/>
      <c r="AF38" s="644"/>
      <c r="AG38" s="644"/>
      <c r="AH38" s="644"/>
      <c r="AI38" s="644"/>
      <c r="AJ38" s="644"/>
      <c r="AK38" s="644"/>
    </row>
    <row r="39" spans="1:37" s="108" customFormat="1" ht="12.75">
      <c r="A39" s="112"/>
      <c r="B39" s="7" t="s">
        <v>701</v>
      </c>
      <c r="C39" s="7"/>
      <c r="D39" s="515"/>
      <c r="E39" s="515"/>
      <c r="F39" s="131"/>
      <c r="G39" s="131"/>
      <c r="H39" s="132"/>
      <c r="I39" s="131"/>
      <c r="J39" s="131"/>
      <c r="K39" s="132"/>
      <c r="L39" s="131"/>
      <c r="M39" s="131"/>
      <c r="N39" s="131"/>
      <c r="O39" s="507">
        <f t="shared" si="0"/>
        <v>0</v>
      </c>
      <c r="P39" s="105"/>
      <c r="Q39" s="644"/>
      <c r="R39" s="644"/>
      <c r="S39" s="644"/>
      <c r="T39" s="644"/>
      <c r="U39" s="644"/>
      <c r="V39" s="644"/>
      <c r="W39" s="644"/>
      <c r="X39" s="644"/>
      <c r="Y39" s="644"/>
      <c r="Z39" s="644"/>
      <c r="AA39" s="644"/>
      <c r="AB39" s="644"/>
      <c r="AC39" s="644"/>
      <c r="AD39" s="644"/>
      <c r="AE39" s="644"/>
      <c r="AF39" s="644"/>
      <c r="AG39" s="644"/>
      <c r="AH39" s="644"/>
      <c r="AI39" s="644"/>
      <c r="AJ39" s="644"/>
      <c r="AK39" s="644"/>
    </row>
    <row r="40" spans="1:37" s="108" customFormat="1" ht="12.75">
      <c r="A40" s="112">
        <v>160</v>
      </c>
      <c r="B40" s="8" t="s">
        <v>807</v>
      </c>
      <c r="C40" s="8"/>
      <c r="D40" s="21"/>
      <c r="E40" s="21"/>
      <c r="F40" s="134">
        <f aca="true" t="shared" si="6" ref="F40:H43">I40+L40</f>
        <v>0</v>
      </c>
      <c r="G40" s="134">
        <f t="shared" si="6"/>
        <v>0</v>
      </c>
      <c r="H40" s="134">
        <f t="shared" si="6"/>
        <v>0</v>
      </c>
      <c r="I40" s="612"/>
      <c r="J40" s="612"/>
      <c r="K40" s="612"/>
      <c r="L40" s="613"/>
      <c r="M40" s="613"/>
      <c r="N40" s="613"/>
      <c r="O40" s="507">
        <f t="shared" si="0"/>
        <v>0</v>
      </c>
      <c r="P40" s="105"/>
      <c r="Q40" s="644"/>
      <c r="R40" s="644"/>
      <c r="S40" s="644"/>
      <c r="T40" s="644"/>
      <c r="U40" s="644"/>
      <c r="V40" s="644"/>
      <c r="W40" s="644"/>
      <c r="X40" s="644"/>
      <c r="Y40" s="644"/>
      <c r="Z40" s="644"/>
      <c r="AA40" s="644"/>
      <c r="AB40" s="644"/>
      <c r="AC40" s="644"/>
      <c r="AD40" s="644"/>
      <c r="AE40" s="644"/>
      <c r="AF40" s="644"/>
      <c r="AG40" s="644"/>
      <c r="AH40" s="644"/>
      <c r="AI40" s="644"/>
      <c r="AJ40" s="644"/>
      <c r="AK40" s="644"/>
    </row>
    <row r="41" spans="1:37" s="108" customFormat="1" ht="12.75">
      <c r="A41" s="112">
        <v>161</v>
      </c>
      <c r="B41" s="19" t="s">
        <v>808</v>
      </c>
      <c r="C41" s="20"/>
      <c r="D41" s="20"/>
      <c r="E41" s="20"/>
      <c r="F41" s="134">
        <f t="shared" si="6"/>
        <v>0</v>
      </c>
      <c r="G41" s="134">
        <f t="shared" si="6"/>
        <v>0</v>
      </c>
      <c r="H41" s="134">
        <f t="shared" si="6"/>
        <v>0</v>
      </c>
      <c r="I41" s="612"/>
      <c r="J41" s="612"/>
      <c r="K41" s="612"/>
      <c r="L41" s="613"/>
      <c r="M41" s="613"/>
      <c r="N41" s="613"/>
      <c r="O41" s="507">
        <f t="shared" si="0"/>
        <v>0</v>
      </c>
      <c r="P41" s="105"/>
      <c r="Q41" s="644"/>
      <c r="R41" s="644"/>
      <c r="S41" s="644"/>
      <c r="T41" s="644"/>
      <c r="U41" s="644"/>
      <c r="V41" s="644"/>
      <c r="W41" s="644"/>
      <c r="X41" s="644"/>
      <c r="Y41" s="644"/>
      <c r="Z41" s="644"/>
      <c r="AA41" s="644"/>
      <c r="AB41" s="644"/>
      <c r="AC41" s="644"/>
      <c r="AD41" s="644"/>
      <c r="AE41" s="644"/>
      <c r="AF41" s="644"/>
      <c r="AG41" s="644"/>
      <c r="AH41" s="644"/>
      <c r="AI41" s="644"/>
      <c r="AJ41" s="644"/>
      <c r="AK41" s="644"/>
    </row>
    <row r="42" spans="1:37" s="108" customFormat="1" ht="12.75">
      <c r="A42" s="112">
        <v>162</v>
      </c>
      <c r="B42" s="14" t="s">
        <v>809</v>
      </c>
      <c r="C42" s="8"/>
      <c r="D42" s="21"/>
      <c r="E42" s="21"/>
      <c r="F42" s="134">
        <f t="shared" si="6"/>
        <v>0</v>
      </c>
      <c r="G42" s="134">
        <f t="shared" si="6"/>
        <v>0</v>
      </c>
      <c r="H42" s="134">
        <f t="shared" si="6"/>
        <v>0</v>
      </c>
      <c r="I42" s="612"/>
      <c r="J42" s="612"/>
      <c r="K42" s="612"/>
      <c r="L42" s="613"/>
      <c r="M42" s="613"/>
      <c r="N42" s="613"/>
      <c r="O42" s="507">
        <f t="shared" si="0"/>
        <v>0</v>
      </c>
      <c r="P42" s="105"/>
      <c r="Q42" s="644"/>
      <c r="R42" s="644"/>
      <c r="S42" s="644"/>
      <c r="T42" s="644"/>
      <c r="U42" s="644"/>
      <c r="V42" s="644"/>
      <c r="W42" s="644"/>
      <c r="X42" s="644"/>
      <c r="Y42" s="644"/>
      <c r="Z42" s="644"/>
      <c r="AA42" s="644"/>
      <c r="AB42" s="644"/>
      <c r="AC42" s="644"/>
      <c r="AD42" s="644"/>
      <c r="AE42" s="644"/>
      <c r="AF42" s="644"/>
      <c r="AG42" s="644"/>
      <c r="AH42" s="644"/>
      <c r="AI42" s="644"/>
      <c r="AJ42" s="644"/>
      <c r="AK42" s="644"/>
    </row>
    <row r="43" spans="1:37" s="108" customFormat="1" ht="24">
      <c r="A43" s="112">
        <v>163</v>
      </c>
      <c r="B43" s="13" t="s">
        <v>810</v>
      </c>
      <c r="C43" s="13"/>
      <c r="D43" s="510"/>
      <c r="E43" s="510"/>
      <c r="F43" s="711">
        <f t="shared" si="6"/>
        <v>0</v>
      </c>
      <c r="G43" s="135">
        <f t="shared" si="6"/>
        <v>0</v>
      </c>
      <c r="H43" s="135">
        <f t="shared" si="6"/>
        <v>0</v>
      </c>
      <c r="I43" s="136">
        <f aca="true" t="shared" si="7" ref="I43:N43">I$40+I$41+I$42</f>
        <v>0</v>
      </c>
      <c r="J43" s="136">
        <f t="shared" si="7"/>
        <v>0</v>
      </c>
      <c r="K43" s="136">
        <f t="shared" si="7"/>
        <v>0</v>
      </c>
      <c r="L43" s="137">
        <f t="shared" si="7"/>
        <v>0</v>
      </c>
      <c r="M43" s="137">
        <f t="shared" si="7"/>
        <v>0</v>
      </c>
      <c r="N43" s="137">
        <f t="shared" si="7"/>
        <v>0</v>
      </c>
      <c r="O43" s="507">
        <f t="shared" si="0"/>
        <v>0</v>
      </c>
      <c r="P43" s="105"/>
      <c r="Q43" s="644"/>
      <c r="R43" s="644"/>
      <c r="S43" s="644"/>
      <c r="T43" s="644"/>
      <c r="U43" s="644"/>
      <c r="V43" s="644"/>
      <c r="W43" s="644"/>
      <c r="X43" s="644"/>
      <c r="Y43" s="644"/>
      <c r="Z43" s="644"/>
      <c r="AA43" s="644"/>
      <c r="AB43" s="644"/>
      <c r="AC43" s="644"/>
      <c r="AD43" s="644"/>
      <c r="AE43" s="644"/>
      <c r="AF43" s="644"/>
      <c r="AG43" s="644"/>
      <c r="AH43" s="644"/>
      <c r="AI43" s="644"/>
      <c r="AJ43" s="644"/>
      <c r="AK43" s="644"/>
    </row>
    <row r="44" spans="1:37" s="108" customFormat="1" ht="22.5" customHeight="1">
      <c r="A44" s="112"/>
      <c r="B44" s="24" t="s">
        <v>811</v>
      </c>
      <c r="C44" s="24"/>
      <c r="D44" s="523"/>
      <c r="E44" s="523"/>
      <c r="F44" s="131"/>
      <c r="G44" s="131"/>
      <c r="H44" s="132"/>
      <c r="I44" s="131"/>
      <c r="J44" s="131"/>
      <c r="K44" s="132"/>
      <c r="L44" s="131"/>
      <c r="M44" s="131"/>
      <c r="N44" s="131"/>
      <c r="O44" s="507">
        <f t="shared" si="0"/>
        <v>0</v>
      </c>
      <c r="P44" s="105"/>
      <c r="Q44" s="644"/>
      <c r="R44" s="644"/>
      <c r="S44" s="644"/>
      <c r="T44" s="644"/>
      <c r="U44" s="644"/>
      <c r="V44" s="644"/>
      <c r="W44" s="644"/>
      <c r="X44" s="644"/>
      <c r="Y44" s="644"/>
      <c r="Z44" s="644"/>
      <c r="AA44" s="644"/>
      <c r="AB44" s="644"/>
      <c r="AC44" s="644"/>
      <c r="AD44" s="644"/>
      <c r="AE44" s="644"/>
      <c r="AF44" s="644"/>
      <c r="AG44" s="644"/>
      <c r="AH44" s="644"/>
      <c r="AI44" s="644"/>
      <c r="AJ44" s="644"/>
      <c r="AK44" s="644"/>
    </row>
    <row r="45" spans="1:37" s="108" customFormat="1" ht="12.75">
      <c r="A45" s="112">
        <v>164</v>
      </c>
      <c r="B45" s="25" t="s">
        <v>812</v>
      </c>
      <c r="C45" s="25"/>
      <c r="D45" s="524"/>
      <c r="E45" s="524"/>
      <c r="F45" s="134">
        <f aca="true" t="shared" si="8" ref="F45:H46">I45+L45</f>
        <v>0</v>
      </c>
      <c r="G45" s="134">
        <f t="shared" si="8"/>
        <v>0</v>
      </c>
      <c r="H45" s="134">
        <f t="shared" si="8"/>
        <v>0</v>
      </c>
      <c r="I45" s="612"/>
      <c r="J45" s="612"/>
      <c r="K45" s="612"/>
      <c r="L45" s="613"/>
      <c r="M45" s="613"/>
      <c r="N45" s="613"/>
      <c r="O45" s="507">
        <f t="shared" si="0"/>
        <v>0</v>
      </c>
      <c r="P45" s="105"/>
      <c r="Q45" s="644"/>
      <c r="R45" s="644"/>
      <c r="S45" s="644"/>
      <c r="T45" s="644"/>
      <c r="U45" s="644"/>
      <c r="V45" s="644"/>
      <c r="W45" s="644"/>
      <c r="X45" s="644"/>
      <c r="Y45" s="644"/>
      <c r="Z45" s="644"/>
      <c r="AA45" s="644"/>
      <c r="AB45" s="644"/>
      <c r="AC45" s="644"/>
      <c r="AD45" s="644"/>
      <c r="AE45" s="644"/>
      <c r="AF45" s="644"/>
      <c r="AG45" s="644"/>
      <c r="AH45" s="644"/>
      <c r="AI45" s="644"/>
      <c r="AJ45" s="644"/>
      <c r="AK45" s="644"/>
    </row>
    <row r="46" spans="1:37" s="108" customFormat="1" ht="12.75">
      <c r="A46" s="112">
        <v>165</v>
      </c>
      <c r="B46" s="13" t="s">
        <v>813</v>
      </c>
      <c r="C46" s="13"/>
      <c r="D46" s="510"/>
      <c r="E46" s="510"/>
      <c r="F46" s="135">
        <f t="shared" si="8"/>
        <v>0</v>
      </c>
      <c r="G46" s="135">
        <f t="shared" si="8"/>
        <v>0</v>
      </c>
      <c r="H46" s="135">
        <f t="shared" si="8"/>
        <v>0</v>
      </c>
      <c r="I46" s="136">
        <f aca="true" t="shared" si="9" ref="I46:N46">I$45</f>
        <v>0</v>
      </c>
      <c r="J46" s="136">
        <f t="shared" si="9"/>
        <v>0</v>
      </c>
      <c r="K46" s="136">
        <f t="shared" si="9"/>
        <v>0</v>
      </c>
      <c r="L46" s="137">
        <f t="shared" si="9"/>
        <v>0</v>
      </c>
      <c r="M46" s="137">
        <f t="shared" si="9"/>
        <v>0</v>
      </c>
      <c r="N46" s="137">
        <f t="shared" si="9"/>
        <v>0</v>
      </c>
      <c r="O46" s="507">
        <f t="shared" si="0"/>
        <v>0</v>
      </c>
      <c r="P46" s="105"/>
      <c r="Q46" s="644"/>
      <c r="R46" s="644"/>
      <c r="S46" s="644"/>
      <c r="T46" s="644"/>
      <c r="U46" s="644"/>
      <c r="V46" s="644"/>
      <c r="W46" s="644"/>
      <c r="X46" s="644"/>
      <c r="Y46" s="644"/>
      <c r="Z46" s="644"/>
      <c r="AA46" s="644"/>
      <c r="AB46" s="644"/>
      <c r="AC46" s="644"/>
      <c r="AD46" s="644"/>
      <c r="AE46" s="644"/>
      <c r="AF46" s="644"/>
      <c r="AG46" s="644"/>
      <c r="AH46" s="644"/>
      <c r="AI46" s="644"/>
      <c r="AJ46" s="644"/>
      <c r="AK46" s="644"/>
    </row>
    <row r="47" spans="1:37" s="108" customFormat="1" ht="12.75">
      <c r="A47" s="112"/>
      <c r="B47" s="7"/>
      <c r="C47" s="7"/>
      <c r="D47" s="515"/>
      <c r="E47" s="515"/>
      <c r="F47" s="131"/>
      <c r="G47" s="131"/>
      <c r="H47" s="132"/>
      <c r="I47" s="131"/>
      <c r="J47" s="131"/>
      <c r="K47" s="132"/>
      <c r="L47" s="131"/>
      <c r="M47" s="131"/>
      <c r="N47" s="131"/>
      <c r="O47" s="507">
        <f t="shared" si="0"/>
        <v>0</v>
      </c>
      <c r="P47" s="105"/>
      <c r="Q47" s="644"/>
      <c r="R47" s="644"/>
      <c r="S47" s="644"/>
      <c r="T47" s="644"/>
      <c r="U47" s="644"/>
      <c r="V47" s="644"/>
      <c r="W47" s="644"/>
      <c r="X47" s="644"/>
      <c r="Y47" s="644"/>
      <c r="Z47" s="644"/>
      <c r="AA47" s="644"/>
      <c r="AB47" s="644"/>
      <c r="AC47" s="644"/>
      <c r="AD47" s="644"/>
      <c r="AE47" s="644"/>
      <c r="AF47" s="644"/>
      <c r="AG47" s="644"/>
      <c r="AH47" s="644"/>
      <c r="AI47" s="644"/>
      <c r="AJ47" s="644"/>
      <c r="AK47" s="644"/>
    </row>
    <row r="48" spans="1:37" s="108" customFormat="1" ht="15.75" customHeight="1">
      <c r="A48" s="161">
        <v>7</v>
      </c>
      <c r="B48" s="162" t="s">
        <v>814</v>
      </c>
      <c r="C48" s="104"/>
      <c r="D48" s="514"/>
      <c r="E48" s="514"/>
      <c r="F48" s="105"/>
      <c r="G48" s="105" t="s">
        <v>241</v>
      </c>
      <c r="H48" s="105"/>
      <c r="I48" s="105"/>
      <c r="J48" s="105"/>
      <c r="K48" s="105"/>
      <c r="L48" s="106"/>
      <c r="M48" s="106" t="s">
        <v>242</v>
      </c>
      <c r="N48" s="107">
        <f>jahr</f>
        <v>2007</v>
      </c>
      <c r="O48" s="507">
        <f t="shared" si="0"/>
        <v>0</v>
      </c>
      <c r="P48" s="105"/>
      <c r="Q48" s="644"/>
      <c r="R48" s="644"/>
      <c r="S48" s="644"/>
      <c r="T48" s="644"/>
      <c r="U48" s="644"/>
      <c r="V48" s="644"/>
      <c r="W48" s="644"/>
      <c r="X48" s="644"/>
      <c r="Y48" s="644"/>
      <c r="Z48" s="644"/>
      <c r="AA48" s="644"/>
      <c r="AB48" s="644"/>
      <c r="AC48" s="644"/>
      <c r="AD48" s="644"/>
      <c r="AE48" s="644"/>
      <c r="AF48" s="644"/>
      <c r="AG48" s="644"/>
      <c r="AH48" s="644"/>
      <c r="AI48" s="644"/>
      <c r="AJ48" s="644"/>
      <c r="AK48" s="644"/>
    </row>
    <row r="49" spans="1:37" s="108" customFormat="1" ht="12" customHeight="1">
      <c r="A49" s="103"/>
      <c r="B49" s="109" t="s">
        <v>580</v>
      </c>
      <c r="C49" s="110" t="s">
        <v>566</v>
      </c>
      <c r="D49" s="110"/>
      <c r="E49" s="110"/>
      <c r="F49" s="111" t="s">
        <v>567</v>
      </c>
      <c r="G49" s="111" t="s">
        <v>574</v>
      </c>
      <c r="H49" s="111" t="s">
        <v>575</v>
      </c>
      <c r="I49" s="111" t="s">
        <v>573</v>
      </c>
      <c r="J49" s="111" t="s">
        <v>591</v>
      </c>
      <c r="K49" s="111" t="s">
        <v>592</v>
      </c>
      <c r="L49" s="111" t="s">
        <v>593</v>
      </c>
      <c r="M49" s="111" t="s">
        <v>594</v>
      </c>
      <c r="N49" s="111" t="s">
        <v>33</v>
      </c>
      <c r="O49" s="507">
        <f t="shared" si="0"/>
        <v>0</v>
      </c>
      <c r="P49" s="105"/>
      <c r="Q49" s="644"/>
      <c r="R49" s="644"/>
      <c r="S49" s="644"/>
      <c r="T49" s="644"/>
      <c r="U49" s="644"/>
      <c r="V49" s="644"/>
      <c r="W49" s="644"/>
      <c r="X49" s="644"/>
      <c r="Y49" s="644"/>
      <c r="Z49" s="644"/>
      <c r="AA49" s="644"/>
      <c r="AB49" s="644"/>
      <c r="AC49" s="644"/>
      <c r="AD49" s="644"/>
      <c r="AE49" s="644"/>
      <c r="AF49" s="644"/>
      <c r="AG49" s="644"/>
      <c r="AH49" s="644"/>
      <c r="AI49" s="644"/>
      <c r="AJ49" s="644"/>
      <c r="AK49" s="644"/>
    </row>
    <row r="50" spans="1:37" s="163" customFormat="1" ht="12.75">
      <c r="A50" s="112"/>
      <c r="B50" s="113" t="str">
        <f>Vr&amp;"  "</f>
        <v>Xxx Vie  </v>
      </c>
      <c r="C50" s="114" t="s">
        <v>784</v>
      </c>
      <c r="D50" s="525"/>
      <c r="E50" s="525"/>
      <c r="F50" s="115" t="s">
        <v>786</v>
      </c>
      <c r="G50" s="116"/>
      <c r="H50" s="117"/>
      <c r="I50" s="118" t="s">
        <v>786</v>
      </c>
      <c r="J50" s="119"/>
      <c r="K50" s="120"/>
      <c r="L50" s="121" t="s">
        <v>786</v>
      </c>
      <c r="M50" s="122"/>
      <c r="N50" s="123"/>
      <c r="O50" s="507">
        <f t="shared" si="0"/>
        <v>0</v>
      </c>
      <c r="P50" s="105"/>
      <c r="Q50" s="645"/>
      <c r="R50" s="645"/>
      <c r="S50" s="645"/>
      <c r="T50" s="645"/>
      <c r="U50" s="645"/>
      <c r="V50" s="645"/>
      <c r="W50" s="645"/>
      <c r="X50" s="645"/>
      <c r="Y50" s="645"/>
      <c r="Z50" s="645"/>
      <c r="AA50" s="645"/>
      <c r="AB50" s="645"/>
      <c r="AC50" s="645"/>
      <c r="AD50" s="645"/>
      <c r="AE50" s="645"/>
      <c r="AF50" s="645"/>
      <c r="AG50" s="645"/>
      <c r="AH50" s="645"/>
      <c r="AI50" s="645"/>
      <c r="AJ50" s="645"/>
      <c r="AK50" s="645"/>
    </row>
    <row r="51" spans="1:37" s="163" customFormat="1" ht="12.75">
      <c r="A51" s="112"/>
      <c r="B51" s="105"/>
      <c r="C51" s="114" t="s">
        <v>785</v>
      </c>
      <c r="D51" s="525"/>
      <c r="E51" s="525"/>
      <c r="F51" s="124" t="s">
        <v>579</v>
      </c>
      <c r="G51" s="116"/>
      <c r="H51" s="117"/>
      <c r="I51" s="125" t="s">
        <v>787</v>
      </c>
      <c r="J51" s="126"/>
      <c r="K51" s="120"/>
      <c r="L51" s="127" t="s">
        <v>788</v>
      </c>
      <c r="M51" s="127"/>
      <c r="N51" s="123"/>
      <c r="O51" s="507">
        <f t="shared" si="0"/>
        <v>0</v>
      </c>
      <c r="P51" s="105"/>
      <c r="Q51" s="645"/>
      <c r="R51" s="645"/>
      <c r="S51" s="645"/>
      <c r="T51" s="645"/>
      <c r="U51" s="645"/>
      <c r="V51" s="645"/>
      <c r="W51" s="645"/>
      <c r="X51" s="645"/>
      <c r="Y51" s="645"/>
      <c r="Z51" s="645"/>
      <c r="AA51" s="645"/>
      <c r="AB51" s="645"/>
      <c r="AC51" s="645"/>
      <c r="AD51" s="645"/>
      <c r="AE51" s="645"/>
      <c r="AF51" s="645"/>
      <c r="AG51" s="645"/>
      <c r="AH51" s="645"/>
      <c r="AI51" s="645"/>
      <c r="AJ51" s="645"/>
      <c r="AK51" s="645"/>
    </row>
    <row r="52" spans="1:37" s="163" customFormat="1" ht="12.75">
      <c r="A52" s="112"/>
      <c r="B52" s="105"/>
      <c r="C52" s="164"/>
      <c r="D52" s="110"/>
      <c r="E52" s="110"/>
      <c r="F52" s="128" t="s">
        <v>246</v>
      </c>
      <c r="G52" s="128" t="s">
        <v>247</v>
      </c>
      <c r="H52" s="128" t="s">
        <v>789</v>
      </c>
      <c r="I52" s="129" t="s">
        <v>246</v>
      </c>
      <c r="J52" s="129" t="s">
        <v>247</v>
      </c>
      <c r="K52" s="129" t="s">
        <v>789</v>
      </c>
      <c r="L52" s="130" t="s">
        <v>246</v>
      </c>
      <c r="M52" s="130" t="s">
        <v>247</v>
      </c>
      <c r="N52" s="130" t="s">
        <v>789</v>
      </c>
      <c r="O52" s="507">
        <f t="shared" si="0"/>
        <v>0</v>
      </c>
      <c r="P52" s="105"/>
      <c r="Q52" s="645"/>
      <c r="R52" s="645"/>
      <c r="S52" s="645"/>
      <c r="T52" s="645"/>
      <c r="U52" s="645"/>
      <c r="V52" s="645"/>
      <c r="W52" s="645"/>
      <c r="X52" s="645"/>
      <c r="Y52" s="645"/>
      <c r="Z52" s="645"/>
      <c r="AA52" s="645"/>
      <c r="AB52" s="645"/>
      <c r="AC52" s="645"/>
      <c r="AD52" s="645"/>
      <c r="AE52" s="645"/>
      <c r="AF52" s="645"/>
      <c r="AG52" s="645"/>
      <c r="AH52" s="645"/>
      <c r="AI52" s="645"/>
      <c r="AJ52" s="645"/>
      <c r="AK52" s="645"/>
    </row>
    <row r="53" spans="1:37" s="108" customFormat="1" ht="12.75">
      <c r="A53" s="112"/>
      <c r="B53" s="7" t="s">
        <v>702</v>
      </c>
      <c r="C53" s="7"/>
      <c r="D53" s="515"/>
      <c r="E53" s="515"/>
      <c r="F53" s="131"/>
      <c r="G53" s="131"/>
      <c r="H53" s="132"/>
      <c r="I53" s="131"/>
      <c r="J53" s="131"/>
      <c r="K53" s="132"/>
      <c r="L53" s="131"/>
      <c r="M53" s="131"/>
      <c r="N53" s="131"/>
      <c r="O53" s="507">
        <f t="shared" si="0"/>
        <v>0</v>
      </c>
      <c r="P53" s="105"/>
      <c r="Q53" s="644"/>
      <c r="R53" s="644"/>
      <c r="S53" s="644"/>
      <c r="T53" s="644"/>
      <c r="U53" s="644"/>
      <c r="V53" s="644"/>
      <c r="W53" s="644"/>
      <c r="X53" s="644"/>
      <c r="Y53" s="644"/>
      <c r="Z53" s="644"/>
      <c r="AA53" s="644"/>
      <c r="AB53" s="644"/>
      <c r="AC53" s="644"/>
      <c r="AD53" s="644"/>
      <c r="AE53" s="644"/>
      <c r="AF53" s="644"/>
      <c r="AG53" s="644"/>
      <c r="AH53" s="644"/>
      <c r="AI53" s="644"/>
      <c r="AJ53" s="644"/>
      <c r="AK53" s="644"/>
    </row>
    <row r="54" spans="1:37" s="108" customFormat="1" ht="12.75">
      <c r="A54" s="112">
        <v>166</v>
      </c>
      <c r="B54" s="26" t="s">
        <v>815</v>
      </c>
      <c r="C54" s="26"/>
      <c r="D54" s="526"/>
      <c r="E54" s="526"/>
      <c r="F54" s="165">
        <f aca="true" t="shared" si="10" ref="F54:H59">I54+L54</f>
        <v>0</v>
      </c>
      <c r="G54" s="165">
        <f t="shared" si="10"/>
        <v>0</v>
      </c>
      <c r="H54" s="165">
        <f t="shared" si="10"/>
        <v>0</v>
      </c>
      <c r="I54" s="166">
        <f aca="true" t="shared" si="11" ref="I54:N54">I$46</f>
        <v>0</v>
      </c>
      <c r="J54" s="166">
        <f t="shared" si="11"/>
        <v>0</v>
      </c>
      <c r="K54" s="166">
        <f t="shared" si="11"/>
        <v>0</v>
      </c>
      <c r="L54" s="167">
        <f t="shared" si="11"/>
        <v>0</v>
      </c>
      <c r="M54" s="167">
        <f t="shared" si="11"/>
        <v>0</v>
      </c>
      <c r="N54" s="167">
        <f t="shared" si="11"/>
        <v>0</v>
      </c>
      <c r="O54" s="507">
        <f t="shared" si="0"/>
        <v>0</v>
      </c>
      <c r="P54" s="105"/>
      <c r="Q54" s="644"/>
      <c r="R54" s="644"/>
      <c r="S54" s="644"/>
      <c r="T54" s="644"/>
      <c r="U54" s="644"/>
      <c r="V54" s="644"/>
      <c r="W54" s="644"/>
      <c r="X54" s="644"/>
      <c r="Y54" s="644"/>
      <c r="Z54" s="644"/>
      <c r="AA54" s="644"/>
      <c r="AB54" s="644"/>
      <c r="AC54" s="644"/>
      <c r="AD54" s="644"/>
      <c r="AE54" s="644"/>
      <c r="AF54" s="644"/>
      <c r="AG54" s="644"/>
      <c r="AH54" s="644"/>
      <c r="AI54" s="644"/>
      <c r="AJ54" s="644"/>
      <c r="AK54" s="644"/>
    </row>
    <row r="55" spans="1:37" s="108" customFormat="1" ht="12.75">
      <c r="A55" s="112">
        <v>167</v>
      </c>
      <c r="B55" s="14" t="s">
        <v>664</v>
      </c>
      <c r="C55" s="8"/>
      <c r="D55" s="21"/>
      <c r="E55" s="21"/>
      <c r="F55" s="134">
        <f t="shared" si="10"/>
        <v>0</v>
      </c>
      <c r="G55" s="134">
        <f t="shared" si="10"/>
        <v>0</v>
      </c>
      <c r="H55" s="134">
        <f t="shared" si="10"/>
        <v>0</v>
      </c>
      <c r="I55" s="612"/>
      <c r="J55" s="612"/>
      <c r="K55" s="612"/>
      <c r="L55" s="613"/>
      <c r="M55" s="613"/>
      <c r="N55" s="613"/>
      <c r="O55" s="507">
        <f t="shared" si="0"/>
        <v>0</v>
      </c>
      <c r="P55" s="105"/>
      <c r="Q55" s="644"/>
      <c r="R55" s="644"/>
      <c r="S55" s="644"/>
      <c r="T55" s="644"/>
      <c r="U55" s="644"/>
      <c r="V55" s="644"/>
      <c r="W55" s="644"/>
      <c r="X55" s="644"/>
      <c r="Y55" s="644"/>
      <c r="Z55" s="644"/>
      <c r="AA55" s="644"/>
      <c r="AB55" s="644"/>
      <c r="AC55" s="644"/>
      <c r="AD55" s="644"/>
      <c r="AE55" s="644"/>
      <c r="AF55" s="644"/>
      <c r="AG55" s="644"/>
      <c r="AH55" s="644"/>
      <c r="AI55" s="644"/>
      <c r="AJ55" s="644"/>
      <c r="AK55" s="644"/>
    </row>
    <row r="56" spans="1:37" s="108" customFormat="1" ht="12.75">
      <c r="A56" s="112">
        <v>168</v>
      </c>
      <c r="B56" s="25" t="s">
        <v>816</v>
      </c>
      <c r="C56" s="14"/>
      <c r="D56" s="21"/>
      <c r="E56" s="21"/>
      <c r="F56" s="134">
        <f t="shared" si="10"/>
        <v>0</v>
      </c>
      <c r="G56" s="134">
        <f t="shared" si="10"/>
        <v>0</v>
      </c>
      <c r="H56" s="134">
        <f t="shared" si="10"/>
        <v>0</v>
      </c>
      <c r="I56" s="612"/>
      <c r="J56" s="612"/>
      <c r="K56" s="612"/>
      <c r="L56" s="613"/>
      <c r="M56" s="613"/>
      <c r="N56" s="613"/>
      <c r="O56" s="507">
        <f t="shared" si="0"/>
        <v>0</v>
      </c>
      <c r="P56" s="105"/>
      <c r="Q56" s="644"/>
      <c r="R56" s="644"/>
      <c r="S56" s="644"/>
      <c r="T56" s="644"/>
      <c r="U56" s="644"/>
      <c r="V56" s="644"/>
      <c r="W56" s="644"/>
      <c r="X56" s="644"/>
      <c r="Y56" s="644"/>
      <c r="Z56" s="644"/>
      <c r="AA56" s="644"/>
      <c r="AB56" s="644"/>
      <c r="AC56" s="644"/>
      <c r="AD56" s="644"/>
      <c r="AE56" s="644"/>
      <c r="AF56" s="644"/>
      <c r="AG56" s="644"/>
      <c r="AH56" s="644"/>
      <c r="AI56" s="644"/>
      <c r="AJ56" s="644"/>
      <c r="AK56" s="644"/>
    </row>
    <row r="57" spans="1:37" s="108" customFormat="1" ht="12.75">
      <c r="A57" s="112">
        <v>169</v>
      </c>
      <c r="B57" s="14" t="s">
        <v>665</v>
      </c>
      <c r="C57" s="8"/>
      <c r="D57" s="21"/>
      <c r="E57" s="21"/>
      <c r="F57" s="134">
        <f t="shared" si="10"/>
        <v>0</v>
      </c>
      <c r="G57" s="134">
        <f t="shared" si="10"/>
        <v>0</v>
      </c>
      <c r="H57" s="134">
        <f t="shared" si="10"/>
        <v>0</v>
      </c>
      <c r="I57" s="612"/>
      <c r="J57" s="612"/>
      <c r="K57" s="612"/>
      <c r="L57" s="613"/>
      <c r="M57" s="613"/>
      <c r="N57" s="613"/>
      <c r="O57" s="507">
        <f t="shared" si="0"/>
        <v>0</v>
      </c>
      <c r="P57" s="105"/>
      <c r="Q57" s="644"/>
      <c r="R57" s="644"/>
      <c r="S57" s="644"/>
      <c r="T57" s="644"/>
      <c r="U57" s="644"/>
      <c r="V57" s="644"/>
      <c r="W57" s="644"/>
      <c r="X57" s="644"/>
      <c r="Y57" s="644"/>
      <c r="Z57" s="644"/>
      <c r="AA57" s="644"/>
      <c r="AB57" s="644"/>
      <c r="AC57" s="644"/>
      <c r="AD57" s="644"/>
      <c r="AE57" s="644"/>
      <c r="AF57" s="644"/>
      <c r="AG57" s="644"/>
      <c r="AH57" s="644"/>
      <c r="AI57" s="644"/>
      <c r="AJ57" s="644"/>
      <c r="AK57" s="644"/>
    </row>
    <row r="58" spans="1:37" s="108" customFormat="1" ht="12.75">
      <c r="A58" s="112">
        <v>171</v>
      </c>
      <c r="B58" s="23" t="s">
        <v>817</v>
      </c>
      <c r="C58" s="23"/>
      <c r="D58" s="69"/>
      <c r="E58" s="69"/>
      <c r="F58" s="157">
        <f t="shared" si="10"/>
        <v>0</v>
      </c>
      <c r="G58" s="157">
        <f t="shared" si="10"/>
        <v>0</v>
      </c>
      <c r="H58" s="157">
        <f t="shared" si="10"/>
        <v>0</v>
      </c>
      <c r="I58" s="612"/>
      <c r="J58" s="612"/>
      <c r="K58" s="612"/>
      <c r="L58" s="613"/>
      <c r="M58" s="613"/>
      <c r="N58" s="613"/>
      <c r="O58" s="507">
        <f t="shared" si="0"/>
        <v>0</v>
      </c>
      <c r="P58" s="105"/>
      <c r="Q58" s="644"/>
      <c r="R58" s="644"/>
      <c r="S58" s="644"/>
      <c r="T58" s="644"/>
      <c r="U58" s="644"/>
      <c r="V58" s="644"/>
      <c r="W58" s="644"/>
      <c r="X58" s="644"/>
      <c r="Y58" s="644"/>
      <c r="Z58" s="644"/>
      <c r="AA58" s="644"/>
      <c r="AB58" s="644"/>
      <c r="AC58" s="644"/>
      <c r="AD58" s="644"/>
      <c r="AE58" s="644"/>
      <c r="AF58" s="644"/>
      <c r="AG58" s="644"/>
      <c r="AH58" s="644"/>
      <c r="AI58" s="644"/>
      <c r="AJ58" s="644"/>
      <c r="AK58" s="644"/>
    </row>
    <row r="59" spans="1:37" s="108" customFormat="1" ht="12.75" customHeight="1">
      <c r="A59" s="112">
        <v>172</v>
      </c>
      <c r="B59" s="22" t="s">
        <v>818</v>
      </c>
      <c r="C59" s="707" t="s">
        <v>675</v>
      </c>
      <c r="D59" s="705">
        <f>IF('CR'!$F$18-($F$33+$F$59)&lt;2,0,"AE")</f>
        <v>0</v>
      </c>
      <c r="E59" s="69"/>
      <c r="F59" s="157">
        <f t="shared" si="10"/>
        <v>0</v>
      </c>
      <c r="G59" s="157">
        <f t="shared" si="10"/>
        <v>0</v>
      </c>
      <c r="H59" s="157">
        <f t="shared" si="10"/>
        <v>0</v>
      </c>
      <c r="I59" s="612"/>
      <c r="J59" s="612"/>
      <c r="K59" s="612"/>
      <c r="L59" s="613"/>
      <c r="M59" s="613"/>
      <c r="N59" s="613"/>
      <c r="O59" s="507">
        <f t="shared" si="0"/>
        <v>0</v>
      </c>
      <c r="P59" s="105"/>
      <c r="Q59" s="644"/>
      <c r="R59" s="644"/>
      <c r="S59" s="644"/>
      <c r="T59" s="644"/>
      <c r="U59" s="644"/>
      <c r="V59" s="644"/>
      <c r="W59" s="644"/>
      <c r="X59" s="644"/>
      <c r="Y59" s="644"/>
      <c r="Z59" s="644"/>
      <c r="AA59" s="644"/>
      <c r="AB59" s="644"/>
      <c r="AC59" s="644"/>
      <c r="AD59" s="644"/>
      <c r="AE59" s="644"/>
      <c r="AF59" s="644"/>
      <c r="AG59" s="644"/>
      <c r="AH59" s="644"/>
      <c r="AI59" s="644"/>
      <c r="AJ59" s="644"/>
      <c r="AK59" s="644"/>
    </row>
    <row r="60" spans="1:37" s="108" customFormat="1" ht="24">
      <c r="A60" s="112">
        <v>173</v>
      </c>
      <c r="B60" s="22" t="s">
        <v>703</v>
      </c>
      <c r="C60" s="605" t="s">
        <v>64</v>
      </c>
      <c r="D60" s="705">
        <f>IF(ABS(F60-(I60+L60))&lt;2,0,"AE")</f>
        <v>0</v>
      </c>
      <c r="E60" s="706">
        <f>IF(ABS(G60-(J60+M60))&lt;2,0,"AE-1")</f>
        <v>0</v>
      </c>
      <c r="F60" s="227">
        <f>(-'CR'!$F$9+'CR'!$F$19+'CR'!$F$26)</f>
        <v>0</v>
      </c>
      <c r="G60" s="227">
        <f>(-'CR'!$G$9+'CR'!$G$19+'CR'!$G$26+'CR'!$G$32)</f>
        <v>0</v>
      </c>
      <c r="H60" s="157">
        <f>K60+N60</f>
        <v>0</v>
      </c>
      <c r="I60" s="612"/>
      <c r="J60" s="612"/>
      <c r="K60" s="612"/>
      <c r="L60" s="613"/>
      <c r="M60" s="613"/>
      <c r="N60" s="613"/>
      <c r="O60" s="507">
        <f t="shared" si="0"/>
        <v>0</v>
      </c>
      <c r="P60" s="105"/>
      <c r="Q60" s="644"/>
      <c r="R60" s="644"/>
      <c r="S60" s="644"/>
      <c r="T60" s="644"/>
      <c r="U60" s="644"/>
      <c r="V60" s="644"/>
      <c r="W60" s="644"/>
      <c r="X60" s="644"/>
      <c r="Y60" s="644"/>
      <c r="Z60" s="644"/>
      <c r="AA60" s="644"/>
      <c r="AB60" s="644"/>
      <c r="AC60" s="644"/>
      <c r="AD60" s="644"/>
      <c r="AE60" s="644"/>
      <c r="AF60" s="644"/>
      <c r="AG60" s="644"/>
      <c r="AH60" s="644"/>
      <c r="AI60" s="644"/>
      <c r="AJ60" s="644"/>
      <c r="AK60" s="644"/>
    </row>
    <row r="61" spans="1:37" s="108" customFormat="1" ht="24" customHeight="1">
      <c r="A61" s="112">
        <v>174</v>
      </c>
      <c r="B61" s="13" t="s">
        <v>819</v>
      </c>
      <c r="C61" s="13"/>
      <c r="D61" s="510"/>
      <c r="E61" s="510"/>
      <c r="F61" s="135">
        <f>I61+L61</f>
        <v>0</v>
      </c>
      <c r="G61" s="135">
        <f>J61+M61</f>
        <v>0</v>
      </c>
      <c r="H61" s="135">
        <f>K61+N61</f>
        <v>0</v>
      </c>
      <c r="I61" s="136">
        <f aca="true" t="shared" si="12" ref="I61:N61">I$54+I$55+I$56+I$57-I$58+I$59-I$60</f>
        <v>0</v>
      </c>
      <c r="J61" s="136">
        <f t="shared" si="12"/>
        <v>0</v>
      </c>
      <c r="K61" s="136">
        <f t="shared" si="12"/>
        <v>0</v>
      </c>
      <c r="L61" s="137">
        <f t="shared" si="12"/>
        <v>0</v>
      </c>
      <c r="M61" s="137">
        <f t="shared" si="12"/>
        <v>0</v>
      </c>
      <c r="N61" s="137">
        <f t="shared" si="12"/>
        <v>0</v>
      </c>
      <c r="O61" s="507">
        <f t="shared" si="0"/>
        <v>0</v>
      </c>
      <c r="P61" s="105"/>
      <c r="Q61" s="644"/>
      <c r="R61" s="644"/>
      <c r="S61" s="644"/>
      <c r="T61" s="644"/>
      <c r="U61" s="644"/>
      <c r="V61" s="644"/>
      <c r="W61" s="644"/>
      <c r="X61" s="644"/>
      <c r="Y61" s="644"/>
      <c r="Z61" s="644"/>
      <c r="AA61" s="644"/>
      <c r="AB61" s="644"/>
      <c r="AC61" s="644"/>
      <c r="AD61" s="644"/>
      <c r="AE61" s="644"/>
      <c r="AF61" s="644"/>
      <c r="AG61" s="644"/>
      <c r="AH61" s="644"/>
      <c r="AI61" s="644"/>
      <c r="AJ61" s="644"/>
      <c r="AK61" s="644"/>
    </row>
    <row r="62" spans="1:37" s="169" customFormat="1" ht="13.5">
      <c r="A62" s="168"/>
      <c r="B62" s="678" t="s">
        <v>1</v>
      </c>
      <c r="C62" s="24"/>
      <c r="D62" s="523"/>
      <c r="E62" s="523"/>
      <c r="F62" s="131"/>
      <c r="G62" s="131"/>
      <c r="H62" s="132"/>
      <c r="I62" s="131"/>
      <c r="J62" s="131"/>
      <c r="K62" s="132"/>
      <c r="L62" s="131"/>
      <c r="M62" s="131"/>
      <c r="N62" s="131"/>
      <c r="O62" s="507">
        <f t="shared" si="0"/>
        <v>0</v>
      </c>
      <c r="P62" s="155"/>
      <c r="Q62" s="646"/>
      <c r="R62" s="646"/>
      <c r="S62" s="646"/>
      <c r="T62" s="646"/>
      <c r="U62" s="646"/>
      <c r="V62" s="646"/>
      <c r="W62" s="646"/>
      <c r="X62" s="646"/>
      <c r="Y62" s="646"/>
      <c r="Z62" s="646"/>
      <c r="AA62" s="646"/>
      <c r="AB62" s="646"/>
      <c r="AC62" s="646"/>
      <c r="AD62" s="646"/>
      <c r="AE62" s="646"/>
      <c r="AF62" s="646"/>
      <c r="AG62" s="646"/>
      <c r="AH62" s="646"/>
      <c r="AI62" s="646"/>
      <c r="AJ62" s="646"/>
      <c r="AK62" s="646"/>
    </row>
    <row r="63" spans="1:37" s="169" customFormat="1" ht="26.25" customHeight="1">
      <c r="A63" s="168"/>
      <c r="B63" s="27" t="s">
        <v>720</v>
      </c>
      <c r="C63" s="24"/>
      <c r="D63" s="523"/>
      <c r="E63" s="523"/>
      <c r="F63" s="131"/>
      <c r="G63" s="131"/>
      <c r="H63" s="132"/>
      <c r="I63" s="131"/>
      <c r="J63" s="131"/>
      <c r="K63" s="132"/>
      <c r="L63" s="131"/>
      <c r="M63" s="131"/>
      <c r="N63" s="131"/>
      <c r="O63" s="507">
        <f t="shared" si="0"/>
        <v>0</v>
      </c>
      <c r="P63" s="155"/>
      <c r="Q63" s="646"/>
      <c r="R63" s="646"/>
      <c r="S63" s="646"/>
      <c r="T63" s="646"/>
      <c r="U63" s="646"/>
      <c r="V63" s="646"/>
      <c r="W63" s="646"/>
      <c r="X63" s="646"/>
      <c r="Y63" s="646"/>
      <c r="Z63" s="646"/>
      <c r="AA63" s="646"/>
      <c r="AB63" s="646"/>
      <c r="AC63" s="646"/>
      <c r="AD63" s="646"/>
      <c r="AE63" s="646"/>
      <c r="AF63" s="646"/>
      <c r="AG63" s="646"/>
      <c r="AH63" s="646"/>
      <c r="AI63" s="646"/>
      <c r="AJ63" s="646"/>
      <c r="AK63" s="646"/>
    </row>
    <row r="64" spans="1:37" s="108" customFormat="1" ht="12.75">
      <c r="A64" s="112">
        <v>175</v>
      </c>
      <c r="B64" s="16" t="s">
        <v>820</v>
      </c>
      <c r="C64" s="16"/>
      <c r="D64" s="520"/>
      <c r="E64" s="520"/>
      <c r="F64" s="158">
        <f>I64+L64</f>
        <v>0</v>
      </c>
      <c r="G64" s="158">
        <f>J64+M64</f>
        <v>0</v>
      </c>
      <c r="H64" s="158">
        <f>K64+N64</f>
        <v>0</v>
      </c>
      <c r="I64" s="159">
        <f aca="true" t="shared" si="13" ref="I64:N64">I$43-I$61</f>
        <v>0</v>
      </c>
      <c r="J64" s="159">
        <f t="shared" si="13"/>
        <v>0</v>
      </c>
      <c r="K64" s="159">
        <f t="shared" si="13"/>
        <v>0</v>
      </c>
      <c r="L64" s="160">
        <f t="shared" si="13"/>
        <v>0</v>
      </c>
      <c r="M64" s="160">
        <f t="shared" si="13"/>
        <v>0</v>
      </c>
      <c r="N64" s="160">
        <f t="shared" si="13"/>
        <v>0</v>
      </c>
      <c r="O64" s="507">
        <f t="shared" si="0"/>
        <v>0</v>
      </c>
      <c r="P64" s="105"/>
      <c r="Q64" s="644"/>
      <c r="R64" s="644"/>
      <c r="S64" s="644"/>
      <c r="T64" s="644"/>
      <c r="U64" s="644"/>
      <c r="V64" s="644"/>
      <c r="W64" s="644"/>
      <c r="X64" s="644"/>
      <c r="Y64" s="644"/>
      <c r="Z64" s="644"/>
      <c r="AA64" s="644"/>
      <c r="AB64" s="644"/>
      <c r="AC64" s="644"/>
      <c r="AD64" s="644"/>
      <c r="AE64" s="644"/>
      <c r="AF64" s="644"/>
      <c r="AG64" s="644"/>
      <c r="AH64" s="644"/>
      <c r="AI64" s="644"/>
      <c r="AJ64" s="644"/>
      <c r="AK64" s="644"/>
    </row>
    <row r="65" spans="1:37" s="163" customFormat="1" ht="12.75">
      <c r="A65" s="112"/>
      <c r="B65" s="105"/>
      <c r="C65" s="164"/>
      <c r="D65" s="110"/>
      <c r="E65" s="110"/>
      <c r="F65" s="105"/>
      <c r="G65" s="105"/>
      <c r="H65" s="105"/>
      <c r="I65" s="105"/>
      <c r="J65" s="105"/>
      <c r="K65" s="105"/>
      <c r="L65" s="105"/>
      <c r="M65" s="105"/>
      <c r="N65" s="105"/>
      <c r="O65" s="507">
        <f t="shared" si="0"/>
        <v>0</v>
      </c>
      <c r="P65" s="105"/>
      <c r="Q65" s="645"/>
      <c r="R65" s="645"/>
      <c r="S65" s="645"/>
      <c r="T65" s="645"/>
      <c r="U65" s="645"/>
      <c r="V65" s="645"/>
      <c r="W65" s="645"/>
      <c r="X65" s="645"/>
      <c r="Y65" s="645"/>
      <c r="Z65" s="645"/>
      <c r="AA65" s="645"/>
      <c r="AB65" s="645"/>
      <c r="AC65" s="645"/>
      <c r="AD65" s="645"/>
      <c r="AE65" s="645"/>
      <c r="AF65" s="645"/>
      <c r="AG65" s="645"/>
      <c r="AH65" s="645"/>
      <c r="AI65" s="645"/>
      <c r="AJ65" s="645"/>
      <c r="AK65" s="645"/>
    </row>
    <row r="66" spans="1:37" s="108" customFormat="1" ht="12.75">
      <c r="A66" s="112"/>
      <c r="B66" s="170" t="s">
        <v>704</v>
      </c>
      <c r="C66" s="170"/>
      <c r="D66" s="527"/>
      <c r="E66" s="527"/>
      <c r="F66" s="131"/>
      <c r="G66" s="131"/>
      <c r="H66" s="132"/>
      <c r="I66" s="131"/>
      <c r="J66" s="131"/>
      <c r="K66" s="132"/>
      <c r="L66" s="131"/>
      <c r="M66" s="131"/>
      <c r="N66" s="131"/>
      <c r="O66" s="507">
        <f t="shared" si="0"/>
        <v>0</v>
      </c>
      <c r="P66" s="105"/>
      <c r="Q66" s="644"/>
      <c r="R66" s="644"/>
      <c r="S66" s="644"/>
      <c r="T66" s="644"/>
      <c r="U66" s="644"/>
      <c r="V66" s="644"/>
      <c r="W66" s="644"/>
      <c r="X66" s="644"/>
      <c r="Y66" s="644"/>
      <c r="Z66" s="644"/>
      <c r="AA66" s="644"/>
      <c r="AB66" s="644"/>
      <c r="AC66" s="644"/>
      <c r="AD66" s="644"/>
      <c r="AE66" s="644"/>
      <c r="AF66" s="644"/>
      <c r="AG66" s="644"/>
      <c r="AH66" s="644"/>
      <c r="AI66" s="644"/>
      <c r="AJ66" s="644"/>
      <c r="AK66" s="644"/>
    </row>
    <row r="67" spans="1:37" s="108" customFormat="1" ht="12.75">
      <c r="A67" s="112">
        <v>176</v>
      </c>
      <c r="B67" s="25" t="s">
        <v>821</v>
      </c>
      <c r="C67" s="25"/>
      <c r="D67" s="524"/>
      <c r="E67" s="524"/>
      <c r="F67" s="134">
        <f aca="true" t="shared" si="14" ref="F67:H68">I67+L67</f>
        <v>0</v>
      </c>
      <c r="G67" s="134">
        <f t="shared" si="14"/>
        <v>0</v>
      </c>
      <c r="H67" s="134">
        <f t="shared" si="14"/>
        <v>0</v>
      </c>
      <c r="I67" s="612"/>
      <c r="J67" s="612"/>
      <c r="K67" s="612"/>
      <c r="L67" s="613"/>
      <c r="M67" s="613"/>
      <c r="N67" s="613"/>
      <c r="O67" s="507">
        <f t="shared" si="0"/>
        <v>0</v>
      </c>
      <c r="P67" s="105"/>
      <c r="Q67" s="644"/>
      <c r="R67" s="644"/>
      <c r="S67" s="644"/>
      <c r="T67" s="644"/>
      <c r="U67" s="644"/>
      <c r="V67" s="644"/>
      <c r="W67" s="644"/>
      <c r="X67" s="644"/>
      <c r="Y67" s="644"/>
      <c r="Z67" s="644"/>
      <c r="AA67" s="644"/>
      <c r="AB67" s="644"/>
      <c r="AC67" s="644"/>
      <c r="AD67" s="644"/>
      <c r="AE67" s="644"/>
      <c r="AF67" s="644"/>
      <c r="AG67" s="644"/>
      <c r="AH67" s="644"/>
      <c r="AI67" s="644"/>
      <c r="AJ67" s="644"/>
      <c r="AK67" s="644"/>
    </row>
    <row r="68" spans="1:37" s="108" customFormat="1" ht="24">
      <c r="A68" s="112">
        <v>177</v>
      </c>
      <c r="B68" s="13" t="s">
        <v>822</v>
      </c>
      <c r="C68" s="13"/>
      <c r="D68" s="510"/>
      <c r="E68" s="510"/>
      <c r="F68" s="711">
        <f t="shared" si="14"/>
        <v>0</v>
      </c>
      <c r="G68" s="135">
        <f t="shared" si="14"/>
        <v>0</v>
      </c>
      <c r="H68" s="135">
        <f t="shared" si="14"/>
        <v>0</v>
      </c>
      <c r="I68" s="136">
        <f aca="true" t="shared" si="15" ref="I68:N68">I$67</f>
        <v>0</v>
      </c>
      <c r="J68" s="136">
        <f t="shared" si="15"/>
        <v>0</v>
      </c>
      <c r="K68" s="136">
        <f t="shared" si="15"/>
        <v>0</v>
      </c>
      <c r="L68" s="137">
        <f t="shared" si="15"/>
        <v>0</v>
      </c>
      <c r="M68" s="137">
        <f t="shared" si="15"/>
        <v>0</v>
      </c>
      <c r="N68" s="137">
        <f t="shared" si="15"/>
        <v>0</v>
      </c>
      <c r="O68" s="507">
        <f t="shared" si="0"/>
        <v>0</v>
      </c>
      <c r="P68" s="105"/>
      <c r="Q68" s="644"/>
      <c r="R68" s="644"/>
      <c r="S68" s="644"/>
      <c r="T68" s="644"/>
      <c r="U68" s="644"/>
      <c r="V68" s="644"/>
      <c r="W68" s="644"/>
      <c r="X68" s="644"/>
      <c r="Y68" s="644"/>
      <c r="Z68" s="644"/>
      <c r="AA68" s="644"/>
      <c r="AB68" s="644"/>
      <c r="AC68" s="644"/>
      <c r="AD68" s="644"/>
      <c r="AE68" s="644"/>
      <c r="AF68" s="644"/>
      <c r="AG68" s="644"/>
      <c r="AH68" s="644"/>
      <c r="AI68" s="644"/>
      <c r="AJ68" s="644"/>
      <c r="AK68" s="644"/>
    </row>
    <row r="69" spans="1:37" s="108" customFormat="1" ht="12.75">
      <c r="A69" s="138"/>
      <c r="B69" s="28"/>
      <c r="C69" s="28"/>
      <c r="D69" s="528"/>
      <c r="E69" s="528"/>
      <c r="F69" s="149"/>
      <c r="G69" s="149"/>
      <c r="H69" s="150"/>
      <c r="I69" s="149"/>
      <c r="J69" s="149"/>
      <c r="K69" s="150"/>
      <c r="L69" s="149"/>
      <c r="M69" s="149"/>
      <c r="N69" s="149"/>
      <c r="O69" s="507">
        <f t="shared" si="0"/>
        <v>0</v>
      </c>
      <c r="P69" s="105"/>
      <c r="Q69" s="644"/>
      <c r="R69" s="644"/>
      <c r="S69" s="644"/>
      <c r="T69" s="644"/>
      <c r="U69" s="644"/>
      <c r="V69" s="644"/>
      <c r="W69" s="644"/>
      <c r="X69" s="644"/>
      <c r="Y69" s="644"/>
      <c r="Z69" s="644"/>
      <c r="AA69" s="644"/>
      <c r="AB69" s="644"/>
      <c r="AC69" s="644"/>
      <c r="AD69" s="644"/>
      <c r="AE69" s="644"/>
      <c r="AF69" s="644"/>
      <c r="AG69" s="644"/>
      <c r="AH69" s="644"/>
      <c r="AI69" s="644"/>
      <c r="AJ69" s="644"/>
      <c r="AK69" s="644"/>
    </row>
    <row r="70" spans="1:37" s="108" customFormat="1" ht="12.75">
      <c r="A70" s="112">
        <v>178</v>
      </c>
      <c r="B70" s="8" t="s">
        <v>825</v>
      </c>
      <c r="C70" s="9" t="s">
        <v>823</v>
      </c>
      <c r="D70" s="516">
        <f>IF(ABS(F70-(I70+L70))&lt;2,0,"AE")</f>
        <v>0</v>
      </c>
      <c r="E70" s="517">
        <f>IF(ABS(G70-(J70+M70))&lt;2,0,"AE-1")</f>
        <v>0</v>
      </c>
      <c r="F70" s="133">
        <f>'CR'!$F$29</f>
        <v>0</v>
      </c>
      <c r="G70" s="133">
        <f>'CR'!$G$29</f>
        <v>0</v>
      </c>
      <c r="H70" s="134">
        <f aca="true" t="shared" si="16" ref="F70:H74">K70+N70</f>
        <v>0</v>
      </c>
      <c r="I70" s="612"/>
      <c r="J70" s="612"/>
      <c r="K70" s="612"/>
      <c r="L70" s="613"/>
      <c r="M70" s="613"/>
      <c r="N70" s="613"/>
      <c r="O70" s="507">
        <f t="shared" si="0"/>
        <v>0</v>
      </c>
      <c r="P70" s="105"/>
      <c r="Q70" s="644"/>
      <c r="R70" s="644"/>
      <c r="S70" s="644"/>
      <c r="T70" s="644"/>
      <c r="U70" s="644"/>
      <c r="V70" s="644"/>
      <c r="W70" s="644"/>
      <c r="X70" s="644"/>
      <c r="Y70" s="644"/>
      <c r="Z70" s="644"/>
      <c r="AA70" s="644"/>
      <c r="AB70" s="644"/>
      <c r="AC70" s="644"/>
      <c r="AD70" s="644"/>
      <c r="AE70" s="644"/>
      <c r="AF70" s="644"/>
      <c r="AG70" s="644"/>
      <c r="AH70" s="644"/>
      <c r="AI70" s="644"/>
      <c r="AJ70" s="644"/>
      <c r="AK70" s="644"/>
    </row>
    <row r="71" spans="1:37" s="108" customFormat="1" ht="25.5">
      <c r="A71" s="112">
        <v>179</v>
      </c>
      <c r="B71" s="23" t="s">
        <v>326</v>
      </c>
      <c r="C71" s="707" t="s">
        <v>824</v>
      </c>
      <c r="D71" s="705">
        <f>IF(ABS(F71-(I71+L71))&lt;2,0,"AE")</f>
        <v>0</v>
      </c>
      <c r="E71" s="706">
        <f>IF(ABS(G71-(J71+M71))&lt;2,0,"AE-1")</f>
        <v>0</v>
      </c>
      <c r="F71" s="227">
        <f>'CR'!$F$31</f>
        <v>0</v>
      </c>
      <c r="G71" s="227">
        <f>'CR'!$G$31</f>
        <v>0</v>
      </c>
      <c r="H71" s="157">
        <f t="shared" si="16"/>
        <v>0</v>
      </c>
      <c r="I71" s="612"/>
      <c r="J71" s="612"/>
      <c r="K71" s="612"/>
      <c r="L71" s="613"/>
      <c r="M71" s="613"/>
      <c r="N71" s="613"/>
      <c r="O71" s="507">
        <f aca="true" t="shared" si="17" ref="O71:O134">IF(OR($D71="AE",$E71="AE-1"),1,0)</f>
        <v>0</v>
      </c>
      <c r="P71" s="105"/>
      <c r="Q71" s="644"/>
      <c r="R71" s="644"/>
      <c r="S71" s="644"/>
      <c r="T71" s="644"/>
      <c r="U71" s="644"/>
      <c r="V71" s="644"/>
      <c r="W71" s="644"/>
      <c r="X71" s="644"/>
      <c r="Y71" s="644"/>
      <c r="Z71" s="644"/>
      <c r="AA71" s="644"/>
      <c r="AB71" s="644"/>
      <c r="AC71" s="644"/>
      <c r="AD71" s="644"/>
      <c r="AE71" s="644"/>
      <c r="AF71" s="644"/>
      <c r="AG71" s="644"/>
      <c r="AH71" s="644"/>
      <c r="AI71" s="644"/>
      <c r="AJ71" s="644"/>
      <c r="AK71" s="644"/>
    </row>
    <row r="72" spans="1:37" s="108" customFormat="1" ht="12.75">
      <c r="A72" s="112">
        <v>181</v>
      </c>
      <c r="B72" s="29" t="s">
        <v>831</v>
      </c>
      <c r="C72" s="707"/>
      <c r="D72" s="705"/>
      <c r="E72" s="706"/>
      <c r="F72" s="157">
        <f t="shared" si="16"/>
        <v>0</v>
      </c>
      <c r="G72" s="157">
        <f t="shared" si="16"/>
        <v>0</v>
      </c>
      <c r="H72" s="157">
        <f t="shared" si="16"/>
        <v>0</v>
      </c>
      <c r="I72" s="621"/>
      <c r="J72" s="621"/>
      <c r="K72" s="621"/>
      <c r="L72" s="622"/>
      <c r="M72" s="622"/>
      <c r="N72" s="622"/>
      <c r="O72" s="507">
        <f t="shared" si="17"/>
        <v>0</v>
      </c>
      <c r="P72" s="105"/>
      <c r="Q72" s="644"/>
      <c r="R72" s="644"/>
      <c r="S72" s="644"/>
      <c r="T72" s="644"/>
      <c r="U72" s="644"/>
      <c r="V72" s="644"/>
      <c r="W72" s="644"/>
      <c r="X72" s="644"/>
      <c r="Y72" s="644"/>
      <c r="Z72" s="644"/>
      <c r="AA72" s="644"/>
      <c r="AB72" s="644"/>
      <c r="AC72" s="644"/>
      <c r="AD72" s="644"/>
      <c r="AE72" s="644"/>
      <c r="AF72" s="644"/>
      <c r="AG72" s="644"/>
      <c r="AH72" s="644"/>
      <c r="AI72" s="644"/>
      <c r="AJ72" s="644"/>
      <c r="AK72" s="644"/>
    </row>
    <row r="73" spans="1:37" s="108" customFormat="1" ht="24">
      <c r="A73" s="623" t="s">
        <v>65</v>
      </c>
      <c r="B73" s="22" t="s">
        <v>703</v>
      </c>
      <c r="C73" s="707" t="s">
        <v>66</v>
      </c>
      <c r="D73" s="705">
        <f>IF(ABS(F73-(I73+L73))&lt;2,0,"AE")</f>
        <v>0</v>
      </c>
      <c r="E73" s="529"/>
      <c r="F73" s="227">
        <f>'CR'!$F$32</f>
        <v>0</v>
      </c>
      <c r="G73" s="757">
        <v>0</v>
      </c>
      <c r="H73" s="757"/>
      <c r="I73" s="614"/>
      <c r="J73" s="156"/>
      <c r="K73" s="156"/>
      <c r="L73" s="615"/>
      <c r="M73" s="156"/>
      <c r="N73" s="156"/>
      <c r="O73" s="507">
        <f t="shared" si="17"/>
        <v>0</v>
      </c>
      <c r="P73" s="105"/>
      <c r="Q73" s="644"/>
      <c r="R73" s="644"/>
      <c r="S73" s="644"/>
      <c r="T73" s="644"/>
      <c r="U73" s="644"/>
      <c r="V73" s="644"/>
      <c r="W73" s="644"/>
      <c r="X73" s="644"/>
      <c r="Y73" s="644"/>
      <c r="Z73" s="644"/>
      <c r="AA73" s="644"/>
      <c r="AB73" s="644"/>
      <c r="AC73" s="644"/>
      <c r="AD73" s="644"/>
      <c r="AE73" s="644"/>
      <c r="AF73" s="644"/>
      <c r="AG73" s="644"/>
      <c r="AH73" s="644"/>
      <c r="AI73" s="644"/>
      <c r="AJ73" s="644"/>
      <c r="AK73" s="644"/>
    </row>
    <row r="74" spans="1:37" s="108" customFormat="1" ht="12.75">
      <c r="A74" s="112">
        <v>182</v>
      </c>
      <c r="B74" s="13" t="s">
        <v>670</v>
      </c>
      <c r="C74" s="13"/>
      <c r="D74" s="510"/>
      <c r="E74" s="510"/>
      <c r="F74" s="135">
        <f t="shared" si="16"/>
        <v>0</v>
      </c>
      <c r="G74" s="135">
        <f t="shared" si="16"/>
        <v>0</v>
      </c>
      <c r="H74" s="135">
        <f t="shared" si="16"/>
        <v>0</v>
      </c>
      <c r="I74" s="136">
        <f>I$70+I$71+I$72-I$73</f>
        <v>0</v>
      </c>
      <c r="J74" s="136">
        <f>J$70+J$71+J$72</f>
        <v>0</v>
      </c>
      <c r="K74" s="136">
        <f>K$70+K$71+K$72</f>
        <v>0</v>
      </c>
      <c r="L74" s="137">
        <f>L$70+L$71+L$72-L$73</f>
        <v>0</v>
      </c>
      <c r="M74" s="137">
        <f>M$70+M$71+M$72</f>
        <v>0</v>
      </c>
      <c r="N74" s="137">
        <f>N$70+N$71+N$72</f>
        <v>0</v>
      </c>
      <c r="O74" s="507">
        <f t="shared" si="17"/>
        <v>0</v>
      </c>
      <c r="P74" s="105"/>
      <c r="Q74" s="644"/>
      <c r="R74" s="644"/>
      <c r="S74" s="644"/>
      <c r="T74" s="644"/>
      <c r="U74" s="644"/>
      <c r="V74" s="644"/>
      <c r="W74" s="644"/>
      <c r="X74" s="644"/>
      <c r="Y74" s="644"/>
      <c r="Z74" s="644"/>
      <c r="AA74" s="644"/>
      <c r="AB74" s="644"/>
      <c r="AC74" s="644"/>
      <c r="AD74" s="644"/>
      <c r="AE74" s="644"/>
      <c r="AF74" s="644"/>
      <c r="AG74" s="644"/>
      <c r="AH74" s="644"/>
      <c r="AI74" s="644"/>
      <c r="AJ74" s="644"/>
      <c r="AK74" s="644"/>
    </row>
    <row r="75" spans="1:16" ht="28.5" customHeight="1">
      <c r="A75" s="112"/>
      <c r="B75" s="171" t="s">
        <v>721</v>
      </c>
      <c r="C75" s="172"/>
      <c r="D75" s="530"/>
      <c r="E75" s="530"/>
      <c r="F75" s="173"/>
      <c r="G75" s="173"/>
      <c r="H75" s="174"/>
      <c r="I75" s="173"/>
      <c r="J75" s="173"/>
      <c r="K75" s="174"/>
      <c r="L75" s="173"/>
      <c r="M75" s="173"/>
      <c r="N75" s="173"/>
      <c r="O75" s="507">
        <f t="shared" si="17"/>
        <v>0</v>
      </c>
      <c r="P75" s="175"/>
    </row>
    <row r="76" spans="1:37" s="108" customFormat="1" ht="12.75">
      <c r="A76" s="112">
        <v>183</v>
      </c>
      <c r="B76" s="16" t="s">
        <v>832</v>
      </c>
      <c r="C76" s="16"/>
      <c r="D76" s="520"/>
      <c r="E76" s="520"/>
      <c r="F76" s="158">
        <f>I76+L76</f>
        <v>0</v>
      </c>
      <c r="G76" s="158">
        <f>J76+M76</f>
        <v>0</v>
      </c>
      <c r="H76" s="158">
        <f>K76+N76</f>
        <v>0</v>
      </c>
      <c r="I76" s="159">
        <f aca="true" t="shared" si="18" ref="I76:N76">I$68-I$74</f>
        <v>0</v>
      </c>
      <c r="J76" s="159">
        <f t="shared" si="18"/>
        <v>0</v>
      </c>
      <c r="K76" s="159">
        <f t="shared" si="18"/>
        <v>0</v>
      </c>
      <c r="L76" s="160">
        <f t="shared" si="18"/>
        <v>0</v>
      </c>
      <c r="M76" s="160">
        <f t="shared" si="18"/>
        <v>0</v>
      </c>
      <c r="N76" s="160">
        <f t="shared" si="18"/>
        <v>0</v>
      </c>
      <c r="O76" s="507">
        <f t="shared" si="17"/>
        <v>0</v>
      </c>
      <c r="P76" s="105"/>
      <c r="Q76" s="644"/>
      <c r="R76" s="644"/>
      <c r="S76" s="644"/>
      <c r="T76" s="644"/>
      <c r="U76" s="644"/>
      <c r="V76" s="644"/>
      <c r="W76" s="644"/>
      <c r="X76" s="644"/>
      <c r="Y76" s="644"/>
      <c r="Z76" s="644"/>
      <c r="AA76" s="644"/>
      <c r="AB76" s="644"/>
      <c r="AC76" s="644"/>
      <c r="AD76" s="644"/>
      <c r="AE76" s="644"/>
      <c r="AF76" s="644"/>
      <c r="AG76" s="644"/>
      <c r="AH76" s="644"/>
      <c r="AI76" s="644"/>
      <c r="AJ76" s="644"/>
      <c r="AK76" s="644"/>
    </row>
    <row r="77" spans="1:37" s="108" customFormat="1" ht="12.75">
      <c r="A77" s="112"/>
      <c r="B77" s="30"/>
      <c r="C77" s="30"/>
      <c r="D77" s="531"/>
      <c r="E77" s="531"/>
      <c r="F77" s="131"/>
      <c r="G77" s="131"/>
      <c r="H77" s="132"/>
      <c r="I77" s="131"/>
      <c r="J77" s="131"/>
      <c r="K77" s="132"/>
      <c r="L77" s="131"/>
      <c r="M77" s="131"/>
      <c r="N77" s="132"/>
      <c r="O77" s="507">
        <f t="shared" si="17"/>
        <v>0</v>
      </c>
      <c r="P77" s="105"/>
      <c r="Q77" s="644"/>
      <c r="R77" s="644"/>
      <c r="S77" s="644"/>
      <c r="T77" s="644"/>
      <c r="U77" s="644"/>
      <c r="V77" s="644"/>
      <c r="W77" s="644"/>
      <c r="X77" s="644"/>
      <c r="Y77" s="644"/>
      <c r="Z77" s="644"/>
      <c r="AA77" s="644"/>
      <c r="AB77" s="644"/>
      <c r="AC77" s="644"/>
      <c r="AD77" s="644"/>
      <c r="AE77" s="644"/>
      <c r="AF77" s="644"/>
      <c r="AG77" s="644"/>
      <c r="AH77" s="644"/>
      <c r="AI77" s="644"/>
      <c r="AJ77" s="644"/>
      <c r="AK77" s="644"/>
    </row>
    <row r="78" spans="1:37" s="108" customFormat="1" ht="12.75">
      <c r="A78" s="112"/>
      <c r="B78" s="30" t="s">
        <v>833</v>
      </c>
      <c r="C78" s="30"/>
      <c r="D78" s="531"/>
      <c r="E78" s="531"/>
      <c r="F78" s="131"/>
      <c r="G78" s="131"/>
      <c r="H78" s="132"/>
      <c r="I78" s="131"/>
      <c r="J78" s="131"/>
      <c r="K78" s="132"/>
      <c r="L78" s="131"/>
      <c r="M78" s="131"/>
      <c r="N78" s="132"/>
      <c r="O78" s="507">
        <f t="shared" si="17"/>
        <v>0</v>
      </c>
      <c r="P78" s="105"/>
      <c r="Q78" s="644"/>
      <c r="R78" s="644"/>
      <c r="S78" s="644"/>
      <c r="T78" s="644"/>
      <c r="U78" s="644"/>
      <c r="V78" s="644"/>
      <c r="W78" s="644"/>
      <c r="X78" s="644"/>
      <c r="Y78" s="644"/>
      <c r="Z78" s="644"/>
      <c r="AA78" s="644"/>
      <c r="AB78" s="644"/>
      <c r="AC78" s="644"/>
      <c r="AD78" s="644"/>
      <c r="AE78" s="644"/>
      <c r="AF78" s="644"/>
      <c r="AG78" s="644"/>
      <c r="AH78" s="644"/>
      <c r="AI78" s="644"/>
      <c r="AJ78" s="644"/>
      <c r="AK78" s="644"/>
    </row>
    <row r="79" spans="1:37" s="108" customFormat="1" ht="12.75">
      <c r="A79" s="112">
        <v>184</v>
      </c>
      <c r="B79" s="31" t="s">
        <v>723</v>
      </c>
      <c r="C79" s="31"/>
      <c r="D79" s="532"/>
      <c r="E79" s="532"/>
      <c r="F79" s="143"/>
      <c r="G79" s="144"/>
      <c r="H79" s="145"/>
      <c r="I79" s="594">
        <f>I$154/100</f>
        <v>0.9</v>
      </c>
      <c r="J79" s="595">
        <f>J$154/100</f>
        <v>0.9</v>
      </c>
      <c r="K79" s="596">
        <f>K$154/100</f>
        <v>0.9</v>
      </c>
      <c r="L79" s="610" t="s">
        <v>722</v>
      </c>
      <c r="M79" s="149"/>
      <c r="N79" s="150"/>
      <c r="O79" s="507">
        <f t="shared" si="17"/>
        <v>0</v>
      </c>
      <c r="P79" s="105"/>
      <c r="Q79" s="644"/>
      <c r="R79" s="644"/>
      <c r="S79" s="644"/>
      <c r="T79" s="644"/>
      <c r="U79" s="644"/>
      <c r="V79" s="644"/>
      <c r="W79" s="644"/>
      <c r="X79" s="644"/>
      <c r="Y79" s="644"/>
      <c r="Z79" s="644"/>
      <c r="AA79" s="644"/>
      <c r="AB79" s="644"/>
      <c r="AC79" s="644"/>
      <c r="AD79" s="644"/>
      <c r="AE79" s="644"/>
      <c r="AF79" s="644"/>
      <c r="AG79" s="644"/>
      <c r="AH79" s="644"/>
      <c r="AI79" s="644"/>
      <c r="AJ79" s="644"/>
      <c r="AK79" s="644"/>
    </row>
    <row r="80" spans="1:37" s="108" customFormat="1" ht="12.75">
      <c r="A80" s="112"/>
      <c r="B80" s="32" t="s">
        <v>834</v>
      </c>
      <c r="C80" s="32"/>
      <c r="D80" s="533"/>
      <c r="E80" s="533"/>
      <c r="F80" s="177"/>
      <c r="G80" s="131"/>
      <c r="H80" s="132"/>
      <c r="I80" s="131"/>
      <c r="J80" s="131"/>
      <c r="K80" s="132"/>
      <c r="L80" s="131"/>
      <c r="M80" s="131"/>
      <c r="N80" s="132"/>
      <c r="O80" s="507">
        <f t="shared" si="17"/>
        <v>0</v>
      </c>
      <c r="P80" s="105"/>
      <c r="Q80" s="644"/>
      <c r="R80" s="644"/>
      <c r="S80" s="644"/>
      <c r="T80" s="644"/>
      <c r="U80" s="644"/>
      <c r="V80" s="644"/>
      <c r="W80" s="644"/>
      <c r="X80" s="644"/>
      <c r="Y80" s="644"/>
      <c r="Z80" s="644"/>
      <c r="AA80" s="644"/>
      <c r="AB80" s="644"/>
      <c r="AC80" s="644"/>
      <c r="AD80" s="644"/>
      <c r="AE80" s="644"/>
      <c r="AF80" s="644"/>
      <c r="AG80" s="644"/>
      <c r="AH80" s="644"/>
      <c r="AI80" s="644"/>
      <c r="AJ80" s="644"/>
      <c r="AK80" s="644"/>
    </row>
    <row r="81" spans="1:37" s="108" customFormat="1" ht="12.75">
      <c r="A81" s="112">
        <v>185</v>
      </c>
      <c r="B81" s="8" t="s">
        <v>835</v>
      </c>
      <c r="C81" s="8"/>
      <c r="D81" s="21"/>
      <c r="E81" s="21"/>
      <c r="F81" s="134">
        <f>I81+L81</f>
        <v>0</v>
      </c>
      <c r="G81" s="134">
        <f>J81+M81</f>
        <v>0</v>
      </c>
      <c r="H81" s="134">
        <f>K81+N81</f>
        <v>0</v>
      </c>
      <c r="I81" s="718">
        <f aca="true" t="shared" si="19" ref="I81:N81">I$18</f>
        <v>0</v>
      </c>
      <c r="J81" s="178">
        <f t="shared" si="19"/>
        <v>0</v>
      </c>
      <c r="K81" s="178">
        <f t="shared" si="19"/>
        <v>0</v>
      </c>
      <c r="L81" s="718">
        <f t="shared" si="19"/>
        <v>0</v>
      </c>
      <c r="M81" s="179">
        <f t="shared" si="19"/>
        <v>0</v>
      </c>
      <c r="N81" s="179">
        <f t="shared" si="19"/>
        <v>0</v>
      </c>
      <c r="O81" s="507">
        <f t="shared" si="17"/>
        <v>0</v>
      </c>
      <c r="P81" s="105"/>
      <c r="Q81" s="644"/>
      <c r="R81" s="644"/>
      <c r="S81" s="644"/>
      <c r="T81" s="644"/>
      <c r="U81" s="644"/>
      <c r="V81" s="644"/>
      <c r="W81" s="644"/>
      <c r="X81" s="644"/>
      <c r="Y81" s="644"/>
      <c r="Z81" s="644"/>
      <c r="AA81" s="644"/>
      <c r="AB81" s="644"/>
      <c r="AC81" s="644"/>
      <c r="AD81" s="644"/>
      <c r="AE81" s="644"/>
      <c r="AF81" s="644"/>
      <c r="AG81" s="644"/>
      <c r="AH81" s="644"/>
      <c r="AI81" s="644"/>
      <c r="AJ81" s="644"/>
      <c r="AK81" s="644"/>
    </row>
    <row r="82" spans="1:37" s="108" customFormat="1" ht="12.75">
      <c r="A82" s="112">
        <v>186</v>
      </c>
      <c r="B82" s="33" t="s">
        <v>836</v>
      </c>
      <c r="C82" s="33"/>
      <c r="D82" s="534"/>
      <c r="E82" s="534"/>
      <c r="F82" s="180"/>
      <c r="G82" s="180"/>
      <c r="H82" s="180"/>
      <c r="I82" s="783">
        <f>IF(LEFT(I$25,1)="O",0,I$79)*I81</f>
        <v>0</v>
      </c>
      <c r="J82" s="783">
        <f>IF(LEFT(J$25,1)="O",0,J$79)*J81</f>
        <v>0</v>
      </c>
      <c r="K82" s="783">
        <f>IF(LEFT(K$25,1)="O",0,K$79)*K81</f>
        <v>0</v>
      </c>
      <c r="L82" s="181">
        <v>0</v>
      </c>
      <c r="M82" s="181">
        <v>0</v>
      </c>
      <c r="N82" s="181">
        <v>0</v>
      </c>
      <c r="O82" s="507">
        <f t="shared" si="17"/>
        <v>0</v>
      </c>
      <c r="P82" s="105"/>
      <c r="Q82" s="644"/>
      <c r="R82" s="644"/>
      <c r="S82" s="644"/>
      <c r="T82" s="644"/>
      <c r="U82" s="644"/>
      <c r="V82" s="644"/>
      <c r="W82" s="644"/>
      <c r="X82" s="644"/>
      <c r="Y82" s="644"/>
      <c r="Z82" s="644"/>
      <c r="AA82" s="644"/>
      <c r="AB82" s="644"/>
      <c r="AC82" s="644"/>
      <c r="AD82" s="644"/>
      <c r="AE82" s="644"/>
      <c r="AF82" s="644"/>
      <c r="AG82" s="644"/>
      <c r="AH82" s="644"/>
      <c r="AI82" s="644"/>
      <c r="AJ82" s="644"/>
      <c r="AK82" s="644"/>
    </row>
    <row r="83" spans="1:37" s="108" customFormat="1" ht="12.75">
      <c r="A83" s="112">
        <v>187</v>
      </c>
      <c r="B83" s="8" t="s">
        <v>837</v>
      </c>
      <c r="C83" s="8"/>
      <c r="D83" s="21"/>
      <c r="E83" s="21"/>
      <c r="F83" s="134">
        <f aca="true" t="shared" si="20" ref="F83:H84">I83+L83</f>
        <v>0</v>
      </c>
      <c r="G83" s="134">
        <f t="shared" si="20"/>
        <v>0</v>
      </c>
      <c r="H83" s="134">
        <f t="shared" si="20"/>
        <v>0</v>
      </c>
      <c r="I83" s="718">
        <f aca="true" t="shared" si="21" ref="I83:N83">I$34</f>
        <v>0</v>
      </c>
      <c r="J83" s="178">
        <f t="shared" si="21"/>
        <v>0</v>
      </c>
      <c r="K83" s="178">
        <f t="shared" si="21"/>
        <v>0</v>
      </c>
      <c r="L83" s="718">
        <f t="shared" si="21"/>
        <v>0</v>
      </c>
      <c r="M83" s="179">
        <f t="shared" si="21"/>
        <v>0</v>
      </c>
      <c r="N83" s="179">
        <f t="shared" si="21"/>
        <v>0</v>
      </c>
      <c r="O83" s="507">
        <f t="shared" si="17"/>
        <v>0</v>
      </c>
      <c r="P83" s="105"/>
      <c r="Q83" s="644"/>
      <c r="R83" s="644"/>
      <c r="S83" s="644"/>
      <c r="T83" s="644"/>
      <c r="U83" s="644"/>
      <c r="V83" s="644"/>
      <c r="W83" s="644"/>
      <c r="X83" s="644"/>
      <c r="Y83" s="644"/>
      <c r="Z83" s="644"/>
      <c r="AA83" s="644"/>
      <c r="AB83" s="644"/>
      <c r="AC83" s="644"/>
      <c r="AD83" s="644"/>
      <c r="AE83" s="644"/>
      <c r="AF83" s="644"/>
      <c r="AG83" s="644"/>
      <c r="AH83" s="644"/>
      <c r="AI83" s="644"/>
      <c r="AJ83" s="644"/>
      <c r="AK83" s="644"/>
    </row>
    <row r="84" spans="1:37" s="108" customFormat="1" ht="12.75">
      <c r="A84" s="112">
        <v>188</v>
      </c>
      <c r="B84" s="34" t="s">
        <v>838</v>
      </c>
      <c r="C84" s="34"/>
      <c r="D84" s="535"/>
      <c r="E84" s="535"/>
      <c r="F84" s="182">
        <f t="shared" si="20"/>
        <v>0</v>
      </c>
      <c r="G84" s="182">
        <f t="shared" si="20"/>
        <v>0</v>
      </c>
      <c r="H84" s="182">
        <f t="shared" si="20"/>
        <v>0</v>
      </c>
      <c r="I84" s="183">
        <f>IF(LEFT(I$25,1)="O",I$81,I$82)-I$83</f>
        <v>0</v>
      </c>
      <c r="J84" s="183">
        <f>IF(LEFT(J$25,1)="O",J$81,J$82)-J$83</f>
        <v>0</v>
      </c>
      <c r="K84" s="183">
        <f>IF(LEFT(K$25,1)="O",K$81,K$82)-K$83</f>
        <v>0</v>
      </c>
      <c r="L84" s="184">
        <f>L$81-L$83</f>
        <v>0</v>
      </c>
      <c r="M84" s="184">
        <f>M$81-M$83</f>
        <v>0</v>
      </c>
      <c r="N84" s="184">
        <f>N$81-N$83</f>
        <v>0</v>
      </c>
      <c r="O84" s="507">
        <f t="shared" si="17"/>
        <v>0</v>
      </c>
      <c r="P84" s="105"/>
      <c r="Q84" s="644"/>
      <c r="R84" s="644"/>
      <c r="S84" s="644"/>
      <c r="T84" s="644"/>
      <c r="U84" s="644"/>
      <c r="V84" s="644"/>
      <c r="W84" s="644"/>
      <c r="X84" s="644"/>
      <c r="Y84" s="644"/>
      <c r="Z84" s="644"/>
      <c r="AA84" s="644"/>
      <c r="AB84" s="644"/>
      <c r="AC84" s="644"/>
      <c r="AD84" s="644"/>
      <c r="AE84" s="644"/>
      <c r="AF84" s="644"/>
      <c r="AG84" s="644"/>
      <c r="AH84" s="644"/>
      <c r="AI84" s="644"/>
      <c r="AJ84" s="644"/>
      <c r="AK84" s="644"/>
    </row>
    <row r="85" spans="1:37" s="108" customFormat="1" ht="12.75">
      <c r="A85" s="112"/>
      <c r="B85" s="35" t="s">
        <v>841</v>
      </c>
      <c r="C85" s="35"/>
      <c r="D85" s="536"/>
      <c r="E85" s="536"/>
      <c r="F85" s="131"/>
      <c r="G85" s="131"/>
      <c r="H85" s="132"/>
      <c r="I85" s="131"/>
      <c r="J85" s="131"/>
      <c r="K85" s="131"/>
      <c r="L85" s="131"/>
      <c r="M85" s="131"/>
      <c r="N85" s="132"/>
      <c r="O85" s="507">
        <f t="shared" si="17"/>
        <v>0</v>
      </c>
      <c r="P85" s="105"/>
      <c r="Q85" s="644"/>
      <c r="R85" s="644"/>
      <c r="S85" s="644"/>
      <c r="T85" s="644"/>
      <c r="U85" s="644"/>
      <c r="V85" s="644"/>
      <c r="W85" s="644"/>
      <c r="X85" s="644"/>
      <c r="Y85" s="644"/>
      <c r="Z85" s="644"/>
      <c r="AA85" s="644"/>
      <c r="AB85" s="644"/>
      <c r="AC85" s="644"/>
      <c r="AD85" s="644"/>
      <c r="AE85" s="644"/>
      <c r="AF85" s="644"/>
      <c r="AG85" s="644"/>
      <c r="AH85" s="644"/>
      <c r="AI85" s="644"/>
      <c r="AJ85" s="644"/>
      <c r="AK85" s="644"/>
    </row>
    <row r="86" spans="1:37" s="108" customFormat="1" ht="12.75">
      <c r="A86" s="112">
        <v>189</v>
      </c>
      <c r="B86" s="8" t="s">
        <v>842</v>
      </c>
      <c r="C86" s="8"/>
      <c r="D86" s="21"/>
      <c r="E86" s="21"/>
      <c r="F86" s="134">
        <f>I86+L86</f>
        <v>0</v>
      </c>
      <c r="G86" s="134">
        <f>J86+M86</f>
        <v>0</v>
      </c>
      <c r="H86" s="134">
        <f>K86+N86</f>
        <v>0</v>
      </c>
      <c r="I86" s="718">
        <f aca="true" t="shared" si="22" ref="I86:N86">I$43</f>
        <v>0</v>
      </c>
      <c r="J86" s="178">
        <f t="shared" si="22"/>
        <v>0</v>
      </c>
      <c r="K86" s="178">
        <f t="shared" si="22"/>
        <v>0</v>
      </c>
      <c r="L86" s="718">
        <f t="shared" si="22"/>
        <v>0</v>
      </c>
      <c r="M86" s="179">
        <f t="shared" si="22"/>
        <v>0</v>
      </c>
      <c r="N86" s="179">
        <f t="shared" si="22"/>
        <v>0</v>
      </c>
      <c r="O86" s="507">
        <f t="shared" si="17"/>
        <v>0</v>
      </c>
      <c r="P86" s="105"/>
      <c r="Q86" s="644"/>
      <c r="R86" s="644"/>
      <c r="S86" s="644"/>
      <c r="T86" s="644"/>
      <c r="U86" s="644"/>
      <c r="V86" s="644"/>
      <c r="W86" s="644"/>
      <c r="X86" s="644"/>
      <c r="Y86" s="644"/>
      <c r="Z86" s="644"/>
      <c r="AA86" s="644"/>
      <c r="AB86" s="644"/>
      <c r="AC86" s="644"/>
      <c r="AD86" s="644"/>
      <c r="AE86" s="644"/>
      <c r="AF86" s="644"/>
      <c r="AG86" s="644"/>
      <c r="AH86" s="644"/>
      <c r="AI86" s="644"/>
      <c r="AJ86" s="644"/>
      <c r="AK86" s="644"/>
    </row>
    <row r="87" spans="1:37" s="108" customFormat="1" ht="12.75">
      <c r="A87" s="112">
        <v>190</v>
      </c>
      <c r="B87" s="33" t="s">
        <v>843</v>
      </c>
      <c r="C87" s="33"/>
      <c r="D87" s="534"/>
      <c r="E87" s="534"/>
      <c r="F87" s="180"/>
      <c r="G87" s="180"/>
      <c r="H87" s="185"/>
      <c r="I87" s="783">
        <f>IF(LEFT(I$25,1)="O",0,I$79)*I86</f>
        <v>0</v>
      </c>
      <c r="J87" s="783">
        <f>IF(LEFT(J$25,1)="O",0,J$79)*J86</f>
        <v>0</v>
      </c>
      <c r="K87" s="783">
        <f>IF(LEFT(K$25,1)="O",0,K$79)*K86</f>
        <v>0</v>
      </c>
      <c r="L87" s="181">
        <v>0</v>
      </c>
      <c r="M87" s="181">
        <v>0</v>
      </c>
      <c r="N87" s="181">
        <v>0</v>
      </c>
      <c r="O87" s="507">
        <f t="shared" si="17"/>
        <v>0</v>
      </c>
      <c r="P87" s="105"/>
      <c r="Q87" s="644"/>
      <c r="R87" s="644"/>
      <c r="S87" s="644"/>
      <c r="T87" s="644"/>
      <c r="U87" s="644"/>
      <c r="V87" s="644"/>
      <c r="W87" s="644"/>
      <c r="X87" s="644"/>
      <c r="Y87" s="644"/>
      <c r="Z87" s="644"/>
      <c r="AA87" s="644"/>
      <c r="AB87" s="644"/>
      <c r="AC87" s="644"/>
      <c r="AD87" s="644"/>
      <c r="AE87" s="644"/>
      <c r="AF87" s="644"/>
      <c r="AG87" s="644"/>
      <c r="AH87" s="644"/>
      <c r="AI87" s="644"/>
      <c r="AJ87" s="644"/>
      <c r="AK87" s="644"/>
    </row>
    <row r="88" spans="1:37" s="108" customFormat="1" ht="12.75">
      <c r="A88" s="112">
        <v>191</v>
      </c>
      <c r="B88" s="8" t="s">
        <v>844</v>
      </c>
      <c r="C88" s="8"/>
      <c r="D88" s="21"/>
      <c r="E88" s="21"/>
      <c r="F88" s="134">
        <f aca="true" t="shared" si="23" ref="F88:H89">I88+L88</f>
        <v>0</v>
      </c>
      <c r="G88" s="134">
        <f t="shared" si="23"/>
        <v>0</v>
      </c>
      <c r="H88" s="134">
        <f t="shared" si="23"/>
        <v>0</v>
      </c>
      <c r="I88" s="718">
        <f aca="true" t="shared" si="24" ref="I88:N88">I$61</f>
        <v>0</v>
      </c>
      <c r="J88" s="178">
        <f t="shared" si="24"/>
        <v>0</v>
      </c>
      <c r="K88" s="178">
        <f t="shared" si="24"/>
        <v>0</v>
      </c>
      <c r="L88" s="718">
        <f t="shared" si="24"/>
        <v>0</v>
      </c>
      <c r="M88" s="179">
        <f t="shared" si="24"/>
        <v>0</v>
      </c>
      <c r="N88" s="179">
        <f t="shared" si="24"/>
        <v>0</v>
      </c>
      <c r="O88" s="507">
        <f t="shared" si="17"/>
        <v>0</v>
      </c>
      <c r="P88" s="105"/>
      <c r="Q88" s="644"/>
      <c r="R88" s="644"/>
      <c r="S88" s="644"/>
      <c r="T88" s="644"/>
      <c r="U88" s="644"/>
      <c r="V88" s="644"/>
      <c r="W88" s="644"/>
      <c r="X88" s="644"/>
      <c r="Y88" s="644"/>
      <c r="Z88" s="644"/>
      <c r="AA88" s="644"/>
      <c r="AB88" s="644"/>
      <c r="AC88" s="644"/>
      <c r="AD88" s="644"/>
      <c r="AE88" s="644"/>
      <c r="AF88" s="644"/>
      <c r="AG88" s="644"/>
      <c r="AH88" s="644"/>
      <c r="AI88" s="644"/>
      <c r="AJ88" s="644"/>
      <c r="AK88" s="644"/>
    </row>
    <row r="89" spans="1:37" s="108" customFormat="1" ht="12.75">
      <c r="A89" s="112">
        <v>192</v>
      </c>
      <c r="B89" s="34" t="s">
        <v>845</v>
      </c>
      <c r="C89" s="34"/>
      <c r="D89" s="535"/>
      <c r="E89" s="535"/>
      <c r="F89" s="182">
        <f t="shared" si="23"/>
        <v>0</v>
      </c>
      <c r="G89" s="182">
        <f t="shared" si="23"/>
        <v>0</v>
      </c>
      <c r="H89" s="182">
        <f t="shared" si="23"/>
        <v>0</v>
      </c>
      <c r="I89" s="183">
        <f>IF(LEFT(I$25,1)="O",I$86,I$87)-I$88</f>
        <v>0</v>
      </c>
      <c r="J89" s="183">
        <f>IF(LEFT(J$25,1)="O",J$86,J$87)-J$88</f>
        <v>0</v>
      </c>
      <c r="K89" s="183">
        <f>IF(LEFT(K$25,1)="O",K$86,K$87)-K$88</f>
        <v>0</v>
      </c>
      <c r="L89" s="184">
        <f>L$86-L$88</f>
        <v>0</v>
      </c>
      <c r="M89" s="184">
        <f>M$86-M$88</f>
        <v>0</v>
      </c>
      <c r="N89" s="184">
        <f>N$86-N$88</f>
        <v>0</v>
      </c>
      <c r="O89" s="507">
        <f t="shared" si="17"/>
        <v>0</v>
      </c>
      <c r="P89" s="105"/>
      <c r="Q89" s="644"/>
      <c r="R89" s="644"/>
      <c r="S89" s="644"/>
      <c r="T89" s="644"/>
      <c r="U89" s="644"/>
      <c r="V89" s="644"/>
      <c r="W89" s="644"/>
      <c r="X89" s="644"/>
      <c r="Y89" s="644"/>
      <c r="Z89" s="644"/>
      <c r="AA89" s="644"/>
      <c r="AB89" s="644"/>
      <c r="AC89" s="644"/>
      <c r="AD89" s="644"/>
      <c r="AE89" s="644"/>
      <c r="AF89" s="644"/>
      <c r="AG89" s="644"/>
      <c r="AH89" s="644"/>
      <c r="AI89" s="644"/>
      <c r="AJ89" s="644"/>
      <c r="AK89" s="644"/>
    </row>
    <row r="90" spans="1:37" s="163" customFormat="1" ht="12.75">
      <c r="A90" s="112"/>
      <c r="B90" s="35" t="s">
        <v>846</v>
      </c>
      <c r="C90" s="35"/>
      <c r="D90" s="536"/>
      <c r="E90" s="536"/>
      <c r="F90" s="105"/>
      <c r="G90" s="105"/>
      <c r="H90" s="105"/>
      <c r="I90" s="105"/>
      <c r="J90" s="105"/>
      <c r="K90" s="105"/>
      <c r="L90" s="105"/>
      <c r="M90" s="105"/>
      <c r="N90" s="105"/>
      <c r="O90" s="507">
        <f t="shared" si="17"/>
        <v>0</v>
      </c>
      <c r="P90" s="105"/>
      <c r="Q90" s="645"/>
      <c r="R90" s="645"/>
      <c r="S90" s="645"/>
      <c r="T90" s="645"/>
      <c r="U90" s="645"/>
      <c r="V90" s="645"/>
      <c r="W90" s="645"/>
      <c r="X90" s="645"/>
      <c r="Y90" s="645"/>
      <c r="Z90" s="645"/>
      <c r="AA90" s="645"/>
      <c r="AB90" s="645"/>
      <c r="AC90" s="645"/>
      <c r="AD90" s="645"/>
      <c r="AE90" s="645"/>
      <c r="AF90" s="645"/>
      <c r="AG90" s="645"/>
      <c r="AH90" s="645"/>
      <c r="AI90" s="645"/>
      <c r="AJ90" s="645"/>
      <c r="AK90" s="645"/>
    </row>
    <row r="91" spans="1:37" s="108" customFormat="1" ht="12.75">
      <c r="A91" s="112">
        <v>193</v>
      </c>
      <c r="B91" s="8" t="s">
        <v>847</v>
      </c>
      <c r="C91" s="8"/>
      <c r="D91" s="21"/>
      <c r="E91" s="21"/>
      <c r="F91" s="134">
        <f>I91+L91</f>
        <v>0</v>
      </c>
      <c r="G91" s="134">
        <f>J91+M91</f>
        <v>0</v>
      </c>
      <c r="H91" s="134">
        <f>K91+N91</f>
        <v>0</v>
      </c>
      <c r="I91" s="718">
        <f aca="true" t="shared" si="25" ref="I91:N91">I$68</f>
        <v>0</v>
      </c>
      <c r="J91" s="178">
        <f t="shared" si="25"/>
        <v>0</v>
      </c>
      <c r="K91" s="178">
        <f t="shared" si="25"/>
        <v>0</v>
      </c>
      <c r="L91" s="718">
        <f t="shared" si="25"/>
        <v>0</v>
      </c>
      <c r="M91" s="179">
        <f t="shared" si="25"/>
        <v>0</v>
      </c>
      <c r="N91" s="179">
        <f t="shared" si="25"/>
        <v>0</v>
      </c>
      <c r="O91" s="507">
        <f t="shared" si="17"/>
        <v>0</v>
      </c>
      <c r="P91" s="105"/>
      <c r="Q91" s="644"/>
      <c r="R91" s="644"/>
      <c r="S91" s="644"/>
      <c r="T91" s="644"/>
      <c r="U91" s="644"/>
      <c r="V91" s="644"/>
      <c r="W91" s="644"/>
      <c r="X91" s="644"/>
      <c r="Y91" s="644"/>
      <c r="Z91" s="644"/>
      <c r="AA91" s="644"/>
      <c r="AB91" s="644"/>
      <c r="AC91" s="644"/>
      <c r="AD91" s="644"/>
      <c r="AE91" s="644"/>
      <c r="AF91" s="644"/>
      <c r="AG91" s="644"/>
      <c r="AH91" s="644"/>
      <c r="AI91" s="644"/>
      <c r="AJ91" s="644"/>
      <c r="AK91" s="644"/>
    </row>
    <row r="92" spans="1:37" s="108" customFormat="1" ht="12.75">
      <c r="A92" s="112">
        <v>194</v>
      </c>
      <c r="B92" s="33" t="s">
        <v>848</v>
      </c>
      <c r="C92" s="33"/>
      <c r="D92" s="534"/>
      <c r="E92" s="534"/>
      <c r="F92" s="180"/>
      <c r="G92" s="180"/>
      <c r="H92" s="180"/>
      <c r="I92" s="783">
        <f>IF(LEFT(I$25,1)="O",0,I$79)*I91</f>
        <v>0</v>
      </c>
      <c r="J92" s="783">
        <f>IF(LEFT(J$25,1)="O",0,J$79)*J91</f>
        <v>0</v>
      </c>
      <c r="K92" s="783">
        <f>IF(LEFT(K$25,1)="O",0,K$79)*K91</f>
        <v>0</v>
      </c>
      <c r="L92" s="181">
        <v>0</v>
      </c>
      <c r="M92" s="181">
        <v>0</v>
      </c>
      <c r="N92" s="181">
        <v>0</v>
      </c>
      <c r="O92" s="507">
        <f t="shared" si="17"/>
        <v>0</v>
      </c>
      <c r="P92" s="105"/>
      <c r="Q92" s="644"/>
      <c r="R92" s="644"/>
      <c r="S92" s="644"/>
      <c r="T92" s="644"/>
      <c r="U92" s="644"/>
      <c r="V92" s="644"/>
      <c r="W92" s="644"/>
      <c r="X92" s="644"/>
      <c r="Y92" s="644"/>
      <c r="Z92" s="644"/>
      <c r="AA92" s="644"/>
      <c r="AB92" s="644"/>
      <c r="AC92" s="644"/>
      <c r="AD92" s="644"/>
      <c r="AE92" s="644"/>
      <c r="AF92" s="644"/>
      <c r="AG92" s="644"/>
      <c r="AH92" s="644"/>
      <c r="AI92" s="644"/>
      <c r="AJ92" s="644"/>
      <c r="AK92" s="644"/>
    </row>
    <row r="93" spans="1:37" s="108" customFormat="1" ht="12.75">
      <c r="A93" s="112"/>
      <c r="B93" s="7"/>
      <c r="C93" s="7"/>
      <c r="D93" s="515"/>
      <c r="E93" s="515"/>
      <c r="F93" s="131"/>
      <c r="G93" s="131"/>
      <c r="H93" s="132"/>
      <c r="I93" s="131"/>
      <c r="J93" s="131"/>
      <c r="K93" s="132"/>
      <c r="L93" s="131"/>
      <c r="M93" s="131"/>
      <c r="N93" s="132"/>
      <c r="O93" s="507">
        <f t="shared" si="17"/>
        <v>0</v>
      </c>
      <c r="P93" s="105"/>
      <c r="Q93" s="644"/>
      <c r="R93" s="644"/>
      <c r="S93" s="644"/>
      <c r="T93" s="644"/>
      <c r="U93" s="644"/>
      <c r="V93" s="644"/>
      <c r="W93" s="644"/>
      <c r="X93" s="644"/>
      <c r="Y93" s="644"/>
      <c r="Z93" s="644"/>
      <c r="AA93" s="644"/>
      <c r="AB93" s="644"/>
      <c r="AC93" s="644"/>
      <c r="AD93" s="644"/>
      <c r="AE93" s="644"/>
      <c r="AF93" s="644"/>
      <c r="AG93" s="644"/>
      <c r="AH93" s="644"/>
      <c r="AI93" s="644"/>
      <c r="AJ93" s="644"/>
      <c r="AK93" s="644"/>
    </row>
    <row r="94" spans="1:37" s="108" customFormat="1" ht="15.75" customHeight="1">
      <c r="A94" s="161">
        <v>8</v>
      </c>
      <c r="B94" s="103" t="s">
        <v>849</v>
      </c>
      <c r="C94" s="104"/>
      <c r="D94" s="514"/>
      <c r="E94" s="514"/>
      <c r="F94" s="105"/>
      <c r="G94" s="105" t="s">
        <v>241</v>
      </c>
      <c r="H94" s="105"/>
      <c r="I94" s="105"/>
      <c r="J94" s="105"/>
      <c r="K94" s="105"/>
      <c r="L94" s="106"/>
      <c r="M94" s="106" t="s">
        <v>242</v>
      </c>
      <c r="N94" s="107">
        <f>jahr</f>
        <v>2007</v>
      </c>
      <c r="O94" s="507">
        <f t="shared" si="17"/>
        <v>0</v>
      </c>
      <c r="P94" s="105"/>
      <c r="Q94" s="644"/>
      <c r="R94" s="644"/>
      <c r="S94" s="644"/>
      <c r="T94" s="644"/>
      <c r="U94" s="644"/>
      <c r="V94" s="644"/>
      <c r="W94" s="644"/>
      <c r="X94" s="644"/>
      <c r="Y94" s="644"/>
      <c r="Z94" s="644"/>
      <c r="AA94" s="644"/>
      <c r="AB94" s="644"/>
      <c r="AC94" s="644"/>
      <c r="AD94" s="644"/>
      <c r="AE94" s="644"/>
      <c r="AF94" s="644"/>
      <c r="AG94" s="644"/>
      <c r="AH94" s="644"/>
      <c r="AI94" s="644"/>
      <c r="AJ94" s="644"/>
      <c r="AK94" s="644"/>
    </row>
    <row r="95" spans="1:37" s="108" customFormat="1" ht="12" customHeight="1">
      <c r="A95" s="103"/>
      <c r="B95" s="109" t="s">
        <v>580</v>
      </c>
      <c r="C95" s="110" t="s">
        <v>566</v>
      </c>
      <c r="D95" s="110"/>
      <c r="E95" s="110"/>
      <c r="F95" s="111" t="s">
        <v>567</v>
      </c>
      <c r="G95" s="111" t="s">
        <v>574</v>
      </c>
      <c r="H95" s="111" t="s">
        <v>575</v>
      </c>
      <c r="I95" s="111" t="s">
        <v>573</v>
      </c>
      <c r="J95" s="111" t="s">
        <v>591</v>
      </c>
      <c r="K95" s="111" t="s">
        <v>592</v>
      </c>
      <c r="L95" s="111" t="s">
        <v>593</v>
      </c>
      <c r="M95" s="111" t="s">
        <v>594</v>
      </c>
      <c r="N95" s="111" t="s">
        <v>33</v>
      </c>
      <c r="O95" s="507">
        <f t="shared" si="17"/>
        <v>0</v>
      </c>
      <c r="P95" s="105"/>
      <c r="Q95" s="644"/>
      <c r="R95" s="644"/>
      <c r="S95" s="644"/>
      <c r="T95" s="644"/>
      <c r="U95" s="644"/>
      <c r="V95" s="644"/>
      <c r="W95" s="644"/>
      <c r="X95" s="644"/>
      <c r="Y95" s="644"/>
      <c r="Z95" s="644"/>
      <c r="AA95" s="644"/>
      <c r="AB95" s="644"/>
      <c r="AC95" s="644"/>
      <c r="AD95" s="644"/>
      <c r="AE95" s="644"/>
      <c r="AF95" s="644"/>
      <c r="AG95" s="644"/>
      <c r="AH95" s="644"/>
      <c r="AI95" s="644"/>
      <c r="AJ95" s="644"/>
      <c r="AK95" s="644"/>
    </row>
    <row r="96" spans="1:37" s="163" customFormat="1" ht="12.75">
      <c r="A96" s="112"/>
      <c r="B96" s="113" t="str">
        <f>Vr&amp;"  "</f>
        <v>Xxx Vie  </v>
      </c>
      <c r="C96" s="114" t="s">
        <v>784</v>
      </c>
      <c r="D96" s="525"/>
      <c r="E96" s="525"/>
      <c r="F96" s="115" t="s">
        <v>786</v>
      </c>
      <c r="G96" s="116"/>
      <c r="H96" s="117"/>
      <c r="I96" s="118" t="s">
        <v>786</v>
      </c>
      <c r="J96" s="119"/>
      <c r="K96" s="120"/>
      <c r="L96" s="121" t="s">
        <v>786</v>
      </c>
      <c r="M96" s="122"/>
      <c r="N96" s="123"/>
      <c r="O96" s="507">
        <f t="shared" si="17"/>
        <v>0</v>
      </c>
      <c r="P96" s="105"/>
      <c r="Q96" s="645"/>
      <c r="R96" s="645"/>
      <c r="S96" s="645"/>
      <c r="T96" s="645"/>
      <c r="U96" s="645"/>
      <c r="V96" s="645"/>
      <c r="W96" s="645"/>
      <c r="X96" s="645"/>
      <c r="Y96" s="645"/>
      <c r="Z96" s="645"/>
      <c r="AA96" s="645"/>
      <c r="AB96" s="645"/>
      <c r="AC96" s="645"/>
      <c r="AD96" s="645"/>
      <c r="AE96" s="645"/>
      <c r="AF96" s="645"/>
      <c r="AG96" s="645"/>
      <c r="AH96" s="645"/>
      <c r="AI96" s="645"/>
      <c r="AJ96" s="645"/>
      <c r="AK96" s="645"/>
    </row>
    <row r="97" spans="1:37" s="163" customFormat="1" ht="12.75">
      <c r="A97" s="112"/>
      <c r="B97" s="105"/>
      <c r="C97" s="114" t="s">
        <v>785</v>
      </c>
      <c r="D97" s="525"/>
      <c r="E97" s="525"/>
      <c r="F97" s="124" t="s">
        <v>579</v>
      </c>
      <c r="G97" s="116"/>
      <c r="H97" s="117"/>
      <c r="I97" s="125" t="s">
        <v>787</v>
      </c>
      <c r="J97" s="126"/>
      <c r="K97" s="120"/>
      <c r="L97" s="127" t="s">
        <v>788</v>
      </c>
      <c r="M97" s="127"/>
      <c r="N97" s="123"/>
      <c r="O97" s="507">
        <f t="shared" si="17"/>
        <v>0</v>
      </c>
      <c r="P97" s="105"/>
      <c r="Q97" s="645"/>
      <c r="R97" s="645"/>
      <c r="S97" s="645"/>
      <c r="T97" s="645"/>
      <c r="U97" s="645"/>
      <c r="V97" s="645"/>
      <c r="W97" s="645"/>
      <c r="X97" s="645"/>
      <c r="Y97" s="645"/>
      <c r="Z97" s="645"/>
      <c r="AA97" s="645"/>
      <c r="AB97" s="645"/>
      <c r="AC97" s="645"/>
      <c r="AD97" s="645"/>
      <c r="AE97" s="645"/>
      <c r="AF97" s="645"/>
      <c r="AG97" s="645"/>
      <c r="AH97" s="645"/>
      <c r="AI97" s="645"/>
      <c r="AJ97" s="645"/>
      <c r="AK97" s="645"/>
    </row>
    <row r="98" spans="1:37" s="163" customFormat="1" ht="12.75">
      <c r="A98" s="112"/>
      <c r="B98" s="105"/>
      <c r="C98" s="164"/>
      <c r="D98" s="110"/>
      <c r="E98" s="110"/>
      <c r="F98" s="128" t="s">
        <v>246</v>
      </c>
      <c r="G98" s="128" t="s">
        <v>247</v>
      </c>
      <c r="H98" s="128" t="s">
        <v>789</v>
      </c>
      <c r="I98" s="129" t="s">
        <v>246</v>
      </c>
      <c r="J98" s="129" t="s">
        <v>247</v>
      </c>
      <c r="K98" s="129" t="s">
        <v>789</v>
      </c>
      <c r="L98" s="130" t="s">
        <v>246</v>
      </c>
      <c r="M98" s="130" t="s">
        <v>247</v>
      </c>
      <c r="N98" s="130" t="s">
        <v>789</v>
      </c>
      <c r="O98" s="507">
        <f t="shared" si="17"/>
        <v>0</v>
      </c>
      <c r="P98" s="105"/>
      <c r="Q98" s="645"/>
      <c r="R98" s="645"/>
      <c r="S98" s="645"/>
      <c r="T98" s="645"/>
      <c r="U98" s="645"/>
      <c r="V98" s="645"/>
      <c r="W98" s="645"/>
      <c r="X98" s="645"/>
      <c r="Y98" s="645"/>
      <c r="Z98" s="645"/>
      <c r="AA98" s="645"/>
      <c r="AB98" s="645"/>
      <c r="AC98" s="645"/>
      <c r="AD98" s="645"/>
      <c r="AE98" s="645"/>
      <c r="AF98" s="645"/>
      <c r="AG98" s="645"/>
      <c r="AH98" s="645"/>
      <c r="AI98" s="645"/>
      <c r="AJ98" s="645"/>
      <c r="AK98" s="645"/>
    </row>
    <row r="99" spans="1:37" s="108" customFormat="1" ht="12.75">
      <c r="A99" s="112"/>
      <c r="B99" s="7"/>
      <c r="C99" s="7"/>
      <c r="D99" s="515"/>
      <c r="E99" s="515"/>
      <c r="F99" s="131"/>
      <c r="G99" s="131"/>
      <c r="H99" s="132"/>
      <c r="I99" s="131"/>
      <c r="J99" s="131"/>
      <c r="K99" s="132"/>
      <c r="L99" s="131"/>
      <c r="M99" s="131"/>
      <c r="N99" s="132"/>
      <c r="O99" s="507">
        <f t="shared" si="17"/>
        <v>0</v>
      </c>
      <c r="P99" s="105"/>
      <c r="Q99" s="644"/>
      <c r="R99" s="644"/>
      <c r="S99" s="644"/>
      <c r="T99" s="644"/>
      <c r="U99" s="644"/>
      <c r="V99" s="644"/>
      <c r="W99" s="644"/>
      <c r="X99" s="644"/>
      <c r="Y99" s="644"/>
      <c r="Z99" s="644"/>
      <c r="AA99" s="644"/>
      <c r="AB99" s="644"/>
      <c r="AC99" s="644"/>
      <c r="AD99" s="644"/>
      <c r="AE99" s="644"/>
      <c r="AF99" s="644"/>
      <c r="AG99" s="644"/>
      <c r="AH99" s="644"/>
      <c r="AI99" s="644"/>
      <c r="AJ99" s="644"/>
      <c r="AK99" s="644"/>
    </row>
    <row r="100" spans="1:37" s="108" customFormat="1" ht="12.75">
      <c r="A100" s="112">
        <v>195</v>
      </c>
      <c r="B100" s="8" t="s">
        <v>850</v>
      </c>
      <c r="C100" s="8"/>
      <c r="D100" s="21"/>
      <c r="E100" s="21"/>
      <c r="F100" s="134">
        <f aca="true" t="shared" si="26" ref="F100:H101">I100+L100</f>
        <v>0</v>
      </c>
      <c r="G100" s="134">
        <f t="shared" si="26"/>
        <v>0</v>
      </c>
      <c r="H100" s="134">
        <f t="shared" si="26"/>
        <v>0</v>
      </c>
      <c r="I100" s="718">
        <f aca="true" t="shared" si="27" ref="I100:N100">I$74</f>
        <v>0</v>
      </c>
      <c r="J100" s="178">
        <f t="shared" si="27"/>
        <v>0</v>
      </c>
      <c r="K100" s="178">
        <f t="shared" si="27"/>
        <v>0</v>
      </c>
      <c r="L100" s="718">
        <f t="shared" si="27"/>
        <v>0</v>
      </c>
      <c r="M100" s="179">
        <f t="shared" si="27"/>
        <v>0</v>
      </c>
      <c r="N100" s="179">
        <f t="shared" si="27"/>
        <v>0</v>
      </c>
      <c r="O100" s="507">
        <f t="shared" si="17"/>
        <v>0</v>
      </c>
      <c r="P100" s="105"/>
      <c r="Q100" s="644"/>
      <c r="R100" s="644"/>
      <c r="S100" s="644"/>
      <c r="T100" s="644"/>
      <c r="U100" s="644"/>
      <c r="V100" s="644"/>
      <c r="W100" s="644"/>
      <c r="X100" s="644"/>
      <c r="Y100" s="644"/>
      <c r="Z100" s="644"/>
      <c r="AA100" s="644"/>
      <c r="AB100" s="644"/>
      <c r="AC100" s="644"/>
      <c r="AD100" s="644"/>
      <c r="AE100" s="644"/>
      <c r="AF100" s="644"/>
      <c r="AG100" s="644"/>
      <c r="AH100" s="644"/>
      <c r="AI100" s="644"/>
      <c r="AJ100" s="644"/>
      <c r="AK100" s="644"/>
    </row>
    <row r="101" spans="1:37" s="108" customFormat="1" ht="12.75">
      <c r="A101" s="112">
        <v>196</v>
      </c>
      <c r="B101" s="34" t="s">
        <v>851</v>
      </c>
      <c r="C101" s="34"/>
      <c r="D101" s="535"/>
      <c r="E101" s="535"/>
      <c r="F101" s="182">
        <f t="shared" si="26"/>
        <v>0</v>
      </c>
      <c r="G101" s="182">
        <f t="shared" si="26"/>
        <v>0</v>
      </c>
      <c r="H101" s="182">
        <f t="shared" si="26"/>
        <v>0</v>
      </c>
      <c r="I101" s="183">
        <f>IF(LEFT(I$25,1)="O",I$91,I$92)-I$100</f>
        <v>0</v>
      </c>
      <c r="J101" s="183">
        <f>IF(LEFT(J$25,1)="O",J$91,J$92)-J$100</f>
        <v>0</v>
      </c>
      <c r="K101" s="183">
        <f>IF(LEFT(K$25,1)="O",K$91,K$92)-K$100</f>
        <v>0</v>
      </c>
      <c r="L101" s="184">
        <f>L$91-L$100</f>
        <v>0</v>
      </c>
      <c r="M101" s="184">
        <f>M$91-M$100</f>
        <v>0</v>
      </c>
      <c r="N101" s="184">
        <f>N$91-N$100</f>
        <v>0</v>
      </c>
      <c r="O101" s="507">
        <f t="shared" si="17"/>
        <v>0</v>
      </c>
      <c r="P101" s="105"/>
      <c r="Q101" s="644"/>
      <c r="R101" s="644"/>
      <c r="S101" s="644"/>
      <c r="T101" s="644"/>
      <c r="U101" s="644"/>
      <c r="V101" s="644"/>
      <c r="W101" s="644"/>
      <c r="X101" s="644"/>
      <c r="Y101" s="644"/>
      <c r="Z101" s="644"/>
      <c r="AA101" s="644"/>
      <c r="AB101" s="644"/>
      <c r="AC101" s="644"/>
      <c r="AD101" s="644"/>
      <c r="AE101" s="644"/>
      <c r="AF101" s="644"/>
      <c r="AG101" s="644"/>
      <c r="AH101" s="644"/>
      <c r="AI101" s="644"/>
      <c r="AJ101" s="644"/>
      <c r="AK101" s="644"/>
    </row>
    <row r="102" spans="1:37" s="108" customFormat="1" ht="10.5" customHeight="1">
      <c r="A102" s="112"/>
      <c r="B102" s="7"/>
      <c r="C102" s="7"/>
      <c r="D102" s="515"/>
      <c r="E102" s="515"/>
      <c r="F102" s="131"/>
      <c r="G102" s="131"/>
      <c r="H102" s="132"/>
      <c r="I102" s="131"/>
      <c r="J102" s="131"/>
      <c r="K102" s="132"/>
      <c r="L102" s="131"/>
      <c r="M102" s="131"/>
      <c r="N102" s="132"/>
      <c r="O102" s="507">
        <f t="shared" si="17"/>
        <v>0</v>
      </c>
      <c r="P102" s="105"/>
      <c r="Q102" s="644"/>
      <c r="R102" s="644"/>
      <c r="S102" s="644"/>
      <c r="T102" s="644"/>
      <c r="U102" s="644"/>
      <c r="V102" s="644"/>
      <c r="W102" s="644"/>
      <c r="X102" s="644"/>
      <c r="Y102" s="644"/>
      <c r="Z102" s="644"/>
      <c r="AA102" s="644"/>
      <c r="AB102" s="644"/>
      <c r="AC102" s="644"/>
      <c r="AD102" s="644"/>
      <c r="AE102" s="644"/>
      <c r="AF102" s="644"/>
      <c r="AG102" s="644"/>
      <c r="AH102" s="644"/>
      <c r="AI102" s="644"/>
      <c r="AJ102" s="644"/>
      <c r="AK102" s="644"/>
    </row>
    <row r="103" spans="1:37" s="108" customFormat="1" ht="27" customHeight="1">
      <c r="A103" s="112">
        <v>197</v>
      </c>
      <c r="B103" s="801" t="s">
        <v>852</v>
      </c>
      <c r="C103" s="801"/>
      <c r="D103" s="511"/>
      <c r="E103" s="511"/>
      <c r="F103" s="186">
        <f>I103+L103</f>
        <v>0</v>
      </c>
      <c r="G103" s="186">
        <f>J103+M103</f>
        <v>0</v>
      </c>
      <c r="H103" s="186">
        <f>K103+N103</f>
        <v>0</v>
      </c>
      <c r="I103" s="187">
        <f aca="true" t="shared" si="28" ref="I103:N103">I$84+I$89+I$101</f>
        <v>0</v>
      </c>
      <c r="J103" s="187">
        <f t="shared" si="28"/>
        <v>0</v>
      </c>
      <c r="K103" s="187">
        <f t="shared" si="28"/>
        <v>0</v>
      </c>
      <c r="L103" s="188">
        <f t="shared" si="28"/>
        <v>0</v>
      </c>
      <c r="M103" s="188">
        <f t="shared" si="28"/>
        <v>0</v>
      </c>
      <c r="N103" s="188">
        <f t="shared" si="28"/>
        <v>0</v>
      </c>
      <c r="O103" s="507">
        <f t="shared" si="17"/>
        <v>0</v>
      </c>
      <c r="P103" s="105"/>
      <c r="Q103" s="644"/>
      <c r="R103" s="644"/>
      <c r="S103" s="644"/>
      <c r="T103" s="644"/>
      <c r="U103" s="644"/>
      <c r="V103" s="644"/>
      <c r="W103" s="644"/>
      <c r="X103" s="644"/>
      <c r="Y103" s="644"/>
      <c r="Z103" s="644"/>
      <c r="AA103" s="644"/>
      <c r="AB103" s="644"/>
      <c r="AC103" s="644"/>
      <c r="AD103" s="644"/>
      <c r="AE103" s="644"/>
      <c r="AF103" s="644"/>
      <c r="AG103" s="644"/>
      <c r="AH103" s="644"/>
      <c r="AI103" s="644"/>
      <c r="AJ103" s="644"/>
      <c r="AK103" s="644"/>
    </row>
    <row r="104" spans="1:37" s="108" customFormat="1" ht="15" customHeight="1">
      <c r="A104" s="138"/>
      <c r="B104" s="7"/>
      <c r="C104" s="7"/>
      <c r="D104" s="515"/>
      <c r="E104" s="515"/>
      <c r="F104" s="131"/>
      <c r="G104" s="131"/>
      <c r="H104" s="132"/>
      <c r="I104" s="131"/>
      <c r="J104" s="131"/>
      <c r="K104" s="132"/>
      <c r="L104" s="131"/>
      <c r="M104" s="131"/>
      <c r="N104" s="132"/>
      <c r="O104" s="507">
        <f t="shared" si="17"/>
        <v>0</v>
      </c>
      <c r="P104" s="105"/>
      <c r="Q104" s="644"/>
      <c r="R104" s="644"/>
      <c r="S104" s="644"/>
      <c r="T104" s="644"/>
      <c r="U104" s="644"/>
      <c r="V104" s="644"/>
      <c r="W104" s="644"/>
      <c r="X104" s="644"/>
      <c r="Y104" s="644"/>
      <c r="Z104" s="644"/>
      <c r="AA104" s="644"/>
      <c r="AB104" s="644"/>
      <c r="AC104" s="644"/>
      <c r="AD104" s="644"/>
      <c r="AE104" s="644"/>
      <c r="AF104" s="644"/>
      <c r="AG104" s="644"/>
      <c r="AH104" s="644"/>
      <c r="AI104" s="644"/>
      <c r="AJ104" s="644"/>
      <c r="AK104" s="644"/>
    </row>
    <row r="105" spans="1:37" s="108" customFormat="1" ht="39" customHeight="1">
      <c r="A105" s="138"/>
      <c r="B105" s="799" t="s">
        <v>714</v>
      </c>
      <c r="C105" s="800"/>
      <c r="D105" s="800"/>
      <c r="E105" s="800"/>
      <c r="F105" s="131"/>
      <c r="G105" s="131"/>
      <c r="H105" s="132"/>
      <c r="I105" s="131"/>
      <c r="J105" s="131"/>
      <c r="K105" s="132"/>
      <c r="L105" s="131"/>
      <c r="M105" s="131"/>
      <c r="N105" s="132"/>
      <c r="O105" s="507">
        <f t="shared" si="17"/>
        <v>0</v>
      </c>
      <c r="P105" s="105"/>
      <c r="Q105" s="644"/>
      <c r="R105" s="644"/>
      <c r="S105" s="644"/>
      <c r="T105" s="644"/>
      <c r="U105" s="644"/>
      <c r="V105" s="644"/>
      <c r="W105" s="644"/>
      <c r="X105" s="644"/>
      <c r="Y105" s="644"/>
      <c r="Z105" s="644"/>
      <c r="AA105" s="644"/>
      <c r="AB105" s="644"/>
      <c r="AC105" s="644"/>
      <c r="AD105" s="644"/>
      <c r="AE105" s="644"/>
      <c r="AF105" s="644"/>
      <c r="AG105" s="644"/>
      <c r="AH105" s="644"/>
      <c r="AI105" s="644"/>
      <c r="AJ105" s="644"/>
      <c r="AK105" s="644"/>
    </row>
    <row r="106" spans="1:37" s="108" customFormat="1" ht="12.75">
      <c r="A106" s="112">
        <v>199</v>
      </c>
      <c r="B106" s="23" t="s">
        <v>853</v>
      </c>
      <c r="C106" s="23"/>
      <c r="D106" s="69"/>
      <c r="E106" s="69"/>
      <c r="F106" s="134">
        <f aca="true" t="shared" si="29" ref="F106:H113">I106+L106</f>
        <v>0</v>
      </c>
      <c r="G106" s="134">
        <f t="shared" si="29"/>
        <v>0</v>
      </c>
      <c r="H106" s="134">
        <f t="shared" si="29"/>
        <v>0</v>
      </c>
      <c r="I106" s="612"/>
      <c r="J106" s="612"/>
      <c r="K106" s="612"/>
      <c r="L106" s="613"/>
      <c r="M106" s="613"/>
      <c r="N106" s="613"/>
      <c r="O106" s="507">
        <f t="shared" si="17"/>
        <v>0</v>
      </c>
      <c r="P106" s="105"/>
      <c r="Q106" s="644"/>
      <c r="R106" s="644"/>
      <c r="S106" s="644"/>
      <c r="T106" s="644"/>
      <c r="U106" s="644"/>
      <c r="V106" s="644"/>
      <c r="W106" s="644"/>
      <c r="X106" s="644"/>
      <c r="Y106" s="644"/>
      <c r="Z106" s="644"/>
      <c r="AA106" s="644"/>
      <c r="AB106" s="644"/>
      <c r="AC106" s="644"/>
      <c r="AD106" s="644"/>
      <c r="AE106" s="644"/>
      <c r="AF106" s="644"/>
      <c r="AG106" s="644"/>
      <c r="AH106" s="644"/>
      <c r="AI106" s="644"/>
      <c r="AJ106" s="644"/>
      <c r="AK106" s="644"/>
    </row>
    <row r="107" spans="1:37" s="108" customFormat="1" ht="12.75">
      <c r="A107" s="112">
        <v>200</v>
      </c>
      <c r="B107" s="38" t="s">
        <v>854</v>
      </c>
      <c r="C107" s="498"/>
      <c r="D107" s="498"/>
      <c r="E107" s="498"/>
      <c r="F107" s="134">
        <f t="shared" si="29"/>
        <v>0</v>
      </c>
      <c r="G107" s="134">
        <f t="shared" si="29"/>
        <v>0</v>
      </c>
      <c r="H107" s="134">
        <f t="shared" si="29"/>
        <v>0</v>
      </c>
      <c r="I107" s="612"/>
      <c r="J107" s="612"/>
      <c r="K107" s="612"/>
      <c r="L107" s="613"/>
      <c r="M107" s="613"/>
      <c r="N107" s="613"/>
      <c r="O107" s="507">
        <f t="shared" si="17"/>
        <v>0</v>
      </c>
      <c r="P107" s="105"/>
      <c r="Q107" s="644"/>
      <c r="R107" s="644"/>
      <c r="S107" s="644"/>
      <c r="T107" s="644"/>
      <c r="U107" s="644"/>
      <c r="V107" s="644"/>
      <c r="W107" s="644"/>
      <c r="X107" s="644"/>
      <c r="Y107" s="644"/>
      <c r="Z107" s="644"/>
      <c r="AA107" s="644"/>
      <c r="AB107" s="644"/>
      <c r="AC107" s="644"/>
      <c r="AD107" s="644"/>
      <c r="AE107" s="644"/>
      <c r="AF107" s="644"/>
      <c r="AG107" s="644"/>
      <c r="AH107" s="644"/>
      <c r="AI107" s="644"/>
      <c r="AJ107" s="644"/>
      <c r="AK107" s="644"/>
    </row>
    <row r="108" spans="1:37" s="108" customFormat="1" ht="36">
      <c r="A108" s="112">
        <v>201</v>
      </c>
      <c r="B108" s="29" t="s">
        <v>855</v>
      </c>
      <c r="C108" s="499"/>
      <c r="D108" s="539"/>
      <c r="E108" s="539"/>
      <c r="F108" s="134">
        <f t="shared" si="29"/>
        <v>0</v>
      </c>
      <c r="G108" s="134">
        <f t="shared" si="29"/>
        <v>0</v>
      </c>
      <c r="H108" s="134">
        <f t="shared" si="29"/>
        <v>0</v>
      </c>
      <c r="I108" s="612"/>
      <c r="J108" s="612"/>
      <c r="K108" s="612"/>
      <c r="L108" s="613"/>
      <c r="M108" s="613"/>
      <c r="N108" s="613"/>
      <c r="O108" s="507">
        <f t="shared" si="17"/>
        <v>0</v>
      </c>
      <c r="P108" s="105"/>
      <c r="Q108" s="644"/>
      <c r="R108" s="644"/>
      <c r="S108" s="644"/>
      <c r="T108" s="644"/>
      <c r="U108" s="644"/>
      <c r="V108" s="644"/>
      <c r="W108" s="644"/>
      <c r="X108" s="644"/>
      <c r="Y108" s="644"/>
      <c r="Z108" s="644"/>
      <c r="AA108" s="644"/>
      <c r="AB108" s="644"/>
      <c r="AC108" s="644"/>
      <c r="AD108" s="644"/>
      <c r="AE108" s="644"/>
      <c r="AF108" s="644"/>
      <c r="AG108" s="644"/>
      <c r="AH108" s="644"/>
      <c r="AI108" s="644"/>
      <c r="AJ108" s="644"/>
      <c r="AK108" s="644"/>
    </row>
    <row r="109" spans="1:37" s="108" customFormat="1" ht="12.75">
      <c r="A109" s="112">
        <v>202</v>
      </c>
      <c r="B109" s="29" t="s">
        <v>856</v>
      </c>
      <c r="C109" s="499"/>
      <c r="D109" s="539"/>
      <c r="E109" s="539"/>
      <c r="F109" s="134">
        <f t="shared" si="29"/>
        <v>0</v>
      </c>
      <c r="G109" s="134">
        <f t="shared" si="29"/>
        <v>0</v>
      </c>
      <c r="H109" s="134">
        <f t="shared" si="29"/>
        <v>0</v>
      </c>
      <c r="I109" s="612"/>
      <c r="J109" s="612"/>
      <c r="K109" s="612"/>
      <c r="L109" s="613"/>
      <c r="M109" s="613"/>
      <c r="N109" s="613"/>
      <c r="O109" s="507">
        <f t="shared" si="17"/>
        <v>0</v>
      </c>
      <c r="P109" s="105"/>
      <c r="Q109" s="644"/>
      <c r="R109" s="644"/>
      <c r="S109" s="644"/>
      <c r="T109" s="644"/>
      <c r="U109" s="644"/>
      <c r="V109" s="644"/>
      <c r="W109" s="644"/>
      <c r="X109" s="644"/>
      <c r="Y109" s="644"/>
      <c r="Z109" s="644"/>
      <c r="AA109" s="644"/>
      <c r="AB109" s="644"/>
      <c r="AC109" s="644"/>
      <c r="AD109" s="644"/>
      <c r="AE109" s="644"/>
      <c r="AF109" s="644"/>
      <c r="AG109" s="644"/>
      <c r="AH109" s="644"/>
      <c r="AI109" s="644"/>
      <c r="AJ109" s="644"/>
      <c r="AK109" s="644"/>
    </row>
    <row r="110" spans="1:37" s="108" customFormat="1" ht="12.75">
      <c r="A110" s="112">
        <v>203</v>
      </c>
      <c r="B110" s="29" t="s">
        <v>857</v>
      </c>
      <c r="C110" s="500"/>
      <c r="D110" s="539"/>
      <c r="E110" s="539"/>
      <c r="F110" s="134">
        <f t="shared" si="29"/>
        <v>0</v>
      </c>
      <c r="G110" s="134">
        <f t="shared" si="29"/>
        <v>0</v>
      </c>
      <c r="H110" s="134">
        <f t="shared" si="29"/>
        <v>0</v>
      </c>
      <c r="I110" s="612"/>
      <c r="J110" s="612"/>
      <c r="K110" s="612"/>
      <c r="L110" s="613"/>
      <c r="M110" s="613"/>
      <c r="N110" s="613"/>
      <c r="O110" s="507">
        <f t="shared" si="17"/>
        <v>0</v>
      </c>
      <c r="P110" s="105"/>
      <c r="Q110" s="644"/>
      <c r="R110" s="644"/>
      <c r="S110" s="644"/>
      <c r="T110" s="644"/>
      <c r="U110" s="644"/>
      <c r="V110" s="644"/>
      <c r="W110" s="644"/>
      <c r="X110" s="644"/>
      <c r="Y110" s="644"/>
      <c r="Z110" s="644"/>
      <c r="AA110" s="644"/>
      <c r="AB110" s="644"/>
      <c r="AC110" s="644"/>
      <c r="AD110" s="644"/>
      <c r="AE110" s="644"/>
      <c r="AF110" s="644"/>
      <c r="AG110" s="644"/>
      <c r="AH110" s="644"/>
      <c r="AI110" s="644"/>
      <c r="AJ110" s="644"/>
      <c r="AK110" s="644"/>
    </row>
    <row r="111" spans="1:37" s="108" customFormat="1" ht="12.75">
      <c r="A111" s="112">
        <v>204</v>
      </c>
      <c r="B111" s="29" t="s">
        <v>858</v>
      </c>
      <c r="C111" s="500"/>
      <c r="D111" s="539"/>
      <c r="E111" s="539"/>
      <c r="F111" s="134">
        <f t="shared" si="29"/>
        <v>0</v>
      </c>
      <c r="G111" s="134">
        <f t="shared" si="29"/>
        <v>0</v>
      </c>
      <c r="H111" s="134">
        <f t="shared" si="29"/>
        <v>0</v>
      </c>
      <c r="I111" s="612"/>
      <c r="J111" s="612"/>
      <c r="K111" s="612"/>
      <c r="L111" s="613"/>
      <c r="M111" s="613"/>
      <c r="N111" s="613"/>
      <c r="O111" s="507">
        <f t="shared" si="17"/>
        <v>0</v>
      </c>
      <c r="P111" s="105"/>
      <c r="Q111" s="644"/>
      <c r="R111" s="644"/>
      <c r="S111" s="644"/>
      <c r="T111" s="644"/>
      <c r="U111" s="644"/>
      <c r="V111" s="644"/>
      <c r="W111" s="644"/>
      <c r="X111" s="644"/>
      <c r="Y111" s="644"/>
      <c r="Z111" s="644"/>
      <c r="AA111" s="644"/>
      <c r="AB111" s="644"/>
      <c r="AC111" s="644"/>
      <c r="AD111" s="644"/>
      <c r="AE111" s="644"/>
      <c r="AF111" s="644"/>
      <c r="AG111" s="644"/>
      <c r="AH111" s="644"/>
      <c r="AI111" s="644"/>
      <c r="AJ111" s="644"/>
      <c r="AK111" s="644"/>
    </row>
    <row r="112" spans="1:37" s="108" customFormat="1" ht="12.75">
      <c r="A112" s="112">
        <v>205</v>
      </c>
      <c r="B112" s="29" t="s">
        <v>859</v>
      </c>
      <c r="C112" s="500"/>
      <c r="D112" s="539"/>
      <c r="E112" s="539"/>
      <c r="F112" s="134">
        <f t="shared" si="29"/>
        <v>0</v>
      </c>
      <c r="G112" s="134">
        <f t="shared" si="29"/>
        <v>0</v>
      </c>
      <c r="H112" s="134">
        <f t="shared" si="29"/>
        <v>0</v>
      </c>
      <c r="I112" s="612"/>
      <c r="J112" s="612"/>
      <c r="K112" s="612"/>
      <c r="L112" s="613"/>
      <c r="M112" s="613"/>
      <c r="N112" s="613"/>
      <c r="O112" s="507">
        <f t="shared" si="17"/>
        <v>0</v>
      </c>
      <c r="P112" s="105"/>
      <c r="Q112" s="644"/>
      <c r="R112" s="644"/>
      <c r="S112" s="644"/>
      <c r="T112" s="644"/>
      <c r="U112" s="644"/>
      <c r="V112" s="644"/>
      <c r="W112" s="644"/>
      <c r="X112" s="644"/>
      <c r="Y112" s="644"/>
      <c r="Z112" s="644"/>
      <c r="AA112" s="644"/>
      <c r="AB112" s="644"/>
      <c r="AC112" s="644"/>
      <c r="AD112" s="644"/>
      <c r="AE112" s="644"/>
      <c r="AF112" s="644"/>
      <c r="AG112" s="644"/>
      <c r="AH112" s="644"/>
      <c r="AI112" s="644"/>
      <c r="AJ112" s="644"/>
      <c r="AK112" s="644"/>
    </row>
    <row r="113" spans="1:37" s="108" customFormat="1" ht="12.75">
      <c r="A113" s="112">
        <v>206</v>
      </c>
      <c r="B113" s="29" t="s">
        <v>860</v>
      </c>
      <c r="C113" s="500"/>
      <c r="D113" s="539"/>
      <c r="E113" s="539"/>
      <c r="F113" s="134">
        <f t="shared" si="29"/>
        <v>0</v>
      </c>
      <c r="G113" s="134">
        <f t="shared" si="29"/>
        <v>0</v>
      </c>
      <c r="H113" s="134">
        <f t="shared" si="29"/>
        <v>0</v>
      </c>
      <c r="I113" s="612"/>
      <c r="J113" s="612"/>
      <c r="K113" s="612"/>
      <c r="L113" s="613"/>
      <c r="M113" s="613"/>
      <c r="N113" s="613"/>
      <c r="O113" s="507">
        <f t="shared" si="17"/>
        <v>0</v>
      </c>
      <c r="P113" s="105"/>
      <c r="Q113" s="644"/>
      <c r="R113" s="644"/>
      <c r="S113" s="644"/>
      <c r="T113" s="644"/>
      <c r="U113" s="644"/>
      <c r="V113" s="644"/>
      <c r="W113" s="644"/>
      <c r="X113" s="644"/>
      <c r="Y113" s="644"/>
      <c r="Z113" s="644"/>
      <c r="AA113" s="644"/>
      <c r="AB113" s="644"/>
      <c r="AC113" s="644"/>
      <c r="AD113" s="644"/>
      <c r="AE113" s="644"/>
      <c r="AF113" s="644"/>
      <c r="AG113" s="644"/>
      <c r="AH113" s="644"/>
      <c r="AI113" s="644"/>
      <c r="AJ113" s="644"/>
      <c r="AK113" s="644"/>
    </row>
    <row r="114" spans="1:37" s="108" customFormat="1" ht="27" customHeight="1">
      <c r="A114" s="112">
        <v>207</v>
      </c>
      <c r="B114" s="797" t="s">
        <v>666</v>
      </c>
      <c r="C114" s="798"/>
      <c r="D114" s="511"/>
      <c r="E114" s="511"/>
      <c r="F114" s="186">
        <f>I114+L114</f>
        <v>0</v>
      </c>
      <c r="G114" s="186">
        <f>J114+M114</f>
        <v>0</v>
      </c>
      <c r="H114" s="186">
        <f>K114+N114</f>
        <v>0</v>
      </c>
      <c r="I114" s="187">
        <f aca="true" t="shared" si="30" ref="I114:N114">SUM(I$106:I$113)</f>
        <v>0</v>
      </c>
      <c r="J114" s="187">
        <f t="shared" si="30"/>
        <v>0</v>
      </c>
      <c r="K114" s="187">
        <f t="shared" si="30"/>
        <v>0</v>
      </c>
      <c r="L114" s="188">
        <f t="shared" si="30"/>
        <v>0</v>
      </c>
      <c r="M114" s="188">
        <f t="shared" si="30"/>
        <v>0</v>
      </c>
      <c r="N114" s="188">
        <f t="shared" si="30"/>
        <v>0</v>
      </c>
      <c r="O114" s="507">
        <f t="shared" si="17"/>
        <v>0</v>
      </c>
      <c r="P114" s="105"/>
      <c r="Q114" s="647"/>
      <c r="R114" s="644"/>
      <c r="S114" s="644"/>
      <c r="T114" s="644"/>
      <c r="U114" s="644"/>
      <c r="V114" s="644"/>
      <c r="W114" s="644"/>
      <c r="X114" s="644"/>
      <c r="Y114" s="644"/>
      <c r="Z114" s="644"/>
      <c r="AA114" s="644"/>
      <c r="AB114" s="644"/>
      <c r="AC114" s="644"/>
      <c r="AD114" s="644"/>
      <c r="AE114" s="644"/>
      <c r="AF114" s="644"/>
      <c r="AG114" s="644"/>
      <c r="AH114" s="644"/>
      <c r="AI114" s="644"/>
      <c r="AJ114" s="644"/>
      <c r="AK114" s="644"/>
    </row>
    <row r="115" spans="1:37" s="108" customFormat="1" ht="15" customHeight="1">
      <c r="A115" s="138"/>
      <c r="B115" s="7"/>
      <c r="C115" s="7"/>
      <c r="D115" s="515"/>
      <c r="E115" s="515"/>
      <c r="F115" s="131"/>
      <c r="G115" s="131"/>
      <c r="H115" s="132"/>
      <c r="I115" s="719">
        <f aca="true" t="shared" si="31" ref="I115:N115">IF(AND(I$114&gt;0,I$114&gt;I$123),"TROP HAUT !",0)</f>
        <v>0</v>
      </c>
      <c r="J115" s="719">
        <f t="shared" si="31"/>
        <v>0</v>
      </c>
      <c r="K115" s="719">
        <f t="shared" si="31"/>
        <v>0</v>
      </c>
      <c r="L115" s="719">
        <f t="shared" si="31"/>
        <v>0</v>
      </c>
      <c r="M115" s="719">
        <f t="shared" si="31"/>
        <v>0</v>
      </c>
      <c r="N115" s="719">
        <f t="shared" si="31"/>
        <v>0</v>
      </c>
      <c r="O115" s="507">
        <f t="shared" si="17"/>
        <v>0</v>
      </c>
      <c r="P115" s="105"/>
      <c r="Q115" s="644"/>
      <c r="R115" s="644"/>
      <c r="S115" s="644"/>
      <c r="T115" s="644"/>
      <c r="U115" s="644"/>
      <c r="V115" s="644"/>
      <c r="W115" s="644"/>
      <c r="X115" s="644"/>
      <c r="Y115" s="644"/>
      <c r="Z115" s="644"/>
      <c r="AA115" s="644"/>
      <c r="AB115" s="644"/>
      <c r="AC115" s="644"/>
      <c r="AD115" s="644"/>
      <c r="AE115" s="644"/>
      <c r="AF115" s="644"/>
      <c r="AG115" s="644"/>
      <c r="AH115" s="644"/>
      <c r="AI115" s="644"/>
      <c r="AJ115" s="644"/>
      <c r="AK115" s="644"/>
    </row>
    <row r="116" spans="1:37" s="108" customFormat="1" ht="12.75">
      <c r="A116" s="112"/>
      <c r="B116" s="36" t="s">
        <v>715</v>
      </c>
      <c r="C116" s="36"/>
      <c r="D116" s="537"/>
      <c r="E116" s="537"/>
      <c r="F116" s="131"/>
      <c r="G116" s="131"/>
      <c r="H116" s="132"/>
      <c r="I116" s="177"/>
      <c r="J116" s="131"/>
      <c r="K116" s="132"/>
      <c r="L116" s="131"/>
      <c r="M116" s="131"/>
      <c r="N116" s="132"/>
      <c r="O116" s="507">
        <f t="shared" si="17"/>
        <v>0</v>
      </c>
      <c r="P116" s="105"/>
      <c r="Q116" s="644"/>
      <c r="R116" s="644"/>
      <c r="S116" s="644"/>
      <c r="T116" s="644"/>
      <c r="U116" s="644"/>
      <c r="V116" s="644"/>
      <c r="W116" s="644"/>
      <c r="X116" s="644"/>
      <c r="Y116" s="644"/>
      <c r="Z116" s="644"/>
      <c r="AA116" s="644"/>
      <c r="AB116" s="644"/>
      <c r="AC116" s="644"/>
      <c r="AD116" s="644"/>
      <c r="AE116" s="644"/>
      <c r="AF116" s="644"/>
      <c r="AG116" s="644"/>
      <c r="AH116" s="644"/>
      <c r="AI116" s="644"/>
      <c r="AJ116" s="644"/>
      <c r="AK116" s="644"/>
    </row>
    <row r="117" spans="1:37" s="108" customFormat="1" ht="12.75">
      <c r="A117" s="112">
        <v>198</v>
      </c>
      <c r="B117" s="37" t="s">
        <v>861</v>
      </c>
      <c r="C117" s="37"/>
      <c r="D117" s="538"/>
      <c r="E117" s="538"/>
      <c r="F117" s="189"/>
      <c r="G117" s="189"/>
      <c r="H117" s="505"/>
      <c r="I117" s="735" t="str">
        <f aca="true" t="shared" si="32" ref="I117:N117">IF(I$133&lt;0,"Non","Oui")</f>
        <v>Oui</v>
      </c>
      <c r="J117" s="736" t="str">
        <f t="shared" si="32"/>
        <v>Oui</v>
      </c>
      <c r="K117" s="736" t="str">
        <f t="shared" si="32"/>
        <v>Oui</v>
      </c>
      <c r="L117" s="736" t="str">
        <f t="shared" si="32"/>
        <v>Oui</v>
      </c>
      <c r="M117" s="736" t="str">
        <f t="shared" si="32"/>
        <v>Oui</v>
      </c>
      <c r="N117" s="737" t="str">
        <f t="shared" si="32"/>
        <v>Oui</v>
      </c>
      <c r="O117" s="507">
        <f t="shared" si="17"/>
        <v>0</v>
      </c>
      <c r="P117" s="105"/>
      <c r="Q117" s="644"/>
      <c r="R117" s="644"/>
      <c r="S117" s="644"/>
      <c r="T117" s="644"/>
      <c r="U117" s="644"/>
      <c r="V117" s="644"/>
      <c r="W117" s="644"/>
      <c r="X117" s="644"/>
      <c r="Y117" s="644"/>
      <c r="Z117" s="644"/>
      <c r="AA117" s="644"/>
      <c r="AB117" s="644"/>
      <c r="AC117" s="644"/>
      <c r="AD117" s="644"/>
      <c r="AE117" s="644"/>
      <c r="AF117" s="644"/>
      <c r="AG117" s="644"/>
      <c r="AH117" s="644"/>
      <c r="AI117" s="644"/>
      <c r="AJ117" s="644"/>
      <c r="AK117" s="644"/>
    </row>
    <row r="118" spans="1:37" s="108" customFormat="1" ht="10.5" customHeight="1">
      <c r="A118" s="112"/>
      <c r="B118" s="15"/>
      <c r="C118" s="7"/>
      <c r="D118" s="515"/>
      <c r="E118" s="515"/>
      <c r="F118" s="131"/>
      <c r="G118" s="131"/>
      <c r="H118" s="132"/>
      <c r="I118" s="131"/>
      <c r="J118" s="131"/>
      <c r="K118" s="132"/>
      <c r="L118" s="131"/>
      <c r="M118" s="131"/>
      <c r="O118" s="507">
        <f t="shared" si="17"/>
        <v>0</v>
      </c>
      <c r="P118" s="105"/>
      <c r="Q118" s="644"/>
      <c r="R118" s="644"/>
      <c r="S118" s="644"/>
      <c r="T118" s="644"/>
      <c r="U118" s="644"/>
      <c r="V118" s="644"/>
      <c r="W118" s="644"/>
      <c r="X118" s="644"/>
      <c r="Y118" s="644"/>
      <c r="Z118" s="644"/>
      <c r="AA118" s="644"/>
      <c r="AB118" s="644"/>
      <c r="AC118" s="644"/>
      <c r="AD118" s="644"/>
      <c r="AE118" s="644"/>
      <c r="AF118" s="644"/>
      <c r="AG118" s="644"/>
      <c r="AH118" s="644"/>
      <c r="AI118" s="644"/>
      <c r="AJ118" s="644"/>
      <c r="AK118" s="644"/>
    </row>
    <row r="119" spans="1:37" s="108" customFormat="1" ht="12.75">
      <c r="A119" s="112"/>
      <c r="B119" s="30" t="s">
        <v>725</v>
      </c>
      <c r="C119" s="30"/>
      <c r="D119" s="531"/>
      <c r="E119" s="531"/>
      <c r="F119" s="131"/>
      <c r="G119" s="131"/>
      <c r="H119" s="132"/>
      <c r="I119" s="131"/>
      <c r="J119" s="131"/>
      <c r="K119" s="132"/>
      <c r="L119" s="131"/>
      <c r="M119" s="131"/>
      <c r="N119" s="723"/>
      <c r="O119" s="507">
        <f t="shared" si="17"/>
        <v>0</v>
      </c>
      <c r="P119" s="105"/>
      <c r="Q119" s="644"/>
      <c r="R119" s="644"/>
      <c r="S119" s="644"/>
      <c r="T119" s="644"/>
      <c r="U119" s="644"/>
      <c r="V119" s="644"/>
      <c r="W119" s="644"/>
      <c r="X119" s="644"/>
      <c r="Y119" s="644"/>
      <c r="Z119" s="644"/>
      <c r="AA119" s="644"/>
      <c r="AB119" s="644"/>
      <c r="AC119" s="644"/>
      <c r="AD119" s="644"/>
      <c r="AE119" s="644"/>
      <c r="AF119" s="644"/>
      <c r="AG119" s="644"/>
      <c r="AH119" s="644"/>
      <c r="AI119" s="644"/>
      <c r="AJ119" s="644"/>
      <c r="AK119" s="644"/>
    </row>
    <row r="120" spans="1:37" s="108" customFormat="1" ht="24.75" customHeight="1">
      <c r="A120" s="112">
        <v>208</v>
      </c>
      <c r="B120" s="40" t="s">
        <v>724</v>
      </c>
      <c r="C120" s="40"/>
      <c r="D120" s="540"/>
      <c r="E120" s="540"/>
      <c r="F120" s="144"/>
      <c r="G120" s="144"/>
      <c r="H120" s="144"/>
      <c r="I120" s="496"/>
      <c r="J120" s="496"/>
      <c r="K120" s="496"/>
      <c r="L120" s="131"/>
      <c r="M120" s="131"/>
      <c r="N120" s="131"/>
      <c r="O120" s="507">
        <f t="shared" si="17"/>
        <v>0</v>
      </c>
      <c r="P120" s="105"/>
      <c r="Q120" s="644"/>
      <c r="R120" s="644"/>
      <c r="S120" s="644"/>
      <c r="T120" s="644"/>
      <c r="U120" s="644"/>
      <c r="V120" s="644"/>
      <c r="W120" s="644"/>
      <c r="X120" s="644"/>
      <c r="Y120" s="644"/>
      <c r="Z120" s="644"/>
      <c r="AA120" s="644"/>
      <c r="AB120" s="644"/>
      <c r="AC120" s="644"/>
      <c r="AD120" s="644"/>
      <c r="AE120" s="644"/>
      <c r="AF120" s="644"/>
      <c r="AG120" s="644"/>
      <c r="AH120" s="644"/>
      <c r="AI120" s="644"/>
      <c r="AJ120" s="644"/>
      <c r="AK120" s="644"/>
    </row>
    <row r="121" spans="1:37" s="108" customFormat="1" ht="10.5" customHeight="1">
      <c r="A121" s="112"/>
      <c r="B121" s="7"/>
      <c r="C121" s="7"/>
      <c r="D121" s="515"/>
      <c r="E121" s="515"/>
      <c r="F121" s="131"/>
      <c r="G121" s="131"/>
      <c r="H121" s="132"/>
      <c r="I121" s="131"/>
      <c r="J121" s="131"/>
      <c r="K121" s="132"/>
      <c r="L121" s="724"/>
      <c r="M121" s="131"/>
      <c r="N121" s="131"/>
      <c r="O121" s="507">
        <f t="shared" si="17"/>
        <v>0</v>
      </c>
      <c r="P121" s="105"/>
      <c r="Q121" s="644"/>
      <c r="R121" s="644"/>
      <c r="S121" s="644"/>
      <c r="T121" s="644"/>
      <c r="U121" s="644"/>
      <c r="V121" s="644"/>
      <c r="W121" s="644"/>
      <c r="X121" s="644"/>
      <c r="Y121" s="644"/>
      <c r="Z121" s="644"/>
      <c r="AA121" s="644"/>
      <c r="AB121" s="644"/>
      <c r="AC121" s="644"/>
      <c r="AD121" s="644"/>
      <c r="AE121" s="644"/>
      <c r="AF121" s="644"/>
      <c r="AG121" s="644"/>
      <c r="AH121" s="644"/>
      <c r="AI121" s="644"/>
      <c r="AJ121" s="644"/>
      <c r="AK121" s="644"/>
    </row>
    <row r="122" spans="1:37" s="108" customFormat="1" ht="12.75" customHeight="1">
      <c r="A122" s="112"/>
      <c r="B122" s="30" t="s">
        <v>862</v>
      </c>
      <c r="C122" s="30"/>
      <c r="D122" s="531"/>
      <c r="E122" s="531"/>
      <c r="F122" s="131"/>
      <c r="G122" s="131"/>
      <c r="H122" s="132"/>
      <c r="I122" s="131"/>
      <c r="J122" s="131"/>
      <c r="K122" s="132"/>
      <c r="L122" s="131"/>
      <c r="M122" s="131"/>
      <c r="N122" s="131"/>
      <c r="O122" s="507">
        <f t="shared" si="17"/>
        <v>0</v>
      </c>
      <c r="P122" s="105"/>
      <c r="Q122" s="644"/>
      <c r="R122" s="644"/>
      <c r="S122" s="644"/>
      <c r="T122" s="644"/>
      <c r="U122" s="644"/>
      <c r="V122" s="644"/>
      <c r="W122" s="644"/>
      <c r="X122" s="644"/>
      <c r="Y122" s="644"/>
      <c r="Z122" s="644"/>
      <c r="AA122" s="644"/>
      <c r="AB122" s="644"/>
      <c r="AC122" s="644"/>
      <c r="AD122" s="644"/>
      <c r="AE122" s="644"/>
      <c r="AF122" s="644"/>
      <c r="AG122" s="644"/>
      <c r="AH122" s="644"/>
      <c r="AI122" s="644"/>
      <c r="AJ122" s="644"/>
      <c r="AK122" s="644"/>
    </row>
    <row r="123" spans="1:37" s="108" customFormat="1" ht="26.25" customHeight="1">
      <c r="A123" s="112">
        <v>209</v>
      </c>
      <c r="B123" s="791" t="s">
        <v>728</v>
      </c>
      <c r="C123" s="791"/>
      <c r="D123" s="792"/>
      <c r="E123" s="792"/>
      <c r="F123" s="144"/>
      <c r="G123" s="144"/>
      <c r="H123" s="144"/>
      <c r="I123" s="197">
        <f>IF(I$103-MIN(I$114,0)-I$120&lt;0,0,MIN(I$114,I$103))</f>
        <v>0</v>
      </c>
      <c r="J123" s="197">
        <f>IF(J$103-MIN(J$114,0)-J$120&lt;0,0,MIN(J$114,J$103))</f>
        <v>0</v>
      </c>
      <c r="K123" s="197">
        <f>IF(K$103-MIN(K$114,0)-K$120&lt;0,0,MIN(K$114,K$103))</f>
        <v>0</v>
      </c>
      <c r="L123" s="198">
        <f>IF(L$103-MIN(L$114,0)&lt;0,0,MIN(L$114,L$103))</f>
        <v>0</v>
      </c>
      <c r="M123" s="198">
        <f>IF(M$103-MIN(M$114,0)&lt;0,0,MIN(M$114,M$103))</f>
        <v>0</v>
      </c>
      <c r="N123" s="198">
        <f>IF(N$103-MIN(N$114,0)&lt;0,0,MIN(N$114,N$103))</f>
        <v>0</v>
      </c>
      <c r="O123" s="507">
        <f t="shared" si="17"/>
        <v>0</v>
      </c>
      <c r="P123" s="105"/>
      <c r="Q123" s="644"/>
      <c r="R123" s="644"/>
      <c r="S123" s="644"/>
      <c r="T123" s="644"/>
      <c r="U123" s="644"/>
      <c r="V123" s="644"/>
      <c r="W123" s="644"/>
      <c r="X123" s="644"/>
      <c r="Y123" s="644"/>
      <c r="Z123" s="644"/>
      <c r="AA123" s="644"/>
      <c r="AB123" s="644"/>
      <c r="AC123" s="644"/>
      <c r="AD123" s="644"/>
      <c r="AE123" s="644"/>
      <c r="AF123" s="644"/>
      <c r="AG123" s="644"/>
      <c r="AH123" s="644"/>
      <c r="AI123" s="644"/>
      <c r="AJ123" s="644"/>
      <c r="AK123" s="644"/>
    </row>
    <row r="124" spans="1:37" s="108" customFormat="1" ht="10.5" customHeight="1">
      <c r="A124" s="112"/>
      <c r="B124" s="15"/>
      <c r="C124" s="7"/>
      <c r="D124" s="515"/>
      <c r="E124" s="515"/>
      <c r="F124" s="131"/>
      <c r="G124" s="131"/>
      <c r="H124" s="132"/>
      <c r="I124" s="131"/>
      <c r="J124" s="131"/>
      <c r="K124" s="132"/>
      <c r="L124" s="131"/>
      <c r="M124" s="131"/>
      <c r="N124" s="132"/>
      <c r="O124" s="507">
        <f t="shared" si="17"/>
        <v>0</v>
      </c>
      <c r="P124" s="105"/>
      <c r="Q124" s="644"/>
      <c r="R124" s="644"/>
      <c r="S124" s="644"/>
      <c r="T124" s="644"/>
      <c r="U124" s="644"/>
      <c r="V124" s="644"/>
      <c r="W124" s="644"/>
      <c r="X124" s="644"/>
      <c r="Y124" s="644"/>
      <c r="Z124" s="644"/>
      <c r="AA124" s="644"/>
      <c r="AB124" s="644"/>
      <c r="AC124" s="644"/>
      <c r="AD124" s="644"/>
      <c r="AE124" s="644"/>
      <c r="AF124" s="644"/>
      <c r="AG124" s="644"/>
      <c r="AH124" s="644"/>
      <c r="AI124" s="644"/>
      <c r="AJ124" s="644"/>
      <c r="AK124" s="644"/>
    </row>
    <row r="125" spans="1:37" s="108" customFormat="1" ht="24.75" customHeight="1">
      <c r="A125" s="112">
        <v>210</v>
      </c>
      <c r="B125" s="17" t="s">
        <v>863</v>
      </c>
      <c r="C125" s="17"/>
      <c r="D125" s="511"/>
      <c r="E125" s="511"/>
      <c r="F125" s="190"/>
      <c r="G125" s="190"/>
      <c r="H125" s="190"/>
      <c r="I125" s="187">
        <f>MAX(I$103-I$120-I$114,0)</f>
        <v>0</v>
      </c>
      <c r="J125" s="187">
        <f>MAX(J$103-J$120-J$114,0)</f>
        <v>0</v>
      </c>
      <c r="K125" s="187">
        <f>MAX(K$103-K$120-K$114,0)</f>
        <v>0</v>
      </c>
      <c r="L125" s="188">
        <f>MAX(L$103-L$114,0)</f>
        <v>0</v>
      </c>
      <c r="M125" s="188">
        <f>MAX(M$103-M$114,0)</f>
        <v>0</v>
      </c>
      <c r="N125" s="188">
        <f>MAX(N$103-N$114,0)</f>
        <v>0</v>
      </c>
      <c r="O125" s="507">
        <f t="shared" si="17"/>
        <v>0</v>
      </c>
      <c r="P125" s="105"/>
      <c r="Q125" s="644"/>
      <c r="R125" s="644"/>
      <c r="S125" s="644"/>
      <c r="T125" s="644"/>
      <c r="U125" s="644"/>
      <c r="V125" s="644"/>
      <c r="W125" s="644"/>
      <c r="X125" s="644"/>
      <c r="Y125" s="644"/>
      <c r="Z125" s="644"/>
      <c r="AA125" s="644"/>
      <c r="AB125" s="644"/>
      <c r="AC125" s="644"/>
      <c r="AD125" s="644"/>
      <c r="AE125" s="644"/>
      <c r="AF125" s="644"/>
      <c r="AG125" s="644"/>
      <c r="AH125" s="644"/>
      <c r="AI125" s="644"/>
      <c r="AJ125" s="644"/>
      <c r="AK125" s="644"/>
    </row>
    <row r="126" spans="1:37" s="163" customFormat="1" ht="15" customHeight="1">
      <c r="A126" s="112"/>
      <c r="B126" s="105"/>
      <c r="C126" s="164"/>
      <c r="D126" s="110"/>
      <c r="E126" s="110"/>
      <c r="F126" s="105"/>
      <c r="G126" s="105"/>
      <c r="H126" s="105"/>
      <c r="I126" s="105"/>
      <c r="J126" s="105"/>
      <c r="K126" s="105"/>
      <c r="L126" s="105"/>
      <c r="M126" s="105"/>
      <c r="N126" s="105"/>
      <c r="O126" s="507">
        <f t="shared" si="17"/>
        <v>0</v>
      </c>
      <c r="P126" s="105"/>
      <c r="Q126" s="645"/>
      <c r="R126" s="645"/>
      <c r="S126" s="645"/>
      <c r="T126" s="645"/>
      <c r="U126" s="645"/>
      <c r="V126" s="645"/>
      <c r="W126" s="645"/>
      <c r="X126" s="645"/>
      <c r="Y126" s="645"/>
      <c r="Z126" s="645"/>
      <c r="AA126" s="645"/>
      <c r="AB126" s="645"/>
      <c r="AC126" s="645"/>
      <c r="AD126" s="645"/>
      <c r="AE126" s="645"/>
      <c r="AF126" s="645"/>
      <c r="AG126" s="645"/>
      <c r="AH126" s="645"/>
      <c r="AI126" s="645"/>
      <c r="AJ126" s="645"/>
      <c r="AK126" s="645"/>
    </row>
    <row r="127" spans="1:37" s="108" customFormat="1" ht="12.75">
      <c r="A127" s="112"/>
      <c r="B127" s="41" t="s">
        <v>716</v>
      </c>
      <c r="C127" s="41"/>
      <c r="D127" s="541"/>
      <c r="E127" s="541"/>
      <c r="F127" s="131"/>
      <c r="G127" s="131"/>
      <c r="H127" s="132"/>
      <c r="I127" s="177"/>
      <c r="J127" s="131"/>
      <c r="K127" s="132"/>
      <c r="L127" s="131"/>
      <c r="M127" s="131"/>
      <c r="N127" s="132"/>
      <c r="O127" s="507">
        <f t="shared" si="17"/>
        <v>0</v>
      </c>
      <c r="P127" s="105"/>
      <c r="Q127" s="644"/>
      <c r="R127" s="644"/>
      <c r="S127" s="644"/>
      <c r="T127" s="644"/>
      <c r="U127" s="644"/>
      <c r="V127" s="644"/>
      <c r="W127" s="644"/>
      <c r="X127" s="644"/>
      <c r="Y127" s="644"/>
      <c r="Z127" s="644"/>
      <c r="AA127" s="644"/>
      <c r="AB127" s="644"/>
      <c r="AC127" s="644"/>
      <c r="AD127" s="644"/>
      <c r="AE127" s="644"/>
      <c r="AF127" s="644"/>
      <c r="AG127" s="644"/>
      <c r="AH127" s="644"/>
      <c r="AI127" s="644"/>
      <c r="AJ127" s="644"/>
      <c r="AK127" s="644"/>
    </row>
    <row r="128" spans="1:37" s="108" customFormat="1" ht="12.75">
      <c r="A128" s="112">
        <v>211</v>
      </c>
      <c r="B128" s="42" t="s">
        <v>864</v>
      </c>
      <c r="C128" s="42"/>
      <c r="D128" s="542"/>
      <c r="E128" s="542"/>
      <c r="F128" s="189"/>
      <c r="G128" s="189"/>
      <c r="H128" s="505"/>
      <c r="I128" s="735" t="str">
        <f aca="true" t="shared" si="33" ref="I128:N128">IF(I$133&lt;0,"Oui","Non")</f>
        <v>Non</v>
      </c>
      <c r="J128" s="736" t="str">
        <f t="shared" si="33"/>
        <v>Non</v>
      </c>
      <c r="K128" s="736" t="str">
        <f t="shared" si="33"/>
        <v>Non</v>
      </c>
      <c r="L128" s="736" t="str">
        <f t="shared" si="33"/>
        <v>Non</v>
      </c>
      <c r="M128" s="736" t="str">
        <f t="shared" si="33"/>
        <v>Non</v>
      </c>
      <c r="N128" s="737" t="str">
        <f t="shared" si="33"/>
        <v>Non</v>
      </c>
      <c r="O128" s="507">
        <f t="shared" si="17"/>
        <v>0</v>
      </c>
      <c r="P128" s="105"/>
      <c r="Q128" s="644"/>
      <c r="R128" s="644"/>
      <c r="S128" s="644"/>
      <c r="T128" s="644"/>
      <c r="U128" s="644"/>
      <c r="V128" s="644"/>
      <c r="W128" s="644"/>
      <c r="X128" s="644"/>
      <c r="Y128" s="644"/>
      <c r="Z128" s="644"/>
      <c r="AA128" s="644"/>
      <c r="AB128" s="644"/>
      <c r="AC128" s="644"/>
      <c r="AD128" s="644"/>
      <c r="AE128" s="644"/>
      <c r="AF128" s="644"/>
      <c r="AG128" s="644"/>
      <c r="AH128" s="644"/>
      <c r="AI128" s="644"/>
      <c r="AJ128" s="644"/>
      <c r="AK128" s="644"/>
    </row>
    <row r="129" spans="1:37" s="108" customFormat="1" ht="10.5" customHeight="1">
      <c r="A129" s="138"/>
      <c r="B129" s="15"/>
      <c r="C129" s="7"/>
      <c r="D129" s="515"/>
      <c r="E129" s="515"/>
      <c r="F129" s="131"/>
      <c r="G129" s="131"/>
      <c r="H129" s="132"/>
      <c r="I129" s="131"/>
      <c r="J129" s="131"/>
      <c r="K129" s="132"/>
      <c r="L129" s="131"/>
      <c r="M129" s="131"/>
      <c r="N129" s="132"/>
      <c r="O129" s="507">
        <f t="shared" si="17"/>
        <v>0</v>
      </c>
      <c r="P129" s="105"/>
      <c r="Q129" s="644"/>
      <c r="R129" s="644"/>
      <c r="S129" s="644"/>
      <c r="T129" s="644"/>
      <c r="U129" s="644"/>
      <c r="V129" s="644"/>
      <c r="W129" s="644"/>
      <c r="X129" s="644"/>
      <c r="Y129" s="644"/>
      <c r="Z129" s="644"/>
      <c r="AA129" s="644"/>
      <c r="AB129" s="644"/>
      <c r="AC129" s="644"/>
      <c r="AD129" s="644"/>
      <c r="AE129" s="644"/>
      <c r="AF129" s="644"/>
      <c r="AG129" s="644"/>
      <c r="AH129" s="644"/>
      <c r="AI129" s="644"/>
      <c r="AJ129" s="644"/>
      <c r="AK129" s="644"/>
    </row>
    <row r="130" spans="1:37" s="108" customFormat="1" ht="12.75">
      <c r="A130" s="138"/>
      <c r="B130" s="30" t="s">
        <v>865</v>
      </c>
      <c r="C130" s="30"/>
      <c r="D130" s="531"/>
      <c r="E130" s="531"/>
      <c r="F130" s="131"/>
      <c r="G130" s="131"/>
      <c r="H130" s="132"/>
      <c r="I130" s="131"/>
      <c r="J130" s="131"/>
      <c r="K130" s="132"/>
      <c r="L130" s="131"/>
      <c r="M130" s="131"/>
      <c r="N130" s="132"/>
      <c r="O130" s="507">
        <f t="shared" si="17"/>
        <v>0</v>
      </c>
      <c r="P130" s="105"/>
      <c r="Q130" s="644"/>
      <c r="R130" s="644"/>
      <c r="S130" s="644"/>
      <c r="T130" s="644"/>
      <c r="U130" s="644"/>
      <c r="V130" s="644"/>
      <c r="W130" s="644"/>
      <c r="X130" s="644"/>
      <c r="Y130" s="644"/>
      <c r="Z130" s="644"/>
      <c r="AA130" s="644"/>
      <c r="AB130" s="644"/>
      <c r="AC130" s="644"/>
      <c r="AD130" s="644"/>
      <c r="AE130" s="644"/>
      <c r="AF130" s="644"/>
      <c r="AG130" s="644"/>
      <c r="AH130" s="644"/>
      <c r="AI130" s="644"/>
      <c r="AJ130" s="644"/>
      <c r="AK130" s="644"/>
    </row>
    <row r="131" spans="1:37" s="108" customFormat="1" ht="12.75">
      <c r="A131" s="112">
        <v>212</v>
      </c>
      <c r="B131" s="791" t="s">
        <v>727</v>
      </c>
      <c r="C131" s="792"/>
      <c r="D131" s="540"/>
      <c r="E131" s="540"/>
      <c r="F131" s="144"/>
      <c r="G131" s="144"/>
      <c r="H131" s="144"/>
      <c r="I131" s="725">
        <f aca="true" t="shared" si="34" ref="I131:N131">IF(I$103-I$114&gt;=0,0,MAX(-I$114,0))</f>
        <v>0</v>
      </c>
      <c r="J131" s="726">
        <f t="shared" si="34"/>
        <v>0</v>
      </c>
      <c r="K131" s="726">
        <f t="shared" si="34"/>
        <v>0</v>
      </c>
      <c r="L131" s="727">
        <f t="shared" si="34"/>
        <v>0</v>
      </c>
      <c r="M131" s="727">
        <f t="shared" si="34"/>
        <v>0</v>
      </c>
      <c r="N131" s="727">
        <f t="shared" si="34"/>
        <v>0</v>
      </c>
      <c r="O131" s="507">
        <f t="shared" si="17"/>
        <v>0</v>
      </c>
      <c r="P131" s="105"/>
      <c r="Q131" s="644"/>
      <c r="R131" s="644"/>
      <c r="S131" s="644"/>
      <c r="T131" s="644"/>
      <c r="U131" s="644"/>
      <c r="V131" s="644"/>
      <c r="W131" s="644"/>
      <c r="X131" s="644"/>
      <c r="Y131" s="644"/>
      <c r="Z131" s="644"/>
      <c r="AA131" s="644"/>
      <c r="AB131" s="644"/>
      <c r="AC131" s="644"/>
      <c r="AD131" s="644"/>
      <c r="AE131" s="644"/>
      <c r="AF131" s="644"/>
      <c r="AG131" s="644"/>
      <c r="AH131" s="644"/>
      <c r="AI131" s="644"/>
      <c r="AJ131" s="644"/>
      <c r="AK131" s="644"/>
    </row>
    <row r="132" spans="1:37" s="108" customFormat="1" ht="10.5" customHeight="1">
      <c r="A132" s="112"/>
      <c r="B132" s="7"/>
      <c r="C132" s="7"/>
      <c r="D132" s="515"/>
      <c r="E132" s="515"/>
      <c r="F132" s="131"/>
      <c r="G132" s="131"/>
      <c r="H132" s="132"/>
      <c r="I132" s="131"/>
      <c r="J132" s="131"/>
      <c r="K132" s="132"/>
      <c r="L132" s="131"/>
      <c r="M132" s="131"/>
      <c r="N132" s="132"/>
      <c r="O132" s="507">
        <f t="shared" si="17"/>
        <v>0</v>
      </c>
      <c r="P132" s="105"/>
      <c r="Q132" s="644"/>
      <c r="R132" s="644"/>
      <c r="S132" s="644"/>
      <c r="T132" s="644"/>
      <c r="U132" s="644"/>
      <c r="V132" s="644"/>
      <c r="W132" s="644"/>
      <c r="X132" s="644"/>
      <c r="Y132" s="644"/>
      <c r="Z132" s="644"/>
      <c r="AA132" s="644"/>
      <c r="AB132" s="644"/>
      <c r="AC132" s="644"/>
      <c r="AD132" s="644"/>
      <c r="AE132" s="644"/>
      <c r="AF132" s="644"/>
      <c r="AG132" s="644"/>
      <c r="AH132" s="644"/>
      <c r="AI132" s="644"/>
      <c r="AJ132" s="644"/>
      <c r="AK132" s="644"/>
    </row>
    <row r="133" spans="1:37" s="108" customFormat="1" ht="24.75" customHeight="1">
      <c r="A133" s="112">
        <v>216</v>
      </c>
      <c r="B133" s="17" t="s">
        <v>726</v>
      </c>
      <c r="C133" s="17"/>
      <c r="D133" s="511"/>
      <c r="E133" s="511"/>
      <c r="F133" s="191"/>
      <c r="G133" s="191"/>
      <c r="H133" s="191"/>
      <c r="I133" s="187">
        <f aca="true" t="shared" si="35" ref="I133:N133">MIN(I$103-MIN(I$114,0),0)</f>
        <v>0</v>
      </c>
      <c r="J133" s="187">
        <f t="shared" si="35"/>
        <v>0</v>
      </c>
      <c r="K133" s="187">
        <f t="shared" si="35"/>
        <v>0</v>
      </c>
      <c r="L133" s="188">
        <f t="shared" si="35"/>
        <v>0</v>
      </c>
      <c r="M133" s="188">
        <f t="shared" si="35"/>
        <v>0</v>
      </c>
      <c r="N133" s="188">
        <f t="shared" si="35"/>
        <v>0</v>
      </c>
      <c r="O133" s="507">
        <f t="shared" si="17"/>
        <v>0</v>
      </c>
      <c r="P133" s="105"/>
      <c r="Q133" s="644"/>
      <c r="R133" s="644"/>
      <c r="S133" s="644"/>
      <c r="T133" s="644"/>
      <c r="U133" s="644"/>
      <c r="V133" s="644"/>
      <c r="W133" s="644"/>
      <c r="X133" s="644"/>
      <c r="Y133" s="644"/>
      <c r="Z133" s="644"/>
      <c r="AA133" s="644"/>
      <c r="AB133" s="644"/>
      <c r="AC133" s="644"/>
      <c r="AD133" s="644"/>
      <c r="AE133" s="644"/>
      <c r="AF133" s="644"/>
      <c r="AG133" s="644"/>
      <c r="AH133" s="644"/>
      <c r="AI133" s="644"/>
      <c r="AJ133" s="644"/>
      <c r="AK133" s="644"/>
    </row>
    <row r="134" spans="1:37" s="108" customFormat="1" ht="15" customHeight="1">
      <c r="A134" s="112"/>
      <c r="B134" s="720">
        <f>IF($I$159=1,"MESSAGE conc. pos. 216f:  svp réduire le solde total restant par dissolution de provisions techn. (150a AVO) ou par augmentation de la quote-part de distribution (150b OS). Merci.",0)</f>
        <v>0</v>
      </c>
      <c r="C134" s="7"/>
      <c r="D134" s="515"/>
      <c r="E134" s="515"/>
      <c r="F134" s="131"/>
      <c r="G134" s="131"/>
      <c r="H134" s="132"/>
      <c r="I134" s="131"/>
      <c r="J134" s="131"/>
      <c r="K134" s="132"/>
      <c r="L134" s="131"/>
      <c r="M134" s="131"/>
      <c r="N134" s="132"/>
      <c r="O134" s="507">
        <f t="shared" si="17"/>
        <v>0</v>
      </c>
      <c r="P134" s="105"/>
      <c r="Q134" s="644"/>
      <c r="R134" s="644"/>
      <c r="S134" s="644"/>
      <c r="T134" s="644"/>
      <c r="U134" s="644"/>
      <c r="V134" s="644"/>
      <c r="W134" s="644"/>
      <c r="X134" s="644"/>
      <c r="Y134" s="644"/>
      <c r="Z134" s="644"/>
      <c r="AA134" s="644"/>
      <c r="AB134" s="644"/>
      <c r="AC134" s="644"/>
      <c r="AD134" s="644"/>
      <c r="AE134" s="644"/>
      <c r="AF134" s="644"/>
      <c r="AG134" s="644"/>
      <c r="AH134" s="644"/>
      <c r="AI134" s="644"/>
      <c r="AJ134" s="644"/>
      <c r="AK134" s="644"/>
    </row>
    <row r="135" spans="1:37" s="108" customFormat="1" ht="10.5" customHeight="1">
      <c r="A135" s="112"/>
      <c r="B135" s="7"/>
      <c r="C135" s="7"/>
      <c r="D135" s="515"/>
      <c r="E135" s="515"/>
      <c r="F135" s="131"/>
      <c r="G135" s="131"/>
      <c r="H135" s="132"/>
      <c r="I135" s="131"/>
      <c r="J135" s="131"/>
      <c r="K135" s="132"/>
      <c r="L135" s="131"/>
      <c r="M135" s="131"/>
      <c r="N135" s="132"/>
      <c r="O135" s="507">
        <f aca="true" t="shared" si="36" ref="O135:O198">IF(OR($D135="AE",$E135="AE-1"),1,0)</f>
        <v>0</v>
      </c>
      <c r="P135" s="105"/>
      <c r="Q135" s="644"/>
      <c r="R135" s="644"/>
      <c r="S135" s="644"/>
      <c r="T135" s="644"/>
      <c r="U135" s="644"/>
      <c r="V135" s="644"/>
      <c r="W135" s="644"/>
      <c r="X135" s="644"/>
      <c r="Y135" s="644"/>
      <c r="Z135" s="644"/>
      <c r="AA135" s="644"/>
      <c r="AB135" s="644"/>
      <c r="AC135" s="644"/>
      <c r="AD135" s="644"/>
      <c r="AE135" s="644"/>
      <c r="AF135" s="644"/>
      <c r="AG135" s="644"/>
      <c r="AH135" s="644"/>
      <c r="AI135" s="644"/>
      <c r="AJ135" s="644"/>
      <c r="AK135" s="644"/>
    </row>
    <row r="136" spans="1:37" s="108" customFormat="1" ht="15.75" customHeight="1">
      <c r="A136" s="161">
        <v>9</v>
      </c>
      <c r="B136" s="103" t="s">
        <v>11</v>
      </c>
      <c r="C136" s="104"/>
      <c r="D136" s="514"/>
      <c r="E136" s="514"/>
      <c r="F136" s="105"/>
      <c r="G136" s="105" t="s">
        <v>241</v>
      </c>
      <c r="H136" s="105"/>
      <c r="I136" s="105"/>
      <c r="J136" s="105"/>
      <c r="K136" s="105"/>
      <c r="L136" s="106"/>
      <c r="M136" s="106" t="s">
        <v>242</v>
      </c>
      <c r="N136" s="107">
        <f>jahr</f>
        <v>2007</v>
      </c>
      <c r="O136" s="507">
        <f t="shared" si="36"/>
        <v>0</v>
      </c>
      <c r="P136" s="105"/>
      <c r="Q136" s="644"/>
      <c r="R136" s="644"/>
      <c r="S136" s="644"/>
      <c r="T136" s="644"/>
      <c r="U136" s="644"/>
      <c r="V136" s="644"/>
      <c r="W136" s="644"/>
      <c r="X136" s="644"/>
      <c r="Y136" s="644"/>
      <c r="Z136" s="644"/>
      <c r="AA136" s="644"/>
      <c r="AB136" s="644"/>
      <c r="AC136" s="644"/>
      <c r="AD136" s="644"/>
      <c r="AE136" s="644"/>
      <c r="AF136" s="644"/>
      <c r="AG136" s="644"/>
      <c r="AH136" s="644"/>
      <c r="AI136" s="644"/>
      <c r="AJ136" s="644"/>
      <c r="AK136" s="644"/>
    </row>
    <row r="137" spans="1:37" s="108" customFormat="1" ht="12" customHeight="1">
      <c r="A137" s="103"/>
      <c r="B137" s="109" t="s">
        <v>580</v>
      </c>
      <c r="C137" s="110" t="s">
        <v>566</v>
      </c>
      <c r="D137" s="110"/>
      <c r="E137" s="110"/>
      <c r="F137" s="111" t="s">
        <v>567</v>
      </c>
      <c r="G137" s="111" t="s">
        <v>574</v>
      </c>
      <c r="H137" s="111" t="s">
        <v>575</v>
      </c>
      <c r="I137" s="111" t="s">
        <v>573</v>
      </c>
      <c r="J137" s="111" t="s">
        <v>591</v>
      </c>
      <c r="K137" s="111" t="s">
        <v>592</v>
      </c>
      <c r="L137" s="111" t="s">
        <v>593</v>
      </c>
      <c r="M137" s="111" t="s">
        <v>594</v>
      </c>
      <c r="N137" s="111" t="s">
        <v>33</v>
      </c>
      <c r="O137" s="507">
        <f t="shared" si="36"/>
        <v>0</v>
      </c>
      <c r="P137" s="105"/>
      <c r="Q137" s="644"/>
      <c r="R137" s="644"/>
      <c r="S137" s="644"/>
      <c r="T137" s="644"/>
      <c r="U137" s="644"/>
      <c r="V137" s="644"/>
      <c r="W137" s="644"/>
      <c r="X137" s="644"/>
      <c r="Y137" s="644"/>
      <c r="Z137" s="644"/>
      <c r="AA137" s="644"/>
      <c r="AB137" s="644"/>
      <c r="AC137" s="644"/>
      <c r="AD137" s="644"/>
      <c r="AE137" s="644"/>
      <c r="AF137" s="644"/>
      <c r="AG137" s="644"/>
      <c r="AH137" s="644"/>
      <c r="AI137" s="644"/>
      <c r="AJ137" s="644"/>
      <c r="AK137" s="644"/>
    </row>
    <row r="138" spans="1:37" s="163" customFormat="1" ht="12.75">
      <c r="A138" s="112"/>
      <c r="B138" s="113" t="str">
        <f>Vr&amp;"  "</f>
        <v>Xxx Vie  </v>
      </c>
      <c r="C138" s="114" t="s">
        <v>784</v>
      </c>
      <c r="D138" s="525"/>
      <c r="E138" s="525"/>
      <c r="F138" s="115" t="s">
        <v>786</v>
      </c>
      <c r="G138" s="116"/>
      <c r="H138" s="117"/>
      <c r="I138" s="118" t="s">
        <v>786</v>
      </c>
      <c r="J138" s="119"/>
      <c r="K138" s="120"/>
      <c r="L138" s="121" t="s">
        <v>786</v>
      </c>
      <c r="M138" s="122"/>
      <c r="N138" s="123"/>
      <c r="O138" s="507">
        <f t="shared" si="36"/>
        <v>0</v>
      </c>
      <c r="P138" s="105"/>
      <c r="Q138" s="645"/>
      <c r="R138" s="645"/>
      <c r="S138" s="645"/>
      <c r="T138" s="645"/>
      <c r="U138" s="645"/>
      <c r="V138" s="645"/>
      <c r="W138" s="645"/>
      <c r="X138" s="645"/>
      <c r="Y138" s="645"/>
      <c r="Z138" s="645"/>
      <c r="AA138" s="645"/>
      <c r="AB138" s="645"/>
      <c r="AC138" s="645"/>
      <c r="AD138" s="645"/>
      <c r="AE138" s="645"/>
      <c r="AF138" s="645"/>
      <c r="AG138" s="645"/>
      <c r="AH138" s="645"/>
      <c r="AI138" s="645"/>
      <c r="AJ138" s="645"/>
      <c r="AK138" s="645"/>
    </row>
    <row r="139" spans="1:37" s="163" customFormat="1" ht="12.75">
      <c r="A139" s="112"/>
      <c r="B139" s="105"/>
      <c r="C139" s="114" t="s">
        <v>785</v>
      </c>
      <c r="D139" s="525"/>
      <c r="E139" s="525"/>
      <c r="F139" s="124" t="s">
        <v>579</v>
      </c>
      <c r="G139" s="116"/>
      <c r="H139" s="117"/>
      <c r="I139" s="125" t="s">
        <v>787</v>
      </c>
      <c r="J139" s="126"/>
      <c r="K139" s="120"/>
      <c r="L139" s="127" t="s">
        <v>788</v>
      </c>
      <c r="M139" s="127"/>
      <c r="N139" s="123"/>
      <c r="O139" s="507">
        <f t="shared" si="36"/>
        <v>0</v>
      </c>
      <c r="P139" s="105"/>
      <c r="Q139" s="645"/>
      <c r="R139" s="645"/>
      <c r="S139" s="645"/>
      <c r="T139" s="645"/>
      <c r="U139" s="645"/>
      <c r="V139" s="645"/>
      <c r="W139" s="645"/>
      <c r="X139" s="645"/>
      <c r="Y139" s="645"/>
      <c r="Z139" s="645"/>
      <c r="AA139" s="645"/>
      <c r="AB139" s="645"/>
      <c r="AC139" s="645"/>
      <c r="AD139" s="645"/>
      <c r="AE139" s="645"/>
      <c r="AF139" s="645"/>
      <c r="AG139" s="645"/>
      <c r="AH139" s="645"/>
      <c r="AI139" s="645"/>
      <c r="AJ139" s="645"/>
      <c r="AK139" s="645"/>
    </row>
    <row r="140" spans="1:37" s="163" customFormat="1" ht="12.75">
      <c r="A140" s="112"/>
      <c r="B140" s="192"/>
      <c r="C140" s="192"/>
      <c r="D140" s="543"/>
      <c r="E140" s="543"/>
      <c r="F140" s="128" t="s">
        <v>246</v>
      </c>
      <c r="G140" s="128" t="s">
        <v>247</v>
      </c>
      <c r="H140" s="128" t="s">
        <v>789</v>
      </c>
      <c r="I140" s="129" t="s">
        <v>246</v>
      </c>
      <c r="J140" s="129" t="s">
        <v>247</v>
      </c>
      <c r="K140" s="129" t="s">
        <v>789</v>
      </c>
      <c r="L140" s="130" t="s">
        <v>246</v>
      </c>
      <c r="M140" s="130" t="s">
        <v>247</v>
      </c>
      <c r="N140" s="130" t="s">
        <v>789</v>
      </c>
      <c r="O140" s="507">
        <f t="shared" si="36"/>
        <v>0</v>
      </c>
      <c r="P140" s="105"/>
      <c r="Q140" s="645"/>
      <c r="R140" s="645"/>
      <c r="S140" s="645"/>
      <c r="T140" s="645"/>
      <c r="U140" s="645"/>
      <c r="V140" s="645"/>
      <c r="W140" s="645"/>
      <c r="X140" s="645"/>
      <c r="Y140" s="645"/>
      <c r="Z140" s="645"/>
      <c r="AA140" s="645"/>
      <c r="AB140" s="645"/>
      <c r="AC140" s="645"/>
      <c r="AD140" s="645"/>
      <c r="AE140" s="645"/>
      <c r="AF140" s="645"/>
      <c r="AG140" s="645"/>
      <c r="AH140" s="645"/>
      <c r="AI140" s="645"/>
      <c r="AJ140" s="645"/>
      <c r="AK140" s="645"/>
    </row>
    <row r="141" spans="1:37" s="108" customFormat="1" ht="12.75">
      <c r="A141" s="112"/>
      <c r="B141" s="43" t="s">
        <v>69</v>
      </c>
      <c r="C141" s="30"/>
      <c r="D141" s="531"/>
      <c r="E141" s="531"/>
      <c r="F141" s="131"/>
      <c r="G141" s="131"/>
      <c r="H141" s="132"/>
      <c r="I141" s="131"/>
      <c r="J141" s="131"/>
      <c r="K141" s="132"/>
      <c r="L141" s="131"/>
      <c r="M141" s="131"/>
      <c r="N141" s="132"/>
      <c r="O141" s="507">
        <f t="shared" si="36"/>
        <v>0</v>
      </c>
      <c r="P141" s="105"/>
      <c r="Q141" s="644"/>
      <c r="R141" s="644"/>
      <c r="S141" s="644"/>
      <c r="T141" s="644"/>
      <c r="U141" s="644"/>
      <c r="V141" s="644"/>
      <c r="W141" s="644"/>
      <c r="X141" s="644"/>
      <c r="Y141" s="644"/>
      <c r="Z141" s="644"/>
      <c r="AA141" s="644"/>
      <c r="AB141" s="644"/>
      <c r="AC141" s="644"/>
      <c r="AD141" s="644"/>
      <c r="AE141" s="644"/>
      <c r="AF141" s="644"/>
      <c r="AG141" s="644"/>
      <c r="AH141" s="644"/>
      <c r="AI141" s="644"/>
      <c r="AJ141" s="644"/>
      <c r="AK141" s="644"/>
    </row>
    <row r="142" spans="1:37" s="108" customFormat="1" ht="12.75">
      <c r="A142" s="112">
        <v>217</v>
      </c>
      <c r="B142" s="44" t="s">
        <v>12</v>
      </c>
      <c r="C142" s="23"/>
      <c r="D142" s="69"/>
      <c r="E142" s="69"/>
      <c r="F142" s="134">
        <f aca="true" t="shared" si="37" ref="F142:H149">I142+L142</f>
        <v>0</v>
      </c>
      <c r="G142" s="134">
        <f t="shared" si="37"/>
        <v>0</v>
      </c>
      <c r="H142" s="134">
        <f t="shared" si="37"/>
        <v>0</v>
      </c>
      <c r="I142" s="178">
        <f aca="true" t="shared" si="38" ref="I142:N142">I$81+I$86+I$91</f>
        <v>0</v>
      </c>
      <c r="J142" s="178">
        <f t="shared" si="38"/>
        <v>0</v>
      </c>
      <c r="K142" s="178">
        <f t="shared" si="38"/>
        <v>0</v>
      </c>
      <c r="L142" s="179">
        <f t="shared" si="38"/>
        <v>0</v>
      </c>
      <c r="M142" s="179">
        <f t="shared" si="38"/>
        <v>0</v>
      </c>
      <c r="N142" s="179">
        <f t="shared" si="38"/>
        <v>0</v>
      </c>
      <c r="O142" s="507">
        <f t="shared" si="36"/>
        <v>0</v>
      </c>
      <c r="P142" s="105"/>
      <c r="Q142" s="644"/>
      <c r="R142" s="644"/>
      <c r="S142" s="644"/>
      <c r="T142" s="644"/>
      <c r="U142" s="644"/>
      <c r="V142" s="644"/>
      <c r="W142" s="644"/>
      <c r="X142" s="644"/>
      <c r="Y142" s="644"/>
      <c r="Z142" s="644"/>
      <c r="AA142" s="644"/>
      <c r="AB142" s="644"/>
      <c r="AC142" s="644"/>
      <c r="AD142" s="644"/>
      <c r="AE142" s="644"/>
      <c r="AF142" s="644"/>
      <c r="AG142" s="644"/>
      <c r="AH142" s="644"/>
      <c r="AI142" s="644"/>
      <c r="AJ142" s="644"/>
      <c r="AK142" s="644"/>
    </row>
    <row r="143" spans="1:37" s="108" customFormat="1" ht="12.75">
      <c r="A143" s="112">
        <v>218</v>
      </c>
      <c r="B143" s="45" t="s">
        <v>13</v>
      </c>
      <c r="C143" s="46"/>
      <c r="D143" s="544"/>
      <c r="E143" s="544"/>
      <c r="F143" s="182">
        <f t="shared" si="37"/>
        <v>0</v>
      </c>
      <c r="G143" s="182">
        <f t="shared" si="37"/>
        <v>0</v>
      </c>
      <c r="H143" s="182">
        <f t="shared" si="37"/>
        <v>0</v>
      </c>
      <c r="I143" s="183">
        <f aca="true" t="shared" si="39" ref="I143:N143">I$83+I$88+I$100</f>
        <v>0</v>
      </c>
      <c r="J143" s="183">
        <f t="shared" si="39"/>
        <v>0</v>
      </c>
      <c r="K143" s="183">
        <f t="shared" si="39"/>
        <v>0</v>
      </c>
      <c r="L143" s="184">
        <f t="shared" si="39"/>
        <v>0</v>
      </c>
      <c r="M143" s="184">
        <f t="shared" si="39"/>
        <v>0</v>
      </c>
      <c r="N143" s="184">
        <f t="shared" si="39"/>
        <v>0</v>
      </c>
      <c r="O143" s="507">
        <f t="shared" si="36"/>
        <v>0</v>
      </c>
      <c r="P143" s="105"/>
      <c r="Q143" s="644"/>
      <c r="R143" s="644"/>
      <c r="S143" s="644"/>
      <c r="T143" s="644"/>
      <c r="U143" s="644"/>
      <c r="V143" s="644"/>
      <c r="W143" s="644"/>
      <c r="X143" s="644"/>
      <c r="Y143" s="644"/>
      <c r="Z143" s="644"/>
      <c r="AA143" s="644"/>
      <c r="AB143" s="644"/>
      <c r="AC143" s="644"/>
      <c r="AD143" s="644"/>
      <c r="AE143" s="644"/>
      <c r="AF143" s="644"/>
      <c r="AG143" s="644"/>
      <c r="AH143" s="644"/>
      <c r="AI143" s="644"/>
      <c r="AJ143" s="644"/>
      <c r="AK143" s="644"/>
    </row>
    <row r="144" spans="1:37" s="108" customFormat="1" ht="12.75">
      <c r="A144" s="112">
        <v>219</v>
      </c>
      <c r="B144" s="47" t="s">
        <v>14</v>
      </c>
      <c r="C144" s="48"/>
      <c r="D144" s="545"/>
      <c r="E144" s="545"/>
      <c r="F144" s="193">
        <f t="shared" si="37"/>
        <v>0</v>
      </c>
      <c r="G144" s="193">
        <f t="shared" si="37"/>
        <v>0</v>
      </c>
      <c r="H144" s="193">
        <f t="shared" si="37"/>
        <v>0</v>
      </c>
      <c r="I144" s="194">
        <f aca="true" t="shared" si="40" ref="I144:N144">I$142-I$143</f>
        <v>0</v>
      </c>
      <c r="J144" s="194">
        <f t="shared" si="40"/>
        <v>0</v>
      </c>
      <c r="K144" s="194">
        <f t="shared" si="40"/>
        <v>0</v>
      </c>
      <c r="L144" s="195">
        <f t="shared" si="40"/>
        <v>0</v>
      </c>
      <c r="M144" s="195">
        <f t="shared" si="40"/>
        <v>0</v>
      </c>
      <c r="N144" s="195">
        <f t="shared" si="40"/>
        <v>0</v>
      </c>
      <c r="O144" s="507">
        <f t="shared" si="36"/>
        <v>0</v>
      </c>
      <c r="P144" s="105"/>
      <c r="Q144" s="644"/>
      <c r="R144" s="644"/>
      <c r="S144" s="644"/>
      <c r="T144" s="644"/>
      <c r="U144" s="644"/>
      <c r="V144" s="644"/>
      <c r="W144" s="644"/>
      <c r="X144" s="644"/>
      <c r="Y144" s="644"/>
      <c r="Z144" s="644"/>
      <c r="AA144" s="644"/>
      <c r="AB144" s="644"/>
      <c r="AC144" s="644"/>
      <c r="AD144" s="644"/>
      <c r="AE144" s="644"/>
      <c r="AF144" s="644"/>
      <c r="AG144" s="644"/>
      <c r="AH144" s="644"/>
      <c r="AI144" s="644"/>
      <c r="AJ144" s="644"/>
      <c r="AK144" s="644"/>
    </row>
    <row r="145" spans="1:37" s="108" customFormat="1" ht="24">
      <c r="A145" s="112">
        <v>220</v>
      </c>
      <c r="B145" s="679" t="s">
        <v>667</v>
      </c>
      <c r="C145" s="22"/>
      <c r="D145" s="547"/>
      <c r="E145" s="547"/>
      <c r="F145" s="202">
        <f t="shared" si="37"/>
        <v>0</v>
      </c>
      <c r="G145" s="202">
        <f t="shared" si="37"/>
        <v>0</v>
      </c>
      <c r="H145" s="202">
        <f t="shared" si="37"/>
        <v>0</v>
      </c>
      <c r="I145" s="472">
        <f aca="true" t="shared" si="41" ref="I145:N145">MAX(I$123,0)</f>
        <v>0</v>
      </c>
      <c r="J145" s="203">
        <f t="shared" si="41"/>
        <v>0</v>
      </c>
      <c r="K145" s="203">
        <f t="shared" si="41"/>
        <v>0</v>
      </c>
      <c r="L145" s="472">
        <f t="shared" si="41"/>
        <v>0</v>
      </c>
      <c r="M145" s="212">
        <f t="shared" si="41"/>
        <v>0</v>
      </c>
      <c r="N145" s="212">
        <f t="shared" si="41"/>
        <v>0</v>
      </c>
      <c r="O145" s="507">
        <f t="shared" si="36"/>
        <v>0</v>
      </c>
      <c r="P145" s="105"/>
      <c r="Q145" s="644"/>
      <c r="R145" s="644"/>
      <c r="S145" s="644"/>
      <c r="T145" s="644"/>
      <c r="U145" s="644"/>
      <c r="V145" s="644"/>
      <c r="W145" s="644"/>
      <c r="X145" s="644"/>
      <c r="Y145" s="644"/>
      <c r="Z145" s="644"/>
      <c r="AA145" s="644"/>
      <c r="AB145" s="644"/>
      <c r="AC145" s="644"/>
      <c r="AD145" s="644"/>
      <c r="AE145" s="644"/>
      <c r="AF145" s="644"/>
      <c r="AG145" s="644"/>
      <c r="AH145" s="644"/>
      <c r="AI145" s="644"/>
      <c r="AJ145" s="644"/>
      <c r="AK145" s="644"/>
    </row>
    <row r="146" spans="1:37" s="108" customFormat="1" ht="12.75">
      <c r="A146" s="112">
        <v>222</v>
      </c>
      <c r="B146" s="23" t="s">
        <v>15</v>
      </c>
      <c r="C146" s="23"/>
      <c r="D146" s="69"/>
      <c r="E146" s="69"/>
      <c r="F146" s="157">
        <f>I146+L146</f>
        <v>0</v>
      </c>
      <c r="G146" s="157">
        <f>J146+M146</f>
        <v>0</v>
      </c>
      <c r="H146" s="157">
        <f>K146+N146</f>
        <v>0</v>
      </c>
      <c r="I146" s="471">
        <f>IF(AND(LEFT(I$117,1)="O",LEFT(I$25,1)="N"),I$120,0)</f>
        <v>0</v>
      </c>
      <c r="J146" s="211">
        <f>IF(AND(LEFT(J$117,1)="O",LEFT(J$25,1)="N"),J$120,0)</f>
        <v>0</v>
      </c>
      <c r="K146" s="211">
        <f>IF(AND(LEFT(K$117,1)="O",LEFT(K$25,1)="N"),K$120,0)</f>
        <v>0</v>
      </c>
      <c r="L146" s="606"/>
      <c r="M146" s="606"/>
      <c r="N146" s="606"/>
      <c r="O146" s="507">
        <f t="shared" si="36"/>
        <v>0</v>
      </c>
      <c r="P146" s="105"/>
      <c r="Q146" s="644"/>
      <c r="R146" s="644"/>
      <c r="S146" s="644"/>
      <c r="T146" s="644"/>
      <c r="U146" s="644"/>
      <c r="V146" s="644"/>
      <c r="W146" s="644"/>
      <c r="X146" s="644"/>
      <c r="Y146" s="644"/>
      <c r="Z146" s="644"/>
      <c r="AA146" s="644"/>
      <c r="AB146" s="644"/>
      <c r="AC146" s="644"/>
      <c r="AD146" s="644"/>
      <c r="AE146" s="644"/>
      <c r="AF146" s="644"/>
      <c r="AG146" s="644"/>
      <c r="AH146" s="644"/>
      <c r="AI146" s="644"/>
      <c r="AJ146" s="644"/>
      <c r="AK146" s="644"/>
    </row>
    <row r="147" spans="1:37" s="108" customFormat="1" ht="12.75">
      <c r="A147" s="112">
        <v>221</v>
      </c>
      <c r="B147" s="50" t="s">
        <v>16</v>
      </c>
      <c r="C147" s="51"/>
      <c r="D147" s="546"/>
      <c r="E147" s="546"/>
      <c r="F147" s="199">
        <f t="shared" si="37"/>
        <v>0</v>
      </c>
      <c r="G147" s="199">
        <f t="shared" si="37"/>
        <v>0</v>
      </c>
      <c r="H147" s="199">
        <f t="shared" si="37"/>
        <v>0</v>
      </c>
      <c r="I147" s="200">
        <f>I$144-I$145-I$146</f>
        <v>0</v>
      </c>
      <c r="J147" s="200">
        <f>J$144-J$145-J$146</f>
        <v>0</v>
      </c>
      <c r="K147" s="200">
        <f>K$144-K$145-K$146</f>
        <v>0</v>
      </c>
      <c r="L147" s="201">
        <f>L$144-L$145</f>
        <v>0</v>
      </c>
      <c r="M147" s="201">
        <f>M$144-M$145</f>
        <v>0</v>
      </c>
      <c r="N147" s="201">
        <f>N$144-N$145</f>
        <v>0</v>
      </c>
      <c r="O147" s="507">
        <f t="shared" si="36"/>
        <v>0</v>
      </c>
      <c r="P147" s="105"/>
      <c r="Q147" s="644"/>
      <c r="R147" s="644"/>
      <c r="S147" s="644"/>
      <c r="T147" s="644"/>
      <c r="U147" s="644"/>
      <c r="V147" s="644"/>
      <c r="W147" s="644"/>
      <c r="X147" s="644"/>
      <c r="Y147" s="644"/>
      <c r="Z147" s="644"/>
      <c r="AA147" s="644"/>
      <c r="AB147" s="644"/>
      <c r="AC147" s="644"/>
      <c r="AD147" s="644"/>
      <c r="AE147" s="644"/>
      <c r="AF147" s="644"/>
      <c r="AG147" s="644"/>
      <c r="AH147" s="644"/>
      <c r="AI147" s="644"/>
      <c r="AJ147" s="644"/>
      <c r="AK147" s="644"/>
    </row>
    <row r="148" spans="1:37" s="108" customFormat="1" ht="24">
      <c r="A148" s="112">
        <v>223</v>
      </c>
      <c r="B148" s="679" t="s">
        <v>668</v>
      </c>
      <c r="C148" s="22"/>
      <c r="D148" s="547"/>
      <c r="E148" s="547"/>
      <c r="F148" s="202">
        <f t="shared" si="37"/>
        <v>0</v>
      </c>
      <c r="G148" s="202">
        <f t="shared" si="37"/>
        <v>0</v>
      </c>
      <c r="H148" s="202">
        <f t="shared" si="37"/>
        <v>0</v>
      </c>
      <c r="I148" s="472">
        <f aca="true" t="shared" si="42" ref="I148:N148">I$131-MIN(I$123,0)</f>
        <v>0</v>
      </c>
      <c r="J148" s="203">
        <f t="shared" si="42"/>
        <v>0</v>
      </c>
      <c r="K148" s="203">
        <f t="shared" si="42"/>
        <v>0</v>
      </c>
      <c r="L148" s="471">
        <f t="shared" si="42"/>
        <v>0</v>
      </c>
      <c r="M148" s="204">
        <f t="shared" si="42"/>
        <v>0</v>
      </c>
      <c r="N148" s="204">
        <f t="shared" si="42"/>
        <v>0</v>
      </c>
      <c r="O148" s="507">
        <f t="shared" si="36"/>
        <v>0</v>
      </c>
      <c r="P148" s="105"/>
      <c r="Q148" s="644"/>
      <c r="R148" s="644"/>
      <c r="S148" s="644"/>
      <c r="T148" s="644"/>
      <c r="U148" s="644"/>
      <c r="V148" s="644"/>
      <c r="W148" s="644"/>
      <c r="X148" s="644"/>
      <c r="Y148" s="644"/>
      <c r="Z148" s="644"/>
      <c r="AA148" s="644"/>
      <c r="AB148" s="644"/>
      <c r="AC148" s="644"/>
      <c r="AD148" s="644"/>
      <c r="AE148" s="644"/>
      <c r="AF148" s="644"/>
      <c r="AG148" s="644"/>
      <c r="AH148" s="644"/>
      <c r="AI148" s="644"/>
      <c r="AJ148" s="644"/>
      <c r="AK148" s="644"/>
    </row>
    <row r="149" spans="1:37" s="108" customFormat="1" ht="12.75">
      <c r="A149" s="112">
        <v>224</v>
      </c>
      <c r="B149" s="666" t="s">
        <v>18</v>
      </c>
      <c r="C149" s="54"/>
      <c r="D149" s="54"/>
      <c r="E149" s="54"/>
      <c r="F149" s="158">
        <f t="shared" si="37"/>
        <v>0</v>
      </c>
      <c r="G149" s="158">
        <f t="shared" si="37"/>
        <v>0</v>
      </c>
      <c r="H149" s="158">
        <f t="shared" si="37"/>
        <v>0</v>
      </c>
      <c r="I149" s="159">
        <f aca="true" t="shared" si="43" ref="I149:N149">I$147+I$148</f>
        <v>0</v>
      </c>
      <c r="J149" s="159">
        <f t="shared" si="43"/>
        <v>0</v>
      </c>
      <c r="K149" s="159">
        <f t="shared" si="43"/>
        <v>0</v>
      </c>
      <c r="L149" s="160">
        <f t="shared" si="43"/>
        <v>0</v>
      </c>
      <c r="M149" s="160">
        <f t="shared" si="43"/>
        <v>0</v>
      </c>
      <c r="N149" s="160">
        <f t="shared" si="43"/>
        <v>0</v>
      </c>
      <c r="O149" s="507">
        <f t="shared" si="36"/>
        <v>0</v>
      </c>
      <c r="P149" s="105"/>
      <c r="Q149" s="644"/>
      <c r="R149" s="644"/>
      <c r="S149" s="644"/>
      <c r="T149" s="644"/>
      <c r="U149" s="644"/>
      <c r="V149" s="644"/>
      <c r="W149" s="644"/>
      <c r="X149" s="644"/>
      <c r="Y149" s="644"/>
      <c r="Z149" s="644"/>
      <c r="AA149" s="644"/>
      <c r="AB149" s="644"/>
      <c r="AC149" s="644"/>
      <c r="AD149" s="644"/>
      <c r="AE149" s="644"/>
      <c r="AF149" s="644"/>
      <c r="AG149" s="644"/>
      <c r="AH149" s="644"/>
      <c r="AI149" s="644"/>
      <c r="AJ149" s="644"/>
      <c r="AK149" s="644"/>
    </row>
    <row r="150" spans="1:37" s="108" customFormat="1" ht="12.75">
      <c r="A150" s="112"/>
      <c r="B150" s="55"/>
      <c r="C150" s="7"/>
      <c r="D150" s="515"/>
      <c r="E150" s="515"/>
      <c r="F150" s="131"/>
      <c r="G150" s="131"/>
      <c r="H150" s="132"/>
      <c r="I150" s="131"/>
      <c r="J150" s="131"/>
      <c r="K150" s="132"/>
      <c r="L150" s="131"/>
      <c r="M150" s="131"/>
      <c r="N150" s="132"/>
      <c r="O150" s="507">
        <f t="shared" si="36"/>
        <v>0</v>
      </c>
      <c r="P150" s="105"/>
      <c r="Q150" s="644"/>
      <c r="R150" s="644"/>
      <c r="S150" s="644"/>
      <c r="T150" s="644"/>
      <c r="U150" s="644"/>
      <c r="V150" s="644"/>
      <c r="W150" s="644"/>
      <c r="X150" s="644"/>
      <c r="Y150" s="644"/>
      <c r="Z150" s="644"/>
      <c r="AA150" s="644"/>
      <c r="AB150" s="644"/>
      <c r="AC150" s="644"/>
      <c r="AD150" s="644"/>
      <c r="AE150" s="644"/>
      <c r="AF150" s="644"/>
      <c r="AG150" s="644"/>
      <c r="AH150" s="644"/>
      <c r="AI150" s="644"/>
      <c r="AJ150" s="644"/>
      <c r="AK150" s="644"/>
    </row>
    <row r="151" spans="1:37" s="108" customFormat="1" ht="24">
      <c r="A151" s="112">
        <v>225</v>
      </c>
      <c r="B151" s="56" t="s">
        <v>729</v>
      </c>
      <c r="C151" s="57" t="s">
        <v>17</v>
      </c>
      <c r="D151" s="512">
        <f>IF(ABS(F151-(I151+L151))&lt;2,0,"AE")</f>
        <v>0</v>
      </c>
      <c r="E151" s="513">
        <f>IF(ABS(G151-(J151+M151))&lt;2,0,"AE-1")</f>
        <v>0</v>
      </c>
      <c r="F151" s="205">
        <f>'CR'!$F$38</f>
        <v>0</v>
      </c>
      <c r="G151" s="205">
        <f>'CR'!$G$38</f>
        <v>0</v>
      </c>
      <c r="H151" s="186">
        <f>K151+N151</f>
        <v>0</v>
      </c>
      <c r="I151" s="728">
        <f>ROUND(IF(LEFT(I$117,1)="O",IF(LEFT(I$25,1)="O",I$79*I$149,I$125),0),0)</f>
        <v>0</v>
      </c>
      <c r="J151" s="206">
        <f>ROUND(IF(LEFT(J$117,1)="O",IF(LEFT(J$25,1)="O",J$79*J$149,J$125),0),0)</f>
        <v>0</v>
      </c>
      <c r="K151" s="206">
        <f>ROUND(IF(LEFT(K$117,1)="O",IF(LEFT(K$25,1)="O",K$79*K$149,K$125),0),0)</f>
        <v>0</v>
      </c>
      <c r="L151" s="627"/>
      <c r="M151" s="627"/>
      <c r="N151" s="497"/>
      <c r="O151" s="507">
        <f t="shared" si="36"/>
        <v>0</v>
      </c>
      <c r="P151" s="105"/>
      <c r="Q151" s="644"/>
      <c r="R151" s="644"/>
      <c r="S151" s="644"/>
      <c r="T151" s="644"/>
      <c r="U151" s="644"/>
      <c r="V151" s="644"/>
      <c r="W151" s="644"/>
      <c r="X151" s="644"/>
      <c r="Y151" s="644"/>
      <c r="Z151" s="644"/>
      <c r="AA151" s="644"/>
      <c r="AB151" s="644"/>
      <c r="AC151" s="644"/>
      <c r="AD151" s="644"/>
      <c r="AE151" s="644"/>
      <c r="AF151" s="644"/>
      <c r="AG151" s="644"/>
      <c r="AH151" s="644"/>
      <c r="AI151" s="644"/>
      <c r="AJ151" s="644"/>
      <c r="AK151" s="644"/>
    </row>
    <row r="152" spans="1:37" s="108" customFormat="1" ht="12.75">
      <c r="A152" s="112">
        <v>226</v>
      </c>
      <c r="B152" s="58" t="s">
        <v>19</v>
      </c>
      <c r="C152" s="59"/>
      <c r="D152" s="548"/>
      <c r="E152" s="548"/>
      <c r="F152" s="131"/>
      <c r="G152" s="131"/>
      <c r="H152" s="132"/>
      <c r="I152" s="207" t="str">
        <f>IF(LEFT(I$128,1)="O","C.",IF(LEFT(I$25,1)="O","B.","A."))</f>
        <v>A.</v>
      </c>
      <c r="J152" s="208" t="str">
        <f>IF(LEFT(J$128,1)="O","C.",IF(LEFT(J$25,1)="O","B.","A."))</f>
        <v>A.</v>
      </c>
      <c r="K152" s="208" t="str">
        <f>IF(LEFT(K$128,1)="O","C.",IF(LEFT(K$25,1)="O","B.","A."))</f>
        <v>A.</v>
      </c>
      <c r="L152" s="209" t="s">
        <v>586</v>
      </c>
      <c r="M152" s="209" t="s">
        <v>586</v>
      </c>
      <c r="N152" s="210" t="s">
        <v>586</v>
      </c>
      <c r="O152" s="507">
        <f t="shared" si="36"/>
        <v>0</v>
      </c>
      <c r="P152" s="105"/>
      <c r="Q152" s="644"/>
      <c r="R152" s="644"/>
      <c r="S152" s="644"/>
      <c r="T152" s="644"/>
      <c r="U152" s="644"/>
      <c r="V152" s="644"/>
      <c r="W152" s="644"/>
      <c r="X152" s="644"/>
      <c r="Y152" s="644"/>
      <c r="Z152" s="644"/>
      <c r="AA152" s="644"/>
      <c r="AB152" s="644"/>
      <c r="AC152" s="644"/>
      <c r="AD152" s="644"/>
      <c r="AE152" s="644"/>
      <c r="AF152" s="644"/>
      <c r="AG152" s="644"/>
      <c r="AH152" s="644"/>
      <c r="AI152" s="644"/>
      <c r="AJ152" s="644"/>
      <c r="AK152" s="644"/>
    </row>
    <row r="153" spans="1:37" s="108" customFormat="1" ht="12.75">
      <c r="A153" s="112"/>
      <c r="B153" s="11" t="s">
        <v>20</v>
      </c>
      <c r="C153" s="25"/>
      <c r="D153" s="524"/>
      <c r="E153" s="524"/>
      <c r="F153" s="131"/>
      <c r="G153" s="131"/>
      <c r="H153" s="729">
        <f>IF(I153=0,0,"Solde total positif avec une quote-part de distribution de:  ")</f>
        <v>0</v>
      </c>
      <c r="I153" s="730">
        <f>IF(AND(I$142&gt;0,I$144&gt;0),IF((I$143+MIN(I$114,0))/I$142&lt;0.9,0,(I$143+MIN(I$114,0))/I$142*100),0)</f>
        <v>0</v>
      </c>
      <c r="J153" s="131"/>
      <c r="K153" s="132"/>
      <c r="L153" s="131"/>
      <c r="M153" s="131"/>
      <c r="N153" s="132"/>
      <c r="O153" s="507">
        <f t="shared" si="36"/>
        <v>0</v>
      </c>
      <c r="P153" s="105"/>
      <c r="Q153" s="644"/>
      <c r="R153" s="644"/>
      <c r="S153" s="644"/>
      <c r="T153" s="644"/>
      <c r="U153" s="644"/>
      <c r="V153" s="644"/>
      <c r="W153" s="644"/>
      <c r="X153" s="644"/>
      <c r="Y153" s="644"/>
      <c r="Z153" s="644"/>
      <c r="AA153" s="644"/>
      <c r="AB153" s="644"/>
      <c r="AC153" s="644"/>
      <c r="AD153" s="644"/>
      <c r="AE153" s="644"/>
      <c r="AF153" s="644"/>
      <c r="AG153" s="644"/>
      <c r="AH153" s="644"/>
      <c r="AI153" s="644"/>
      <c r="AJ153" s="644"/>
      <c r="AK153" s="644"/>
    </row>
    <row r="154" spans="1:37" s="108" customFormat="1" ht="12.75">
      <c r="A154" s="112"/>
      <c r="B154" s="11" t="s">
        <v>21</v>
      </c>
      <c r="C154" s="25"/>
      <c r="D154" s="524"/>
      <c r="E154" s="524"/>
      <c r="F154" s="131"/>
      <c r="G154" s="131"/>
      <c r="H154" s="611" t="s">
        <v>730</v>
      </c>
      <c r="I154" s="616">
        <v>90</v>
      </c>
      <c r="J154" s="617">
        <v>90</v>
      </c>
      <c r="K154" s="618">
        <v>90</v>
      </c>
      <c r="L154" s="131"/>
      <c r="M154" s="131"/>
      <c r="N154" s="132"/>
      <c r="O154" s="507">
        <f t="shared" si="36"/>
        <v>0</v>
      </c>
      <c r="P154" s="105"/>
      <c r="Q154" s="644"/>
      <c r="R154" s="644"/>
      <c r="S154" s="644"/>
      <c r="T154" s="644"/>
      <c r="U154" s="644"/>
      <c r="V154" s="644"/>
      <c r="W154" s="644"/>
      <c r="X154" s="644"/>
      <c r="Y154" s="644"/>
      <c r="Z154" s="644"/>
      <c r="AA154" s="644"/>
      <c r="AB154" s="644"/>
      <c r="AC154" s="644"/>
      <c r="AD154" s="644"/>
      <c r="AE154" s="644"/>
      <c r="AF154" s="644"/>
      <c r="AG154" s="644"/>
      <c r="AH154" s="644"/>
      <c r="AI154" s="644"/>
      <c r="AJ154" s="644"/>
      <c r="AK154" s="644"/>
    </row>
    <row r="155" spans="1:37" s="108" customFormat="1" ht="12.75">
      <c r="A155" s="112"/>
      <c r="B155" s="11" t="s">
        <v>22</v>
      </c>
      <c r="C155" s="25"/>
      <c r="D155" s="524"/>
      <c r="E155" s="524"/>
      <c r="F155" s="131"/>
      <c r="G155" s="131"/>
      <c r="H155" s="132"/>
      <c r="I155" s="132"/>
      <c r="J155" s="132"/>
      <c r="K155" s="132"/>
      <c r="L155" s="131"/>
      <c r="M155" s="131"/>
      <c r="N155" s="132"/>
      <c r="O155" s="507">
        <f t="shared" si="36"/>
        <v>0</v>
      </c>
      <c r="P155" s="105"/>
      <c r="Q155" s="644"/>
      <c r="R155" s="644"/>
      <c r="S155" s="644"/>
      <c r="T155" s="644"/>
      <c r="U155" s="644"/>
      <c r="V155" s="644"/>
      <c r="W155" s="644"/>
      <c r="X155" s="644"/>
      <c r="Y155" s="644"/>
      <c r="Z155" s="644"/>
      <c r="AA155" s="644"/>
      <c r="AB155" s="644"/>
      <c r="AC155" s="644"/>
      <c r="AD155" s="644"/>
      <c r="AE155" s="644"/>
      <c r="AF155" s="644"/>
      <c r="AG155" s="644"/>
      <c r="AH155" s="644"/>
      <c r="AI155" s="644"/>
      <c r="AJ155" s="644"/>
      <c r="AK155" s="644"/>
    </row>
    <row r="156" spans="1:37" s="108" customFormat="1" ht="12.75">
      <c r="A156" s="112"/>
      <c r="B156" s="11" t="s">
        <v>23</v>
      </c>
      <c r="C156" s="25"/>
      <c r="D156" s="524"/>
      <c r="E156" s="524"/>
      <c r="F156" s="131"/>
      <c r="G156" s="131"/>
      <c r="H156" s="132"/>
      <c r="I156" s="132"/>
      <c r="J156" s="132"/>
      <c r="K156" s="132"/>
      <c r="L156" s="610" t="s">
        <v>296</v>
      </c>
      <c r="M156" s="131"/>
      <c r="N156" s="132"/>
      <c r="O156" s="507">
        <f t="shared" si="36"/>
        <v>0</v>
      </c>
      <c r="P156" s="105"/>
      <c r="Q156" s="644"/>
      <c r="R156" s="644"/>
      <c r="S156" s="644"/>
      <c r="T156" s="644"/>
      <c r="U156" s="644"/>
      <c r="V156" s="644"/>
      <c r="W156" s="644"/>
      <c r="X156" s="644"/>
      <c r="Y156" s="644"/>
      <c r="Z156" s="644"/>
      <c r="AA156" s="644"/>
      <c r="AB156" s="644"/>
      <c r="AC156" s="644"/>
      <c r="AD156" s="644"/>
      <c r="AE156" s="644"/>
      <c r="AF156" s="644"/>
      <c r="AG156" s="644"/>
      <c r="AH156" s="644"/>
      <c r="AI156" s="644"/>
      <c r="AJ156" s="644"/>
      <c r="AK156" s="644"/>
    </row>
    <row r="157" spans="1:37" s="108" customFormat="1" ht="12.75">
      <c r="A157" s="112"/>
      <c r="B157" s="11" t="s">
        <v>731</v>
      </c>
      <c r="C157" s="25"/>
      <c r="D157" s="524"/>
      <c r="E157" s="524"/>
      <c r="F157" s="131"/>
      <c r="G157" s="131"/>
      <c r="H157" s="132"/>
      <c r="I157" s="105"/>
      <c r="J157" s="131"/>
      <c r="K157" s="132"/>
      <c r="L157" s="131"/>
      <c r="M157" s="131"/>
      <c r="N157" s="132"/>
      <c r="O157" s="507">
        <f t="shared" si="36"/>
        <v>0</v>
      </c>
      <c r="P157" s="105"/>
      <c r="Q157" s="644"/>
      <c r="R157" s="644"/>
      <c r="S157" s="644"/>
      <c r="T157" s="644"/>
      <c r="U157" s="644"/>
      <c r="V157" s="644"/>
      <c r="W157" s="644"/>
      <c r="X157" s="644"/>
      <c r="Y157" s="644"/>
      <c r="Z157" s="644"/>
      <c r="AA157" s="644"/>
      <c r="AB157" s="644"/>
      <c r="AC157" s="644"/>
      <c r="AD157" s="644"/>
      <c r="AE157" s="644"/>
      <c r="AF157" s="644"/>
      <c r="AG157" s="644"/>
      <c r="AH157" s="644"/>
      <c r="AI157" s="644"/>
      <c r="AJ157" s="644"/>
      <c r="AK157" s="644"/>
    </row>
    <row r="158" spans="1:37" s="108" customFormat="1" ht="12.75">
      <c r="A158" s="112"/>
      <c r="B158" s="55"/>
      <c r="C158" s="7"/>
      <c r="D158" s="515"/>
      <c r="E158" s="515"/>
      <c r="F158" s="131"/>
      <c r="G158" s="131"/>
      <c r="H158" s="731" t="s">
        <v>734</v>
      </c>
      <c r="I158" s="732">
        <f>IF(AND(I$133&lt;0,I$154&lt;100),1,0)</f>
        <v>0</v>
      </c>
      <c r="J158" s="733">
        <f>IF(AND(J$133&lt;0,J$154&lt;100),1,0)</f>
        <v>0</v>
      </c>
      <c r="K158" s="734">
        <f>IF(AND(K$133&lt;0,K$154&lt;100),1,0)</f>
        <v>0</v>
      </c>
      <c r="L158" s="131"/>
      <c r="M158" s="131"/>
      <c r="N158" s="132"/>
      <c r="O158" s="507">
        <f t="shared" si="36"/>
        <v>0</v>
      </c>
      <c r="P158" s="105"/>
      <c r="Q158" s="644"/>
      <c r="R158" s="644"/>
      <c r="S158" s="644"/>
      <c r="T158" s="644"/>
      <c r="U158" s="644"/>
      <c r="V158" s="644"/>
      <c r="W158" s="644"/>
      <c r="X158" s="644"/>
      <c r="Y158" s="644"/>
      <c r="Z158" s="644"/>
      <c r="AA158" s="644"/>
      <c r="AB158" s="644"/>
      <c r="AC158" s="644"/>
      <c r="AD158" s="644"/>
      <c r="AE158" s="644"/>
      <c r="AF158" s="644"/>
      <c r="AG158" s="644"/>
      <c r="AH158" s="644"/>
      <c r="AI158" s="644"/>
      <c r="AJ158" s="644"/>
      <c r="AK158" s="644"/>
    </row>
    <row r="159" spans="1:37" s="108" customFormat="1" ht="24">
      <c r="A159" s="112">
        <v>227</v>
      </c>
      <c r="B159" s="667" t="s">
        <v>25</v>
      </c>
      <c r="C159" s="57" t="s">
        <v>24</v>
      </c>
      <c r="D159" s="512">
        <f>IF(ABS(F159-(I159+L159))&lt;2,0,"AE")</f>
        <v>0</v>
      </c>
      <c r="E159" s="513">
        <f>IF(ABS(G159-(J159+M159))&lt;2,0,"AE-1")</f>
        <v>0</v>
      </c>
      <c r="F159" s="205">
        <f>'CR'!$F$89</f>
        <v>0</v>
      </c>
      <c r="G159" s="205">
        <f>'CR'!$G$89</f>
        <v>0</v>
      </c>
      <c r="H159" s="186">
        <f>K159+N159</f>
        <v>0</v>
      </c>
      <c r="I159" s="470">
        <f aca="true" t="shared" si="44" ref="I159:N159">I$149-I$151</f>
        <v>0</v>
      </c>
      <c r="J159" s="187">
        <f t="shared" si="44"/>
        <v>0</v>
      </c>
      <c r="K159" s="187">
        <f t="shared" si="44"/>
        <v>0</v>
      </c>
      <c r="L159" s="470">
        <f t="shared" si="44"/>
        <v>0</v>
      </c>
      <c r="M159" s="188">
        <f t="shared" si="44"/>
        <v>0</v>
      </c>
      <c r="N159" s="188">
        <f t="shared" si="44"/>
        <v>0</v>
      </c>
      <c r="O159" s="507">
        <f t="shared" si="36"/>
        <v>0</v>
      </c>
      <c r="P159" s="105"/>
      <c r="Q159" s="644"/>
      <c r="R159" s="644"/>
      <c r="S159" s="644"/>
      <c r="T159" s="644"/>
      <c r="U159" s="644"/>
      <c r="V159" s="644"/>
      <c r="W159" s="644"/>
      <c r="X159" s="644"/>
      <c r="Y159" s="644"/>
      <c r="Z159" s="644"/>
      <c r="AA159" s="644"/>
      <c r="AB159" s="644"/>
      <c r="AC159" s="644"/>
      <c r="AD159" s="644"/>
      <c r="AE159" s="644"/>
      <c r="AF159" s="644"/>
      <c r="AG159" s="644"/>
      <c r="AH159" s="644"/>
      <c r="AI159" s="644"/>
      <c r="AJ159" s="644"/>
      <c r="AK159" s="644"/>
    </row>
    <row r="160" spans="1:37" s="108" customFormat="1" ht="12.75">
      <c r="A160" s="112"/>
      <c r="B160" s="11" t="s">
        <v>26</v>
      </c>
      <c r="C160" s="25"/>
      <c r="D160" s="524"/>
      <c r="E160" s="524"/>
      <c r="F160" s="131"/>
      <c r="G160" s="131"/>
      <c r="H160" s="132"/>
      <c r="I160" s="131"/>
      <c r="J160" s="131"/>
      <c r="K160" s="132"/>
      <c r="L160" s="131"/>
      <c r="M160" s="131"/>
      <c r="N160" s="132"/>
      <c r="O160" s="507">
        <f t="shared" si="36"/>
        <v>0</v>
      </c>
      <c r="P160" s="105"/>
      <c r="Q160" s="644"/>
      <c r="R160" s="644"/>
      <c r="S160" s="644"/>
      <c r="T160" s="644"/>
      <c r="U160" s="644"/>
      <c r="V160" s="644"/>
      <c r="W160" s="644"/>
      <c r="X160" s="644"/>
      <c r="Y160" s="644"/>
      <c r="Z160" s="644"/>
      <c r="AA160" s="644"/>
      <c r="AB160" s="644"/>
      <c r="AC160" s="644"/>
      <c r="AD160" s="644"/>
      <c r="AE160" s="644"/>
      <c r="AF160" s="644"/>
      <c r="AG160" s="644"/>
      <c r="AH160" s="644"/>
      <c r="AI160" s="644"/>
      <c r="AJ160" s="644"/>
      <c r="AK160" s="644"/>
    </row>
    <row r="161" spans="1:37" s="108" customFormat="1" ht="12.75">
      <c r="A161" s="112"/>
      <c r="B161" s="11" t="s">
        <v>733</v>
      </c>
      <c r="C161" s="25"/>
      <c r="D161" s="524"/>
      <c r="E161" s="524"/>
      <c r="F161" s="131"/>
      <c r="G161" s="131"/>
      <c r="H161" s="132"/>
      <c r="I161" s="131"/>
      <c r="J161" s="131"/>
      <c r="K161" s="132"/>
      <c r="L161" s="131"/>
      <c r="M161" s="131"/>
      <c r="N161" s="132"/>
      <c r="O161" s="507">
        <f t="shared" si="36"/>
        <v>0</v>
      </c>
      <c r="P161" s="105"/>
      <c r="Q161" s="644"/>
      <c r="R161" s="644"/>
      <c r="S161" s="644"/>
      <c r="T161" s="644"/>
      <c r="U161" s="644"/>
      <c r="V161" s="644"/>
      <c r="W161" s="644"/>
      <c r="X161" s="644"/>
      <c r="Y161" s="644"/>
      <c r="Z161" s="644"/>
      <c r="AA161" s="644"/>
      <c r="AB161" s="644"/>
      <c r="AC161" s="644"/>
      <c r="AD161" s="644"/>
      <c r="AE161" s="644"/>
      <c r="AF161" s="644"/>
      <c r="AG161" s="644"/>
      <c r="AH161" s="644"/>
      <c r="AI161" s="644"/>
      <c r="AJ161" s="644"/>
      <c r="AK161" s="644"/>
    </row>
    <row r="162" spans="1:37" s="108" customFormat="1" ht="12.75">
      <c r="A162" s="112"/>
      <c r="B162" s="11" t="s">
        <v>732</v>
      </c>
      <c r="C162" s="25"/>
      <c r="D162" s="524"/>
      <c r="E162" s="524"/>
      <c r="F162" s="131"/>
      <c r="G162" s="131"/>
      <c r="H162" s="132"/>
      <c r="I162" s="131"/>
      <c r="J162" s="131"/>
      <c r="K162" s="132"/>
      <c r="L162" s="131"/>
      <c r="M162" s="131"/>
      <c r="N162" s="132"/>
      <c r="O162" s="507">
        <f t="shared" si="36"/>
        <v>0</v>
      </c>
      <c r="P162" s="105"/>
      <c r="Q162" s="644"/>
      <c r="R162" s="644"/>
      <c r="S162" s="644"/>
      <c r="T162" s="644"/>
      <c r="U162" s="644"/>
      <c r="V162" s="644"/>
      <c r="W162" s="644"/>
      <c r="X162" s="644"/>
      <c r="Y162" s="644"/>
      <c r="Z162" s="644"/>
      <c r="AA162" s="644"/>
      <c r="AB162" s="644"/>
      <c r="AC162" s="644"/>
      <c r="AD162" s="644"/>
      <c r="AE162" s="644"/>
      <c r="AF162" s="644"/>
      <c r="AG162" s="644"/>
      <c r="AH162" s="644"/>
      <c r="AI162" s="644"/>
      <c r="AJ162" s="644"/>
      <c r="AK162" s="644"/>
    </row>
    <row r="163" spans="1:37" s="108" customFormat="1" ht="12.75">
      <c r="A163" s="112"/>
      <c r="B163" s="55"/>
      <c r="C163" s="7"/>
      <c r="D163" s="515"/>
      <c r="E163" s="515"/>
      <c r="F163" s="131"/>
      <c r="G163" s="131"/>
      <c r="H163" s="132"/>
      <c r="I163" s="131"/>
      <c r="J163" s="131"/>
      <c r="K163" s="132"/>
      <c r="L163" s="131"/>
      <c r="M163" s="131"/>
      <c r="N163" s="132"/>
      <c r="O163" s="507">
        <f t="shared" si="36"/>
        <v>0</v>
      </c>
      <c r="P163" s="105"/>
      <c r="Q163" s="644"/>
      <c r="R163" s="644"/>
      <c r="S163" s="644"/>
      <c r="T163" s="644"/>
      <c r="U163" s="644"/>
      <c r="V163" s="644"/>
      <c r="W163" s="644"/>
      <c r="X163" s="644"/>
      <c r="Y163" s="644"/>
      <c r="Z163" s="644"/>
      <c r="AA163" s="644"/>
      <c r="AB163" s="644"/>
      <c r="AC163" s="644"/>
      <c r="AD163" s="644"/>
      <c r="AE163" s="644"/>
      <c r="AF163" s="644"/>
      <c r="AG163" s="644"/>
      <c r="AH163" s="644"/>
      <c r="AI163" s="644"/>
      <c r="AJ163" s="644"/>
      <c r="AK163" s="644"/>
    </row>
    <row r="164" spans="1:37" s="108" customFormat="1" ht="24">
      <c r="A164" s="112">
        <v>228</v>
      </c>
      <c r="B164" s="65" t="s">
        <v>27</v>
      </c>
      <c r="C164" s="39"/>
      <c r="D164" s="39"/>
      <c r="E164" s="39"/>
      <c r="F164" s="157">
        <f aca="true" t="shared" si="45" ref="F164:H165">I164+L164</f>
        <v>0</v>
      </c>
      <c r="G164" s="157">
        <f t="shared" si="45"/>
        <v>0</v>
      </c>
      <c r="H164" s="157">
        <f t="shared" si="45"/>
        <v>0</v>
      </c>
      <c r="I164" s="211">
        <f aca="true" t="shared" si="46" ref="I164:N164">I$143+I$145-I$148+I$151</f>
        <v>0</v>
      </c>
      <c r="J164" s="211">
        <f t="shared" si="46"/>
        <v>0</v>
      </c>
      <c r="K164" s="211">
        <f t="shared" si="46"/>
        <v>0</v>
      </c>
      <c r="L164" s="204">
        <f t="shared" si="46"/>
        <v>0</v>
      </c>
      <c r="M164" s="204">
        <f t="shared" si="46"/>
        <v>0</v>
      </c>
      <c r="N164" s="204">
        <f t="shared" si="46"/>
        <v>0</v>
      </c>
      <c r="O164" s="507">
        <f t="shared" si="36"/>
        <v>0</v>
      </c>
      <c r="P164" s="105"/>
      <c r="Q164" s="644"/>
      <c r="R164" s="644"/>
      <c r="S164" s="644"/>
      <c r="T164" s="644"/>
      <c r="U164" s="644"/>
      <c r="V164" s="644"/>
      <c r="W164" s="644"/>
      <c r="X164" s="644"/>
      <c r="Y164" s="644"/>
      <c r="Z164" s="644"/>
      <c r="AA164" s="644"/>
      <c r="AB164" s="644"/>
      <c r="AC164" s="644"/>
      <c r="AD164" s="644"/>
      <c r="AE164" s="644"/>
      <c r="AF164" s="644"/>
      <c r="AG164" s="644"/>
      <c r="AH164" s="644"/>
      <c r="AI164" s="644"/>
      <c r="AJ164" s="644"/>
      <c r="AK164" s="644"/>
    </row>
    <row r="165" spans="1:37" s="108" customFormat="1" ht="12.75">
      <c r="A165" s="112">
        <v>229</v>
      </c>
      <c r="B165" s="52" t="s">
        <v>28</v>
      </c>
      <c r="C165" s="22"/>
      <c r="D165" s="547"/>
      <c r="E165" s="547"/>
      <c r="F165" s="202">
        <f t="shared" si="45"/>
        <v>0</v>
      </c>
      <c r="G165" s="202">
        <f t="shared" si="45"/>
        <v>0</v>
      </c>
      <c r="H165" s="202">
        <f t="shared" si="45"/>
        <v>0</v>
      </c>
      <c r="I165" s="203">
        <f aca="true" t="shared" si="47" ref="I165:N165">I$142</f>
        <v>0</v>
      </c>
      <c r="J165" s="203">
        <f t="shared" si="47"/>
        <v>0</v>
      </c>
      <c r="K165" s="203">
        <f t="shared" si="47"/>
        <v>0</v>
      </c>
      <c r="L165" s="212">
        <f t="shared" si="47"/>
        <v>0</v>
      </c>
      <c r="M165" s="212">
        <f t="shared" si="47"/>
        <v>0</v>
      </c>
      <c r="N165" s="212">
        <f t="shared" si="47"/>
        <v>0</v>
      </c>
      <c r="O165" s="507">
        <f t="shared" si="36"/>
        <v>0</v>
      </c>
      <c r="P165" s="105"/>
      <c r="Q165" s="644"/>
      <c r="R165" s="644"/>
      <c r="S165" s="644"/>
      <c r="T165" s="644"/>
      <c r="U165" s="644"/>
      <c r="V165" s="644"/>
      <c r="W165" s="644"/>
      <c r="X165" s="644"/>
      <c r="Y165" s="644"/>
      <c r="Z165" s="644"/>
      <c r="AA165" s="644"/>
      <c r="AB165" s="644"/>
      <c r="AC165" s="644"/>
      <c r="AD165" s="644"/>
      <c r="AE165" s="644"/>
      <c r="AF165" s="644"/>
      <c r="AG165" s="644"/>
      <c r="AH165" s="644"/>
      <c r="AI165" s="644"/>
      <c r="AJ165" s="644"/>
      <c r="AK165" s="644"/>
    </row>
    <row r="166" spans="1:37" s="108" customFormat="1" ht="24">
      <c r="A166" s="112">
        <v>230</v>
      </c>
      <c r="B166" s="666" t="s">
        <v>29</v>
      </c>
      <c r="C166" s="54"/>
      <c r="D166" s="54"/>
      <c r="E166" s="54"/>
      <c r="F166" s="213">
        <f aca="true" t="shared" si="48" ref="F166:N166">IF(F$165&gt;0,F$164/F$165,0)</f>
        <v>0</v>
      </c>
      <c r="G166" s="213">
        <f t="shared" si="48"/>
        <v>0</v>
      </c>
      <c r="H166" s="213">
        <f t="shared" si="48"/>
        <v>0</v>
      </c>
      <c r="I166" s="214">
        <f t="shared" si="48"/>
        <v>0</v>
      </c>
      <c r="J166" s="214">
        <f t="shared" si="48"/>
        <v>0</v>
      </c>
      <c r="K166" s="214">
        <f t="shared" si="48"/>
        <v>0</v>
      </c>
      <c r="L166" s="215">
        <f t="shared" si="48"/>
        <v>0</v>
      </c>
      <c r="M166" s="215">
        <f t="shared" si="48"/>
        <v>0</v>
      </c>
      <c r="N166" s="215">
        <f t="shared" si="48"/>
        <v>0</v>
      </c>
      <c r="O166" s="507">
        <f t="shared" si="36"/>
        <v>0</v>
      </c>
      <c r="P166" s="105"/>
      <c r="Q166" s="644"/>
      <c r="R166" s="644"/>
      <c r="S166" s="644"/>
      <c r="T166" s="644"/>
      <c r="U166" s="644"/>
      <c r="V166" s="644"/>
      <c r="W166" s="644"/>
      <c r="X166" s="644"/>
      <c r="Y166" s="644"/>
      <c r="Z166" s="644"/>
      <c r="AA166" s="644"/>
      <c r="AB166" s="644"/>
      <c r="AC166" s="644"/>
      <c r="AD166" s="644"/>
      <c r="AE166" s="644"/>
      <c r="AF166" s="644"/>
      <c r="AG166" s="644"/>
      <c r="AH166" s="644"/>
      <c r="AI166" s="644"/>
      <c r="AJ166" s="644"/>
      <c r="AK166" s="644"/>
    </row>
    <row r="167" spans="1:37" s="108" customFormat="1" ht="12.75">
      <c r="A167" s="112"/>
      <c r="B167" s="55"/>
      <c r="C167" s="7"/>
      <c r="D167" s="515"/>
      <c r="E167" s="515"/>
      <c r="F167" s="131"/>
      <c r="G167" s="131"/>
      <c r="H167" s="132"/>
      <c r="I167" s="131"/>
      <c r="J167" s="131"/>
      <c r="K167" s="132"/>
      <c r="L167" s="131"/>
      <c r="M167" s="131"/>
      <c r="N167" s="132"/>
      <c r="O167" s="507">
        <f t="shared" si="36"/>
        <v>0</v>
      </c>
      <c r="P167" s="105"/>
      <c r="Q167" s="644"/>
      <c r="R167" s="644"/>
      <c r="S167" s="644"/>
      <c r="T167" s="644"/>
      <c r="U167" s="644"/>
      <c r="V167" s="644"/>
      <c r="W167" s="644"/>
      <c r="X167" s="644"/>
      <c r="Y167" s="644"/>
      <c r="Z167" s="644"/>
      <c r="AA167" s="644"/>
      <c r="AB167" s="644"/>
      <c r="AC167" s="644"/>
      <c r="AD167" s="644"/>
      <c r="AE167" s="644"/>
      <c r="AF167" s="644"/>
      <c r="AG167" s="644"/>
      <c r="AH167" s="644"/>
      <c r="AI167" s="644"/>
      <c r="AJ167" s="644"/>
      <c r="AK167" s="644"/>
    </row>
    <row r="168" spans="1:37" s="108" customFormat="1" ht="12.75">
      <c r="A168" s="112">
        <v>231</v>
      </c>
      <c r="B168" s="44" t="s">
        <v>30</v>
      </c>
      <c r="C168" s="23"/>
      <c r="D168" s="69"/>
      <c r="E168" s="69"/>
      <c r="F168" s="157">
        <f aca="true" t="shared" si="49" ref="F168:H170">I168+L168</f>
        <v>0</v>
      </c>
      <c r="G168" s="157">
        <f t="shared" si="49"/>
        <v>0</v>
      </c>
      <c r="H168" s="157">
        <f t="shared" si="49"/>
        <v>0</v>
      </c>
      <c r="I168" s="612"/>
      <c r="J168" s="612"/>
      <c r="K168" s="612"/>
      <c r="L168" s="613"/>
      <c r="M168" s="613"/>
      <c r="N168" s="613"/>
      <c r="O168" s="507">
        <f t="shared" si="36"/>
        <v>0</v>
      </c>
      <c r="P168" s="105"/>
      <c r="Q168" s="644"/>
      <c r="R168" s="644"/>
      <c r="S168" s="644"/>
      <c r="T168" s="644"/>
      <c r="U168" s="644"/>
      <c r="V168" s="644"/>
      <c r="W168" s="644"/>
      <c r="X168" s="644"/>
      <c r="Y168" s="644"/>
      <c r="Z168" s="644"/>
      <c r="AA168" s="644"/>
      <c r="AB168" s="644"/>
      <c r="AC168" s="644"/>
      <c r="AD168" s="644"/>
      <c r="AE168" s="644"/>
      <c r="AF168" s="644"/>
      <c r="AG168" s="644"/>
      <c r="AH168" s="644"/>
      <c r="AI168" s="644"/>
      <c r="AJ168" s="644"/>
      <c r="AK168" s="644"/>
    </row>
    <row r="169" spans="1:37" s="108" customFormat="1" ht="12.75">
      <c r="A169" s="112">
        <v>232</v>
      </c>
      <c r="B169" s="52" t="s">
        <v>31</v>
      </c>
      <c r="C169" s="22"/>
      <c r="D169" s="547"/>
      <c r="E169" s="547"/>
      <c r="F169" s="202">
        <f t="shared" si="49"/>
        <v>0</v>
      </c>
      <c r="G169" s="202">
        <f t="shared" si="49"/>
        <v>0</v>
      </c>
      <c r="H169" s="202">
        <f t="shared" si="49"/>
        <v>0</v>
      </c>
      <c r="I169" s="203">
        <f aca="true" t="shared" si="50" ref="I169:N169">I$43</f>
        <v>0</v>
      </c>
      <c r="J169" s="203">
        <f t="shared" si="50"/>
        <v>0</v>
      </c>
      <c r="K169" s="203">
        <f t="shared" si="50"/>
        <v>0</v>
      </c>
      <c r="L169" s="212">
        <f t="shared" si="50"/>
        <v>0</v>
      </c>
      <c r="M169" s="212">
        <f t="shared" si="50"/>
        <v>0</v>
      </c>
      <c r="N169" s="212">
        <f t="shared" si="50"/>
        <v>0</v>
      </c>
      <c r="O169" s="507">
        <f t="shared" si="36"/>
        <v>0</v>
      </c>
      <c r="P169" s="105"/>
      <c r="Q169" s="644"/>
      <c r="R169" s="644"/>
      <c r="S169" s="644"/>
      <c r="T169" s="644"/>
      <c r="U169" s="644"/>
      <c r="V169" s="644"/>
      <c r="W169" s="644"/>
      <c r="X169" s="644"/>
      <c r="Y169" s="644"/>
      <c r="Z169" s="644"/>
      <c r="AA169" s="644"/>
      <c r="AB169" s="644"/>
      <c r="AC169" s="644"/>
      <c r="AD169" s="644"/>
      <c r="AE169" s="644"/>
      <c r="AF169" s="644"/>
      <c r="AG169" s="644"/>
      <c r="AH169" s="644"/>
      <c r="AI169" s="644"/>
      <c r="AJ169" s="644"/>
      <c r="AK169" s="644"/>
    </row>
    <row r="170" spans="1:37" s="108" customFormat="1" ht="12.75">
      <c r="A170" s="112">
        <v>233</v>
      </c>
      <c r="B170" s="52" t="s">
        <v>32</v>
      </c>
      <c r="C170" s="22"/>
      <c r="D170" s="547"/>
      <c r="E170" s="547"/>
      <c r="F170" s="202">
        <f t="shared" si="49"/>
        <v>0</v>
      </c>
      <c r="G170" s="202">
        <f t="shared" si="49"/>
        <v>0</v>
      </c>
      <c r="H170" s="202">
        <f t="shared" si="49"/>
        <v>0</v>
      </c>
      <c r="I170" s="203">
        <f aca="true" t="shared" si="51" ref="I170:N170">I$68</f>
        <v>0</v>
      </c>
      <c r="J170" s="203">
        <f t="shared" si="51"/>
        <v>0</v>
      </c>
      <c r="K170" s="203">
        <f t="shared" si="51"/>
        <v>0</v>
      </c>
      <c r="L170" s="212">
        <f t="shared" si="51"/>
        <v>0</v>
      </c>
      <c r="M170" s="212">
        <f t="shared" si="51"/>
        <v>0</v>
      </c>
      <c r="N170" s="212">
        <f t="shared" si="51"/>
        <v>0</v>
      </c>
      <c r="O170" s="507">
        <f t="shared" si="36"/>
        <v>0</v>
      </c>
      <c r="P170" s="105"/>
      <c r="Q170" s="644"/>
      <c r="R170" s="644"/>
      <c r="S170" s="644"/>
      <c r="T170" s="644"/>
      <c r="U170" s="644"/>
      <c r="V170" s="644"/>
      <c r="W170" s="644"/>
      <c r="X170" s="644"/>
      <c r="Y170" s="644"/>
      <c r="Z170" s="644"/>
      <c r="AA170" s="644"/>
      <c r="AB170" s="644"/>
      <c r="AC170" s="644"/>
      <c r="AD170" s="644"/>
      <c r="AE170" s="644"/>
      <c r="AF170" s="644"/>
      <c r="AG170" s="644"/>
      <c r="AH170" s="644"/>
      <c r="AI170" s="644"/>
      <c r="AJ170" s="644"/>
      <c r="AK170" s="644"/>
    </row>
    <row r="171" spans="1:37" s="108" customFormat="1" ht="12.75">
      <c r="A171" s="112">
        <v>234</v>
      </c>
      <c r="B171" s="61" t="s">
        <v>295</v>
      </c>
      <c r="C171" s="216" t="s">
        <v>263</v>
      </c>
      <c r="D171" s="549">
        <f>IF(ABS(F171-(I171+L171))&lt;2,0,"AE")</f>
        <v>0</v>
      </c>
      <c r="E171" s="550">
        <f>IF(ABS(G171-(J171+M171))&lt;2,0,"AE-1")</f>
        <v>0</v>
      </c>
      <c r="F171" s="220">
        <f>'CR'!$F$8</f>
        <v>0</v>
      </c>
      <c r="G171" s="220">
        <f>'CR'!$G$8</f>
        <v>0</v>
      </c>
      <c r="H171" s="196">
        <f>K171+N171</f>
        <v>0</v>
      </c>
      <c r="I171" s="197">
        <f aca="true" t="shared" si="52" ref="I171:N171">SUM(I$168:I$170)</f>
        <v>0</v>
      </c>
      <c r="J171" s="197">
        <f t="shared" si="52"/>
        <v>0</v>
      </c>
      <c r="K171" s="197">
        <f t="shared" si="52"/>
        <v>0</v>
      </c>
      <c r="L171" s="198">
        <f t="shared" si="52"/>
        <v>0</v>
      </c>
      <c r="M171" s="198">
        <f t="shared" si="52"/>
        <v>0</v>
      </c>
      <c r="N171" s="198">
        <f t="shared" si="52"/>
        <v>0</v>
      </c>
      <c r="O171" s="507">
        <f t="shared" si="36"/>
        <v>0</v>
      </c>
      <c r="P171" s="105"/>
      <c r="Q171" s="644"/>
      <c r="R171" s="644"/>
      <c r="S171" s="644"/>
      <c r="T171" s="644"/>
      <c r="U171" s="644"/>
      <c r="V171" s="644"/>
      <c r="W171" s="644"/>
      <c r="X171" s="644"/>
      <c r="Y171" s="644"/>
      <c r="Z171" s="644"/>
      <c r="AA171" s="644"/>
      <c r="AB171" s="644"/>
      <c r="AC171" s="644"/>
      <c r="AD171" s="644"/>
      <c r="AE171" s="644"/>
      <c r="AF171" s="644"/>
      <c r="AG171" s="644"/>
      <c r="AH171" s="644"/>
      <c r="AI171" s="644"/>
      <c r="AJ171" s="644"/>
      <c r="AK171" s="644"/>
    </row>
    <row r="172" spans="1:37" s="108" customFormat="1" ht="24">
      <c r="A172" s="112">
        <v>235</v>
      </c>
      <c r="B172" s="53" t="s">
        <v>264</v>
      </c>
      <c r="C172" s="54"/>
      <c r="D172" s="54"/>
      <c r="E172" s="54"/>
      <c r="F172" s="213">
        <f>IF(F$171&gt;0,F$164/VALUE(F$171),0)</f>
        <v>0</v>
      </c>
      <c r="G172" s="213">
        <f>IF(G$171&gt;0,G$164/VALUE(G$171),0)</f>
        <v>0</v>
      </c>
      <c r="H172" s="213">
        <f aca="true" t="shared" si="53" ref="H172:N172">IF(H$171&gt;0,H$164/H$171,0)</f>
        <v>0</v>
      </c>
      <c r="I172" s="217">
        <f t="shared" si="53"/>
        <v>0</v>
      </c>
      <c r="J172" s="217">
        <f t="shared" si="53"/>
        <v>0</v>
      </c>
      <c r="K172" s="217">
        <f t="shared" si="53"/>
        <v>0</v>
      </c>
      <c r="L172" s="218">
        <f t="shared" si="53"/>
        <v>0</v>
      </c>
      <c r="M172" s="218">
        <f t="shared" si="53"/>
        <v>0</v>
      </c>
      <c r="N172" s="218">
        <f t="shared" si="53"/>
        <v>0</v>
      </c>
      <c r="O172" s="507">
        <f t="shared" si="36"/>
        <v>0</v>
      </c>
      <c r="P172" s="105"/>
      <c r="Q172" s="644"/>
      <c r="R172" s="644"/>
      <c r="S172" s="644"/>
      <c r="T172" s="644"/>
      <c r="U172" s="644"/>
      <c r="V172" s="644"/>
      <c r="W172" s="644"/>
      <c r="X172" s="644"/>
      <c r="Y172" s="644"/>
      <c r="Z172" s="644"/>
      <c r="AA172" s="644"/>
      <c r="AB172" s="644"/>
      <c r="AC172" s="644"/>
      <c r="AD172" s="644"/>
      <c r="AE172" s="644"/>
      <c r="AF172" s="644"/>
      <c r="AG172" s="644"/>
      <c r="AH172" s="644"/>
      <c r="AI172" s="644"/>
      <c r="AJ172" s="644"/>
      <c r="AK172" s="644"/>
    </row>
    <row r="173" spans="1:37" s="108" customFormat="1" ht="36">
      <c r="A173" s="112">
        <v>236</v>
      </c>
      <c r="B173" s="49" t="s">
        <v>265</v>
      </c>
      <c r="C173" s="219" t="s">
        <v>588</v>
      </c>
      <c r="D173" s="551">
        <f>IF(ABS(F173-(I173+L173))&lt;2,0,"AE")</f>
        <v>0</v>
      </c>
      <c r="E173" s="552">
        <f>IF(ABS(G173-(J173+M173))&lt;2,0,"AE-1")</f>
        <v>0</v>
      </c>
      <c r="F173" s="609">
        <f>BILAN!$F$59+BILAN!$F$60+BILAN!$F$62+BILAN!$F$64+BILAN!$F$66+BILAN!$F$67</f>
        <v>0</v>
      </c>
      <c r="G173" s="609">
        <f>BILAN!$G$59+BILAN!$G$60+BILAN!$G$62+BILAN!$G$64+BILAN!$G$66+BILAN!$G$67</f>
        <v>0</v>
      </c>
      <c r="H173" s="196">
        <f>K173+N173</f>
        <v>0</v>
      </c>
      <c r="I173" s="619"/>
      <c r="J173" s="619"/>
      <c r="K173" s="619"/>
      <c r="L173" s="620"/>
      <c r="M173" s="620"/>
      <c r="N173" s="620"/>
      <c r="O173" s="507">
        <f t="shared" si="36"/>
        <v>0</v>
      </c>
      <c r="P173" s="105"/>
      <c r="Q173" s="644"/>
      <c r="R173" s="644"/>
      <c r="S173" s="644"/>
      <c r="T173" s="644"/>
      <c r="U173" s="644"/>
      <c r="V173" s="644"/>
      <c r="W173" s="644"/>
      <c r="X173" s="644"/>
      <c r="Y173" s="644"/>
      <c r="Z173" s="644"/>
      <c r="AA173" s="644"/>
      <c r="AB173" s="644"/>
      <c r="AC173" s="644"/>
      <c r="AD173" s="644"/>
      <c r="AE173" s="644"/>
      <c r="AF173" s="644"/>
      <c r="AG173" s="644"/>
      <c r="AH173" s="644"/>
      <c r="AI173" s="644"/>
      <c r="AJ173" s="644"/>
      <c r="AK173" s="644"/>
    </row>
    <row r="174" spans="1:37" s="108" customFormat="1" ht="24">
      <c r="A174" s="112">
        <v>237</v>
      </c>
      <c r="B174" s="53" t="s">
        <v>266</v>
      </c>
      <c r="C174" s="54"/>
      <c r="D174" s="54"/>
      <c r="E174" s="54"/>
      <c r="F174" s="221">
        <f>IF(F$173&gt;0,F$151/F$173,0)</f>
        <v>0</v>
      </c>
      <c r="G174" s="221">
        <f>IF(G$173&gt;0,G$151/G$173,0)</f>
        <v>0</v>
      </c>
      <c r="H174" s="221">
        <f aca="true" t="shared" si="54" ref="H174:N174">IF(H$173&gt;0,H$151/H$173,0)</f>
        <v>0</v>
      </c>
      <c r="I174" s="222">
        <f t="shared" si="54"/>
        <v>0</v>
      </c>
      <c r="J174" s="222">
        <f t="shared" si="54"/>
        <v>0</v>
      </c>
      <c r="K174" s="222">
        <f t="shared" si="54"/>
        <v>0</v>
      </c>
      <c r="L174" s="223">
        <f t="shared" si="54"/>
        <v>0</v>
      </c>
      <c r="M174" s="223">
        <f t="shared" si="54"/>
        <v>0</v>
      </c>
      <c r="N174" s="223">
        <f t="shared" si="54"/>
        <v>0</v>
      </c>
      <c r="O174" s="507">
        <f t="shared" si="36"/>
        <v>0</v>
      </c>
      <c r="P174" s="105"/>
      <c r="Q174" s="644"/>
      <c r="R174" s="644"/>
      <c r="S174" s="644"/>
      <c r="T174" s="644"/>
      <c r="U174" s="644"/>
      <c r="V174" s="644"/>
      <c r="W174" s="644"/>
      <c r="X174" s="644"/>
      <c r="Y174" s="644"/>
      <c r="Z174" s="644"/>
      <c r="AA174" s="644"/>
      <c r="AB174" s="644"/>
      <c r="AC174" s="644"/>
      <c r="AD174" s="644"/>
      <c r="AE174" s="644"/>
      <c r="AF174" s="644"/>
      <c r="AG174" s="644"/>
      <c r="AH174" s="644"/>
      <c r="AI174" s="644"/>
      <c r="AJ174" s="644"/>
      <c r="AK174" s="644"/>
    </row>
    <row r="175" spans="1:37" s="108" customFormat="1" ht="12.75">
      <c r="A175" s="112"/>
      <c r="B175" s="494">
        <f>IF(AND(ABS('CR'!$F$8-($I$171+$L$171))&lt;5,ABS('CR'!$G$8-($J$171+$M$171))&lt;5),"","MESSAGE conc. pos. 234:  Bitte Differenz zwischen ER Pos. 3 und TECHN ZERLEGUNG Pos. 234 separat begründen, sowohl für das Berichtsjahr wie auch für das Vorjahr. Danke.")</f>
      </c>
      <c r="C175" s="721"/>
      <c r="D175" s="721"/>
      <c r="E175" s="721"/>
      <c r="F175" s="131"/>
      <c r="G175" s="131"/>
      <c r="H175" s="132"/>
      <c r="I175" s="131"/>
      <c r="J175" s="131"/>
      <c r="K175" s="132"/>
      <c r="L175" s="131"/>
      <c r="M175" s="131"/>
      <c r="N175" s="132"/>
      <c r="O175" s="507">
        <f t="shared" si="36"/>
        <v>0</v>
      </c>
      <c r="P175" s="105"/>
      <c r="Q175" s="644"/>
      <c r="R175" s="644"/>
      <c r="S175" s="644"/>
      <c r="T175" s="644"/>
      <c r="U175" s="644"/>
      <c r="V175" s="644"/>
      <c r="W175" s="644"/>
      <c r="X175" s="644"/>
      <c r="Y175" s="644"/>
      <c r="Z175" s="644"/>
      <c r="AA175" s="644"/>
      <c r="AB175" s="644"/>
      <c r="AC175" s="644"/>
      <c r="AD175" s="644"/>
      <c r="AE175" s="644"/>
      <c r="AF175" s="644"/>
      <c r="AG175" s="644"/>
      <c r="AH175" s="644"/>
      <c r="AI175" s="644"/>
      <c r="AJ175" s="644"/>
      <c r="AK175" s="644"/>
    </row>
    <row r="176" spans="1:37" s="108" customFormat="1" ht="12.75">
      <c r="A176" s="722"/>
      <c r="B176" s="494"/>
      <c r="C176" s="7"/>
      <c r="D176" s="515"/>
      <c r="E176" s="515"/>
      <c r="F176" s="131"/>
      <c r="G176" s="131"/>
      <c r="H176" s="132"/>
      <c r="I176" s="131"/>
      <c r="J176" s="131"/>
      <c r="K176" s="132"/>
      <c r="L176" s="131"/>
      <c r="M176" s="131"/>
      <c r="N176" s="132"/>
      <c r="O176" s="507">
        <f t="shared" si="36"/>
        <v>0</v>
      </c>
      <c r="P176" s="105"/>
      <c r="Q176" s="644"/>
      <c r="R176" s="644"/>
      <c r="S176" s="644"/>
      <c r="T176" s="644"/>
      <c r="U176" s="644"/>
      <c r="V176" s="644"/>
      <c r="W176" s="644"/>
      <c r="X176" s="644"/>
      <c r="Y176" s="644"/>
      <c r="Z176" s="644"/>
      <c r="AA176" s="644"/>
      <c r="AB176" s="644"/>
      <c r="AC176" s="644"/>
      <c r="AD176" s="644"/>
      <c r="AE176" s="644"/>
      <c r="AF176" s="644"/>
      <c r="AG176" s="644"/>
      <c r="AH176" s="644"/>
      <c r="AI176" s="644"/>
      <c r="AJ176" s="644"/>
      <c r="AK176" s="644"/>
    </row>
    <row r="177" spans="1:37" s="108" customFormat="1" ht="15.75" customHeight="1">
      <c r="A177" s="161">
        <v>10</v>
      </c>
      <c r="B177" s="162" t="s">
        <v>267</v>
      </c>
      <c r="C177" s="104"/>
      <c r="D177" s="514"/>
      <c r="E177" s="514"/>
      <c r="F177" s="105"/>
      <c r="G177" s="105" t="s">
        <v>241</v>
      </c>
      <c r="H177" s="105"/>
      <c r="I177" s="105"/>
      <c r="J177" s="105"/>
      <c r="K177" s="105"/>
      <c r="L177" s="106"/>
      <c r="M177" s="106" t="s">
        <v>242</v>
      </c>
      <c r="N177" s="107">
        <f>jahr</f>
        <v>2007</v>
      </c>
      <c r="O177" s="507">
        <f t="shared" si="36"/>
        <v>0</v>
      </c>
      <c r="P177" s="105"/>
      <c r="Q177" s="644"/>
      <c r="R177" s="644"/>
      <c r="S177" s="644"/>
      <c r="T177" s="644"/>
      <c r="U177" s="644"/>
      <c r="V177" s="644"/>
      <c r="W177" s="644"/>
      <c r="X177" s="644"/>
      <c r="Y177" s="644"/>
      <c r="Z177" s="644"/>
      <c r="AA177" s="644"/>
      <c r="AB177" s="644"/>
      <c r="AC177" s="644"/>
      <c r="AD177" s="644"/>
      <c r="AE177" s="644"/>
      <c r="AF177" s="644"/>
      <c r="AG177" s="644"/>
      <c r="AH177" s="644"/>
      <c r="AI177" s="644"/>
      <c r="AJ177" s="644"/>
      <c r="AK177" s="644"/>
    </row>
    <row r="178" spans="1:37" s="108" customFormat="1" ht="12" customHeight="1">
      <c r="A178" s="103"/>
      <c r="B178" s="109" t="s">
        <v>580</v>
      </c>
      <c r="C178" s="110" t="s">
        <v>566</v>
      </c>
      <c r="D178" s="110"/>
      <c r="E178" s="110"/>
      <c r="F178" s="111" t="s">
        <v>567</v>
      </c>
      <c r="G178" s="111" t="s">
        <v>574</v>
      </c>
      <c r="H178" s="111" t="s">
        <v>575</v>
      </c>
      <c r="I178" s="111" t="s">
        <v>573</v>
      </c>
      <c r="J178" s="111" t="s">
        <v>591</v>
      </c>
      <c r="K178" s="111" t="s">
        <v>592</v>
      </c>
      <c r="L178" s="111" t="s">
        <v>593</v>
      </c>
      <c r="M178" s="111" t="s">
        <v>594</v>
      </c>
      <c r="N178" s="111" t="s">
        <v>33</v>
      </c>
      <c r="O178" s="507">
        <f t="shared" si="36"/>
        <v>0</v>
      </c>
      <c r="P178" s="105"/>
      <c r="Q178" s="644"/>
      <c r="R178" s="644"/>
      <c r="S178" s="644"/>
      <c r="T178" s="644"/>
      <c r="U178" s="644"/>
      <c r="V178" s="644"/>
      <c r="W178" s="644"/>
      <c r="X178" s="644"/>
      <c r="Y178" s="644"/>
      <c r="Z178" s="644"/>
      <c r="AA178" s="644"/>
      <c r="AB178" s="644"/>
      <c r="AC178" s="644"/>
      <c r="AD178" s="644"/>
      <c r="AE178" s="644"/>
      <c r="AF178" s="644"/>
      <c r="AG178" s="644"/>
      <c r="AH178" s="644"/>
      <c r="AI178" s="644"/>
      <c r="AJ178" s="644"/>
      <c r="AK178" s="644"/>
    </row>
    <row r="179" spans="1:37" s="163" customFormat="1" ht="12.75">
      <c r="A179" s="112"/>
      <c r="B179" s="113" t="str">
        <f>Vr&amp;"  "</f>
        <v>Xxx Vie  </v>
      </c>
      <c r="C179" s="114" t="s">
        <v>784</v>
      </c>
      <c r="D179" s="525"/>
      <c r="E179" s="525"/>
      <c r="F179" s="115" t="s">
        <v>786</v>
      </c>
      <c r="G179" s="116"/>
      <c r="H179" s="117"/>
      <c r="I179" s="118" t="s">
        <v>786</v>
      </c>
      <c r="J179" s="119"/>
      <c r="K179" s="120"/>
      <c r="L179" s="121" t="s">
        <v>786</v>
      </c>
      <c r="M179" s="122"/>
      <c r="N179" s="123"/>
      <c r="O179" s="507">
        <f t="shared" si="36"/>
        <v>0</v>
      </c>
      <c r="P179" s="105"/>
      <c r="Q179" s="645"/>
      <c r="R179" s="645"/>
      <c r="S179" s="645"/>
      <c r="T179" s="645"/>
      <c r="U179" s="645"/>
      <c r="V179" s="645"/>
      <c r="W179" s="645"/>
      <c r="X179" s="645"/>
      <c r="Y179" s="645"/>
      <c r="Z179" s="645"/>
      <c r="AA179" s="645"/>
      <c r="AB179" s="645"/>
      <c r="AC179" s="645"/>
      <c r="AD179" s="645"/>
      <c r="AE179" s="645"/>
      <c r="AF179" s="645"/>
      <c r="AG179" s="645"/>
      <c r="AH179" s="645"/>
      <c r="AI179" s="645"/>
      <c r="AJ179" s="645"/>
      <c r="AK179" s="645"/>
    </row>
    <row r="180" spans="1:37" s="163" customFormat="1" ht="12.75">
      <c r="A180" s="112"/>
      <c r="B180" s="105"/>
      <c r="C180" s="114" t="s">
        <v>785</v>
      </c>
      <c r="D180" s="525"/>
      <c r="E180" s="525"/>
      <c r="F180" s="124" t="s">
        <v>579</v>
      </c>
      <c r="G180" s="116"/>
      <c r="H180" s="117"/>
      <c r="I180" s="125" t="s">
        <v>787</v>
      </c>
      <c r="J180" s="126"/>
      <c r="K180" s="120"/>
      <c r="L180" s="127" t="s">
        <v>788</v>
      </c>
      <c r="M180" s="127"/>
      <c r="N180" s="123"/>
      <c r="O180" s="507">
        <f t="shared" si="36"/>
        <v>0</v>
      </c>
      <c r="P180" s="105"/>
      <c r="Q180" s="645"/>
      <c r="R180" s="645"/>
      <c r="S180" s="645"/>
      <c r="T180" s="645"/>
      <c r="U180" s="645"/>
      <c r="V180" s="645"/>
      <c r="W180" s="645"/>
      <c r="X180" s="645"/>
      <c r="Y180" s="645"/>
      <c r="Z180" s="645"/>
      <c r="AA180" s="645"/>
      <c r="AB180" s="645"/>
      <c r="AC180" s="645"/>
      <c r="AD180" s="645"/>
      <c r="AE180" s="645"/>
      <c r="AF180" s="645"/>
      <c r="AG180" s="645"/>
      <c r="AH180" s="645"/>
      <c r="AI180" s="645"/>
      <c r="AJ180" s="645"/>
      <c r="AK180" s="645"/>
    </row>
    <row r="181" spans="1:37" s="163" customFormat="1" ht="12.75">
      <c r="A181" s="112"/>
      <c r="B181" s="224"/>
      <c r="C181" s="192"/>
      <c r="D181" s="543"/>
      <c r="E181" s="543"/>
      <c r="F181" s="128" t="s">
        <v>246</v>
      </c>
      <c r="G181" s="128" t="s">
        <v>247</v>
      </c>
      <c r="H181" s="128" t="s">
        <v>789</v>
      </c>
      <c r="I181" s="129" t="s">
        <v>246</v>
      </c>
      <c r="J181" s="129" t="s">
        <v>247</v>
      </c>
      <c r="K181" s="129" t="s">
        <v>789</v>
      </c>
      <c r="L181" s="130" t="s">
        <v>246</v>
      </c>
      <c r="M181" s="130" t="s">
        <v>247</v>
      </c>
      <c r="N181" s="130" t="s">
        <v>789</v>
      </c>
      <c r="O181" s="507">
        <f t="shared" si="36"/>
        <v>0</v>
      </c>
      <c r="P181" s="105"/>
      <c r="Q181" s="645"/>
      <c r="R181" s="645"/>
      <c r="S181" s="645"/>
      <c r="T181" s="645"/>
      <c r="U181" s="645"/>
      <c r="V181" s="645"/>
      <c r="W181" s="645"/>
      <c r="X181" s="645"/>
      <c r="Y181" s="645"/>
      <c r="Z181" s="645"/>
      <c r="AA181" s="645"/>
      <c r="AB181" s="645"/>
      <c r="AC181" s="645"/>
      <c r="AD181" s="645"/>
      <c r="AE181" s="645"/>
      <c r="AF181" s="645"/>
      <c r="AG181" s="645"/>
      <c r="AH181" s="645"/>
      <c r="AI181" s="645"/>
      <c r="AJ181" s="645"/>
      <c r="AK181" s="645"/>
    </row>
    <row r="182" spans="1:37" s="108" customFormat="1" ht="12.75">
      <c r="A182" s="112"/>
      <c r="B182" s="43" t="s">
        <v>327</v>
      </c>
      <c r="C182" s="30"/>
      <c r="D182" s="531"/>
      <c r="E182" s="531"/>
      <c r="F182" s="131"/>
      <c r="G182" s="131"/>
      <c r="H182" s="132"/>
      <c r="I182" s="131"/>
      <c r="J182" s="131"/>
      <c r="K182" s="132"/>
      <c r="L182" s="131"/>
      <c r="M182" s="131"/>
      <c r="N182" s="132"/>
      <c r="O182" s="507">
        <f t="shared" si="36"/>
        <v>0</v>
      </c>
      <c r="P182" s="105"/>
      <c r="Q182" s="644"/>
      <c r="R182" s="644"/>
      <c r="S182" s="644"/>
      <c r="T182" s="644"/>
      <c r="U182" s="644"/>
      <c r="V182" s="644"/>
      <c r="W182" s="644"/>
      <c r="X182" s="644"/>
      <c r="Y182" s="644"/>
      <c r="Z182" s="644"/>
      <c r="AA182" s="644"/>
      <c r="AB182" s="644"/>
      <c r="AC182" s="644"/>
      <c r="AD182" s="644"/>
      <c r="AE182" s="644"/>
      <c r="AF182" s="644"/>
      <c r="AG182" s="644"/>
      <c r="AH182" s="644"/>
      <c r="AI182" s="644"/>
      <c r="AJ182" s="644"/>
      <c r="AK182" s="644"/>
    </row>
    <row r="183" spans="1:37" s="108" customFormat="1" ht="12.75">
      <c r="A183" s="112">
        <v>238</v>
      </c>
      <c r="B183" s="44" t="s">
        <v>268</v>
      </c>
      <c r="C183" s="9"/>
      <c r="D183" s="519"/>
      <c r="E183" s="519"/>
      <c r="F183" s="134">
        <f aca="true" t="shared" si="55" ref="F183:H184">I183+L183</f>
        <v>0</v>
      </c>
      <c r="G183" s="134">
        <f t="shared" si="55"/>
        <v>0</v>
      </c>
      <c r="H183" s="134">
        <f t="shared" si="55"/>
        <v>0</v>
      </c>
      <c r="I183" s="178">
        <f>J192</f>
        <v>0</v>
      </c>
      <c r="J183" s="178">
        <f>K192</f>
        <v>0</v>
      </c>
      <c r="K183" s="612"/>
      <c r="L183" s="179">
        <f>M192</f>
        <v>0</v>
      </c>
      <c r="M183" s="179">
        <f>N192</f>
        <v>0</v>
      </c>
      <c r="N183" s="613"/>
      <c r="O183" s="507">
        <f t="shared" si="36"/>
        <v>0</v>
      </c>
      <c r="P183" s="105"/>
      <c r="Q183" s="644"/>
      <c r="R183" s="644"/>
      <c r="S183" s="644"/>
      <c r="T183" s="644"/>
      <c r="U183" s="644"/>
      <c r="V183" s="644"/>
      <c r="W183" s="644"/>
      <c r="X183" s="644"/>
      <c r="Y183" s="644"/>
      <c r="Z183" s="644"/>
      <c r="AA183" s="644"/>
      <c r="AB183" s="644"/>
      <c r="AC183" s="644"/>
      <c r="AD183" s="644"/>
      <c r="AE183" s="644"/>
      <c r="AF183" s="644"/>
      <c r="AG183" s="644"/>
      <c r="AH183" s="644"/>
      <c r="AI183" s="644"/>
      <c r="AJ183" s="644"/>
      <c r="AK183" s="644"/>
    </row>
    <row r="184" spans="1:37" s="108" customFormat="1" ht="12.75">
      <c r="A184" s="112">
        <v>239</v>
      </c>
      <c r="B184" s="52" t="s">
        <v>269</v>
      </c>
      <c r="C184" s="62"/>
      <c r="D184" s="516">
        <f>IF(ABS(F184)&lt;2,0,"AE")</f>
        <v>0</v>
      </c>
      <c r="E184" s="517">
        <f>IF(ABS(G184)&lt;2,0,"AE-1")</f>
        <v>0</v>
      </c>
      <c r="F184" s="495">
        <f t="shared" si="55"/>
        <v>0</v>
      </c>
      <c r="G184" s="495">
        <f t="shared" si="55"/>
        <v>0</v>
      </c>
      <c r="H184" s="495">
        <f t="shared" si="55"/>
        <v>0</v>
      </c>
      <c r="I184" s="621"/>
      <c r="J184" s="621"/>
      <c r="K184" s="621"/>
      <c r="L184" s="622"/>
      <c r="M184" s="622"/>
      <c r="N184" s="622"/>
      <c r="O184" s="507">
        <f t="shared" si="36"/>
        <v>0</v>
      </c>
      <c r="P184" s="105"/>
      <c r="Q184" s="644"/>
      <c r="R184" s="644"/>
      <c r="S184" s="644"/>
      <c r="T184" s="644"/>
      <c r="U184" s="644"/>
      <c r="V184" s="644"/>
      <c r="W184" s="644"/>
      <c r="X184" s="644"/>
      <c r="Y184" s="644"/>
      <c r="Z184" s="644"/>
      <c r="AA184" s="644"/>
      <c r="AB184" s="644"/>
      <c r="AC184" s="644"/>
      <c r="AD184" s="644"/>
      <c r="AE184" s="644"/>
      <c r="AF184" s="644"/>
      <c r="AG184" s="644"/>
      <c r="AH184" s="644"/>
      <c r="AI184" s="644"/>
      <c r="AJ184" s="644"/>
      <c r="AK184" s="644"/>
    </row>
    <row r="185" spans="1:37" s="108" customFormat="1" ht="12.75">
      <c r="A185" s="138"/>
      <c r="B185" s="7"/>
      <c r="C185" s="7"/>
      <c r="D185" s="515"/>
      <c r="E185" s="515"/>
      <c r="F185" s="131"/>
      <c r="G185" s="131"/>
      <c r="H185" s="131"/>
      <c r="I185" s="225"/>
      <c r="J185" s="225"/>
      <c r="K185" s="225"/>
      <c r="L185" s="225"/>
      <c r="M185" s="225"/>
      <c r="N185" s="225"/>
      <c r="O185" s="507">
        <f t="shared" si="36"/>
        <v>0</v>
      </c>
      <c r="P185" s="105"/>
      <c r="Q185" s="644"/>
      <c r="R185" s="644"/>
      <c r="S185" s="644"/>
      <c r="T185" s="644"/>
      <c r="U185" s="644"/>
      <c r="V185" s="644"/>
      <c r="W185" s="644"/>
      <c r="X185" s="644"/>
      <c r="Y185" s="644"/>
      <c r="Z185" s="644"/>
      <c r="AA185" s="644"/>
      <c r="AB185" s="644"/>
      <c r="AC185" s="644"/>
      <c r="AD185" s="644"/>
      <c r="AE185" s="644"/>
      <c r="AF185" s="644"/>
      <c r="AG185" s="644"/>
      <c r="AH185" s="644"/>
      <c r="AI185" s="644"/>
      <c r="AJ185" s="644"/>
      <c r="AK185" s="644"/>
    </row>
    <row r="186" spans="1:37" s="108" customFormat="1" ht="12.75">
      <c r="A186" s="112">
        <v>240</v>
      </c>
      <c r="B186" s="60" t="s">
        <v>270</v>
      </c>
      <c r="C186" s="39"/>
      <c r="D186" s="516"/>
      <c r="E186" s="517"/>
      <c r="F186" s="134">
        <f>I186+L186</f>
        <v>0</v>
      </c>
      <c r="G186" s="134">
        <f>J186+M186</f>
        <v>0</v>
      </c>
      <c r="H186" s="134">
        <f>K186+N186</f>
        <v>0</v>
      </c>
      <c r="I186" s="178">
        <f aca="true" t="shared" si="56" ref="I186:N186">I$151</f>
        <v>0</v>
      </c>
      <c r="J186" s="178">
        <f t="shared" si="56"/>
        <v>0</v>
      </c>
      <c r="K186" s="178">
        <f t="shared" si="56"/>
        <v>0</v>
      </c>
      <c r="L186" s="179">
        <f t="shared" si="56"/>
        <v>0</v>
      </c>
      <c r="M186" s="179">
        <f t="shared" si="56"/>
        <v>0</v>
      </c>
      <c r="N186" s="179">
        <f t="shared" si="56"/>
        <v>0</v>
      </c>
      <c r="O186" s="507">
        <f t="shared" si="36"/>
        <v>0</v>
      </c>
      <c r="P186" s="105"/>
      <c r="Q186" s="644"/>
      <c r="R186" s="644"/>
      <c r="S186" s="644"/>
      <c r="T186" s="644"/>
      <c r="U186" s="644"/>
      <c r="V186" s="644"/>
      <c r="W186" s="644"/>
      <c r="X186" s="644"/>
      <c r="Y186" s="644"/>
      <c r="Z186" s="644"/>
      <c r="AA186" s="644"/>
      <c r="AB186" s="644"/>
      <c r="AC186" s="644"/>
      <c r="AD186" s="644"/>
      <c r="AE186" s="644"/>
      <c r="AF186" s="644"/>
      <c r="AG186" s="644"/>
      <c r="AH186" s="644"/>
      <c r="AI186" s="644"/>
      <c r="AJ186" s="644"/>
      <c r="AK186" s="644"/>
    </row>
    <row r="187" spans="1:37" s="108" customFormat="1" ht="12.75">
      <c r="A187" s="112"/>
      <c r="B187" s="63"/>
      <c r="C187" s="64"/>
      <c r="D187" s="64"/>
      <c r="E187" s="64"/>
      <c r="F187" s="226"/>
      <c r="G187" s="226"/>
      <c r="H187" s="226"/>
      <c r="I187" s="226"/>
      <c r="J187" s="226"/>
      <c r="K187" s="226"/>
      <c r="L187" s="226"/>
      <c r="M187" s="226"/>
      <c r="N187" s="226"/>
      <c r="O187" s="507">
        <f t="shared" si="36"/>
        <v>0</v>
      </c>
      <c r="P187" s="105"/>
      <c r="Q187" s="644"/>
      <c r="R187" s="644"/>
      <c r="S187" s="644"/>
      <c r="T187" s="644"/>
      <c r="U187" s="644"/>
      <c r="V187" s="644"/>
      <c r="W187" s="644"/>
      <c r="X187" s="644"/>
      <c r="Y187" s="644"/>
      <c r="Z187" s="644"/>
      <c r="AA187" s="644"/>
      <c r="AB187" s="644"/>
      <c r="AC187" s="644"/>
      <c r="AD187" s="644"/>
      <c r="AE187" s="644"/>
      <c r="AF187" s="644"/>
      <c r="AG187" s="644"/>
      <c r="AH187" s="644"/>
      <c r="AI187" s="644"/>
      <c r="AJ187" s="644"/>
      <c r="AK187" s="644"/>
    </row>
    <row r="188" spans="1:37" s="108" customFormat="1" ht="12.75" customHeight="1">
      <c r="A188" s="112">
        <v>241</v>
      </c>
      <c r="B188" s="60" t="s">
        <v>271</v>
      </c>
      <c r="C188" s="9" t="s">
        <v>272</v>
      </c>
      <c r="D188" s="516">
        <f>IF(ABS(F188-(I188+L188))&lt;2,0,"AE")</f>
        <v>0</v>
      </c>
      <c r="E188" s="517">
        <f>IF(ABS(G188-(J188+M188))&lt;2,0,"AE-1")</f>
        <v>0</v>
      </c>
      <c r="F188" s="133">
        <f>'CR'!$F$40</f>
        <v>0</v>
      </c>
      <c r="G188" s="133">
        <f>'CR'!$G$40</f>
        <v>0</v>
      </c>
      <c r="H188" s="134">
        <f>K188+N188</f>
        <v>0</v>
      </c>
      <c r="I188" s="612"/>
      <c r="J188" s="612"/>
      <c r="K188" s="612"/>
      <c r="L188" s="613"/>
      <c r="M188" s="613"/>
      <c r="N188" s="613"/>
      <c r="O188" s="507">
        <f t="shared" si="36"/>
        <v>0</v>
      </c>
      <c r="P188" s="105"/>
      <c r="Q188" s="644"/>
      <c r="R188" s="644"/>
      <c r="S188" s="644"/>
      <c r="T188" s="644"/>
      <c r="U188" s="644"/>
      <c r="V188" s="644"/>
      <c r="W188" s="644"/>
      <c r="X188" s="644"/>
      <c r="Y188" s="644"/>
      <c r="Z188" s="644"/>
      <c r="AA188" s="644"/>
      <c r="AB188" s="644"/>
      <c r="AC188" s="644"/>
      <c r="AD188" s="644"/>
      <c r="AE188" s="644"/>
      <c r="AF188" s="644"/>
      <c r="AG188" s="644"/>
      <c r="AH188" s="644"/>
      <c r="AI188" s="644"/>
      <c r="AJ188" s="644"/>
      <c r="AK188" s="644"/>
    </row>
    <row r="189" spans="1:37" s="108" customFormat="1" ht="12.75" customHeight="1">
      <c r="A189" s="112" t="s">
        <v>755</v>
      </c>
      <c r="B189" s="65" t="s">
        <v>756</v>
      </c>
      <c r="C189" s="9"/>
      <c r="D189" s="516"/>
      <c r="E189" s="517"/>
      <c r="F189" s="133">
        <f>$I$189+$L$189</f>
        <v>0</v>
      </c>
      <c r="G189" s="133"/>
      <c r="H189" s="134"/>
      <c r="I189" s="612"/>
      <c r="J189" s="612"/>
      <c r="K189" s="755"/>
      <c r="L189" s="613"/>
      <c r="M189" s="613"/>
      <c r="N189" s="756"/>
      <c r="O189" s="507">
        <f t="shared" si="36"/>
        <v>0</v>
      </c>
      <c r="P189" s="105"/>
      <c r="Q189" s="644"/>
      <c r="R189" s="644"/>
      <c r="S189" s="644"/>
      <c r="T189" s="644"/>
      <c r="U189" s="644"/>
      <c r="V189" s="644"/>
      <c r="W189" s="644"/>
      <c r="X189" s="644"/>
      <c r="Y189" s="644"/>
      <c r="Z189" s="644"/>
      <c r="AA189" s="644"/>
      <c r="AB189" s="644"/>
      <c r="AC189" s="644"/>
      <c r="AD189" s="644"/>
      <c r="AE189" s="644"/>
      <c r="AF189" s="644"/>
      <c r="AG189" s="644"/>
      <c r="AH189" s="644"/>
      <c r="AI189" s="644"/>
      <c r="AJ189" s="644"/>
      <c r="AK189" s="644"/>
    </row>
    <row r="190" spans="1:37" s="108" customFormat="1" ht="12.75" customHeight="1">
      <c r="A190" s="112">
        <v>242</v>
      </c>
      <c r="B190" s="65" t="s">
        <v>274</v>
      </c>
      <c r="C190" s="9" t="s">
        <v>273</v>
      </c>
      <c r="D190" s="516">
        <f>IF(ABS(F190-(I190+L190))&lt;2,0,"AE")</f>
        <v>0</v>
      </c>
      <c r="E190" s="517">
        <f>IF(ABS(G190-(J190+M190))&lt;2,0,"AE-1")</f>
        <v>0</v>
      </c>
      <c r="F190" s="133">
        <f>'CR'!$F$41</f>
        <v>0</v>
      </c>
      <c r="G190" s="133">
        <f>'CR'!$G$41</f>
        <v>0</v>
      </c>
      <c r="H190" s="134">
        <f>K190+N190</f>
        <v>0</v>
      </c>
      <c r="I190" s="612"/>
      <c r="J190" s="612"/>
      <c r="K190" s="612"/>
      <c r="L190" s="613"/>
      <c r="M190" s="613"/>
      <c r="N190" s="613"/>
      <c r="O190" s="507">
        <f t="shared" si="36"/>
        <v>0</v>
      </c>
      <c r="P190" s="105"/>
      <c r="Q190" s="644"/>
      <c r="R190" s="644"/>
      <c r="S190" s="644"/>
      <c r="T190" s="644"/>
      <c r="U190" s="644"/>
      <c r="V190" s="644"/>
      <c r="W190" s="644"/>
      <c r="X190" s="644"/>
      <c r="Y190" s="644"/>
      <c r="Z190" s="644"/>
      <c r="AA190" s="644"/>
      <c r="AB190" s="644"/>
      <c r="AC190" s="644"/>
      <c r="AD190" s="644"/>
      <c r="AE190" s="644"/>
      <c r="AF190" s="644"/>
      <c r="AG190" s="644"/>
      <c r="AH190" s="644"/>
      <c r="AI190" s="644"/>
      <c r="AJ190" s="644"/>
      <c r="AK190" s="644"/>
    </row>
    <row r="191" spans="1:37" s="108" customFormat="1" ht="12.75">
      <c r="A191" s="112"/>
      <c r="B191" s="55"/>
      <c r="C191" s="7"/>
      <c r="D191" s="515"/>
      <c r="E191" s="515"/>
      <c r="F191" s="131"/>
      <c r="G191" s="225"/>
      <c r="H191" s="225"/>
      <c r="I191" s="225"/>
      <c r="J191" s="225"/>
      <c r="K191" s="225"/>
      <c r="L191" s="225"/>
      <c r="M191" s="225"/>
      <c r="N191" s="225"/>
      <c r="O191" s="507">
        <f t="shared" si="36"/>
        <v>0</v>
      </c>
      <c r="P191" s="105"/>
      <c r="Q191" s="644"/>
      <c r="R191" s="644"/>
      <c r="S191" s="644"/>
      <c r="T191" s="644"/>
      <c r="U191" s="644"/>
      <c r="V191" s="644"/>
      <c r="W191" s="644"/>
      <c r="X191" s="644"/>
      <c r="Y191" s="644"/>
      <c r="Z191" s="644"/>
      <c r="AA191" s="644"/>
      <c r="AB191" s="644"/>
      <c r="AC191" s="644"/>
      <c r="AD191" s="644"/>
      <c r="AE191" s="644"/>
      <c r="AF191" s="644"/>
      <c r="AG191" s="644"/>
      <c r="AH191" s="644"/>
      <c r="AI191" s="644"/>
      <c r="AJ191" s="644"/>
      <c r="AK191" s="644"/>
    </row>
    <row r="192" spans="1:37" s="108" customFormat="1" ht="24">
      <c r="A192" s="112">
        <v>243</v>
      </c>
      <c r="B192" s="666" t="s">
        <v>671</v>
      </c>
      <c r="C192" s="57" t="s">
        <v>589</v>
      </c>
      <c r="D192" s="512">
        <f>IF(ABS(F192-(I192+L192))&lt;2,0,"AE")</f>
        <v>0</v>
      </c>
      <c r="E192" s="513">
        <f>IF(ABS(G192-(J192+M192))&lt;2,0,"AE-1")</f>
        <v>0</v>
      </c>
      <c r="F192" s="205">
        <f>BILAN!$F$99+BILAN!$F$100</f>
        <v>0</v>
      </c>
      <c r="G192" s="227">
        <f>BILAN!$G$99+BILAN!$G$100</f>
        <v>0</v>
      </c>
      <c r="H192" s="157">
        <f>K192+N192</f>
        <v>0</v>
      </c>
      <c r="I192" s="187">
        <f>I$183+I$184+I$186-I$188+$I$189-I$190</f>
        <v>0</v>
      </c>
      <c r="J192" s="187">
        <f>J$183+J$184+J$186-J$188+$J$189-J$190</f>
        <v>0</v>
      </c>
      <c r="K192" s="187">
        <f>K$183+K$184+K$186-K$188-K$190</f>
        <v>0</v>
      </c>
      <c r="L192" s="188">
        <f>L$183+L$184+L$186-L$188+$L$189-L$190</f>
        <v>0</v>
      </c>
      <c r="M192" s="188">
        <f>M$183+M$184+M$186-M$188+$M$189-M$190</f>
        <v>0</v>
      </c>
      <c r="N192" s="188">
        <f>N$183+N$184+N$186-N$188-N$190</f>
        <v>0</v>
      </c>
      <c r="O192" s="507">
        <f t="shared" si="36"/>
        <v>0</v>
      </c>
      <c r="P192" s="105"/>
      <c r="Q192" s="644"/>
      <c r="R192" s="644"/>
      <c r="S192" s="644"/>
      <c r="T192" s="644"/>
      <c r="U192" s="644"/>
      <c r="V192" s="644"/>
      <c r="W192" s="644"/>
      <c r="X192" s="644"/>
      <c r="Y192" s="644"/>
      <c r="Z192" s="644"/>
      <c r="AA192" s="644"/>
      <c r="AB192" s="644"/>
      <c r="AC192" s="644"/>
      <c r="AD192" s="644"/>
      <c r="AE192" s="644"/>
      <c r="AF192" s="644"/>
      <c r="AG192" s="644"/>
      <c r="AH192" s="644"/>
      <c r="AI192" s="644"/>
      <c r="AJ192" s="644"/>
      <c r="AK192" s="644"/>
    </row>
    <row r="193" spans="1:37" s="108" customFormat="1" ht="12.75">
      <c r="A193" s="112"/>
      <c r="B193" s="55"/>
      <c r="C193" s="7"/>
      <c r="D193" s="515"/>
      <c r="E193" s="515"/>
      <c r="F193" s="131"/>
      <c r="G193" s="141"/>
      <c r="H193" s="141"/>
      <c r="I193" s="141"/>
      <c r="J193" s="141"/>
      <c r="K193" s="141"/>
      <c r="L193" s="141"/>
      <c r="M193" s="141"/>
      <c r="N193" s="141"/>
      <c r="O193" s="507">
        <f t="shared" si="36"/>
        <v>0</v>
      </c>
      <c r="P193" s="105"/>
      <c r="Q193" s="644"/>
      <c r="R193" s="644"/>
      <c r="S193" s="644"/>
      <c r="T193" s="644"/>
      <c r="U193" s="644"/>
      <c r="V193" s="644"/>
      <c r="W193" s="644"/>
      <c r="X193" s="644"/>
      <c r="Y193" s="644"/>
      <c r="Z193" s="644"/>
      <c r="AA193" s="644"/>
      <c r="AB193" s="644"/>
      <c r="AC193" s="644"/>
      <c r="AD193" s="644"/>
      <c r="AE193" s="644"/>
      <c r="AF193" s="644"/>
      <c r="AG193" s="644"/>
      <c r="AH193" s="644"/>
      <c r="AI193" s="644"/>
      <c r="AJ193" s="644"/>
      <c r="AK193" s="644"/>
    </row>
    <row r="194" spans="1:37" s="108" customFormat="1" ht="24">
      <c r="A194" s="112">
        <v>244</v>
      </c>
      <c r="B194" s="65" t="s">
        <v>275</v>
      </c>
      <c r="C194" s="9"/>
      <c r="D194" s="519"/>
      <c r="E194" s="519"/>
      <c r="F194" s="157">
        <f>I194+L194</f>
        <v>0</v>
      </c>
      <c r="G194" s="157">
        <f>J194+M194</f>
        <v>0</v>
      </c>
      <c r="H194" s="157">
        <f>K194+N194</f>
        <v>0</v>
      </c>
      <c r="I194" s="612"/>
      <c r="J194" s="612"/>
      <c r="K194" s="612"/>
      <c r="L194" s="613"/>
      <c r="M194" s="613"/>
      <c r="N194" s="613"/>
      <c r="O194" s="507">
        <f t="shared" si="36"/>
        <v>0</v>
      </c>
      <c r="P194" s="105"/>
      <c r="Q194" s="644"/>
      <c r="R194" s="644"/>
      <c r="S194" s="644"/>
      <c r="T194" s="644"/>
      <c r="U194" s="644"/>
      <c r="V194" s="644"/>
      <c r="W194" s="644"/>
      <c r="X194" s="644"/>
      <c r="Y194" s="644"/>
      <c r="Z194" s="644"/>
      <c r="AA194" s="644"/>
      <c r="AB194" s="644"/>
      <c r="AC194" s="644"/>
      <c r="AD194" s="644"/>
      <c r="AE194" s="644"/>
      <c r="AF194" s="644"/>
      <c r="AG194" s="644"/>
      <c r="AH194" s="644"/>
      <c r="AI194" s="644"/>
      <c r="AJ194" s="644"/>
      <c r="AK194" s="644"/>
    </row>
    <row r="195" spans="1:37" s="108" customFormat="1" ht="12.75">
      <c r="A195" s="112"/>
      <c r="B195" s="55"/>
      <c r="C195" s="7"/>
      <c r="D195" s="515"/>
      <c r="E195" s="515"/>
      <c r="F195" s="131"/>
      <c r="G195" s="131"/>
      <c r="H195" s="132"/>
      <c r="I195" s="131"/>
      <c r="J195" s="131"/>
      <c r="K195" s="132"/>
      <c r="L195" s="131"/>
      <c r="M195" s="131"/>
      <c r="N195" s="132"/>
      <c r="O195" s="507">
        <f t="shared" si="36"/>
        <v>0</v>
      </c>
      <c r="P195" s="105"/>
      <c r="Q195" s="644"/>
      <c r="R195" s="644"/>
      <c r="S195" s="644"/>
      <c r="T195" s="644"/>
      <c r="U195" s="644"/>
      <c r="V195" s="644"/>
      <c r="W195" s="644"/>
      <c r="X195" s="644"/>
      <c r="Y195" s="644"/>
      <c r="Z195" s="644"/>
      <c r="AA195" s="644"/>
      <c r="AB195" s="644"/>
      <c r="AC195" s="644"/>
      <c r="AD195" s="644"/>
      <c r="AE195" s="644"/>
      <c r="AF195" s="644"/>
      <c r="AG195" s="644"/>
      <c r="AH195" s="644"/>
      <c r="AI195" s="644"/>
      <c r="AJ195" s="644"/>
      <c r="AK195" s="644"/>
    </row>
    <row r="196" spans="1:37" s="108" customFormat="1" ht="12.75">
      <c r="A196" s="112"/>
      <c r="B196" s="43" t="s">
        <v>328</v>
      </c>
      <c r="C196" s="30"/>
      <c r="D196" s="531"/>
      <c r="E196" s="531"/>
      <c r="F196" s="131"/>
      <c r="G196" s="131"/>
      <c r="H196" s="132"/>
      <c r="I196" s="131"/>
      <c r="J196" s="131"/>
      <c r="K196" s="132"/>
      <c r="L196" s="131"/>
      <c r="M196" s="131"/>
      <c r="N196" s="132"/>
      <c r="O196" s="507">
        <f t="shared" si="36"/>
        <v>0</v>
      </c>
      <c r="P196" s="105"/>
      <c r="Q196" s="644"/>
      <c r="R196" s="644"/>
      <c r="S196" s="644"/>
      <c r="T196" s="644"/>
      <c r="U196" s="644"/>
      <c r="V196" s="644"/>
      <c r="W196" s="644"/>
      <c r="X196" s="644"/>
      <c r="Y196" s="644"/>
      <c r="Z196" s="644"/>
      <c r="AA196" s="644"/>
      <c r="AB196" s="644"/>
      <c r="AC196" s="644"/>
      <c r="AD196" s="644"/>
      <c r="AE196" s="644"/>
      <c r="AF196" s="644"/>
      <c r="AG196" s="644"/>
      <c r="AH196" s="644"/>
      <c r="AI196" s="644"/>
      <c r="AJ196" s="644"/>
      <c r="AK196" s="644"/>
    </row>
    <row r="197" spans="1:37" s="108" customFormat="1" ht="12.75">
      <c r="A197" s="112">
        <v>245</v>
      </c>
      <c r="B197" s="10" t="s">
        <v>276</v>
      </c>
      <c r="C197" s="9"/>
      <c r="D197" s="519"/>
      <c r="E197" s="519"/>
      <c r="F197" s="228"/>
      <c r="G197" s="228"/>
      <c r="H197" s="229"/>
      <c r="I197" s="178">
        <f>2/3*(I$183+I$184+I$186)</f>
        <v>0</v>
      </c>
      <c r="J197" s="178">
        <f>2/3*(J$183+J$184+J$186)</f>
        <v>0</v>
      </c>
      <c r="K197" s="178">
        <f>2/3*(K$183+K$184+K$186)</f>
        <v>0</v>
      </c>
      <c r="L197" s="131"/>
      <c r="M197" s="131"/>
      <c r="N197" s="132"/>
      <c r="O197" s="507">
        <f t="shared" si="36"/>
        <v>0</v>
      </c>
      <c r="P197" s="105"/>
      <c r="Q197" s="644"/>
      <c r="R197" s="644"/>
      <c r="S197" s="644"/>
      <c r="T197" s="644"/>
      <c r="U197" s="644"/>
      <c r="V197" s="644"/>
      <c r="W197" s="644"/>
      <c r="X197" s="644"/>
      <c r="Y197" s="644"/>
      <c r="Z197" s="644"/>
      <c r="AA197" s="644"/>
      <c r="AB197" s="644"/>
      <c r="AC197" s="644"/>
      <c r="AD197" s="644"/>
      <c r="AE197" s="644"/>
      <c r="AF197" s="644"/>
      <c r="AG197" s="644"/>
      <c r="AH197" s="644"/>
      <c r="AI197" s="644"/>
      <c r="AJ197" s="644"/>
      <c r="AK197" s="644"/>
    </row>
    <row r="198" spans="1:37" s="108" customFormat="1" ht="24.75" customHeight="1">
      <c r="A198" s="112">
        <v>246</v>
      </c>
      <c r="B198" s="45" t="s">
        <v>277</v>
      </c>
      <c r="C198" s="66"/>
      <c r="D198" s="518"/>
      <c r="E198" s="518"/>
      <c r="F198" s="139"/>
      <c r="G198" s="139"/>
      <c r="H198" s="230"/>
      <c r="I198" s="231" t="str">
        <f>IF(I$188&lt;=I$197,"Oui","Non")</f>
        <v>Oui</v>
      </c>
      <c r="J198" s="231" t="str">
        <f>IF(J$188&lt;=J$197,"Oui","Non")</f>
        <v>Oui</v>
      </c>
      <c r="K198" s="231" t="str">
        <f>IF(K$188&lt;=K$197,"Oui","Non")</f>
        <v>Oui</v>
      </c>
      <c r="L198" s="131"/>
      <c r="M198" s="131"/>
      <c r="N198" s="132"/>
      <c r="O198" s="507">
        <f t="shared" si="36"/>
        <v>0</v>
      </c>
      <c r="P198" s="105"/>
      <c r="Q198" s="644"/>
      <c r="R198" s="644"/>
      <c r="S198" s="644"/>
      <c r="T198" s="644"/>
      <c r="U198" s="644"/>
      <c r="V198" s="644"/>
      <c r="W198" s="644"/>
      <c r="X198" s="644"/>
      <c r="Y198" s="644"/>
      <c r="Z198" s="644"/>
      <c r="AA198" s="644"/>
      <c r="AB198" s="644"/>
      <c r="AC198" s="644"/>
      <c r="AD198" s="644"/>
      <c r="AE198" s="644"/>
      <c r="AF198" s="644"/>
      <c r="AG198" s="644"/>
      <c r="AH198" s="644"/>
      <c r="AI198" s="644"/>
      <c r="AJ198" s="644"/>
      <c r="AK198" s="644"/>
    </row>
    <row r="199" spans="1:37" s="108" customFormat="1" ht="12.75">
      <c r="A199" s="112"/>
      <c r="B199" s="55"/>
      <c r="C199" s="7"/>
      <c r="D199" s="515"/>
      <c r="E199" s="515"/>
      <c r="F199" s="131"/>
      <c r="G199" s="131"/>
      <c r="H199" s="132"/>
      <c r="I199" s="131"/>
      <c r="J199" s="131"/>
      <c r="K199" s="132"/>
      <c r="L199" s="131"/>
      <c r="M199" s="131"/>
      <c r="N199" s="132"/>
      <c r="O199" s="507">
        <f aca="true" t="shared" si="57" ref="O199:O216">IF(OR($D199="AE",$E199="AE-1"),1,0)</f>
        <v>0</v>
      </c>
      <c r="P199" s="105"/>
      <c r="Q199" s="644"/>
      <c r="R199" s="644"/>
      <c r="S199" s="644"/>
      <c r="T199" s="644"/>
      <c r="U199" s="644"/>
      <c r="V199" s="644"/>
      <c r="W199" s="644"/>
      <c r="X199" s="644"/>
      <c r="Y199" s="644"/>
      <c r="Z199" s="644"/>
      <c r="AA199" s="644"/>
      <c r="AB199" s="644"/>
      <c r="AC199" s="644"/>
      <c r="AD199" s="644"/>
      <c r="AE199" s="644"/>
      <c r="AF199" s="644"/>
      <c r="AG199" s="644"/>
      <c r="AH199" s="644"/>
      <c r="AI199" s="644"/>
      <c r="AJ199" s="644"/>
      <c r="AK199" s="644"/>
    </row>
    <row r="200" spans="1:37" s="108" customFormat="1" ht="12.75">
      <c r="A200" s="112"/>
      <c r="B200" s="43" t="s">
        <v>329</v>
      </c>
      <c r="C200" s="30"/>
      <c r="D200" s="531"/>
      <c r="E200" s="531"/>
      <c r="F200" s="131"/>
      <c r="G200" s="131"/>
      <c r="H200" s="132"/>
      <c r="I200" s="131"/>
      <c r="J200" s="131"/>
      <c r="K200" s="132"/>
      <c r="L200" s="131"/>
      <c r="M200" s="131"/>
      <c r="N200" s="132"/>
      <c r="O200" s="507">
        <f t="shared" si="57"/>
        <v>0</v>
      </c>
      <c r="P200" s="105"/>
      <c r="Q200" s="644"/>
      <c r="R200" s="644"/>
      <c r="S200" s="644"/>
      <c r="T200" s="644"/>
      <c r="U200" s="644"/>
      <c r="V200" s="644"/>
      <c r="W200" s="644"/>
      <c r="X200" s="644"/>
      <c r="Y200" s="644"/>
      <c r="Z200" s="644"/>
      <c r="AA200" s="644"/>
      <c r="AB200" s="644"/>
      <c r="AC200" s="644"/>
      <c r="AD200" s="644"/>
      <c r="AE200" s="644"/>
      <c r="AF200" s="644"/>
      <c r="AG200" s="644"/>
      <c r="AH200" s="644"/>
      <c r="AI200" s="644"/>
      <c r="AJ200" s="644"/>
      <c r="AK200" s="644"/>
    </row>
    <row r="201" spans="1:37" s="108" customFormat="1" ht="24">
      <c r="A201" s="112">
        <v>247</v>
      </c>
      <c r="B201" s="44" t="s">
        <v>278</v>
      </c>
      <c r="C201" s="23"/>
      <c r="D201" s="69"/>
      <c r="E201" s="69"/>
      <c r="F201" s="157">
        <f aca="true" t="shared" si="58" ref="F201:H203">I201+L201</f>
        <v>0</v>
      </c>
      <c r="G201" s="157">
        <f t="shared" si="58"/>
        <v>0</v>
      </c>
      <c r="H201" s="157">
        <f t="shared" si="58"/>
        <v>0</v>
      </c>
      <c r="I201" s="612"/>
      <c r="J201" s="612"/>
      <c r="K201" s="612"/>
      <c r="L201" s="613"/>
      <c r="M201" s="613"/>
      <c r="N201" s="613"/>
      <c r="O201" s="507">
        <f t="shared" si="57"/>
        <v>0</v>
      </c>
      <c r="P201" s="105"/>
      <c r="Q201" s="644"/>
      <c r="R201" s="644"/>
      <c r="S201" s="644"/>
      <c r="T201" s="644"/>
      <c r="U201" s="644"/>
      <c r="V201" s="644"/>
      <c r="W201" s="644"/>
      <c r="X201" s="644"/>
      <c r="Y201" s="644"/>
      <c r="Z201" s="644"/>
      <c r="AA201" s="644"/>
      <c r="AB201" s="644"/>
      <c r="AC201" s="644"/>
      <c r="AD201" s="644"/>
      <c r="AE201" s="644"/>
      <c r="AF201" s="644"/>
      <c r="AG201" s="644"/>
      <c r="AH201" s="644"/>
      <c r="AI201" s="644"/>
      <c r="AJ201" s="644"/>
      <c r="AK201" s="644"/>
    </row>
    <row r="202" spans="1:37" s="108" customFormat="1" ht="24" customHeight="1">
      <c r="A202" s="112">
        <v>248</v>
      </c>
      <c r="B202" s="44" t="s">
        <v>285</v>
      </c>
      <c r="C202" s="23"/>
      <c r="D202" s="69"/>
      <c r="E202" s="69"/>
      <c r="F202" s="157">
        <f t="shared" si="58"/>
        <v>0</v>
      </c>
      <c r="G202" s="157">
        <f t="shared" si="58"/>
        <v>0</v>
      </c>
      <c r="H202" s="157">
        <f t="shared" si="58"/>
        <v>0</v>
      </c>
      <c r="I202" s="612"/>
      <c r="J202" s="612"/>
      <c r="K202" s="612"/>
      <c r="L202" s="613"/>
      <c r="M202" s="613"/>
      <c r="N202" s="613"/>
      <c r="O202" s="507">
        <f t="shared" si="57"/>
        <v>0</v>
      </c>
      <c r="P202" s="105"/>
      <c r="Q202" s="644"/>
      <c r="R202" s="644"/>
      <c r="S202" s="644"/>
      <c r="T202" s="644"/>
      <c r="U202" s="644"/>
      <c r="V202" s="644"/>
      <c r="W202" s="644"/>
      <c r="X202" s="644"/>
      <c r="Y202" s="644"/>
      <c r="Z202" s="644"/>
      <c r="AA202" s="644"/>
      <c r="AB202" s="644"/>
      <c r="AC202" s="644"/>
      <c r="AD202" s="644"/>
      <c r="AE202" s="644"/>
      <c r="AF202" s="644"/>
      <c r="AG202" s="644"/>
      <c r="AH202" s="644"/>
      <c r="AI202" s="644"/>
      <c r="AJ202" s="644"/>
      <c r="AK202" s="644"/>
    </row>
    <row r="203" spans="1:37" s="108" customFormat="1" ht="25.5">
      <c r="A203" s="112">
        <v>249</v>
      </c>
      <c r="B203" s="67" t="s">
        <v>330</v>
      </c>
      <c r="C203" s="510"/>
      <c r="D203" s="512">
        <f>IF(AND(ABS($I203-$I$188)&lt;2,ABS($J203-$J$188)&lt;2,ABS($K203-$K$188)&lt;2),0,"QM+")</f>
        <v>0</v>
      </c>
      <c r="E203" s="513">
        <f>IF(AND(ABS($L203-$L$188)&lt;2,ABS($M203-$M$188)&lt;2,ABS($N203-$N$188)&lt;2),0,"QM-")</f>
        <v>0</v>
      </c>
      <c r="F203" s="739">
        <f t="shared" si="58"/>
        <v>0</v>
      </c>
      <c r="G203" s="739">
        <f t="shared" si="58"/>
        <v>0</v>
      </c>
      <c r="H203" s="739">
        <f t="shared" si="58"/>
        <v>0</v>
      </c>
      <c r="I203" s="232">
        <f aca="true" t="shared" si="59" ref="I203:N203">I$201+I$202</f>
        <v>0</v>
      </c>
      <c r="J203" s="232">
        <f t="shared" si="59"/>
        <v>0</v>
      </c>
      <c r="K203" s="232">
        <f t="shared" si="59"/>
        <v>0</v>
      </c>
      <c r="L203" s="233">
        <f t="shared" si="59"/>
        <v>0</v>
      </c>
      <c r="M203" s="233">
        <f t="shared" si="59"/>
        <v>0</v>
      </c>
      <c r="N203" s="233">
        <f t="shared" si="59"/>
        <v>0</v>
      </c>
      <c r="O203" s="507">
        <f t="shared" si="57"/>
        <v>0</v>
      </c>
      <c r="P203" s="105"/>
      <c r="Q203" s="644"/>
      <c r="R203" s="644"/>
      <c r="S203" s="644"/>
      <c r="T203" s="644"/>
      <c r="U203" s="644"/>
      <c r="V203" s="644"/>
      <c r="W203" s="644"/>
      <c r="X203" s="644"/>
      <c r="Y203" s="644"/>
      <c r="Z203" s="644"/>
      <c r="AA203" s="644"/>
      <c r="AB203" s="644"/>
      <c r="AC203" s="644"/>
      <c r="AD203" s="644"/>
      <c r="AE203" s="644"/>
      <c r="AF203" s="644"/>
      <c r="AG203" s="644"/>
      <c r="AH203" s="644"/>
      <c r="AI203" s="644"/>
      <c r="AJ203" s="644"/>
      <c r="AK203" s="644"/>
    </row>
    <row r="204" spans="1:37" s="108" customFormat="1" ht="13.5">
      <c r="A204" s="112"/>
      <c r="B204" s="680" t="s">
        <v>828</v>
      </c>
      <c r="C204" s="678"/>
      <c r="D204" s="740"/>
      <c r="E204" s="740"/>
      <c r="F204" s="131"/>
      <c r="G204" s="131"/>
      <c r="H204" s="132"/>
      <c r="I204" s="131"/>
      <c r="J204" s="131"/>
      <c r="K204" s="132"/>
      <c r="L204" s="131"/>
      <c r="M204" s="131"/>
      <c r="N204" s="132"/>
      <c r="O204" s="507">
        <f t="shared" si="57"/>
        <v>0</v>
      </c>
      <c r="P204" s="105"/>
      <c r="Q204" s="644"/>
      <c r="R204" s="644"/>
      <c r="S204" s="644"/>
      <c r="T204" s="644"/>
      <c r="U204" s="644"/>
      <c r="V204" s="644"/>
      <c r="W204" s="644"/>
      <c r="X204" s="644"/>
      <c r="Y204" s="644"/>
      <c r="Z204" s="644"/>
      <c r="AA204" s="644"/>
      <c r="AB204" s="644"/>
      <c r="AC204" s="644"/>
      <c r="AD204" s="644"/>
      <c r="AE204" s="644"/>
      <c r="AF204" s="644"/>
      <c r="AG204" s="644"/>
      <c r="AH204" s="644"/>
      <c r="AI204" s="644"/>
      <c r="AJ204" s="644"/>
      <c r="AK204" s="644"/>
    </row>
    <row r="205" spans="1:16" ht="12.75">
      <c r="A205" s="234"/>
      <c r="B205" s="234"/>
      <c r="C205" s="235"/>
      <c r="D205" s="553"/>
      <c r="E205" s="553"/>
      <c r="F205" s="175"/>
      <c r="G205" s="175"/>
      <c r="H205" s="175"/>
      <c r="I205" s="175"/>
      <c r="J205" s="175"/>
      <c r="K205" s="175"/>
      <c r="L205" s="175"/>
      <c r="M205" s="175"/>
      <c r="N205" s="175"/>
      <c r="O205" s="507">
        <f t="shared" si="57"/>
        <v>0</v>
      </c>
      <c r="P205" s="175"/>
    </row>
    <row r="206" spans="1:37" s="108" customFormat="1" ht="12.75">
      <c r="A206" s="112"/>
      <c r="B206" s="43" t="s">
        <v>290</v>
      </c>
      <c r="C206" s="30"/>
      <c r="D206" s="531"/>
      <c r="E206" s="531"/>
      <c r="F206" s="131"/>
      <c r="G206" s="131"/>
      <c r="H206" s="132"/>
      <c r="I206" s="131"/>
      <c r="J206" s="131"/>
      <c r="K206" s="132"/>
      <c r="L206" s="131"/>
      <c r="M206" s="131"/>
      <c r="N206" s="132"/>
      <c r="O206" s="507">
        <f t="shared" si="57"/>
        <v>0</v>
      </c>
      <c r="P206" s="105"/>
      <c r="Q206" s="644"/>
      <c r="R206" s="644"/>
      <c r="S206" s="644"/>
      <c r="T206" s="644"/>
      <c r="U206" s="644"/>
      <c r="V206" s="644"/>
      <c r="W206" s="644"/>
      <c r="X206" s="644"/>
      <c r="Y206" s="644"/>
      <c r="Z206" s="644"/>
      <c r="AA206" s="644"/>
      <c r="AB206" s="644"/>
      <c r="AC206" s="644"/>
      <c r="AD206" s="644"/>
      <c r="AE206" s="644"/>
      <c r="AF206" s="644"/>
      <c r="AG206" s="644"/>
      <c r="AH206" s="644"/>
      <c r="AI206" s="644"/>
      <c r="AJ206" s="644"/>
      <c r="AK206" s="644"/>
    </row>
    <row r="207" spans="1:37" s="108" customFormat="1" ht="12.75">
      <c r="A207" s="112">
        <v>250</v>
      </c>
      <c r="B207" s="44" t="s">
        <v>268</v>
      </c>
      <c r="C207" s="23"/>
      <c r="D207" s="69"/>
      <c r="E207" s="69"/>
      <c r="F207" s="718">
        <f>I207+L207</f>
        <v>0</v>
      </c>
      <c r="G207" s="134">
        <f>J207+M207</f>
        <v>0</v>
      </c>
      <c r="H207" s="134">
        <f>K207+N207</f>
        <v>0</v>
      </c>
      <c r="I207" s="178">
        <f>J216</f>
        <v>0</v>
      </c>
      <c r="J207" s="178">
        <f>K216</f>
        <v>0</v>
      </c>
      <c r="K207" s="612"/>
      <c r="L207" s="179">
        <f>M216</f>
        <v>0</v>
      </c>
      <c r="M207" s="179">
        <f>N216</f>
        <v>0</v>
      </c>
      <c r="N207" s="613"/>
      <c r="O207" s="507">
        <f t="shared" si="57"/>
        <v>0</v>
      </c>
      <c r="P207" s="105"/>
      <c r="Q207" s="644"/>
      <c r="R207" s="644"/>
      <c r="S207" s="644"/>
      <c r="T207" s="644"/>
      <c r="U207" s="644"/>
      <c r="V207" s="644"/>
      <c r="W207" s="644"/>
      <c r="X207" s="644"/>
      <c r="Y207" s="644"/>
      <c r="Z207" s="644"/>
      <c r="AA207" s="644"/>
      <c r="AB207" s="644"/>
      <c r="AC207" s="644"/>
      <c r="AD207" s="644"/>
      <c r="AE207" s="644"/>
      <c r="AF207" s="644"/>
      <c r="AG207" s="644"/>
      <c r="AH207" s="644"/>
      <c r="AI207" s="644"/>
      <c r="AJ207" s="644"/>
      <c r="AK207" s="644"/>
    </row>
    <row r="208" spans="1:37" s="108" customFormat="1" ht="12.75">
      <c r="A208" s="112">
        <v>251</v>
      </c>
      <c r="B208" s="52" t="s">
        <v>269</v>
      </c>
      <c r="C208" s="62"/>
      <c r="D208" s="516">
        <f>IF(ABS(F208)&lt;2,0,"AE")</f>
        <v>0</v>
      </c>
      <c r="E208" s="517">
        <f>IF(ABS(G208)&lt;2,0,"AE-1")</f>
        <v>0</v>
      </c>
      <c r="F208" s="495">
        <f>I208+L208</f>
        <v>0</v>
      </c>
      <c r="G208" s="495">
        <f>J208+M208</f>
        <v>0</v>
      </c>
      <c r="H208" s="495">
        <f>IF(K208+N208=0,0,"? ")</f>
        <v>0</v>
      </c>
      <c r="I208" s="621"/>
      <c r="J208" s="621"/>
      <c r="K208" s="621"/>
      <c r="L208" s="622"/>
      <c r="M208" s="622"/>
      <c r="N208" s="622"/>
      <c r="O208" s="507">
        <f t="shared" si="57"/>
        <v>0</v>
      </c>
      <c r="P208" s="105"/>
      <c r="Q208" s="644"/>
      <c r="R208" s="644"/>
      <c r="S208" s="644"/>
      <c r="T208" s="644"/>
      <c r="U208" s="644"/>
      <c r="V208" s="644"/>
      <c r="W208" s="644"/>
      <c r="X208" s="644"/>
      <c r="Y208" s="644"/>
      <c r="Z208" s="644"/>
      <c r="AA208" s="644"/>
      <c r="AB208" s="644"/>
      <c r="AC208" s="644"/>
      <c r="AD208" s="644"/>
      <c r="AE208" s="644"/>
      <c r="AF208" s="644"/>
      <c r="AG208" s="644"/>
      <c r="AH208" s="644"/>
      <c r="AI208" s="644"/>
      <c r="AJ208" s="644"/>
      <c r="AK208" s="644"/>
    </row>
    <row r="209" spans="1:37" s="108" customFormat="1" ht="12.75">
      <c r="A209" s="112"/>
      <c r="B209" s="68"/>
      <c r="C209" s="7"/>
      <c r="D209" s="515"/>
      <c r="E209" s="515"/>
      <c r="F209" s="131"/>
      <c r="G209" s="131"/>
      <c r="H209" s="132"/>
      <c r="I209" s="131"/>
      <c r="J209" s="131"/>
      <c r="K209" s="132"/>
      <c r="L209" s="131"/>
      <c r="M209" s="131"/>
      <c r="N209" s="131"/>
      <c r="O209" s="507">
        <f t="shared" si="57"/>
        <v>0</v>
      </c>
      <c r="P209" s="105"/>
      <c r="Q209" s="644"/>
      <c r="R209" s="644"/>
      <c r="S209" s="644"/>
      <c r="T209" s="644"/>
      <c r="U209" s="644"/>
      <c r="V209" s="644"/>
      <c r="W209" s="644"/>
      <c r="X209" s="644"/>
      <c r="Y209" s="644"/>
      <c r="Z209" s="644"/>
      <c r="AA209" s="644"/>
      <c r="AB209" s="644"/>
      <c r="AC209" s="644"/>
      <c r="AD209" s="644"/>
      <c r="AE209" s="644"/>
      <c r="AF209" s="644"/>
      <c r="AG209" s="644"/>
      <c r="AH209" s="644"/>
      <c r="AI209" s="644"/>
      <c r="AJ209" s="644"/>
      <c r="AK209" s="644"/>
    </row>
    <row r="210" spans="1:37" s="108" customFormat="1" ht="12.75" customHeight="1">
      <c r="A210" s="112">
        <v>252</v>
      </c>
      <c r="B210" s="65" t="s">
        <v>291</v>
      </c>
      <c r="C210" s="69"/>
      <c r="D210" s="69"/>
      <c r="E210" s="69"/>
      <c r="F210" s="718">
        <f aca="true" t="shared" si="60" ref="F210:H211">I210+L210</f>
        <v>0</v>
      </c>
      <c r="G210" s="134">
        <f t="shared" si="60"/>
        <v>0</v>
      </c>
      <c r="H210" s="134">
        <f t="shared" si="60"/>
        <v>0</v>
      </c>
      <c r="I210" s="612"/>
      <c r="J210" s="612"/>
      <c r="K210" s="612"/>
      <c r="L210" s="613"/>
      <c r="M210" s="613"/>
      <c r="N210" s="613"/>
      <c r="O210" s="507">
        <f t="shared" si="57"/>
        <v>0</v>
      </c>
      <c r="P210" s="105"/>
      <c r="Q210" s="644"/>
      <c r="R210" s="644"/>
      <c r="S210" s="644"/>
      <c r="T210" s="644"/>
      <c r="U210" s="644"/>
      <c r="V210" s="644"/>
      <c r="W210" s="644"/>
      <c r="X210" s="644"/>
      <c r="Y210" s="644"/>
      <c r="Z210" s="644"/>
      <c r="AA210" s="644"/>
      <c r="AB210" s="644"/>
      <c r="AC210" s="644"/>
      <c r="AD210" s="644"/>
      <c r="AE210" s="644"/>
      <c r="AF210" s="644"/>
      <c r="AG210" s="644"/>
      <c r="AH210" s="644"/>
      <c r="AI210" s="644"/>
      <c r="AJ210" s="644"/>
      <c r="AK210" s="644"/>
    </row>
    <row r="211" spans="1:37" s="108" customFormat="1" ht="12.75" customHeight="1">
      <c r="A211" s="112">
        <v>253</v>
      </c>
      <c r="B211" s="65" t="s">
        <v>292</v>
      </c>
      <c r="C211" s="69"/>
      <c r="D211" s="69"/>
      <c r="E211" s="69"/>
      <c r="F211" s="718">
        <f t="shared" si="60"/>
        <v>0</v>
      </c>
      <c r="G211" s="134">
        <f t="shared" si="60"/>
        <v>0</v>
      </c>
      <c r="H211" s="134">
        <f t="shared" si="60"/>
        <v>0</v>
      </c>
      <c r="I211" s="178">
        <f aca="true" t="shared" si="61" ref="I211:N211">I$29</f>
        <v>0</v>
      </c>
      <c r="J211" s="178">
        <f t="shared" si="61"/>
        <v>0</v>
      </c>
      <c r="K211" s="178">
        <f t="shared" si="61"/>
        <v>0</v>
      </c>
      <c r="L211" s="179">
        <f t="shared" si="61"/>
        <v>0</v>
      </c>
      <c r="M211" s="179">
        <f t="shared" si="61"/>
        <v>0</v>
      </c>
      <c r="N211" s="179">
        <f t="shared" si="61"/>
        <v>0</v>
      </c>
      <c r="O211" s="507">
        <f t="shared" si="57"/>
        <v>0</v>
      </c>
      <c r="P211" s="105"/>
      <c r="Q211" s="644"/>
      <c r="R211" s="644"/>
      <c r="S211" s="644"/>
      <c r="T211" s="644"/>
      <c r="U211" s="644"/>
      <c r="V211" s="644"/>
      <c r="W211" s="644"/>
      <c r="X211" s="644"/>
      <c r="Y211" s="644"/>
      <c r="Z211" s="644"/>
      <c r="AA211" s="644"/>
      <c r="AB211" s="644"/>
      <c r="AC211" s="644"/>
      <c r="AD211" s="644"/>
      <c r="AE211" s="644"/>
      <c r="AF211" s="644"/>
      <c r="AG211" s="644"/>
      <c r="AH211" s="644"/>
      <c r="AI211" s="644"/>
      <c r="AJ211" s="644"/>
      <c r="AK211" s="644"/>
    </row>
    <row r="212" spans="1:37" s="108" customFormat="1" ht="12.75">
      <c r="A212" s="112"/>
      <c r="B212" s="68"/>
      <c r="C212" s="7"/>
      <c r="D212" s="515"/>
      <c r="E212" s="515"/>
      <c r="F212" s="131"/>
      <c r="G212" s="131"/>
      <c r="H212" s="132"/>
      <c r="I212" s="131"/>
      <c r="J212" s="131"/>
      <c r="K212" s="132"/>
      <c r="L212" s="131"/>
      <c r="M212" s="131"/>
      <c r="N212" s="131"/>
      <c r="O212" s="507">
        <f t="shared" si="57"/>
        <v>0</v>
      </c>
      <c r="P212" s="105"/>
      <c r="Q212" s="644"/>
      <c r="R212" s="644"/>
      <c r="S212" s="644"/>
      <c r="T212" s="644"/>
      <c r="U212" s="644"/>
      <c r="V212" s="644"/>
      <c r="W212" s="644"/>
      <c r="X212" s="644"/>
      <c r="Y212" s="644"/>
      <c r="Z212" s="644"/>
      <c r="AA212" s="644"/>
      <c r="AB212" s="644"/>
      <c r="AC212" s="644"/>
      <c r="AD212" s="644"/>
      <c r="AE212" s="644"/>
      <c r="AF212" s="644"/>
      <c r="AG212" s="644"/>
      <c r="AH212" s="644"/>
      <c r="AI212" s="644"/>
      <c r="AJ212" s="644"/>
      <c r="AK212" s="644"/>
    </row>
    <row r="213" spans="1:37" s="108" customFormat="1" ht="24.75" customHeight="1">
      <c r="A213" s="112">
        <v>254</v>
      </c>
      <c r="B213" s="65" t="s">
        <v>839</v>
      </c>
      <c r="C213" s="69"/>
      <c r="D213" s="69"/>
      <c r="E213" s="69"/>
      <c r="F213" s="471">
        <f aca="true" t="shared" si="62" ref="F213:H214">I213+L213</f>
        <v>0</v>
      </c>
      <c r="G213" s="157">
        <f t="shared" si="62"/>
        <v>0</v>
      </c>
      <c r="H213" s="157">
        <f t="shared" si="62"/>
        <v>0</v>
      </c>
      <c r="I213" s="612"/>
      <c r="J213" s="612"/>
      <c r="K213" s="612"/>
      <c r="L213" s="613"/>
      <c r="M213" s="613"/>
      <c r="N213" s="613"/>
      <c r="O213" s="507">
        <f t="shared" si="57"/>
        <v>0</v>
      </c>
      <c r="P213" s="105"/>
      <c r="Q213" s="644"/>
      <c r="R213" s="644"/>
      <c r="S213" s="644"/>
      <c r="T213" s="644"/>
      <c r="U213" s="644"/>
      <c r="V213" s="644"/>
      <c r="W213" s="644"/>
      <c r="X213" s="644"/>
      <c r="Y213" s="644"/>
      <c r="Z213" s="644"/>
      <c r="AA213" s="644"/>
      <c r="AB213" s="644"/>
      <c r="AC213" s="644"/>
      <c r="AD213" s="644"/>
      <c r="AE213" s="644"/>
      <c r="AF213" s="644"/>
      <c r="AG213" s="644"/>
      <c r="AH213" s="644"/>
      <c r="AI213" s="644"/>
      <c r="AJ213" s="644"/>
      <c r="AK213" s="644"/>
    </row>
    <row r="214" spans="1:37" s="108" customFormat="1" ht="12.75">
      <c r="A214" s="112">
        <v>255</v>
      </c>
      <c r="B214" s="70" t="s">
        <v>293</v>
      </c>
      <c r="C214" s="69"/>
      <c r="D214" s="69"/>
      <c r="E214" s="69"/>
      <c r="F214" s="471">
        <f t="shared" si="62"/>
        <v>0</v>
      </c>
      <c r="G214" s="157">
        <f t="shared" si="62"/>
        <v>0</v>
      </c>
      <c r="H214" s="157">
        <f t="shared" si="62"/>
        <v>0</v>
      </c>
      <c r="I214" s="612"/>
      <c r="J214" s="612"/>
      <c r="K214" s="612"/>
      <c r="L214" s="613"/>
      <c r="M214" s="613"/>
      <c r="N214" s="613"/>
      <c r="O214" s="507">
        <f t="shared" si="57"/>
        <v>0</v>
      </c>
      <c r="P214" s="105"/>
      <c r="Q214" s="644"/>
      <c r="R214" s="644"/>
      <c r="S214" s="644"/>
      <c r="T214" s="644"/>
      <c r="U214" s="644"/>
      <c r="V214" s="644"/>
      <c r="W214" s="644"/>
      <c r="X214" s="644"/>
      <c r="Y214" s="644"/>
      <c r="Z214" s="644"/>
      <c r="AA214" s="644"/>
      <c r="AB214" s="644"/>
      <c r="AC214" s="644"/>
      <c r="AD214" s="644"/>
      <c r="AE214" s="644"/>
      <c r="AF214" s="644"/>
      <c r="AG214" s="644"/>
      <c r="AH214" s="644"/>
      <c r="AI214" s="644"/>
      <c r="AJ214" s="644"/>
      <c r="AK214" s="644"/>
    </row>
    <row r="215" spans="1:37" s="108" customFormat="1" ht="12.75">
      <c r="A215" s="112"/>
      <c r="B215" s="55"/>
      <c r="C215" s="7"/>
      <c r="D215" s="515"/>
      <c r="E215" s="515"/>
      <c r="F215" s="131"/>
      <c r="G215" s="131"/>
      <c r="H215" s="132"/>
      <c r="I215" s="131"/>
      <c r="J215" s="131"/>
      <c r="K215" s="132"/>
      <c r="L215" s="131"/>
      <c r="M215" s="131"/>
      <c r="N215" s="131"/>
      <c r="O215" s="507">
        <f t="shared" si="57"/>
        <v>0</v>
      </c>
      <c r="P215" s="105"/>
      <c r="Q215" s="644"/>
      <c r="R215" s="644"/>
      <c r="S215" s="644"/>
      <c r="T215" s="644"/>
      <c r="U215" s="644"/>
      <c r="V215" s="644"/>
      <c r="W215" s="644"/>
      <c r="X215" s="644"/>
      <c r="Y215" s="644"/>
      <c r="Z215" s="644"/>
      <c r="AA215" s="644"/>
      <c r="AB215" s="644"/>
      <c r="AC215" s="644"/>
      <c r="AD215" s="644"/>
      <c r="AE215" s="644"/>
      <c r="AF215" s="644"/>
      <c r="AG215" s="644"/>
      <c r="AH215" s="644"/>
      <c r="AI215" s="644"/>
      <c r="AJ215" s="644"/>
      <c r="AK215" s="644"/>
    </row>
    <row r="216" spans="1:37" s="108" customFormat="1" ht="24">
      <c r="A216" s="112">
        <v>256</v>
      </c>
      <c r="B216" s="666" t="s">
        <v>294</v>
      </c>
      <c r="C216" s="57" t="s">
        <v>590</v>
      </c>
      <c r="D216" s="512">
        <f>IF(ABS(F216-(I216+L216))&lt;2,0,"AE")</f>
        <v>0</v>
      </c>
      <c r="E216" s="513">
        <f>IF(ABS(G216-(J216+M216))&lt;2,0,"AE-1")</f>
        <v>0</v>
      </c>
      <c r="F216" s="205">
        <f>BILAN!$F$74</f>
        <v>0</v>
      </c>
      <c r="G216" s="205">
        <f>BILAN!$G$74</f>
        <v>0</v>
      </c>
      <c r="H216" s="186">
        <f>K216+N216</f>
        <v>0</v>
      </c>
      <c r="I216" s="187">
        <f aca="true" t="shared" si="63" ref="I216:N216">I$207+I$208+I$210+I$211-I$213-I$214</f>
        <v>0</v>
      </c>
      <c r="J216" s="187">
        <f t="shared" si="63"/>
        <v>0</v>
      </c>
      <c r="K216" s="187">
        <f t="shared" si="63"/>
        <v>0</v>
      </c>
      <c r="L216" s="188">
        <f t="shared" si="63"/>
        <v>0</v>
      </c>
      <c r="M216" s="188">
        <f t="shared" si="63"/>
        <v>0</v>
      </c>
      <c r="N216" s="188">
        <f t="shared" si="63"/>
        <v>0</v>
      </c>
      <c r="O216" s="507">
        <f t="shared" si="57"/>
        <v>0</v>
      </c>
      <c r="P216" s="105"/>
      <c r="Q216" s="644"/>
      <c r="R216" s="644"/>
      <c r="S216" s="644"/>
      <c r="T216" s="644"/>
      <c r="U216" s="644"/>
      <c r="V216" s="644"/>
      <c r="W216" s="644"/>
      <c r="X216" s="644"/>
      <c r="Y216" s="644"/>
      <c r="Z216" s="644"/>
      <c r="AA216" s="644"/>
      <c r="AB216" s="644"/>
      <c r="AC216" s="644"/>
      <c r="AD216" s="644"/>
      <c r="AE216" s="644"/>
      <c r="AF216" s="644"/>
      <c r="AG216" s="644"/>
      <c r="AH216" s="644"/>
      <c r="AI216" s="644"/>
      <c r="AJ216" s="644"/>
      <c r="AK216" s="644"/>
    </row>
    <row r="217" spans="1:37" s="108" customFormat="1" ht="12.75">
      <c r="A217" s="138"/>
      <c r="B217" s="7"/>
      <c r="C217" s="7"/>
      <c r="D217" s="515"/>
      <c r="E217" s="515"/>
      <c r="F217" s="131"/>
      <c r="G217" s="131"/>
      <c r="H217" s="132"/>
      <c r="I217" s="131"/>
      <c r="J217" s="131"/>
      <c r="K217" s="132"/>
      <c r="L217" s="131"/>
      <c r="M217" s="131"/>
      <c r="N217" s="132"/>
      <c r="O217" s="507"/>
      <c r="P217" s="105"/>
      <c r="Q217" s="644"/>
      <c r="R217" s="644"/>
      <c r="S217" s="644"/>
      <c r="T217" s="644"/>
      <c r="U217" s="644"/>
      <c r="V217" s="644"/>
      <c r="W217" s="644"/>
      <c r="X217" s="644"/>
      <c r="Y217" s="644"/>
      <c r="Z217" s="644"/>
      <c r="AA217" s="644"/>
      <c r="AB217" s="644"/>
      <c r="AC217" s="644"/>
      <c r="AD217" s="644"/>
      <c r="AE217" s="644"/>
      <c r="AF217" s="644"/>
      <c r="AG217" s="644"/>
      <c r="AH217" s="644"/>
      <c r="AI217" s="644"/>
      <c r="AJ217" s="644"/>
      <c r="AK217" s="644"/>
    </row>
  </sheetData>
  <sheetProtection/>
  <mergeCells count="8">
    <mergeCell ref="B131:C131"/>
    <mergeCell ref="L25:N25"/>
    <mergeCell ref="D3:E5"/>
    <mergeCell ref="B114:C114"/>
    <mergeCell ref="B105:E105"/>
    <mergeCell ref="B25:C25"/>
    <mergeCell ref="B103:C103"/>
    <mergeCell ref="B123:E123"/>
  </mergeCells>
  <conditionalFormatting sqref="I131:N131 L133:N133">
    <cfRule type="expression" priority="1" dxfId="8" stopIfTrue="1">
      <formula>IF(LEFT(I$128,1)="N",1,0)</formula>
    </cfRule>
  </conditionalFormatting>
  <conditionalFormatting sqref="I120">
    <cfRule type="expression" priority="2" dxfId="1" stopIfTrue="1">
      <formula>IF(ISBLANK(I120),1,0)</formula>
    </cfRule>
    <cfRule type="expression" priority="3" dxfId="8" stopIfTrue="1">
      <formula>IF(LEFT(I$117,1)="N",1,0)</formula>
    </cfRule>
  </conditionalFormatting>
  <conditionalFormatting sqref="J120:K120">
    <cfRule type="expression" priority="4" dxfId="2" stopIfTrue="1">
      <formula>IF(ISBLANK(J120),1,0)</formula>
    </cfRule>
    <cfRule type="expression" priority="5" dxfId="8" stopIfTrue="1">
      <formula>IF(LEFT(J$117,1)="N",1,0)</formula>
    </cfRule>
  </conditionalFormatting>
  <conditionalFormatting sqref="I123:N123 I125:N125">
    <cfRule type="expression" priority="6" dxfId="8" stopIfTrue="1">
      <formula>IF(LEFT(I$117,1)="N",1,0)</formula>
    </cfRule>
  </conditionalFormatting>
  <conditionalFormatting sqref="B120">
    <cfRule type="expression" priority="7" dxfId="7" stopIfTrue="1">
      <formula>IF(OR(AND($I120&gt;0,LEFT($I$117,1)="J"),AND($J120&gt;0,LEFT($J$117,1)="J"),AND($K120&gt;0,LEFT($K$117,1)="J")),1,0)</formula>
    </cfRule>
  </conditionalFormatting>
  <conditionalFormatting sqref="F216:G216 F73 F192:G192 F28:G28 F70:G71 F151:G151 F171:G171 F173:G173 F188:G190 F60:G60 F159:G159 F7:G8">
    <cfRule type="expression" priority="8" dxfId="6" stopIfTrue="1">
      <formula>IF(D7=0,0,1)</formula>
    </cfRule>
  </conditionalFormatting>
  <conditionalFormatting sqref="H208">
    <cfRule type="expression" priority="9" dxfId="6" stopIfTrue="1">
      <formula>IF(LEFT(H208,1)="?",1,0)</formula>
    </cfRule>
  </conditionalFormatting>
  <conditionalFormatting sqref="L55:L60 L188:L190 I106:I113 L106:L113 L151 L45 L168 I67 L67 I70:I73 L70:L73 I188:I190 I168 L173 I173 L194 I194 I184 L184 I45 L40:L42 I40:I42 I29:I33 I27 L27:L33 I55:I60 L7 L208 I201:I202 L201:L202 I213:I214 L210 I210 L213:L214 I208 I7">
    <cfRule type="expression" priority="10" dxfId="1" stopIfTrue="1">
      <formula>IF(ISBLANK(I7),1,0)</formula>
    </cfRule>
  </conditionalFormatting>
  <conditionalFormatting sqref="J106:K113 M106:N113 M151:N151 M168:N168 M7:N7 J16:J17 M55:N60 M45:N45 J67:K67 J168:K168 M67:N67 J184 K183:K184 J194:K194 M194:N194 J188:K190 M201:N202 N183:N184 M184 M188:N190 M173:N173 J173:K173 J45:K45 M40:N42 J40:K42 J29:K33 J27:K27 M27:N33 J55:K60 J70:K72 M16:M17 J7:K7 J213:K214 N207 M210:N210 J210:K210 M213:N214 K207 J208:K208 M208:N208 J201:K202 K11:K17 J11:J14 N11:N17 M11:M14 M70:N72">
    <cfRule type="expression" priority="11" dxfId="2" stopIfTrue="1">
      <formula>IF(ISBLANK(J7),1,0)</formula>
    </cfRule>
  </conditionalFormatting>
  <conditionalFormatting sqref="I192 I216">
    <cfRule type="expression" priority="12" dxfId="7" stopIfTrue="1">
      <formula>IF(I192&lt;0,1,0)</formula>
    </cfRule>
  </conditionalFormatting>
  <conditionalFormatting sqref="I152:K152">
    <cfRule type="cellIs" priority="13" dxfId="6" operator="equal" stopIfTrue="1">
      <formula>"C."</formula>
    </cfRule>
    <cfRule type="cellIs" priority="14" dxfId="9" operator="equal" stopIfTrue="1">
      <formula>"A."</formula>
    </cfRule>
  </conditionalFormatting>
  <conditionalFormatting sqref="D186">
    <cfRule type="cellIs" priority="15" dxfId="3" operator="equal" stopIfTrue="1">
      <formula>"BJ"</formula>
    </cfRule>
  </conditionalFormatting>
  <conditionalFormatting sqref="E186">
    <cfRule type="cellIs" priority="16" dxfId="3" operator="equal" stopIfTrue="1">
      <formula>"BJ-1"</formula>
    </cfRule>
  </conditionalFormatting>
  <conditionalFormatting sqref="I154:K154">
    <cfRule type="cellIs" priority="17" dxfId="3" operator="lessThan" stopIfTrue="1">
      <formula>90</formula>
    </cfRule>
    <cfRule type="cellIs" priority="18" dxfId="10" operator="greaterThan" stopIfTrue="1">
      <formula>100</formula>
    </cfRule>
  </conditionalFormatting>
  <conditionalFormatting sqref="I198:K198">
    <cfRule type="cellIs" priority="19" dxfId="6" operator="equal" stopIfTrue="1">
      <formula>"Non"</formula>
    </cfRule>
  </conditionalFormatting>
  <conditionalFormatting sqref="I79:K79">
    <cfRule type="cellIs" priority="20" dxfId="3" operator="lessThan" stopIfTrue="1">
      <formula>0.9</formula>
    </cfRule>
    <cfRule type="cellIs" priority="21" dxfId="10" operator="greaterThan" stopIfTrue="1">
      <formula>1</formula>
    </cfRule>
  </conditionalFormatting>
  <conditionalFormatting sqref="I117:N117">
    <cfRule type="cellIs" priority="22" dxfId="11" operator="equal" stopIfTrue="1">
      <formula>"Oui"</formula>
    </cfRule>
    <cfRule type="cellIs" priority="23" dxfId="12" operator="equal" stopIfTrue="1">
      <formula>"Non"</formula>
    </cfRule>
  </conditionalFormatting>
  <conditionalFormatting sqref="I25:K25">
    <cfRule type="cellIs" priority="24" dxfId="9" operator="equal" stopIfTrue="1">
      <formula>"Oui"</formula>
    </cfRule>
  </conditionalFormatting>
  <conditionalFormatting sqref="I128:N128">
    <cfRule type="cellIs" priority="25" dxfId="7" operator="equal" stopIfTrue="1">
      <formula>"Oui"</formula>
    </cfRule>
    <cfRule type="cellIs" priority="26" dxfId="12" operator="equal" stopIfTrue="1">
      <formula>"Non"</formula>
    </cfRule>
  </conditionalFormatting>
  <conditionalFormatting sqref="D7:D8 D28 D151 D159 D171 D173 D188:D190 D192 D184 D208 D216 D70:D73 D59:D60 D33">
    <cfRule type="cellIs" priority="27" dxfId="3" operator="equal" stopIfTrue="1">
      <formula>"AE"</formula>
    </cfRule>
  </conditionalFormatting>
  <conditionalFormatting sqref="E7:E8 E28 E60 E151 E159 E173 E171 E188:E190 E192 E184 E208 E216 E70:E72">
    <cfRule type="cellIs" priority="28" dxfId="3" operator="equal" stopIfTrue="1">
      <formula>"AE-1"</formula>
    </cfRule>
  </conditionalFormatting>
  <conditionalFormatting sqref="I114:N114">
    <cfRule type="expression" priority="29" dxfId="7" stopIfTrue="1">
      <formula>IF(I$115=0,0,1)</formula>
    </cfRule>
  </conditionalFormatting>
  <conditionalFormatting sqref="I133">
    <cfRule type="expression" priority="30" dxfId="8" stopIfTrue="1">
      <formula>IF(LEFT(I$128,1)="N",1,0)</formula>
    </cfRule>
    <cfRule type="expression" priority="31" dxfId="7" stopIfTrue="1">
      <formula>IF($B$134=0,0,1)</formula>
    </cfRule>
  </conditionalFormatting>
  <conditionalFormatting sqref="J133:K133">
    <cfRule type="expression" priority="32" dxfId="8" stopIfTrue="1">
      <formula>IF(LEFT(J$128,1)="N",1,0)</formula>
    </cfRule>
    <cfRule type="expression" priority="33" dxfId="7" stopIfTrue="1">
      <formula>IF(J$159=1,1,0)</formula>
    </cfRule>
  </conditionalFormatting>
  <conditionalFormatting sqref="I159:K159">
    <cfRule type="expression" priority="34" dxfId="7" stopIfTrue="1">
      <formula>IF(I$158=1,1,0)</formula>
    </cfRule>
  </conditionalFormatting>
  <conditionalFormatting sqref="I158:K158">
    <cfRule type="cellIs" priority="35" dxfId="7" operator="equal" stopIfTrue="1">
      <formula>1</formula>
    </cfRule>
    <cfRule type="cellIs" priority="36" dxfId="11" operator="equal" stopIfTrue="1">
      <formula>0</formula>
    </cfRule>
  </conditionalFormatting>
  <conditionalFormatting sqref="I203:N203">
    <cfRule type="expression" priority="37" dxfId="7" stopIfTrue="1">
      <formula>IF(ABS(I203-I$188)&lt;2,0,1)</formula>
    </cfRule>
  </conditionalFormatting>
  <conditionalFormatting sqref="D203">
    <cfRule type="cellIs" priority="38" dxfId="3" operator="equal" stopIfTrue="1">
      <formula>"QM+"</formula>
    </cfRule>
  </conditionalFormatting>
  <conditionalFormatting sqref="E203">
    <cfRule type="cellIs" priority="39" dxfId="3" operator="equal" stopIfTrue="1">
      <formula>"QM-"</formula>
    </cfRule>
  </conditionalFormatting>
  <printOptions headings="1"/>
  <pageMargins left="0.24" right="0.19" top="0.27" bottom="0.32" header="0.17" footer="0.16"/>
  <pageSetup horizontalDpi="300" verticalDpi="300" orientation="landscape" paperSize="9" scale="65" r:id="rId3"/>
  <headerFooter alignWithMargins="0">
    <oddFooter>&amp;L&amp;D   &amp;T&amp;C&amp;A&amp;R&amp;P / &amp;N</oddFooter>
  </headerFooter>
  <rowBreaks count="5" manualBreakCount="5">
    <brk id="47" max="255" man="1"/>
    <brk id="93" max="255" man="1"/>
    <brk id="135" max="255" man="1"/>
    <brk id="176" max="255" man="1"/>
    <brk id="217" max="255" man="1"/>
  </rowBreaks>
  <colBreaks count="1" manualBreakCount="1">
    <brk id="16" max="65535" man="1"/>
  </colBreaks>
  <legacyDrawing r:id="rId2"/>
</worksheet>
</file>

<file path=xl/worksheets/sheet6.xml><?xml version="1.0" encoding="utf-8"?>
<worksheet xmlns="http://schemas.openxmlformats.org/spreadsheetml/2006/main" xmlns:r="http://schemas.openxmlformats.org/officeDocument/2006/relationships">
  <sheetPr codeName="Tabelle14">
    <tabColor indexed="51"/>
  </sheetPr>
  <dimension ref="A1:AD149"/>
  <sheetViews>
    <sheetView zoomScale="75" zoomScaleNormal="75" workbookViewId="0" topLeftCell="A1">
      <pane xSplit="2" ySplit="4" topLeftCell="C5" activePane="bottomRight" state="frozen"/>
      <selection pane="topLeft" activeCell="A2" sqref="A2"/>
      <selection pane="topRight" activeCell="A2" sqref="A2"/>
      <selection pane="bottomLeft" activeCell="A2" sqref="A2"/>
      <selection pane="bottomRight" activeCell="A1" sqref="A1"/>
    </sheetView>
  </sheetViews>
  <sheetFormatPr defaultColWidth="11.421875" defaultRowHeight="12.75"/>
  <cols>
    <col min="1" max="1" width="5.00390625" style="176" customWidth="1"/>
    <col min="2" max="2" width="70.7109375" style="410" customWidth="1"/>
    <col min="3" max="3" width="16.8515625" style="176" customWidth="1"/>
    <col min="4" max="4" width="18.7109375" style="176" customWidth="1"/>
    <col min="5" max="5" width="18.140625" style="176" customWidth="1"/>
    <col min="6" max="6" width="17.8515625" style="176" bestFit="1" customWidth="1"/>
    <col min="7" max="7" width="15.7109375" style="176" customWidth="1"/>
    <col min="8" max="8" width="18.00390625" style="176" customWidth="1"/>
    <col min="9" max="9" width="2.8515625" style="176" customWidth="1"/>
    <col min="10" max="30" width="11.421875" style="643" customWidth="1"/>
    <col min="31" max="16384" width="11.421875" style="176" customWidth="1"/>
  </cols>
  <sheetData>
    <row r="1" spans="1:30" s="108" customFormat="1" ht="18" customHeight="1">
      <c r="A1" s="161">
        <v>11</v>
      </c>
      <c r="B1" s="103" t="s">
        <v>297</v>
      </c>
      <c r="C1" s="373"/>
      <c r="D1" s="105"/>
      <c r="E1" s="105"/>
      <c r="F1" s="105"/>
      <c r="G1" s="374" t="s">
        <v>242</v>
      </c>
      <c r="H1" s="375">
        <f>jahr</f>
        <v>2007</v>
      </c>
      <c r="I1" s="105"/>
      <c r="J1" s="644"/>
      <c r="K1" s="644"/>
      <c r="L1" s="644"/>
      <c r="M1" s="644"/>
      <c r="N1" s="644"/>
      <c r="O1" s="644"/>
      <c r="P1" s="644"/>
      <c r="Q1" s="644"/>
      <c r="R1" s="644"/>
      <c r="S1" s="644"/>
      <c r="T1" s="644"/>
      <c r="U1" s="644"/>
      <c r="V1" s="644"/>
      <c r="W1" s="644"/>
      <c r="X1" s="644"/>
      <c r="Y1" s="644"/>
      <c r="Z1" s="644"/>
      <c r="AA1" s="644"/>
      <c r="AB1" s="644"/>
      <c r="AC1" s="644"/>
      <c r="AD1" s="644"/>
    </row>
    <row r="2" spans="1:9" ht="32.25" customHeight="1">
      <c r="A2" s="175"/>
      <c r="B2" s="376" t="str">
        <f>Vr&amp;"  "</f>
        <v>Xxx Vie  </v>
      </c>
      <c r="C2" s="241" t="s">
        <v>299</v>
      </c>
      <c r="D2" s="175"/>
      <c r="E2" s="175"/>
      <c r="F2" s="175"/>
      <c r="G2" s="175"/>
      <c r="H2" s="175"/>
      <c r="I2" s="175"/>
    </row>
    <row r="3" spans="1:30" s="380" customFormat="1" ht="14.25" customHeight="1">
      <c r="A3" s="377"/>
      <c r="B3" s="378" t="s">
        <v>298</v>
      </c>
      <c r="C3" s="379">
        <f>DATE(jahr,12,31)</f>
        <v>39447</v>
      </c>
      <c r="D3" s="379">
        <f>DATE(YEAR(C3)-1,12,31)</f>
        <v>39082</v>
      </c>
      <c r="E3" s="379">
        <f>DATE(YEAR(D3)-1,12,31)</f>
        <v>38717</v>
      </c>
      <c r="F3" s="379">
        <f>DATE(YEAR(E3)-1,12,31)</f>
        <v>38352</v>
      </c>
      <c r="G3" s="379">
        <f>DATE(YEAR(F3)-1,12,31)</f>
        <v>37986</v>
      </c>
      <c r="H3" s="379">
        <f>DATE(YEAR(G3)-1,12,31)</f>
        <v>37621</v>
      </c>
      <c r="I3" s="175"/>
      <c r="J3" s="648"/>
      <c r="K3" s="648"/>
      <c r="L3" s="648"/>
      <c r="M3" s="648"/>
      <c r="N3" s="648"/>
      <c r="O3" s="648"/>
      <c r="P3" s="648"/>
      <c r="Q3" s="648"/>
      <c r="R3" s="648"/>
      <c r="S3" s="648"/>
      <c r="T3" s="648"/>
      <c r="U3" s="648"/>
      <c r="V3" s="648"/>
      <c r="W3" s="648"/>
      <c r="X3" s="648"/>
      <c r="Y3" s="648"/>
      <c r="Z3" s="648"/>
      <c r="AA3" s="648"/>
      <c r="AB3" s="648"/>
      <c r="AC3" s="648"/>
      <c r="AD3" s="648"/>
    </row>
    <row r="4" spans="1:30" s="380" customFormat="1" ht="12" customHeight="1">
      <c r="A4" s="377"/>
      <c r="B4" s="381" t="s">
        <v>580</v>
      </c>
      <c r="C4" s="240" t="s">
        <v>566</v>
      </c>
      <c r="D4" s="240" t="s">
        <v>567</v>
      </c>
      <c r="E4" s="240" t="s">
        <v>574</v>
      </c>
      <c r="F4" s="240" t="s">
        <v>575</v>
      </c>
      <c r="G4" s="240" t="s">
        <v>573</v>
      </c>
      <c r="H4" s="240" t="s">
        <v>591</v>
      </c>
      <c r="I4" s="175"/>
      <c r="J4" s="648"/>
      <c r="K4" s="648"/>
      <c r="L4" s="648"/>
      <c r="M4" s="648"/>
      <c r="N4" s="648"/>
      <c r="O4" s="648"/>
      <c r="P4" s="648"/>
      <c r="Q4" s="648"/>
      <c r="R4" s="648"/>
      <c r="S4" s="648"/>
      <c r="T4" s="648"/>
      <c r="U4" s="648"/>
      <c r="V4" s="648"/>
      <c r="W4" s="648"/>
      <c r="X4" s="648"/>
      <c r="Y4" s="648"/>
      <c r="Z4" s="648"/>
      <c r="AA4" s="648"/>
      <c r="AB4" s="648"/>
      <c r="AC4" s="648"/>
      <c r="AD4" s="648"/>
    </row>
    <row r="5" spans="1:9" ht="12.75" customHeight="1">
      <c r="A5" s="175">
        <v>257</v>
      </c>
      <c r="B5" s="382" t="str">
        <f>"Nombre de contrats collectifs, sans PLP, au 31.12."&amp;jahr&amp;"  = 264, colonne b"</f>
        <v>Nombre de contrats collectifs, sans PLP, au 31.12.2007  = 264, colonne b</v>
      </c>
      <c r="C5" s="204">
        <f>C$16</f>
        <v>0</v>
      </c>
      <c r="D5" s="629"/>
      <c r="E5" s="629"/>
      <c r="F5" s="629"/>
      <c r="G5" s="629"/>
      <c r="H5" s="629"/>
      <c r="I5" s="175"/>
    </row>
    <row r="6" spans="1:9" ht="25.5">
      <c r="A6" s="105">
        <v>258</v>
      </c>
      <c r="B6" s="383" t="str">
        <f>"Nombre de personnes assurées, actifs et bénéficiaires de rentes, sans PLP, 
au 31.12."&amp;jahr&amp;"  = 264, colonne c"</f>
        <v>Nombre de personnes assurées, actifs et bénéficiaires de rentes, sans PLP, 
au 31.12.2007  = 264, colonne c</v>
      </c>
      <c r="C6" s="460">
        <f>$D$16</f>
        <v>0</v>
      </c>
      <c r="D6" s="630"/>
      <c r="E6" s="630"/>
      <c r="F6" s="630"/>
      <c r="G6" s="630"/>
      <c r="H6" s="630"/>
      <c r="I6" s="175"/>
    </row>
    <row r="7" spans="1:9" ht="12.75" customHeight="1">
      <c r="A7" s="175">
        <v>259</v>
      </c>
      <c r="B7" s="384" t="s">
        <v>300</v>
      </c>
      <c r="C7" s="629"/>
      <c r="D7" s="630"/>
      <c r="E7" s="630"/>
      <c r="F7" s="630"/>
      <c r="G7" s="630"/>
      <c r="H7" s="630"/>
      <c r="I7" s="175"/>
    </row>
    <row r="8" spans="1:9" ht="12.75" customHeight="1">
      <c r="A8" s="175">
        <v>260</v>
      </c>
      <c r="B8" s="384" t="s">
        <v>301</v>
      </c>
      <c r="C8" s="630"/>
      <c r="D8" s="630"/>
      <c r="E8" s="630"/>
      <c r="F8" s="630"/>
      <c r="G8" s="630"/>
      <c r="H8" s="630"/>
      <c r="I8" s="175"/>
    </row>
    <row r="9" spans="1:30" s="380" customFormat="1" ht="18" customHeight="1">
      <c r="A9" s="377"/>
      <c r="B9" s="385"/>
      <c r="C9" s="386"/>
      <c r="D9" s="386"/>
      <c r="E9" s="386"/>
      <c r="F9" s="386"/>
      <c r="G9" s="386"/>
      <c r="H9" s="386"/>
      <c r="I9" s="175"/>
      <c r="J9" s="648"/>
      <c r="K9" s="648"/>
      <c r="L9" s="648"/>
      <c r="M9" s="648"/>
      <c r="N9" s="648"/>
      <c r="O9" s="648"/>
      <c r="P9" s="648"/>
      <c r="Q9" s="648"/>
      <c r="R9" s="648"/>
      <c r="S9" s="648"/>
      <c r="T9" s="648"/>
      <c r="U9" s="648"/>
      <c r="V9" s="648"/>
      <c r="W9" s="648"/>
      <c r="X9" s="648"/>
      <c r="Y9" s="648"/>
      <c r="Z9" s="648"/>
      <c r="AA9" s="648"/>
      <c r="AB9" s="648"/>
      <c r="AC9" s="648"/>
      <c r="AD9" s="648"/>
    </row>
    <row r="10" spans="1:30" s="380" customFormat="1" ht="18" customHeight="1">
      <c r="A10" s="377"/>
      <c r="B10" s="387"/>
      <c r="C10" s="388" t="s">
        <v>303</v>
      </c>
      <c r="D10" s="388" t="s">
        <v>304</v>
      </c>
      <c r="E10" s="389" t="str">
        <f>"Provisions mathémat. au 31.12."&amp;jahr</f>
        <v>Provisions mathémat. au 31.12.2007</v>
      </c>
      <c r="F10" s="390"/>
      <c r="G10" s="390"/>
      <c r="H10" s="391" t="s">
        <v>308</v>
      </c>
      <c r="I10" s="392"/>
      <c r="J10" s="648"/>
      <c r="K10" s="648"/>
      <c r="L10" s="648"/>
      <c r="M10" s="648"/>
      <c r="N10" s="648"/>
      <c r="O10" s="648"/>
      <c r="P10" s="648"/>
      <c r="Q10" s="648"/>
      <c r="R10" s="648"/>
      <c r="S10" s="648"/>
      <c r="T10" s="648"/>
      <c r="U10" s="648"/>
      <c r="V10" s="648"/>
      <c r="W10" s="648"/>
      <c r="X10" s="648"/>
      <c r="Y10" s="648"/>
      <c r="Z10" s="648"/>
      <c r="AA10" s="648"/>
      <c r="AB10" s="648"/>
      <c r="AC10" s="648"/>
      <c r="AD10" s="648"/>
    </row>
    <row r="11" spans="1:30" s="380" customFormat="1" ht="18" customHeight="1">
      <c r="A11" s="377"/>
      <c r="B11" s="378" t="s">
        <v>302</v>
      </c>
      <c r="C11" s="393" t="str">
        <f>"au 31.12."&amp;jahr</f>
        <v>au 31.12.2007</v>
      </c>
      <c r="D11" s="393" t="str">
        <f>"au 31.12."&amp;jahr</f>
        <v>au 31.12.2007</v>
      </c>
      <c r="E11" s="389" t="s">
        <v>305</v>
      </c>
      <c r="F11" s="389" t="s">
        <v>306</v>
      </c>
      <c r="G11" s="389" t="s">
        <v>307</v>
      </c>
      <c r="H11" s="394" t="str">
        <f>jahr&amp;" en 1000 CHF"</f>
        <v>2007 en 1000 CHF</v>
      </c>
      <c r="I11" s="392"/>
      <c r="J11" s="648"/>
      <c r="K11" s="648"/>
      <c r="L11" s="648"/>
      <c r="M11" s="648"/>
      <c r="N11" s="648"/>
      <c r="O11" s="648"/>
      <c r="P11" s="648"/>
      <c r="Q11" s="648"/>
      <c r="R11" s="648"/>
      <c r="S11" s="648"/>
      <c r="T11" s="648"/>
      <c r="U11" s="648"/>
      <c r="V11" s="648"/>
      <c r="W11" s="648"/>
      <c r="X11" s="648"/>
      <c r="Y11" s="648"/>
      <c r="Z11" s="648"/>
      <c r="AA11" s="648"/>
      <c r="AB11" s="648"/>
      <c r="AC11" s="648"/>
      <c r="AD11" s="648"/>
    </row>
    <row r="12" spans="1:30" s="380" customFormat="1" ht="16.5" customHeight="1">
      <c r="A12" s="377"/>
      <c r="B12" s="381" t="s">
        <v>580</v>
      </c>
      <c r="C12" s="240" t="s">
        <v>566</v>
      </c>
      <c r="D12" s="240" t="s">
        <v>567</v>
      </c>
      <c r="E12" s="240" t="s">
        <v>574</v>
      </c>
      <c r="F12" s="240" t="s">
        <v>575</v>
      </c>
      <c r="G12" s="240" t="s">
        <v>573</v>
      </c>
      <c r="H12" s="240" t="s">
        <v>591</v>
      </c>
      <c r="I12" s="175"/>
      <c r="J12" s="648"/>
      <c r="K12" s="648"/>
      <c r="L12" s="648"/>
      <c r="M12" s="648"/>
      <c r="N12" s="648"/>
      <c r="O12" s="648"/>
      <c r="P12" s="648"/>
      <c r="Q12" s="648"/>
      <c r="R12" s="648"/>
      <c r="S12" s="648"/>
      <c r="T12" s="648"/>
      <c r="U12" s="648"/>
      <c r="V12" s="648"/>
      <c r="W12" s="648"/>
      <c r="X12" s="648"/>
      <c r="Y12" s="648"/>
      <c r="Z12" s="648"/>
      <c r="AA12" s="648"/>
      <c r="AB12" s="648"/>
      <c r="AC12" s="648"/>
      <c r="AD12" s="648"/>
    </row>
    <row r="13" spans="1:9" ht="12.75" customHeight="1">
      <c r="A13" s="175">
        <v>261</v>
      </c>
      <c r="B13" s="382" t="s">
        <v>335</v>
      </c>
      <c r="C13" s="631"/>
      <c r="D13" s="631"/>
      <c r="E13" s="631"/>
      <c r="F13" s="436">
        <f>IF(E$16&gt;0,E13/E$16*100,0)</f>
        <v>0</v>
      </c>
      <c r="G13" s="436">
        <f>E13</f>
        <v>0</v>
      </c>
      <c r="H13" s="629"/>
      <c r="I13" s="175"/>
    </row>
    <row r="14" spans="1:9" ht="12.75" customHeight="1">
      <c r="A14" s="175">
        <v>262</v>
      </c>
      <c r="B14" s="384" t="s">
        <v>334</v>
      </c>
      <c r="C14" s="632"/>
      <c r="D14" s="631"/>
      <c r="E14" s="631"/>
      <c r="F14" s="438">
        <f>IF(E$16&gt;0,E14/E$16*100,0)</f>
        <v>0</v>
      </c>
      <c r="G14" s="629"/>
      <c r="H14" s="629"/>
      <c r="I14" s="175"/>
    </row>
    <row r="15" spans="1:9" ht="12.75" customHeight="1">
      <c r="A15" s="175">
        <v>263</v>
      </c>
      <c r="B15" s="395" t="s">
        <v>333</v>
      </c>
      <c r="C15" s="633"/>
      <c r="D15" s="633"/>
      <c r="E15" s="633"/>
      <c r="F15" s="784">
        <f>IF(E$16&gt;0,E15/E$16*100,0)</f>
        <v>0</v>
      </c>
      <c r="G15" s="784">
        <v>0</v>
      </c>
      <c r="H15" s="635"/>
      <c r="I15" s="175"/>
    </row>
    <row r="16" spans="1:9" ht="12.75" customHeight="1">
      <c r="A16" s="175">
        <v>264</v>
      </c>
      <c r="B16" s="461" t="s">
        <v>336</v>
      </c>
      <c r="C16" s="398">
        <f>C$13+C$14+C$15</f>
        <v>0</v>
      </c>
      <c r="D16" s="785">
        <f>D$13+D$14+D$15</f>
        <v>0</v>
      </c>
      <c r="E16" s="398">
        <f>E$13+E$14+E$15</f>
        <v>0</v>
      </c>
      <c r="F16" s="396">
        <v>100</v>
      </c>
      <c r="G16" s="398">
        <f>G$13+G$14+G$15</f>
        <v>0</v>
      </c>
      <c r="H16" s="398">
        <f>H$13+H$14+H$15</f>
        <v>0</v>
      </c>
      <c r="I16" s="175"/>
    </row>
    <row r="17" spans="1:9" ht="12.75" customHeight="1">
      <c r="A17" s="175">
        <v>265</v>
      </c>
      <c r="B17" s="397" t="s">
        <v>309</v>
      </c>
      <c r="C17" s="634"/>
      <c r="D17" s="634"/>
      <c r="E17" s="786">
        <f>BILAN!$F66</f>
        <v>0</v>
      </c>
      <c r="F17" s="247"/>
      <c r="G17" s="784">
        <f>E17</f>
        <v>0</v>
      </c>
      <c r="H17" s="634"/>
      <c r="I17" s="175"/>
    </row>
    <row r="18" spans="1:9" ht="12.75" customHeight="1">
      <c r="A18" s="175">
        <v>266</v>
      </c>
      <c r="B18" s="461" t="s">
        <v>339</v>
      </c>
      <c r="C18" s="398">
        <f>C$16+C$17</f>
        <v>0</v>
      </c>
      <c r="D18" s="399">
        <f>D$16+D$17</f>
        <v>0</v>
      </c>
      <c r="E18" s="400">
        <f>E$16+E$17</f>
        <v>0</v>
      </c>
      <c r="F18" s="367"/>
      <c r="G18" s="398">
        <f>G$16+G$17</f>
        <v>0</v>
      </c>
      <c r="H18" s="400">
        <f>H$16+H$17</f>
        <v>0</v>
      </c>
      <c r="I18" s="175"/>
    </row>
    <row r="19" spans="1:30" s="380" customFormat="1" ht="24.75" customHeight="1">
      <c r="A19" s="377"/>
      <c r="B19" s="401" t="s">
        <v>341</v>
      </c>
      <c r="C19" s="240"/>
      <c r="D19" s="607">
        <f>IF($C$48+$C$51+$C$99+$C$101+$C$103+$C$105+$C$107+$C$109+$C$111+$C$113+$C$115=D$13+D$14+D$15,"","FAUTE pos. 264")</f>
      </c>
      <c r="E19" s="787">
        <f>IF(ABS(BILAN!$F$70-(E$16+E$17))&lt;2,0,"= BIL, pos. 102e ?")</f>
        <v>0</v>
      </c>
      <c r="F19" s="175"/>
      <c r="G19" s="175"/>
      <c r="H19" s="787">
        <f>IF(ABS('CR'!$F$40-(H$16+H$17))&lt;2,0,"= CR, pos. 28e ?")</f>
        <v>0</v>
      </c>
      <c r="I19" s="175"/>
      <c r="J19" s="648"/>
      <c r="K19" s="648"/>
      <c r="L19" s="648"/>
      <c r="M19" s="648"/>
      <c r="N19" s="648"/>
      <c r="O19" s="648"/>
      <c r="P19" s="648"/>
      <c r="Q19" s="648"/>
      <c r="R19" s="648"/>
      <c r="S19" s="648"/>
      <c r="T19" s="648"/>
      <c r="U19" s="648"/>
      <c r="V19" s="648"/>
      <c r="W19" s="648"/>
      <c r="X19" s="648"/>
      <c r="Y19" s="648"/>
      <c r="Z19" s="648"/>
      <c r="AA19" s="648"/>
      <c r="AB19" s="648"/>
      <c r="AC19" s="648"/>
      <c r="AD19" s="648"/>
    </row>
    <row r="20" spans="1:30" s="380" customFormat="1" ht="12" customHeight="1">
      <c r="A20" s="377"/>
      <c r="B20" s="381" t="s">
        <v>580</v>
      </c>
      <c r="C20" s="240" t="s">
        <v>566</v>
      </c>
      <c r="D20" s="240" t="s">
        <v>567</v>
      </c>
      <c r="E20" s="240" t="s">
        <v>574</v>
      </c>
      <c r="F20" s="240"/>
      <c r="G20" s="240"/>
      <c r="H20" s="240"/>
      <c r="I20" s="175"/>
      <c r="J20" s="648"/>
      <c r="K20" s="648"/>
      <c r="L20" s="648"/>
      <c r="M20" s="648"/>
      <c r="N20" s="648"/>
      <c r="O20" s="648"/>
      <c r="P20" s="648"/>
      <c r="Q20" s="648"/>
      <c r="R20" s="648"/>
      <c r="S20" s="648"/>
      <c r="T20" s="648"/>
      <c r="U20" s="648"/>
      <c r="V20" s="648"/>
      <c r="W20" s="648"/>
      <c r="X20" s="648"/>
      <c r="Y20" s="648"/>
      <c r="Z20" s="648"/>
      <c r="AA20" s="648"/>
      <c r="AB20" s="648"/>
      <c r="AC20" s="648"/>
      <c r="AD20" s="648"/>
    </row>
    <row r="21" spans="1:9" ht="12.75" customHeight="1">
      <c r="A21" s="175">
        <v>267</v>
      </c>
      <c r="B21" s="267" t="s">
        <v>310</v>
      </c>
      <c r="C21" s="631"/>
      <c r="D21" s="631"/>
      <c r="E21" s="631"/>
      <c r="F21" s="175"/>
      <c r="G21" s="175"/>
      <c r="H21" s="175"/>
      <c r="I21" s="175"/>
    </row>
    <row r="22" spans="1:9" ht="13.5" customHeight="1">
      <c r="A22" s="175">
        <v>268</v>
      </c>
      <c r="B22" s="384" t="s">
        <v>311</v>
      </c>
      <c r="C22" s="632"/>
      <c r="D22" s="631"/>
      <c r="E22" s="631"/>
      <c r="F22" s="175"/>
      <c r="G22" s="175"/>
      <c r="H22" s="175"/>
      <c r="I22" s="175"/>
    </row>
    <row r="23" spans="1:9" ht="12.75" customHeight="1">
      <c r="A23" s="175">
        <v>269</v>
      </c>
      <c r="B23" s="384" t="s">
        <v>312</v>
      </c>
      <c r="C23" s="632"/>
      <c r="D23" s="631"/>
      <c r="E23" s="631"/>
      <c r="F23" s="175"/>
      <c r="G23" s="175"/>
      <c r="H23" s="175"/>
      <c r="I23" s="175"/>
    </row>
    <row r="24" spans="1:9" ht="12.75" customHeight="1">
      <c r="A24" s="175">
        <v>270</v>
      </c>
      <c r="B24" s="384" t="s">
        <v>332</v>
      </c>
      <c r="C24" s="632"/>
      <c r="D24" s="631"/>
      <c r="E24" s="631"/>
      <c r="F24" s="175"/>
      <c r="G24" s="175"/>
      <c r="H24" s="175"/>
      <c r="I24" s="175"/>
    </row>
    <row r="25" spans="1:9" ht="12.75" customHeight="1">
      <c r="A25" s="175">
        <v>271</v>
      </c>
      <c r="B25" s="384" t="s">
        <v>331</v>
      </c>
      <c r="C25" s="632"/>
      <c r="D25" s="631"/>
      <c r="E25" s="631"/>
      <c r="F25" s="175"/>
      <c r="G25" s="175"/>
      <c r="H25" s="175"/>
      <c r="I25" s="175"/>
    </row>
    <row r="26" spans="1:9" ht="26.25" customHeight="1">
      <c r="A26" s="105">
        <v>272</v>
      </c>
      <c r="B26" s="383" t="s">
        <v>313</v>
      </c>
      <c r="C26" s="469">
        <f>C$14+C$15-(C$21+C$22+C$23+C$24+C$25)</f>
        <v>0</v>
      </c>
      <c r="D26" s="469">
        <f>D$14+D$15-(D$21+D$22+D$23+D$24+D$25)</f>
        <v>0</v>
      </c>
      <c r="E26" s="469">
        <f>E$14+E$15-(E$21+E$22+E$23+E$24+E$25)</f>
        <v>0</v>
      </c>
      <c r="F26" s="743">
        <f>IF(OR($C26&lt;0,$D26&lt;0,$E26&lt;0),"valeur &lt; 0 défendue",0)</f>
        <v>0</v>
      </c>
      <c r="G26" s="175"/>
      <c r="H26" s="175"/>
      <c r="I26" s="175"/>
    </row>
    <row r="27" spans="1:30" s="380" customFormat="1" ht="18" customHeight="1">
      <c r="A27" s="402"/>
      <c r="B27" s="741" t="s">
        <v>710</v>
      </c>
      <c r="C27" s="404"/>
      <c r="D27" s="405"/>
      <c r="E27" s="404"/>
      <c r="F27" s="175"/>
      <c r="G27" s="175"/>
      <c r="H27" s="175"/>
      <c r="I27" s="175"/>
      <c r="J27" s="648"/>
      <c r="K27" s="648"/>
      <c r="L27" s="648"/>
      <c r="M27" s="648"/>
      <c r="N27" s="648"/>
      <c r="O27" s="648"/>
      <c r="P27" s="648"/>
      <c r="Q27" s="648"/>
      <c r="R27" s="648"/>
      <c r="S27" s="648"/>
      <c r="T27" s="648"/>
      <c r="U27" s="648"/>
      <c r="V27" s="648"/>
      <c r="W27" s="648"/>
      <c r="X27" s="648"/>
      <c r="Y27" s="648"/>
      <c r="Z27" s="648"/>
      <c r="AA27" s="648"/>
      <c r="AB27" s="648"/>
      <c r="AC27" s="648"/>
      <c r="AD27" s="648"/>
    </row>
    <row r="28" spans="1:30" s="380" customFormat="1" ht="13.5" customHeight="1">
      <c r="A28" s="406"/>
      <c r="B28" s="742" t="s">
        <v>314</v>
      </c>
      <c r="C28" s="669"/>
      <c r="D28" s="670"/>
      <c r="E28" s="404"/>
      <c r="F28" s="405"/>
      <c r="G28" s="408"/>
      <c r="H28" s="408"/>
      <c r="I28" s="392"/>
      <c r="J28" s="648"/>
      <c r="K28" s="648"/>
      <c r="L28" s="648"/>
      <c r="M28" s="648"/>
      <c r="N28" s="648"/>
      <c r="O28" s="648"/>
      <c r="P28" s="648"/>
      <c r="Q28" s="648"/>
      <c r="R28" s="648"/>
      <c r="S28" s="648"/>
      <c r="T28" s="648"/>
      <c r="U28" s="648"/>
      <c r="V28" s="648"/>
      <c r="W28" s="648"/>
      <c r="X28" s="648"/>
      <c r="Y28" s="648"/>
      <c r="Z28" s="648"/>
      <c r="AA28" s="648"/>
      <c r="AB28" s="648"/>
      <c r="AC28" s="648"/>
      <c r="AD28" s="648"/>
    </row>
    <row r="29" spans="1:30" s="380" customFormat="1" ht="13.5" customHeight="1">
      <c r="A29" s="406"/>
      <c r="B29" s="668" t="s">
        <v>342</v>
      </c>
      <c r="C29" s="404"/>
      <c r="D29" s="405"/>
      <c r="E29" s="404"/>
      <c r="F29" s="405"/>
      <c r="G29" s="408"/>
      <c r="H29" s="408"/>
      <c r="I29" s="392"/>
      <c r="J29" s="648"/>
      <c r="K29" s="648"/>
      <c r="L29" s="648"/>
      <c r="M29" s="648"/>
      <c r="N29" s="648"/>
      <c r="O29" s="648"/>
      <c r="P29" s="648"/>
      <c r="Q29" s="648"/>
      <c r="R29" s="648"/>
      <c r="S29" s="648"/>
      <c r="T29" s="648"/>
      <c r="U29" s="648"/>
      <c r="V29" s="648"/>
      <c r="W29" s="648"/>
      <c r="X29" s="648"/>
      <c r="Y29" s="648"/>
      <c r="Z29" s="648"/>
      <c r="AA29" s="648"/>
      <c r="AB29" s="648"/>
      <c r="AC29" s="648"/>
      <c r="AD29" s="648"/>
    </row>
    <row r="30" spans="1:30" s="380" customFormat="1" ht="13.5" customHeight="1">
      <c r="A30" s="406"/>
      <c r="B30" s="781">
        <v>333</v>
      </c>
      <c r="C30" s="404"/>
      <c r="D30" s="405"/>
      <c r="E30" s="404"/>
      <c r="F30" s="405"/>
      <c r="G30" s="408"/>
      <c r="H30" s="408"/>
      <c r="I30" s="392"/>
      <c r="J30" s="648"/>
      <c r="K30" s="648"/>
      <c r="L30" s="648"/>
      <c r="M30" s="648"/>
      <c r="N30" s="648"/>
      <c r="O30" s="648"/>
      <c r="P30" s="648"/>
      <c r="Q30" s="648"/>
      <c r="R30" s="648"/>
      <c r="S30" s="648"/>
      <c r="T30" s="648"/>
      <c r="U30" s="648"/>
      <c r="V30" s="648"/>
      <c r="W30" s="648"/>
      <c r="X30" s="648"/>
      <c r="Y30" s="648"/>
      <c r="Z30" s="648"/>
      <c r="AA30" s="648"/>
      <c r="AB30" s="648"/>
      <c r="AC30" s="648"/>
      <c r="AD30" s="648"/>
    </row>
    <row r="31" spans="1:30" s="380" customFormat="1" ht="13.5" customHeight="1">
      <c r="A31" s="406"/>
      <c r="B31" s="407"/>
      <c r="C31" s="404"/>
      <c r="D31" s="405"/>
      <c r="E31" s="404"/>
      <c r="F31" s="405"/>
      <c r="G31" s="408"/>
      <c r="H31" s="408"/>
      <c r="I31" s="392"/>
      <c r="J31" s="648"/>
      <c r="K31" s="648"/>
      <c r="L31" s="648"/>
      <c r="M31" s="648"/>
      <c r="N31" s="648"/>
      <c r="O31" s="648"/>
      <c r="P31" s="648"/>
      <c r="Q31" s="648"/>
      <c r="R31" s="648"/>
      <c r="S31" s="648"/>
      <c r="T31" s="648"/>
      <c r="U31" s="648"/>
      <c r="V31" s="648"/>
      <c r="W31" s="648"/>
      <c r="X31" s="648"/>
      <c r="Y31" s="648"/>
      <c r="Z31" s="648"/>
      <c r="AA31" s="648"/>
      <c r="AB31" s="648"/>
      <c r="AC31" s="648"/>
      <c r="AD31" s="648"/>
    </row>
    <row r="32" spans="1:30" s="380" customFormat="1" ht="13.5" customHeight="1">
      <c r="A32" s="406"/>
      <c r="B32" s="407"/>
      <c r="C32" s="388" t="s">
        <v>303</v>
      </c>
      <c r="D32" s="388" t="s">
        <v>304</v>
      </c>
      <c r="E32" s="391" t="s">
        <v>321</v>
      </c>
      <c r="F32" s="405"/>
      <c r="G32" s="408"/>
      <c r="H32" s="408"/>
      <c r="I32" s="392"/>
      <c r="J32" s="648"/>
      <c r="K32" s="648"/>
      <c r="L32" s="648"/>
      <c r="M32" s="648"/>
      <c r="N32" s="648"/>
      <c r="O32" s="648"/>
      <c r="P32" s="648"/>
      <c r="Q32" s="648"/>
      <c r="R32" s="648"/>
      <c r="S32" s="648"/>
      <c r="T32" s="648"/>
      <c r="U32" s="648"/>
      <c r="V32" s="648"/>
      <c r="W32" s="648"/>
      <c r="X32" s="648"/>
      <c r="Y32" s="648"/>
      <c r="Z32" s="648"/>
      <c r="AA32" s="648"/>
      <c r="AB32" s="648"/>
      <c r="AC32" s="648"/>
      <c r="AD32" s="648"/>
    </row>
    <row r="33" spans="1:30" s="380" customFormat="1" ht="13.5" customHeight="1">
      <c r="A33" s="406"/>
      <c r="B33" s="401" t="s">
        <v>315</v>
      </c>
      <c r="C33" s="393" t="str">
        <f>"au 31.12."&amp;jahr</f>
        <v>au 31.12.2007</v>
      </c>
      <c r="D33" s="393" t="str">
        <f>"au 31.12."&amp;jahr</f>
        <v>au 31.12.2007</v>
      </c>
      <c r="E33" s="394" t="str">
        <f>"au 31.12."&amp;jahr</f>
        <v>au 31.12.2007</v>
      </c>
      <c r="F33" s="405"/>
      <c r="G33" s="408"/>
      <c r="H33" s="408"/>
      <c r="I33" s="392"/>
      <c r="J33" s="648"/>
      <c r="K33" s="648"/>
      <c r="L33" s="648"/>
      <c r="M33" s="648"/>
      <c r="N33" s="648"/>
      <c r="O33" s="648"/>
      <c r="P33" s="648"/>
      <c r="Q33" s="648"/>
      <c r="R33" s="648"/>
      <c r="S33" s="648"/>
      <c r="T33" s="648"/>
      <c r="U33" s="648"/>
      <c r="V33" s="648"/>
      <c r="W33" s="648"/>
      <c r="X33" s="648"/>
      <c r="Y33" s="648"/>
      <c r="Z33" s="648"/>
      <c r="AA33" s="648"/>
      <c r="AB33" s="648"/>
      <c r="AC33" s="648"/>
      <c r="AD33" s="648"/>
    </row>
    <row r="34" spans="1:30" s="380" customFormat="1" ht="13.5" customHeight="1">
      <c r="A34" s="377"/>
      <c r="B34" s="381" t="s">
        <v>580</v>
      </c>
      <c r="C34" s="240" t="s">
        <v>566</v>
      </c>
      <c r="D34" s="240" t="s">
        <v>567</v>
      </c>
      <c r="E34" s="240" t="s">
        <v>574</v>
      </c>
      <c r="F34" s="405"/>
      <c r="G34" s="408"/>
      <c r="H34" s="408"/>
      <c r="I34" s="392"/>
      <c r="J34" s="648"/>
      <c r="K34" s="648"/>
      <c r="L34" s="648"/>
      <c r="M34" s="648"/>
      <c r="N34" s="648"/>
      <c r="O34" s="648"/>
      <c r="P34" s="648"/>
      <c r="Q34" s="648"/>
      <c r="R34" s="648"/>
      <c r="S34" s="648"/>
      <c r="T34" s="648"/>
      <c r="U34" s="648"/>
      <c r="V34" s="648"/>
      <c r="W34" s="648"/>
      <c r="X34" s="648"/>
      <c r="Y34" s="648"/>
      <c r="Z34" s="648"/>
      <c r="AA34" s="648"/>
      <c r="AB34" s="648"/>
      <c r="AC34" s="648"/>
      <c r="AD34" s="648"/>
    </row>
    <row r="35" spans="1:30" s="380" customFormat="1" ht="13.5" customHeight="1">
      <c r="A35" s="175">
        <v>273</v>
      </c>
      <c r="B35" s="267" t="s">
        <v>711</v>
      </c>
      <c r="C35" s="631"/>
      <c r="D35" s="631"/>
      <c r="E35" s="631"/>
      <c r="F35" s="405"/>
      <c r="G35" s="408"/>
      <c r="H35" s="408"/>
      <c r="I35" s="392"/>
      <c r="J35" s="648"/>
      <c r="K35" s="648"/>
      <c r="L35" s="648"/>
      <c r="M35" s="648"/>
      <c r="N35" s="648"/>
      <c r="O35" s="648"/>
      <c r="P35" s="648"/>
      <c r="Q35" s="648"/>
      <c r="R35" s="648"/>
      <c r="S35" s="648"/>
      <c r="T35" s="648"/>
      <c r="U35" s="648"/>
      <c r="V35" s="648"/>
      <c r="W35" s="648"/>
      <c r="X35" s="648"/>
      <c r="Y35" s="648"/>
      <c r="Z35" s="648"/>
      <c r="AA35" s="648"/>
      <c r="AB35" s="648"/>
      <c r="AC35" s="648"/>
      <c r="AD35" s="648"/>
    </row>
    <row r="36" spans="1:30" s="380" customFormat="1" ht="13.5" customHeight="1">
      <c r="A36" s="175">
        <v>274</v>
      </c>
      <c r="B36" s="384" t="s">
        <v>316</v>
      </c>
      <c r="C36" s="632"/>
      <c r="D36" s="631"/>
      <c r="E36" s="631"/>
      <c r="F36" s="405"/>
      <c r="G36" s="408"/>
      <c r="H36" s="408"/>
      <c r="I36" s="392"/>
      <c r="J36" s="648"/>
      <c r="K36" s="648"/>
      <c r="L36" s="648"/>
      <c r="M36" s="648"/>
      <c r="N36" s="648"/>
      <c r="O36" s="648"/>
      <c r="P36" s="648"/>
      <c r="Q36" s="648"/>
      <c r="R36" s="648"/>
      <c r="S36" s="648"/>
      <c r="T36" s="648"/>
      <c r="U36" s="648"/>
      <c r="V36" s="648"/>
      <c r="W36" s="648"/>
      <c r="X36" s="648"/>
      <c r="Y36" s="648"/>
      <c r="Z36" s="648"/>
      <c r="AA36" s="648"/>
      <c r="AB36" s="648"/>
      <c r="AC36" s="648"/>
      <c r="AD36" s="648"/>
    </row>
    <row r="37" spans="1:30" s="380" customFormat="1" ht="13.5" customHeight="1">
      <c r="A37" s="175">
        <v>275</v>
      </c>
      <c r="B37" s="384" t="s">
        <v>317</v>
      </c>
      <c r="C37" s="632"/>
      <c r="D37" s="631"/>
      <c r="E37" s="631"/>
      <c r="F37" s="405"/>
      <c r="G37" s="408"/>
      <c r="H37" s="408"/>
      <c r="I37" s="392"/>
      <c r="J37" s="648"/>
      <c r="K37" s="648"/>
      <c r="L37" s="648"/>
      <c r="M37" s="648"/>
      <c r="N37" s="648"/>
      <c r="O37" s="648"/>
      <c r="P37" s="648"/>
      <c r="Q37" s="648"/>
      <c r="R37" s="648"/>
      <c r="S37" s="648"/>
      <c r="T37" s="648"/>
      <c r="U37" s="648"/>
      <c r="V37" s="648"/>
      <c r="W37" s="648"/>
      <c r="X37" s="648"/>
      <c r="Y37" s="648"/>
      <c r="Z37" s="648"/>
      <c r="AA37" s="648"/>
      <c r="AB37" s="648"/>
      <c r="AC37" s="648"/>
      <c r="AD37" s="648"/>
    </row>
    <row r="38" spans="1:30" s="380" customFormat="1" ht="13.5" customHeight="1">
      <c r="A38" s="175">
        <v>276</v>
      </c>
      <c r="B38" s="384" t="s">
        <v>318</v>
      </c>
      <c r="C38" s="632"/>
      <c r="D38" s="631"/>
      <c r="E38" s="631"/>
      <c r="F38" s="405"/>
      <c r="G38" s="408"/>
      <c r="H38" s="408"/>
      <c r="I38" s="392"/>
      <c r="J38" s="648"/>
      <c r="K38" s="648"/>
      <c r="L38" s="648"/>
      <c r="M38" s="648"/>
      <c r="N38" s="648"/>
      <c r="O38" s="648"/>
      <c r="P38" s="648"/>
      <c r="Q38" s="648"/>
      <c r="R38" s="648"/>
      <c r="S38" s="648"/>
      <c r="T38" s="648"/>
      <c r="U38" s="648"/>
      <c r="V38" s="648"/>
      <c r="W38" s="648"/>
      <c r="X38" s="648"/>
      <c r="Y38" s="648"/>
      <c r="Z38" s="648"/>
      <c r="AA38" s="648"/>
      <c r="AB38" s="648"/>
      <c r="AC38" s="648"/>
      <c r="AD38" s="648"/>
    </row>
    <row r="39" spans="1:30" s="380" customFormat="1" ht="13.5" customHeight="1">
      <c r="A39" s="175">
        <v>277</v>
      </c>
      <c r="B39" s="384" t="s">
        <v>319</v>
      </c>
      <c r="C39" s="632"/>
      <c r="D39" s="631"/>
      <c r="E39" s="631"/>
      <c r="F39" s="405"/>
      <c r="G39" s="408"/>
      <c r="H39" s="408"/>
      <c r="I39" s="392"/>
      <c r="J39" s="648"/>
      <c r="K39" s="648"/>
      <c r="L39" s="648"/>
      <c r="M39" s="648"/>
      <c r="N39" s="648"/>
      <c r="O39" s="648"/>
      <c r="P39" s="648"/>
      <c r="Q39" s="648"/>
      <c r="R39" s="648"/>
      <c r="S39" s="648"/>
      <c r="T39" s="648"/>
      <c r="U39" s="648"/>
      <c r="V39" s="648"/>
      <c r="W39" s="648"/>
      <c r="X39" s="648"/>
      <c r="Y39" s="648"/>
      <c r="Z39" s="648"/>
      <c r="AA39" s="648"/>
      <c r="AB39" s="648"/>
      <c r="AC39" s="648"/>
      <c r="AD39" s="648"/>
    </row>
    <row r="40" spans="1:9" ht="26.25" customHeight="1">
      <c r="A40" s="105">
        <v>278</v>
      </c>
      <c r="B40" s="383" t="s">
        <v>320</v>
      </c>
      <c r="C40" s="469">
        <f>C$16-(C$35+C$36+C$37+C$38+C$39)</f>
        <v>0</v>
      </c>
      <c r="D40" s="469">
        <f>D$16-(D$35+D$36+D$37+D$38+D$39)</f>
        <v>0</v>
      </c>
      <c r="E40" s="631"/>
      <c r="F40" s="743">
        <f>IF(OR($C40&lt;0,$D40&lt;0),"valeur &lt; 0 défendue",0)</f>
        <v>0</v>
      </c>
      <c r="G40" s="175"/>
      <c r="H40" s="175"/>
      <c r="I40" s="175"/>
    </row>
    <row r="41" spans="1:30" s="380" customFormat="1" ht="18" customHeight="1">
      <c r="A41" s="402"/>
      <c r="B41" s="403" t="s">
        <v>343</v>
      </c>
      <c r="C41" s="404"/>
      <c r="D41" s="405"/>
      <c r="E41" s="404"/>
      <c r="F41" s="175"/>
      <c r="G41" s="175"/>
      <c r="H41" s="175"/>
      <c r="I41" s="175"/>
      <c r="J41" s="648"/>
      <c r="K41" s="648"/>
      <c r="L41" s="648"/>
      <c r="M41" s="648"/>
      <c r="N41" s="648"/>
      <c r="O41" s="648"/>
      <c r="P41" s="648"/>
      <c r="Q41" s="648"/>
      <c r="R41" s="648"/>
      <c r="S41" s="648"/>
      <c r="T41" s="648"/>
      <c r="U41" s="648"/>
      <c r="V41" s="648"/>
      <c r="W41" s="648"/>
      <c r="X41" s="648"/>
      <c r="Y41" s="648"/>
      <c r="Z41" s="648"/>
      <c r="AA41" s="648"/>
      <c r="AB41" s="648"/>
      <c r="AC41" s="648"/>
      <c r="AD41" s="648"/>
    </row>
    <row r="42" spans="1:30" s="380" customFormat="1" ht="13.5" customHeight="1">
      <c r="A42" s="406"/>
      <c r="B42" s="407"/>
      <c r="C42" s="404"/>
      <c r="D42" s="405"/>
      <c r="E42" s="404"/>
      <c r="F42" s="405"/>
      <c r="G42" s="408"/>
      <c r="H42" s="408"/>
      <c r="I42" s="392"/>
      <c r="J42" s="648"/>
      <c r="K42" s="648"/>
      <c r="L42" s="648"/>
      <c r="M42" s="648"/>
      <c r="N42" s="648"/>
      <c r="O42" s="648"/>
      <c r="P42" s="648"/>
      <c r="Q42" s="648"/>
      <c r="R42" s="648"/>
      <c r="S42" s="648"/>
      <c r="T42" s="648"/>
      <c r="U42" s="648"/>
      <c r="V42" s="648"/>
      <c r="W42" s="648"/>
      <c r="X42" s="648"/>
      <c r="Y42" s="648"/>
      <c r="Z42" s="648"/>
      <c r="AA42" s="648"/>
      <c r="AB42" s="648"/>
      <c r="AC42" s="648"/>
      <c r="AD42" s="648"/>
    </row>
    <row r="43" spans="1:9" ht="17.25" customHeight="1">
      <c r="A43" s="161">
        <v>12</v>
      </c>
      <c r="B43" s="103" t="s">
        <v>322</v>
      </c>
      <c r="C43" s="105"/>
      <c r="D43" s="105"/>
      <c r="E43" s="105"/>
      <c r="F43" s="105"/>
      <c r="G43" s="374" t="s">
        <v>242</v>
      </c>
      <c r="H43" s="375">
        <f>jahr</f>
        <v>2007</v>
      </c>
      <c r="I43" s="105"/>
    </row>
    <row r="44" spans="1:9" ht="32.25" customHeight="1">
      <c r="A44" s="175"/>
      <c r="B44" s="376" t="str">
        <f>Vr&amp;"  "</f>
        <v>Xxx Vie  </v>
      </c>
      <c r="C44" s="241" t="s">
        <v>299</v>
      </c>
      <c r="D44" s="175"/>
      <c r="E44" s="175"/>
      <c r="F44" s="175"/>
      <c r="G44" s="175"/>
      <c r="H44" s="175"/>
      <c r="I44" s="175"/>
    </row>
    <row r="45" spans="1:30" s="380" customFormat="1" ht="14.25" customHeight="1">
      <c r="A45" s="377"/>
      <c r="B45" s="378" t="s">
        <v>323</v>
      </c>
      <c r="C45" s="379">
        <f>DATE(jahr,12,31)</f>
        <v>39447</v>
      </c>
      <c r="D45" s="379">
        <f>DATE(YEAR(C45)-1,12,31)</f>
        <v>39082</v>
      </c>
      <c r="E45" s="379">
        <f>DATE(YEAR(D45)-1,12,31)</f>
        <v>38717</v>
      </c>
      <c r="F45" s="379">
        <f>DATE(YEAR(E45)-1,12,31)</f>
        <v>38352</v>
      </c>
      <c r="G45" s="379">
        <f>DATE(YEAR(F45)-1,12,31)</f>
        <v>37986</v>
      </c>
      <c r="H45" s="379">
        <f>DATE(YEAR(G45)-1,12,31)</f>
        <v>37621</v>
      </c>
      <c r="I45" s="175"/>
      <c r="J45" s="648"/>
      <c r="K45" s="648"/>
      <c r="L45" s="648"/>
      <c r="M45" s="648"/>
      <c r="N45" s="648"/>
      <c r="O45" s="648"/>
      <c r="P45" s="648"/>
      <c r="Q45" s="648"/>
      <c r="R45" s="648"/>
      <c r="S45" s="648"/>
      <c r="T45" s="648"/>
      <c r="U45" s="648"/>
      <c r="V45" s="648"/>
      <c r="W45" s="648"/>
      <c r="X45" s="648"/>
      <c r="Y45" s="648"/>
      <c r="Z45" s="648"/>
      <c r="AA45" s="648"/>
      <c r="AB45" s="648"/>
      <c r="AC45" s="648"/>
      <c r="AD45" s="648"/>
    </row>
    <row r="46" spans="1:30" s="380" customFormat="1" ht="12" customHeight="1">
      <c r="A46" s="377"/>
      <c r="B46" s="241" t="s">
        <v>580</v>
      </c>
      <c r="C46" s="240" t="s">
        <v>566</v>
      </c>
      <c r="D46" s="240" t="s">
        <v>567</v>
      </c>
      <c r="E46" s="240" t="s">
        <v>574</v>
      </c>
      <c r="F46" s="240" t="s">
        <v>575</v>
      </c>
      <c r="G46" s="240" t="s">
        <v>573</v>
      </c>
      <c r="H46" s="240" t="s">
        <v>591</v>
      </c>
      <c r="I46" s="175"/>
      <c r="J46" s="648"/>
      <c r="K46" s="648"/>
      <c r="L46" s="648"/>
      <c r="M46" s="648"/>
      <c r="N46" s="648"/>
      <c r="O46" s="648"/>
      <c r="P46" s="648"/>
      <c r="Q46" s="648"/>
      <c r="R46" s="648"/>
      <c r="S46" s="648"/>
      <c r="T46" s="648"/>
      <c r="U46" s="648"/>
      <c r="V46" s="648"/>
      <c r="W46" s="648"/>
      <c r="X46" s="648"/>
      <c r="Y46" s="648"/>
      <c r="Z46" s="648"/>
      <c r="AA46" s="648"/>
      <c r="AB46" s="648"/>
      <c r="AC46" s="648"/>
      <c r="AD46" s="648"/>
    </row>
    <row r="47" spans="1:9" ht="12.75" customHeight="1">
      <c r="A47" s="175"/>
      <c r="B47" s="409" t="s">
        <v>324</v>
      </c>
      <c r="C47" s="175"/>
      <c r="D47" s="175"/>
      <c r="E47" s="175"/>
      <c r="F47" s="175"/>
      <c r="G47" s="175"/>
      <c r="H47" s="175"/>
      <c r="I47" s="175"/>
    </row>
    <row r="48" spans="1:9" ht="12.75" customHeight="1">
      <c r="A48" s="175">
        <v>279</v>
      </c>
      <c r="B48" s="267" t="s">
        <v>366</v>
      </c>
      <c r="C48" s="613"/>
      <c r="D48" s="613"/>
      <c r="E48" s="613"/>
      <c r="F48" s="613"/>
      <c r="G48" s="613"/>
      <c r="H48" s="613"/>
      <c r="I48" s="175"/>
    </row>
    <row r="49" spans="1:9" ht="12.75" customHeight="1">
      <c r="A49" s="175">
        <v>280</v>
      </c>
      <c r="B49" s="384" t="s">
        <v>367</v>
      </c>
      <c r="C49" s="622"/>
      <c r="D49" s="622"/>
      <c r="E49" s="622"/>
      <c r="F49" s="622"/>
      <c r="G49" s="622"/>
      <c r="H49" s="622"/>
      <c r="I49" s="175"/>
    </row>
    <row r="50" spans="1:9" ht="12.75" customHeight="1">
      <c r="A50" s="175">
        <v>281</v>
      </c>
      <c r="B50" s="384" t="s">
        <v>368</v>
      </c>
      <c r="C50" s="622"/>
      <c r="D50" s="622"/>
      <c r="E50" s="622"/>
      <c r="F50" s="622"/>
      <c r="G50" s="622"/>
      <c r="H50" s="622"/>
      <c r="I50" s="175"/>
    </row>
    <row r="51" spans="1:9" ht="12.75" customHeight="1">
      <c r="A51" s="175">
        <v>282</v>
      </c>
      <c r="B51" s="384" t="s">
        <v>369</v>
      </c>
      <c r="C51" s="622"/>
      <c r="D51" s="622"/>
      <c r="E51" s="622"/>
      <c r="F51" s="622"/>
      <c r="G51" s="622"/>
      <c r="H51" s="622"/>
      <c r="I51" s="175"/>
    </row>
    <row r="52" spans="1:9" ht="12.75" customHeight="1">
      <c r="A52" s="175">
        <v>283</v>
      </c>
      <c r="B52" s="384" t="s">
        <v>370</v>
      </c>
      <c r="C52" s="622"/>
      <c r="D52" s="622"/>
      <c r="E52" s="622"/>
      <c r="F52" s="622"/>
      <c r="G52" s="622"/>
      <c r="H52" s="622"/>
      <c r="I52" s="175"/>
    </row>
    <row r="53" spans="1:9" ht="12.75" customHeight="1">
      <c r="A53" s="175">
        <v>284</v>
      </c>
      <c r="B53" s="384" t="s">
        <v>368</v>
      </c>
      <c r="C53" s="622"/>
      <c r="D53" s="622"/>
      <c r="E53" s="622"/>
      <c r="F53" s="622"/>
      <c r="G53" s="622"/>
      <c r="H53" s="622"/>
      <c r="I53" s="175"/>
    </row>
    <row r="54" spans="1:9" ht="12.75" customHeight="1">
      <c r="A54" s="175"/>
      <c r="B54" s="409" t="s">
        <v>758</v>
      </c>
      <c r="C54" s="175"/>
      <c r="D54" s="175"/>
      <c r="E54" s="175"/>
      <c r="F54" s="175"/>
      <c r="G54" s="175"/>
      <c r="H54" s="175"/>
      <c r="I54" s="175"/>
    </row>
    <row r="55" spans="1:9" ht="12.75" customHeight="1">
      <c r="A55" s="175">
        <v>285</v>
      </c>
      <c r="B55" s="267" t="s">
        <v>371</v>
      </c>
      <c r="C55" s="613"/>
      <c r="D55" s="613"/>
      <c r="E55" s="613"/>
      <c r="F55" s="613"/>
      <c r="G55" s="613"/>
      <c r="H55" s="613"/>
      <c r="I55" s="175"/>
    </row>
    <row r="56" spans="1:9" ht="12.75" customHeight="1">
      <c r="A56" s="175">
        <v>286</v>
      </c>
      <c r="B56" s="341" t="s">
        <v>372</v>
      </c>
      <c r="C56" s="622"/>
      <c r="D56" s="622"/>
      <c r="E56" s="622"/>
      <c r="F56" s="622"/>
      <c r="G56" s="622"/>
      <c r="H56" s="622"/>
      <c r="I56" s="175"/>
    </row>
    <row r="57" spans="1:9" ht="12.75" customHeight="1">
      <c r="A57" s="175"/>
      <c r="B57" s="409" t="s">
        <v>373</v>
      </c>
      <c r="C57" s="175"/>
      <c r="D57" s="175"/>
      <c r="E57" s="175"/>
      <c r="F57" s="175"/>
      <c r="G57" s="175"/>
      <c r="H57" s="175"/>
      <c r="I57" s="175"/>
    </row>
    <row r="58" spans="1:9" ht="12.75" customHeight="1">
      <c r="A58" s="175">
        <v>287</v>
      </c>
      <c r="B58" s="267" t="s">
        <v>374</v>
      </c>
      <c r="C58" s="613"/>
      <c r="D58" s="613"/>
      <c r="E58" s="613"/>
      <c r="F58" s="613"/>
      <c r="G58" s="613"/>
      <c r="H58" s="613"/>
      <c r="I58" s="175"/>
    </row>
    <row r="59" spans="1:9" ht="12.75" customHeight="1">
      <c r="A59" s="175">
        <v>288</v>
      </c>
      <c r="B59" s="341" t="s">
        <v>375</v>
      </c>
      <c r="C59" s="622"/>
      <c r="D59" s="622"/>
      <c r="E59" s="622"/>
      <c r="F59" s="622"/>
      <c r="G59" s="622"/>
      <c r="H59" s="622"/>
      <c r="I59" s="175"/>
    </row>
    <row r="60" spans="1:9" ht="12.75" customHeight="1">
      <c r="A60" s="175">
        <v>289</v>
      </c>
      <c r="B60" s="341" t="s">
        <v>376</v>
      </c>
      <c r="C60" s="622"/>
      <c r="D60" s="622"/>
      <c r="E60" s="622"/>
      <c r="F60" s="622"/>
      <c r="G60" s="622"/>
      <c r="H60" s="622"/>
      <c r="I60" s="175"/>
    </row>
    <row r="61" spans="1:9" ht="12.75" customHeight="1">
      <c r="A61" s="175">
        <v>290</v>
      </c>
      <c r="B61" s="341" t="s">
        <v>377</v>
      </c>
      <c r="C61" s="622"/>
      <c r="D61" s="622"/>
      <c r="E61" s="622"/>
      <c r="F61" s="622"/>
      <c r="G61" s="622"/>
      <c r="H61" s="622"/>
      <c r="I61" s="175"/>
    </row>
    <row r="62" spans="1:9" ht="12.75" customHeight="1">
      <c r="A62" s="175">
        <v>291</v>
      </c>
      <c r="B62" s="341" t="s">
        <v>369</v>
      </c>
      <c r="C62" s="622"/>
      <c r="D62" s="622"/>
      <c r="E62" s="622"/>
      <c r="F62" s="622"/>
      <c r="G62" s="622"/>
      <c r="H62" s="622"/>
      <c r="I62" s="175"/>
    </row>
    <row r="63" spans="1:9" ht="12.75" customHeight="1">
      <c r="A63" s="175">
        <v>292</v>
      </c>
      <c r="B63" s="341" t="s">
        <v>375</v>
      </c>
      <c r="C63" s="622"/>
      <c r="D63" s="622"/>
      <c r="E63" s="622"/>
      <c r="F63" s="622"/>
      <c r="G63" s="622"/>
      <c r="H63" s="622"/>
      <c r="I63" s="175"/>
    </row>
    <row r="64" spans="1:9" ht="12.75" customHeight="1">
      <c r="A64" s="175">
        <v>293</v>
      </c>
      <c r="B64" s="341" t="s">
        <v>378</v>
      </c>
      <c r="C64" s="622"/>
      <c r="D64" s="622"/>
      <c r="E64" s="622"/>
      <c r="F64" s="622"/>
      <c r="G64" s="622"/>
      <c r="H64" s="622"/>
      <c r="I64" s="175"/>
    </row>
    <row r="65" spans="1:9" ht="12.75" customHeight="1">
      <c r="A65" s="175">
        <v>294</v>
      </c>
      <c r="B65" s="341" t="s">
        <v>377</v>
      </c>
      <c r="C65" s="622"/>
      <c r="D65" s="622"/>
      <c r="E65" s="622"/>
      <c r="F65" s="622"/>
      <c r="G65" s="622"/>
      <c r="H65" s="622"/>
      <c r="I65" s="175"/>
    </row>
    <row r="66" spans="1:9" ht="12.75" customHeight="1">
      <c r="A66" s="175"/>
      <c r="B66" s="409" t="s">
        <v>379</v>
      </c>
      <c r="C66" s="175"/>
      <c r="D66" s="175"/>
      <c r="E66" s="175"/>
      <c r="F66" s="175"/>
      <c r="G66" s="175"/>
      <c r="H66" s="175"/>
      <c r="I66" s="175"/>
    </row>
    <row r="67" spans="1:9" ht="12.75" customHeight="1">
      <c r="A67" s="175">
        <v>295</v>
      </c>
      <c r="B67" s="267" t="s">
        <v>366</v>
      </c>
      <c r="C67" s="613"/>
      <c r="D67" s="613"/>
      <c r="E67" s="613"/>
      <c r="F67" s="613"/>
      <c r="G67" s="613"/>
      <c r="H67" s="613"/>
      <c r="I67" s="175"/>
    </row>
    <row r="68" spans="1:9" ht="12.75" customHeight="1">
      <c r="A68" s="175">
        <v>296</v>
      </c>
      <c r="B68" s="341" t="s">
        <v>380</v>
      </c>
      <c r="C68" s="622"/>
      <c r="D68" s="622"/>
      <c r="E68" s="622"/>
      <c r="F68" s="622"/>
      <c r="G68" s="622"/>
      <c r="H68" s="622"/>
      <c r="I68" s="175"/>
    </row>
    <row r="69" spans="1:9" ht="12.75" customHeight="1">
      <c r="A69" s="175">
        <v>297</v>
      </c>
      <c r="B69" s="341" t="s">
        <v>381</v>
      </c>
      <c r="C69" s="622"/>
      <c r="D69" s="622"/>
      <c r="E69" s="622"/>
      <c r="F69" s="622"/>
      <c r="G69" s="622"/>
      <c r="H69" s="622"/>
      <c r="I69" s="175"/>
    </row>
    <row r="70" spans="1:9" ht="12.75" customHeight="1">
      <c r="A70" s="175">
        <v>298</v>
      </c>
      <c r="B70" s="341" t="s">
        <v>382</v>
      </c>
      <c r="C70" s="622"/>
      <c r="D70" s="622"/>
      <c r="E70" s="622"/>
      <c r="F70" s="622"/>
      <c r="G70" s="622"/>
      <c r="H70" s="622"/>
      <c r="I70" s="175"/>
    </row>
    <row r="71" spans="1:9" ht="12.75" customHeight="1">
      <c r="A71" s="175">
        <v>299</v>
      </c>
      <c r="B71" s="341" t="s">
        <v>383</v>
      </c>
      <c r="C71" s="622"/>
      <c r="D71" s="622"/>
      <c r="E71" s="622"/>
      <c r="F71" s="622"/>
      <c r="G71" s="622"/>
      <c r="H71" s="622"/>
      <c r="I71" s="175"/>
    </row>
    <row r="72" spans="1:9" ht="12.75" customHeight="1">
      <c r="A72" s="175">
        <v>300</v>
      </c>
      <c r="B72" s="341" t="s">
        <v>384</v>
      </c>
      <c r="C72" s="622"/>
      <c r="D72" s="622"/>
      <c r="E72" s="622"/>
      <c r="F72" s="622"/>
      <c r="G72" s="622"/>
      <c r="H72" s="622"/>
      <c r="I72" s="175"/>
    </row>
    <row r="73" spans="1:9" ht="12.75" customHeight="1">
      <c r="A73" s="175">
        <v>301</v>
      </c>
      <c r="B73" s="341" t="s">
        <v>369</v>
      </c>
      <c r="C73" s="622"/>
      <c r="D73" s="622"/>
      <c r="E73" s="622"/>
      <c r="F73" s="622"/>
      <c r="G73" s="622"/>
      <c r="H73" s="622"/>
      <c r="I73" s="175"/>
    </row>
    <row r="74" spans="1:9" ht="12.75" customHeight="1">
      <c r="A74" s="175">
        <v>302</v>
      </c>
      <c r="B74" s="341" t="s">
        <v>380</v>
      </c>
      <c r="C74" s="622"/>
      <c r="D74" s="622"/>
      <c r="E74" s="622"/>
      <c r="F74" s="622"/>
      <c r="G74" s="622"/>
      <c r="H74" s="622"/>
      <c r="I74" s="175"/>
    </row>
    <row r="75" spans="1:9" ht="12.75" customHeight="1">
      <c r="A75" s="175">
        <v>303</v>
      </c>
      <c r="B75" s="341" t="s">
        <v>385</v>
      </c>
      <c r="C75" s="622"/>
      <c r="D75" s="622"/>
      <c r="E75" s="622"/>
      <c r="F75" s="622"/>
      <c r="G75" s="622"/>
      <c r="H75" s="622"/>
      <c r="I75" s="175"/>
    </row>
    <row r="76" spans="1:9" ht="12.75" customHeight="1">
      <c r="A76" s="175">
        <v>304</v>
      </c>
      <c r="B76" s="341" t="s">
        <v>386</v>
      </c>
      <c r="C76" s="622"/>
      <c r="D76" s="622"/>
      <c r="E76" s="622"/>
      <c r="F76" s="622"/>
      <c r="G76" s="622"/>
      <c r="H76" s="622"/>
      <c r="I76" s="175"/>
    </row>
    <row r="77" spans="1:9" ht="12.75" customHeight="1">
      <c r="A77" s="175">
        <v>305</v>
      </c>
      <c r="B77" s="341" t="s">
        <v>387</v>
      </c>
      <c r="C77" s="622"/>
      <c r="D77" s="622"/>
      <c r="E77" s="622"/>
      <c r="F77" s="622"/>
      <c r="G77" s="622"/>
      <c r="H77" s="622"/>
      <c r="I77" s="175"/>
    </row>
    <row r="78" spans="1:9" ht="12.75" customHeight="1">
      <c r="A78" s="175">
        <v>306</v>
      </c>
      <c r="B78" s="341" t="s">
        <v>388</v>
      </c>
      <c r="C78" s="622"/>
      <c r="D78" s="622"/>
      <c r="E78" s="622"/>
      <c r="F78" s="622"/>
      <c r="G78" s="622"/>
      <c r="H78" s="622"/>
      <c r="I78" s="175"/>
    </row>
    <row r="79" spans="1:9" ht="15.75" customHeight="1">
      <c r="A79" s="175"/>
      <c r="B79" s="175"/>
      <c r="C79" s="175"/>
      <c r="D79" s="175"/>
      <c r="E79" s="175"/>
      <c r="F79" s="175"/>
      <c r="G79" s="175"/>
      <c r="H79" s="175"/>
      <c r="I79" s="175"/>
    </row>
    <row r="80" spans="1:9" ht="17.25" customHeight="1">
      <c r="A80" s="161">
        <v>13</v>
      </c>
      <c r="B80" s="103" t="s">
        <v>389</v>
      </c>
      <c r="C80" s="105"/>
      <c r="D80" s="105"/>
      <c r="E80" s="105"/>
      <c r="F80" s="105"/>
      <c r="G80" s="374" t="s">
        <v>242</v>
      </c>
      <c r="H80" s="375">
        <f>jahr</f>
        <v>2007</v>
      </c>
      <c r="I80" s="175"/>
    </row>
    <row r="81" spans="1:9" ht="32.25" customHeight="1">
      <c r="A81" s="175"/>
      <c r="B81" s="376" t="str">
        <f>Vr&amp;"  "</f>
        <v>Xxx Vie  </v>
      </c>
      <c r="C81" s="241" t="s">
        <v>299</v>
      </c>
      <c r="D81" s="175"/>
      <c r="E81" s="175"/>
      <c r="F81" s="175"/>
      <c r="G81" s="175"/>
      <c r="H81" s="175"/>
      <c r="I81" s="175"/>
    </row>
    <row r="82" spans="1:30" s="380" customFormat="1" ht="14.25" customHeight="1">
      <c r="A82" s="377"/>
      <c r="B82" s="378" t="s">
        <v>390</v>
      </c>
      <c r="C82" s="379">
        <f>DATE(jahr,12,31)</f>
        <v>39447</v>
      </c>
      <c r="D82" s="379">
        <f>DATE(YEAR(C82)-1,12,31)</f>
        <v>39082</v>
      </c>
      <c r="E82" s="379">
        <f>DATE(YEAR(D82)-1,12,31)</f>
        <v>38717</v>
      </c>
      <c r="F82" s="379">
        <f>DATE(YEAR(E82)-1,12,31)</f>
        <v>38352</v>
      </c>
      <c r="G82" s="379">
        <f>DATE(YEAR(F82)-1,12,31)</f>
        <v>37986</v>
      </c>
      <c r="H82" s="379">
        <f>DATE(YEAR(G82)-1,12,31)</f>
        <v>37621</v>
      </c>
      <c r="I82" s="175"/>
      <c r="J82" s="648"/>
      <c r="K82" s="648"/>
      <c r="L82" s="648"/>
      <c r="M82" s="648"/>
      <c r="N82" s="648"/>
      <c r="O82" s="648"/>
      <c r="P82" s="648"/>
      <c r="Q82" s="648"/>
      <c r="R82" s="648"/>
      <c r="S82" s="648"/>
      <c r="T82" s="648"/>
      <c r="U82" s="648"/>
      <c r="V82" s="648"/>
      <c r="W82" s="648"/>
      <c r="X82" s="648"/>
      <c r="Y82" s="648"/>
      <c r="Z82" s="648"/>
      <c r="AA82" s="648"/>
      <c r="AB82" s="648"/>
      <c r="AC82" s="648"/>
      <c r="AD82" s="648"/>
    </row>
    <row r="83" spans="1:30" s="380" customFormat="1" ht="12" customHeight="1">
      <c r="A83" s="377"/>
      <c r="B83" s="241" t="s">
        <v>580</v>
      </c>
      <c r="C83" s="240" t="s">
        <v>566</v>
      </c>
      <c r="D83" s="240" t="s">
        <v>567</v>
      </c>
      <c r="E83" s="240" t="s">
        <v>574</v>
      </c>
      <c r="F83" s="240" t="s">
        <v>575</v>
      </c>
      <c r="G83" s="240" t="s">
        <v>573</v>
      </c>
      <c r="H83" s="240" t="s">
        <v>591</v>
      </c>
      <c r="I83" s="175"/>
      <c r="J83" s="648"/>
      <c r="K83" s="648"/>
      <c r="L83" s="648"/>
      <c r="M83" s="648"/>
      <c r="N83" s="648"/>
      <c r="O83" s="648"/>
      <c r="P83" s="648"/>
      <c r="Q83" s="648"/>
      <c r="R83" s="648"/>
      <c r="S83" s="648"/>
      <c r="T83" s="648"/>
      <c r="U83" s="648"/>
      <c r="V83" s="648"/>
      <c r="W83" s="648"/>
      <c r="X83" s="648"/>
      <c r="Y83" s="648"/>
      <c r="Z83" s="648"/>
      <c r="AA83" s="648"/>
      <c r="AB83" s="648"/>
      <c r="AC83" s="648"/>
      <c r="AD83" s="648"/>
    </row>
    <row r="84" spans="1:9" ht="12.75" customHeight="1">
      <c r="A84" s="175"/>
      <c r="B84" s="409" t="s">
        <v>391</v>
      </c>
      <c r="C84" s="240"/>
      <c r="D84" s="240"/>
      <c r="E84" s="240"/>
      <c r="F84" s="240"/>
      <c r="G84" s="240"/>
      <c r="H84" s="240"/>
      <c r="I84" s="175"/>
    </row>
    <row r="85" spans="1:9" ht="12.75" customHeight="1">
      <c r="A85" s="175">
        <v>307</v>
      </c>
      <c r="B85" s="267" t="s">
        <v>374</v>
      </c>
      <c r="C85" s="613"/>
      <c r="D85" s="613"/>
      <c r="E85" s="613"/>
      <c r="F85" s="613"/>
      <c r="G85" s="613"/>
      <c r="H85" s="613"/>
      <c r="I85" s="175"/>
    </row>
    <row r="86" spans="1:9" ht="12.75" customHeight="1">
      <c r="A86" s="175">
        <v>308</v>
      </c>
      <c r="B86" s="341" t="s">
        <v>392</v>
      </c>
      <c r="C86" s="622"/>
      <c r="D86" s="622"/>
      <c r="E86" s="622"/>
      <c r="F86" s="622"/>
      <c r="G86" s="622"/>
      <c r="H86" s="622"/>
      <c r="I86" s="175"/>
    </row>
    <row r="87" spans="1:9" ht="12.75" customHeight="1">
      <c r="A87" s="175">
        <v>309</v>
      </c>
      <c r="B87" s="341" t="s">
        <v>393</v>
      </c>
      <c r="C87" s="622"/>
      <c r="D87" s="622"/>
      <c r="E87" s="622"/>
      <c r="F87" s="622"/>
      <c r="G87" s="622"/>
      <c r="H87" s="622"/>
      <c r="I87" s="175"/>
    </row>
    <row r="88" spans="1:9" ht="12.75" customHeight="1">
      <c r="A88" s="175">
        <v>310</v>
      </c>
      <c r="B88" s="341" t="s">
        <v>369</v>
      </c>
      <c r="C88" s="622"/>
      <c r="D88" s="622"/>
      <c r="E88" s="622"/>
      <c r="F88" s="622"/>
      <c r="G88" s="622"/>
      <c r="H88" s="622"/>
      <c r="I88" s="175"/>
    </row>
    <row r="89" spans="1:9" ht="12.75" customHeight="1">
      <c r="A89" s="175">
        <v>311</v>
      </c>
      <c r="B89" s="341" t="s">
        <v>394</v>
      </c>
      <c r="C89" s="622"/>
      <c r="D89" s="622"/>
      <c r="E89" s="622"/>
      <c r="F89" s="622"/>
      <c r="G89" s="622"/>
      <c r="H89" s="622"/>
      <c r="I89" s="175"/>
    </row>
    <row r="90" spans="1:9" ht="12.75" customHeight="1">
      <c r="A90" s="175">
        <v>312</v>
      </c>
      <c r="B90" s="341" t="s">
        <v>395</v>
      </c>
      <c r="C90" s="622"/>
      <c r="D90" s="622"/>
      <c r="E90" s="622"/>
      <c r="F90" s="622"/>
      <c r="G90" s="622"/>
      <c r="H90" s="622"/>
      <c r="I90" s="175"/>
    </row>
    <row r="91" spans="1:9" ht="12.75" customHeight="1">
      <c r="A91" s="175"/>
      <c r="B91" s="409" t="s">
        <v>396</v>
      </c>
      <c r="C91" s="175"/>
      <c r="D91" s="175"/>
      <c r="E91" s="175"/>
      <c r="F91" s="175"/>
      <c r="G91" s="175"/>
      <c r="H91" s="175"/>
      <c r="I91" s="175"/>
    </row>
    <row r="92" spans="1:9" ht="12.75" customHeight="1">
      <c r="A92" s="175">
        <v>313</v>
      </c>
      <c r="B92" s="267" t="s">
        <v>374</v>
      </c>
      <c r="C92" s="613"/>
      <c r="D92" s="613"/>
      <c r="E92" s="613"/>
      <c r="F92" s="613"/>
      <c r="G92" s="613"/>
      <c r="H92" s="613"/>
      <c r="I92" s="175"/>
    </row>
    <row r="93" spans="1:9" ht="12.75" customHeight="1">
      <c r="A93" s="175">
        <v>314</v>
      </c>
      <c r="B93" s="341" t="s">
        <v>397</v>
      </c>
      <c r="C93" s="622"/>
      <c r="D93" s="622"/>
      <c r="E93" s="622"/>
      <c r="F93" s="622"/>
      <c r="G93" s="622"/>
      <c r="H93" s="622"/>
      <c r="I93" s="175"/>
    </row>
    <row r="94" spans="1:9" ht="12.75" customHeight="1">
      <c r="A94" s="175">
        <v>315</v>
      </c>
      <c r="B94" s="341" t="s">
        <v>398</v>
      </c>
      <c r="C94" s="622"/>
      <c r="D94" s="622"/>
      <c r="E94" s="622"/>
      <c r="F94" s="622"/>
      <c r="G94" s="622"/>
      <c r="H94" s="622"/>
      <c r="I94" s="175"/>
    </row>
    <row r="95" spans="1:9" ht="12.75" customHeight="1">
      <c r="A95" s="175">
        <v>316</v>
      </c>
      <c r="B95" s="341" t="s">
        <v>369</v>
      </c>
      <c r="C95" s="622"/>
      <c r="D95" s="622"/>
      <c r="E95" s="622"/>
      <c r="F95" s="622"/>
      <c r="G95" s="622"/>
      <c r="H95" s="622"/>
      <c r="I95" s="175"/>
    </row>
    <row r="96" spans="1:9" ht="12.75" customHeight="1">
      <c r="A96" s="175">
        <v>317</v>
      </c>
      <c r="B96" s="341" t="s">
        <v>399</v>
      </c>
      <c r="C96" s="622"/>
      <c r="D96" s="622"/>
      <c r="E96" s="622"/>
      <c r="F96" s="622"/>
      <c r="G96" s="622"/>
      <c r="H96" s="622"/>
      <c r="I96" s="175"/>
    </row>
    <row r="97" spans="1:9" ht="12.75" customHeight="1">
      <c r="A97" s="175">
        <v>318</v>
      </c>
      <c r="B97" s="341" t="s">
        <v>400</v>
      </c>
      <c r="C97" s="622"/>
      <c r="D97" s="622"/>
      <c r="E97" s="622"/>
      <c r="F97" s="622"/>
      <c r="G97" s="622"/>
      <c r="H97" s="622"/>
      <c r="I97" s="175"/>
    </row>
    <row r="98" spans="1:9" ht="12.75" customHeight="1">
      <c r="A98" s="175"/>
      <c r="B98" s="409" t="s">
        <v>401</v>
      </c>
      <c r="C98" s="175"/>
      <c r="D98" s="175"/>
      <c r="E98" s="175"/>
      <c r="F98" s="175"/>
      <c r="G98" s="175"/>
      <c r="H98" s="175"/>
      <c r="I98" s="175"/>
    </row>
    <row r="99" spans="1:9" ht="12.75" customHeight="1">
      <c r="A99" s="175">
        <v>319</v>
      </c>
      <c r="B99" s="267" t="s">
        <v>402</v>
      </c>
      <c r="C99" s="613"/>
      <c r="D99" s="613"/>
      <c r="E99" s="613"/>
      <c r="F99" s="613"/>
      <c r="G99" s="613"/>
      <c r="H99" s="613"/>
      <c r="I99" s="175"/>
    </row>
    <row r="100" spans="1:9" ht="12.75" customHeight="1">
      <c r="A100" s="175">
        <v>320</v>
      </c>
      <c r="B100" s="341" t="s">
        <v>403</v>
      </c>
      <c r="C100" s="622"/>
      <c r="D100" s="622"/>
      <c r="E100" s="622"/>
      <c r="F100" s="622"/>
      <c r="G100" s="622"/>
      <c r="H100" s="622"/>
      <c r="I100" s="175"/>
    </row>
    <row r="101" spans="1:9" ht="12.75" customHeight="1">
      <c r="A101" s="175">
        <v>321</v>
      </c>
      <c r="B101" s="341" t="s">
        <v>404</v>
      </c>
      <c r="C101" s="622"/>
      <c r="D101" s="622"/>
      <c r="E101" s="622"/>
      <c r="F101" s="622"/>
      <c r="G101" s="622"/>
      <c r="H101" s="622"/>
      <c r="I101" s="175"/>
    </row>
    <row r="102" spans="1:9" ht="12.75" customHeight="1">
      <c r="A102" s="175">
        <v>322</v>
      </c>
      <c r="B102" s="341" t="s">
        <v>405</v>
      </c>
      <c r="C102" s="622"/>
      <c r="D102" s="622"/>
      <c r="E102" s="622"/>
      <c r="F102" s="622"/>
      <c r="G102" s="622"/>
      <c r="H102" s="622"/>
      <c r="I102" s="175"/>
    </row>
    <row r="103" spans="1:9" ht="12.75" customHeight="1">
      <c r="A103" s="175">
        <v>323</v>
      </c>
      <c r="B103" s="341" t="s">
        <v>406</v>
      </c>
      <c r="C103" s="622"/>
      <c r="D103" s="622"/>
      <c r="E103" s="622"/>
      <c r="F103" s="622"/>
      <c r="G103" s="622"/>
      <c r="H103" s="622"/>
      <c r="I103" s="175"/>
    </row>
    <row r="104" spans="1:9" ht="12.75" customHeight="1">
      <c r="A104" s="175">
        <v>324</v>
      </c>
      <c r="B104" s="341" t="s">
        <v>407</v>
      </c>
      <c r="C104" s="622"/>
      <c r="D104" s="622"/>
      <c r="E104" s="622"/>
      <c r="F104" s="622"/>
      <c r="G104" s="622"/>
      <c r="H104" s="622"/>
      <c r="I104" s="175"/>
    </row>
    <row r="105" spans="1:9" ht="12.75" customHeight="1">
      <c r="A105" s="175">
        <v>325</v>
      </c>
      <c r="B105" s="341" t="s">
        <v>408</v>
      </c>
      <c r="C105" s="622"/>
      <c r="D105" s="622"/>
      <c r="E105" s="622"/>
      <c r="F105" s="622"/>
      <c r="G105" s="622"/>
      <c r="H105" s="622"/>
      <c r="I105" s="175"/>
    </row>
    <row r="106" spans="1:9" ht="12.75" customHeight="1">
      <c r="A106" s="175">
        <v>326</v>
      </c>
      <c r="B106" s="341" t="s">
        <v>409</v>
      </c>
      <c r="C106" s="622"/>
      <c r="D106" s="622"/>
      <c r="E106" s="622"/>
      <c r="F106" s="622"/>
      <c r="G106" s="622"/>
      <c r="H106" s="622"/>
      <c r="I106" s="175"/>
    </row>
    <row r="107" spans="1:9" ht="12.75" customHeight="1">
      <c r="A107" s="175">
        <v>327</v>
      </c>
      <c r="B107" s="341" t="s">
        <v>410</v>
      </c>
      <c r="C107" s="622"/>
      <c r="D107" s="622"/>
      <c r="E107" s="622"/>
      <c r="F107" s="622"/>
      <c r="G107" s="622"/>
      <c r="H107" s="622"/>
      <c r="I107" s="175"/>
    </row>
    <row r="108" spans="1:9" ht="12.75" customHeight="1">
      <c r="A108" s="175">
        <v>328</v>
      </c>
      <c r="B108" s="341" t="s">
        <v>411</v>
      </c>
      <c r="C108" s="622"/>
      <c r="D108" s="622"/>
      <c r="E108" s="622"/>
      <c r="F108" s="622"/>
      <c r="G108" s="622"/>
      <c r="H108" s="622"/>
      <c r="I108" s="175"/>
    </row>
    <row r="109" spans="1:9" ht="12.75" customHeight="1">
      <c r="A109" s="175">
        <v>329</v>
      </c>
      <c r="B109" s="341" t="s">
        <v>412</v>
      </c>
      <c r="C109" s="622"/>
      <c r="D109" s="622"/>
      <c r="E109" s="622"/>
      <c r="F109" s="622"/>
      <c r="G109" s="622"/>
      <c r="H109" s="622"/>
      <c r="I109" s="175"/>
    </row>
    <row r="110" spans="1:9" ht="12.75" customHeight="1">
      <c r="A110" s="175">
        <v>330</v>
      </c>
      <c r="B110" s="341" t="s">
        <v>413</v>
      </c>
      <c r="C110" s="622"/>
      <c r="D110" s="622"/>
      <c r="E110" s="622"/>
      <c r="F110" s="622"/>
      <c r="G110" s="622"/>
      <c r="H110" s="622"/>
      <c r="I110" s="175"/>
    </row>
    <row r="111" spans="1:9" ht="12.75" customHeight="1">
      <c r="A111" s="175">
        <v>331</v>
      </c>
      <c r="B111" s="341" t="s">
        <v>414</v>
      </c>
      <c r="C111" s="622"/>
      <c r="D111" s="622"/>
      <c r="E111" s="622"/>
      <c r="F111" s="622"/>
      <c r="G111" s="622"/>
      <c r="H111" s="622"/>
      <c r="I111" s="175"/>
    </row>
    <row r="112" spans="1:9" ht="12.75" customHeight="1">
      <c r="A112" s="175">
        <v>332</v>
      </c>
      <c r="B112" s="341" t="s">
        <v>415</v>
      </c>
      <c r="C112" s="622"/>
      <c r="D112" s="622"/>
      <c r="E112" s="622"/>
      <c r="F112" s="622"/>
      <c r="G112" s="622"/>
      <c r="H112" s="622"/>
      <c r="I112" s="175"/>
    </row>
    <row r="113" spans="1:9" ht="12.75" customHeight="1">
      <c r="A113" s="175">
        <v>333</v>
      </c>
      <c r="B113" s="341" t="s">
        <v>416</v>
      </c>
      <c r="C113" s="622"/>
      <c r="D113" s="622"/>
      <c r="E113" s="622"/>
      <c r="F113" s="622"/>
      <c r="G113" s="622"/>
      <c r="H113" s="622"/>
      <c r="I113" s="175"/>
    </row>
    <row r="114" spans="1:9" ht="12.75" customHeight="1">
      <c r="A114" s="175">
        <v>334</v>
      </c>
      <c r="B114" s="341" t="s">
        <v>417</v>
      </c>
      <c r="C114" s="622"/>
      <c r="D114" s="622"/>
      <c r="E114" s="622"/>
      <c r="F114" s="622"/>
      <c r="G114" s="622"/>
      <c r="H114" s="622"/>
      <c r="I114" s="175"/>
    </row>
    <row r="115" spans="1:9" ht="12.75" customHeight="1">
      <c r="A115" s="175">
        <v>335</v>
      </c>
      <c r="B115" s="341" t="s">
        <v>418</v>
      </c>
      <c r="C115" s="622"/>
      <c r="D115" s="622"/>
      <c r="E115" s="622"/>
      <c r="F115" s="622"/>
      <c r="G115" s="622"/>
      <c r="H115" s="622"/>
      <c r="I115" s="175"/>
    </row>
    <row r="116" spans="1:9" ht="12.75" customHeight="1">
      <c r="A116" s="175">
        <v>336</v>
      </c>
      <c r="B116" s="341" t="s">
        <v>419</v>
      </c>
      <c r="C116" s="622"/>
      <c r="D116" s="622"/>
      <c r="E116" s="622"/>
      <c r="F116" s="622"/>
      <c r="G116" s="622"/>
      <c r="H116" s="622"/>
      <c r="I116" s="175"/>
    </row>
    <row r="117" spans="1:9" ht="12.75">
      <c r="A117" s="175"/>
      <c r="B117" s="175"/>
      <c r="C117" s="175"/>
      <c r="D117" s="175"/>
      <c r="E117" s="175"/>
      <c r="F117" s="175"/>
      <c r="G117" s="175"/>
      <c r="H117" s="175"/>
      <c r="I117" s="175"/>
    </row>
    <row r="118" spans="1:10" ht="6" customHeight="1">
      <c r="A118" s="175"/>
      <c r="B118" s="175"/>
      <c r="C118" s="175"/>
      <c r="D118" s="175"/>
      <c r="E118" s="175"/>
      <c r="F118" s="175"/>
      <c r="G118" s="175"/>
      <c r="H118" s="175"/>
      <c r="I118" s="175"/>
      <c r="J118" s="642"/>
    </row>
    <row r="119" spans="1:10" ht="17.25" customHeight="1">
      <c r="A119" s="161">
        <v>14</v>
      </c>
      <c r="B119" s="103" t="s">
        <v>420</v>
      </c>
      <c r="C119" s="373"/>
      <c r="D119" s="105"/>
      <c r="E119" s="105"/>
      <c r="F119" s="105"/>
      <c r="G119" s="374" t="s">
        <v>242</v>
      </c>
      <c r="H119" s="375">
        <f>jahr</f>
        <v>2007</v>
      </c>
      <c r="I119" s="175"/>
      <c r="J119" s="642"/>
    </row>
    <row r="120" spans="1:9" ht="25.5" customHeight="1">
      <c r="A120" s="175"/>
      <c r="B120" s="376" t="str">
        <f>Vr&amp;"  "</f>
        <v>Xxx Vie  </v>
      </c>
      <c r="C120" s="241"/>
      <c r="D120" s="175"/>
      <c r="E120" s="175"/>
      <c r="F120" s="175"/>
      <c r="G120" s="175"/>
      <c r="H120" s="175"/>
      <c r="I120" s="175"/>
    </row>
    <row r="121" spans="2:10" ht="17.25" customHeight="1">
      <c r="B121" s="385" t="s">
        <v>423</v>
      </c>
      <c r="C121" s="175"/>
      <c r="D121" s="175"/>
      <c r="E121" s="175"/>
      <c r="F121" s="175"/>
      <c r="G121" s="175"/>
      <c r="H121" s="175"/>
      <c r="I121" s="175"/>
      <c r="J121" s="642"/>
    </row>
    <row r="122" spans="1:30" s="380" customFormat="1" ht="15" customHeight="1">
      <c r="A122" s="377"/>
      <c r="B122" s="385" t="s">
        <v>424</v>
      </c>
      <c r="C122" s="411">
        <f>jahr+1</f>
        <v>2008</v>
      </c>
      <c r="D122" s="411">
        <f>jahr</f>
        <v>2007</v>
      </c>
      <c r="E122" s="411">
        <f>jahr-1</f>
        <v>2006</v>
      </c>
      <c r="F122" s="411">
        <f>jahr-2</f>
        <v>2005</v>
      </c>
      <c r="G122" s="175"/>
      <c r="H122" s="175"/>
      <c r="I122" s="175"/>
      <c r="J122" s="649"/>
      <c r="K122" s="648"/>
      <c r="L122" s="648"/>
      <c r="M122" s="648"/>
      <c r="N122" s="648"/>
      <c r="O122" s="648"/>
      <c r="P122" s="648"/>
      <c r="Q122" s="648"/>
      <c r="R122" s="648"/>
      <c r="S122" s="648"/>
      <c r="T122" s="648"/>
      <c r="U122" s="648"/>
      <c r="V122" s="648"/>
      <c r="W122" s="648"/>
      <c r="X122" s="648"/>
      <c r="Y122" s="648"/>
      <c r="Z122" s="648"/>
      <c r="AA122" s="648"/>
      <c r="AB122" s="648"/>
      <c r="AC122" s="648"/>
      <c r="AD122" s="648"/>
    </row>
    <row r="123" spans="1:30" s="380" customFormat="1" ht="15" customHeight="1">
      <c r="A123" s="377"/>
      <c r="B123" s="412" t="s">
        <v>580</v>
      </c>
      <c r="C123" s="240" t="s">
        <v>566</v>
      </c>
      <c r="D123" s="240" t="s">
        <v>567</v>
      </c>
      <c r="E123" s="240" t="s">
        <v>574</v>
      </c>
      <c r="F123" s="240" t="s">
        <v>575</v>
      </c>
      <c r="G123" s="175"/>
      <c r="H123" s="175"/>
      <c r="I123" s="175"/>
      <c r="J123" s="649"/>
      <c r="K123" s="648"/>
      <c r="L123" s="648"/>
      <c r="M123" s="648"/>
      <c r="N123" s="648"/>
      <c r="O123" s="648"/>
      <c r="P123" s="648"/>
      <c r="Q123" s="648"/>
      <c r="R123" s="648"/>
      <c r="S123" s="648"/>
      <c r="T123" s="648"/>
      <c r="U123" s="648"/>
      <c r="V123" s="648"/>
      <c r="W123" s="648"/>
      <c r="X123" s="648"/>
      <c r="Y123" s="648"/>
      <c r="Z123" s="648"/>
      <c r="AA123" s="648"/>
      <c r="AB123" s="648"/>
      <c r="AC123" s="648"/>
      <c r="AD123" s="648"/>
    </row>
    <row r="124" spans="1:30" s="380" customFormat="1" ht="15" customHeight="1">
      <c r="A124" s="377"/>
      <c r="B124" s="409" t="s">
        <v>425</v>
      </c>
      <c r="C124" s="240"/>
      <c r="D124" s="240"/>
      <c r="E124" s="240"/>
      <c r="F124" s="240"/>
      <c r="G124" s="175"/>
      <c r="H124" s="175"/>
      <c r="I124" s="175"/>
      <c r="J124" s="649"/>
      <c r="K124" s="648"/>
      <c r="L124" s="648"/>
      <c r="M124" s="648"/>
      <c r="N124" s="648"/>
      <c r="O124" s="648"/>
      <c r="P124" s="648"/>
      <c r="Q124" s="648"/>
      <c r="R124" s="648"/>
      <c r="S124" s="648"/>
      <c r="T124" s="648"/>
      <c r="U124" s="648"/>
      <c r="V124" s="648"/>
      <c r="W124" s="648"/>
      <c r="X124" s="648"/>
      <c r="Y124" s="648"/>
      <c r="Z124" s="648"/>
      <c r="AA124" s="648"/>
      <c r="AB124" s="648"/>
      <c r="AC124" s="648"/>
      <c r="AD124" s="648"/>
    </row>
    <row r="125" spans="1:10" ht="12.75" customHeight="1">
      <c r="A125" s="175">
        <v>337</v>
      </c>
      <c r="B125" s="413" t="s">
        <v>426</v>
      </c>
      <c r="C125" s="414"/>
      <c r="D125" s="613"/>
      <c r="E125" s="613"/>
      <c r="F125" s="613"/>
      <c r="G125" s="175"/>
      <c r="H125" s="175"/>
      <c r="I125" s="175"/>
      <c r="J125" s="642"/>
    </row>
    <row r="126" spans="1:10" ht="12.75" customHeight="1">
      <c r="A126" s="175">
        <v>338</v>
      </c>
      <c r="B126" s="415" t="s">
        <v>427</v>
      </c>
      <c r="C126" s="416"/>
      <c r="D126" s="622"/>
      <c r="E126" s="622"/>
      <c r="F126" s="622"/>
      <c r="G126" s="175"/>
      <c r="H126" s="175"/>
      <c r="I126" s="175"/>
      <c r="J126" s="642"/>
    </row>
    <row r="127" spans="1:10" ht="12.75" customHeight="1">
      <c r="A127" s="175">
        <v>339</v>
      </c>
      <c r="B127" s="415" t="s">
        <v>428</v>
      </c>
      <c r="C127" s="416"/>
      <c r="D127" s="622"/>
      <c r="E127" s="622"/>
      <c r="F127" s="622"/>
      <c r="G127" s="175"/>
      <c r="H127" s="175"/>
      <c r="I127" s="175"/>
      <c r="J127" s="642"/>
    </row>
    <row r="128" spans="1:10" ht="12.75" customHeight="1">
      <c r="A128" s="175">
        <v>340</v>
      </c>
      <c r="B128" s="415" t="s">
        <v>429</v>
      </c>
      <c r="C128" s="416"/>
      <c r="D128" s="622"/>
      <c r="E128" s="622"/>
      <c r="F128" s="622"/>
      <c r="G128" s="175"/>
      <c r="H128" s="175"/>
      <c r="I128" s="175"/>
      <c r="J128" s="642"/>
    </row>
    <row r="129" spans="1:10" ht="12.75" customHeight="1">
      <c r="A129" s="175">
        <v>341</v>
      </c>
      <c r="B129" s="415" t="s">
        <v>430</v>
      </c>
      <c r="C129" s="416"/>
      <c r="D129" s="622"/>
      <c r="E129" s="622"/>
      <c r="F129" s="622"/>
      <c r="G129" s="175"/>
      <c r="H129" s="175"/>
      <c r="I129" s="175"/>
      <c r="J129" s="642"/>
    </row>
    <row r="130" spans="1:10" ht="12.75" customHeight="1">
      <c r="A130" s="175">
        <v>342</v>
      </c>
      <c r="B130" s="415" t="s">
        <v>431</v>
      </c>
      <c r="C130" s="416"/>
      <c r="D130" s="622"/>
      <c r="E130" s="622"/>
      <c r="F130" s="622"/>
      <c r="G130" s="175"/>
      <c r="H130" s="175"/>
      <c r="I130" s="175"/>
      <c r="J130" s="642"/>
    </row>
    <row r="131" spans="1:10" ht="12.75" customHeight="1">
      <c r="A131" s="175">
        <v>343</v>
      </c>
      <c r="B131" s="415" t="s">
        <v>432</v>
      </c>
      <c r="C131" s="416"/>
      <c r="D131" s="622"/>
      <c r="E131" s="622"/>
      <c r="F131" s="622"/>
      <c r="G131" s="175"/>
      <c r="H131" s="175"/>
      <c r="I131" s="175"/>
      <c r="J131" s="642"/>
    </row>
    <row r="132" spans="1:10" ht="12.75" customHeight="1">
      <c r="A132" s="175"/>
      <c r="B132" s="409" t="s">
        <v>433</v>
      </c>
      <c r="C132" s="417"/>
      <c r="D132" s="417"/>
      <c r="E132" s="417"/>
      <c r="F132" s="247"/>
      <c r="G132" s="175"/>
      <c r="H132" s="175"/>
      <c r="I132" s="175"/>
      <c r="J132" s="642"/>
    </row>
    <row r="133" spans="1:10" ht="12.75" customHeight="1">
      <c r="A133" s="175">
        <v>344</v>
      </c>
      <c r="B133" s="413" t="s">
        <v>435</v>
      </c>
      <c r="C133" s="414"/>
      <c r="D133" s="613"/>
      <c r="E133" s="613"/>
      <c r="F133" s="247"/>
      <c r="G133" s="175"/>
      <c r="H133" s="175"/>
      <c r="I133" s="175"/>
      <c r="J133" s="642"/>
    </row>
    <row r="134" spans="1:10" ht="12.75" customHeight="1">
      <c r="A134" s="175">
        <v>345</v>
      </c>
      <c r="B134" s="415" t="s">
        <v>436</v>
      </c>
      <c r="C134" s="622"/>
      <c r="D134" s="622"/>
      <c r="E134" s="418"/>
      <c r="F134" s="247"/>
      <c r="G134" s="175"/>
      <c r="H134" s="175"/>
      <c r="I134" s="175"/>
      <c r="J134" s="642"/>
    </row>
    <row r="135" spans="1:10" ht="12.75" customHeight="1">
      <c r="A135" s="175">
        <v>346</v>
      </c>
      <c r="B135" s="415" t="s">
        <v>437</v>
      </c>
      <c r="C135" s="622"/>
      <c r="D135" s="622"/>
      <c r="E135" s="613"/>
      <c r="F135" s="613"/>
      <c r="G135" s="175"/>
      <c r="H135" s="175"/>
      <c r="I135" s="175"/>
      <c r="J135" s="642"/>
    </row>
    <row r="136" spans="1:9" ht="12.75" customHeight="1">
      <c r="A136" s="175">
        <v>347</v>
      </c>
      <c r="B136" s="415" t="s">
        <v>344</v>
      </c>
      <c r="C136" s="419"/>
      <c r="D136" s="622"/>
      <c r="E136" s="622"/>
      <c r="F136" s="613"/>
      <c r="G136" s="175"/>
      <c r="H136" s="175"/>
      <c r="I136" s="175"/>
    </row>
    <row r="137" spans="1:9" ht="12.75" customHeight="1">
      <c r="A137" s="175">
        <v>348</v>
      </c>
      <c r="B137" s="341" t="s">
        <v>438</v>
      </c>
      <c r="C137" s="419"/>
      <c r="D137" s="802"/>
      <c r="E137" s="802"/>
      <c r="F137" s="802"/>
      <c r="G137" s="802"/>
      <c r="H137" s="802"/>
      <c r="I137" s="175"/>
    </row>
    <row r="138" spans="1:30" s="380" customFormat="1" ht="18" customHeight="1">
      <c r="A138" s="402"/>
      <c r="B138" s="744" t="s">
        <v>345</v>
      </c>
      <c r="C138" s="404"/>
      <c r="D138" s="405"/>
      <c r="E138" s="404"/>
      <c r="F138" s="175"/>
      <c r="G138" s="175"/>
      <c r="H138" s="175"/>
      <c r="I138" s="175"/>
      <c r="J138" s="648"/>
      <c r="K138" s="648"/>
      <c r="L138" s="648"/>
      <c r="M138" s="648"/>
      <c r="N138" s="648"/>
      <c r="O138" s="648"/>
      <c r="P138" s="648"/>
      <c r="Q138" s="648"/>
      <c r="R138" s="648"/>
      <c r="S138" s="648"/>
      <c r="T138" s="648"/>
      <c r="U138" s="648"/>
      <c r="V138" s="648"/>
      <c r="W138" s="648"/>
      <c r="X138" s="648"/>
      <c r="Y138" s="648"/>
      <c r="Z138" s="648"/>
      <c r="AA138" s="648"/>
      <c r="AB138" s="648"/>
      <c r="AC138" s="648"/>
      <c r="AD138" s="648"/>
    </row>
    <row r="139" spans="1:9" ht="12.75">
      <c r="A139" s="175"/>
      <c r="B139" s="175"/>
      <c r="C139" s="175"/>
      <c r="D139" s="175"/>
      <c r="E139" s="175"/>
      <c r="F139" s="175"/>
      <c r="G139" s="175"/>
      <c r="H139" s="175"/>
      <c r="I139" s="175"/>
    </row>
    <row r="146" ht="12.75">
      <c r="B146" s="698"/>
    </row>
    <row r="149" ht="12.75">
      <c r="B149" s="698"/>
    </row>
  </sheetData>
  <sheetProtection/>
  <mergeCells count="1">
    <mergeCell ref="D137:H137"/>
  </mergeCells>
  <conditionalFormatting sqref="C134:C135 D133 D125:D131 C99:C116 H17 C7:C8 C35:E39 E40 D137:H137 C17:D17 D136 C21:E25 C67:C78 C48:C53 C55:C56 C58:C65 C85:C90 C92:C97 C13:E15 G14 H13:H15">
    <cfRule type="expression" priority="1" dxfId="1" stopIfTrue="1">
      <formula>IF(ISBLANK(C7),1,0)</formula>
    </cfRule>
  </conditionalFormatting>
  <conditionalFormatting sqref="E136:F136 D134 E133 E125:F131 D99:H116 D5:H8 D135:F135 D67:H78 D48:H53 D55:H56 D58:H65 D85:H90 D92:H97">
    <cfRule type="expression" priority="2" dxfId="2" stopIfTrue="1">
      <formula>IF(ISBLANK(D5),1,0)</formula>
    </cfRule>
  </conditionalFormatting>
  <conditionalFormatting sqref="C26:E26 C40:D40">
    <cfRule type="cellIs" priority="3" dxfId="7" operator="lessThan" stopIfTrue="1">
      <formula>0</formula>
    </cfRule>
  </conditionalFormatting>
  <conditionalFormatting sqref="C6">
    <cfRule type="expression" priority="4" dxfId="6" stopIfTrue="1">
      <formula>IF($D$19="",0,1)</formula>
    </cfRule>
  </conditionalFormatting>
  <conditionalFormatting sqref="D16">
    <cfRule type="expression" priority="5" dxfId="6" stopIfTrue="1">
      <formula>IF(D$19=0,0,1)</formula>
    </cfRule>
  </conditionalFormatting>
  <conditionalFormatting sqref="E18 H18">
    <cfRule type="expression" priority="6" dxfId="6" stopIfTrue="1">
      <formula>IF(E$19=0,0,1)</formula>
    </cfRule>
  </conditionalFormatting>
  <printOptions headings="1"/>
  <pageMargins left="0.24" right="0.19" top="0.27" bottom="0.35" header="0.17" footer="0.16"/>
  <pageSetup horizontalDpi="300" verticalDpi="300" orientation="landscape" paperSize="9" scale="75" r:id="rId1"/>
  <headerFooter alignWithMargins="0">
    <oddFooter>&amp;L&amp;D   &amp;T&amp;C&amp;A&amp;R&amp;P / &amp;N</oddFooter>
  </headerFooter>
  <rowBreaks count="3" manualBreakCount="3">
    <brk id="42" max="255" man="1"/>
    <brk id="79" max="255" man="1"/>
    <brk id="118" max="255" man="1"/>
  </rowBreaks>
  <colBreaks count="1" manualBreakCount="1">
    <brk id="9" max="65535" man="1"/>
  </colBreaks>
</worksheet>
</file>

<file path=xl/worksheets/sheet7.xml><?xml version="1.0" encoding="utf-8"?>
<worksheet xmlns="http://schemas.openxmlformats.org/spreadsheetml/2006/main" xmlns:r="http://schemas.openxmlformats.org/officeDocument/2006/relationships">
  <sheetPr codeName="Tabelle8">
    <tabColor indexed="19"/>
  </sheetPr>
  <dimension ref="A1:F149"/>
  <sheetViews>
    <sheetView zoomScale="75" zoomScaleNormal="75" workbookViewId="0" topLeftCell="A1">
      <pane ySplit="4" topLeftCell="BM5" activePane="bottomLeft" state="frozen"/>
      <selection pane="topLeft" activeCell="A2" sqref="A2"/>
      <selection pane="bottomLeft" activeCell="A1" sqref="A1"/>
    </sheetView>
  </sheetViews>
  <sheetFormatPr defaultColWidth="11.421875" defaultRowHeight="12.75"/>
  <cols>
    <col min="1" max="1" width="5.7109375" style="176" customWidth="1"/>
    <col min="2" max="2" width="42.7109375" style="176" customWidth="1"/>
    <col min="3" max="3" width="38.7109375" style="176" customWidth="1"/>
    <col min="4" max="4" width="55.7109375" style="176" customWidth="1"/>
    <col min="5" max="5" width="54.7109375" style="176" customWidth="1"/>
    <col min="6" max="6" width="3.140625" style="176" customWidth="1"/>
    <col min="7" max="8" width="11.421875" style="176" customWidth="1"/>
    <col min="9" max="9" width="20.140625" style="176" customWidth="1"/>
    <col min="10" max="16384" width="11.421875" style="176" customWidth="1"/>
  </cols>
  <sheetData>
    <row r="1" spans="1:6" ht="17.25" customHeight="1">
      <c r="A1" s="420">
        <v>15</v>
      </c>
      <c r="B1" s="420" t="s">
        <v>498</v>
      </c>
      <c r="C1" s="175"/>
      <c r="D1" s="175"/>
      <c r="E1" s="175"/>
      <c r="F1" s="175"/>
    </row>
    <row r="2" spans="1:6" ht="17.25" customHeight="1">
      <c r="A2" s="175"/>
      <c r="B2" s="421" t="str">
        <f>Vr&amp;"  "</f>
        <v>Xxx Vie  </v>
      </c>
      <c r="C2" s="374"/>
      <c r="D2" s="375"/>
      <c r="E2" s="422" t="str">
        <f>"Année d'exercice:         "&amp;jahr</f>
        <v>Année d'exercice:         2007</v>
      </c>
      <c r="F2" s="175"/>
    </row>
    <row r="3" spans="1:6" ht="17.25" customHeight="1">
      <c r="A3" s="409" t="s">
        <v>499</v>
      </c>
      <c r="B3" s="175"/>
      <c r="C3" s="409" t="s">
        <v>500</v>
      </c>
      <c r="D3" s="409" t="s">
        <v>501</v>
      </c>
      <c r="E3" s="409" t="s">
        <v>502</v>
      </c>
      <c r="F3" s="175"/>
    </row>
    <row r="4" spans="1:6" ht="18" customHeight="1">
      <c r="A4" s="175"/>
      <c r="B4" s="423" t="s">
        <v>580</v>
      </c>
      <c r="C4" s="240" t="s">
        <v>566</v>
      </c>
      <c r="D4" s="240" t="s">
        <v>567</v>
      </c>
      <c r="E4" s="240" t="s">
        <v>574</v>
      </c>
      <c r="F4" s="175"/>
    </row>
    <row r="5" spans="1:6" ht="23.25" customHeight="1">
      <c r="A5" s="154">
        <v>349</v>
      </c>
      <c r="B5" s="712" t="s">
        <v>603</v>
      </c>
      <c r="C5" s="745">
        <v>1</v>
      </c>
      <c r="D5" s="638" t="str">
        <f>INDEX($C$32:$C$36,C5,1)</f>
        <v>Pas d'actifs immatériels activés</v>
      </c>
      <c r="E5" s="636"/>
      <c r="F5" s="175"/>
    </row>
    <row r="6" spans="1:6" ht="23.25" customHeight="1">
      <c r="A6" s="154">
        <v>350</v>
      </c>
      <c r="B6" s="713" t="s">
        <v>454</v>
      </c>
      <c r="C6" s="746">
        <v>1</v>
      </c>
      <c r="D6" s="638" t="str">
        <f>INDEX($C$38:$C$40,C6,1)</f>
        <v>Amortissements acceptés par l'autorité fiscale*</v>
      </c>
      <c r="E6" s="637"/>
      <c r="F6" s="175"/>
    </row>
    <row r="7" spans="1:6" ht="23.25" customHeight="1">
      <c r="A7" s="154">
        <v>351</v>
      </c>
      <c r="B7" s="713" t="s">
        <v>605</v>
      </c>
      <c r="C7" s="746">
        <v>1</v>
      </c>
      <c r="D7" s="638" t="str">
        <f>INDEX($C$42:$C$45,C7,1)</f>
        <v>Frais d'acquisition sans amortissements*</v>
      </c>
      <c r="E7" s="637"/>
      <c r="F7" s="175"/>
    </row>
    <row r="8" spans="1:6" ht="23.25" customHeight="1">
      <c r="A8" s="154">
        <v>352</v>
      </c>
      <c r="B8" s="713" t="s">
        <v>606</v>
      </c>
      <c r="C8" s="746">
        <v>1</v>
      </c>
      <c r="D8" s="638" t="str">
        <f>INDEX($C$47:$C$50,C8,1)</f>
        <v>Frais d'acquisition sans amortissements*</v>
      </c>
      <c r="E8" s="637"/>
      <c r="F8" s="175"/>
    </row>
    <row r="9" spans="1:6" ht="23.25" customHeight="1">
      <c r="A9" s="154">
        <v>353</v>
      </c>
      <c r="B9" s="713" t="s">
        <v>607</v>
      </c>
      <c r="C9" s="746">
        <v>1</v>
      </c>
      <c r="D9" s="638" t="str">
        <f>INDEX($C$52:$C$53,C9,1)</f>
        <v>Valeur nominale*</v>
      </c>
      <c r="E9" s="637"/>
      <c r="F9" s="175"/>
    </row>
    <row r="10" spans="1:6" ht="23.25" customHeight="1">
      <c r="A10" s="154">
        <v>354</v>
      </c>
      <c r="B10" s="713" t="s">
        <v>608</v>
      </c>
      <c r="C10" s="746">
        <v>1</v>
      </c>
      <c r="D10" s="638" t="str">
        <f>INDEX($C$55:$C$57,C10,1)</f>
        <v>Valeur d'acquisition diminuée des amort. néc.</v>
      </c>
      <c r="E10" s="637"/>
      <c r="F10" s="175"/>
    </row>
    <row r="11" spans="1:6" ht="28.5" customHeight="1">
      <c r="A11" s="154">
        <v>355</v>
      </c>
      <c r="B11" s="714" t="s">
        <v>457</v>
      </c>
      <c r="C11" s="746">
        <v>1</v>
      </c>
      <c r="D11" s="638" t="str">
        <f>INDEX($C$59:$C$60,C11,1)</f>
        <v>Valeur nominale*</v>
      </c>
      <c r="E11" s="637"/>
      <c r="F11" s="175"/>
    </row>
    <row r="12" spans="1:6" ht="23.25" customHeight="1">
      <c r="A12" s="154">
        <v>356</v>
      </c>
      <c r="B12" s="713" t="s">
        <v>610</v>
      </c>
      <c r="C12" s="746">
        <v>1</v>
      </c>
      <c r="D12" s="638" t="str">
        <f>INDEX($C$62:$C$63,C12,1)</f>
        <v>Valeur nominale*</v>
      </c>
      <c r="E12" s="637"/>
      <c r="F12" s="175"/>
    </row>
    <row r="13" spans="1:6" ht="23.25" customHeight="1">
      <c r="A13" s="154">
        <v>357</v>
      </c>
      <c r="B13" s="713" t="s">
        <v>458</v>
      </c>
      <c r="C13" s="746">
        <v>1</v>
      </c>
      <c r="D13" s="638" t="str">
        <f>INDEX($C$65:$C$68,C13,1)</f>
        <v>Val. indiv. la plus basse d'acquis./compt./de marché**</v>
      </c>
      <c r="E13" s="637"/>
      <c r="F13" s="175"/>
    </row>
    <row r="14" spans="1:6" ht="23.25" customHeight="1">
      <c r="A14" s="154">
        <v>358</v>
      </c>
      <c r="B14" s="713" t="s">
        <v>614</v>
      </c>
      <c r="C14" s="746">
        <v>1</v>
      </c>
      <c r="D14" s="638" t="str">
        <f>INDEX($C$70:$C$73,C14,1)</f>
        <v>Val. indiv. la plus basse d'acquis./compt./de marché**</v>
      </c>
      <c r="E14" s="637"/>
      <c r="F14" s="175"/>
    </row>
    <row r="15" spans="1:6" ht="23.25" customHeight="1">
      <c r="A15" s="154">
        <v>359</v>
      </c>
      <c r="B15" s="713" t="s">
        <v>615</v>
      </c>
      <c r="C15" s="746">
        <v>1</v>
      </c>
      <c r="D15" s="638" t="str">
        <f>INDEX($C$75:$C$79,C15,1)</f>
        <v>Valeur d'acquisition</v>
      </c>
      <c r="E15" s="637"/>
      <c r="F15" s="175"/>
    </row>
    <row r="16" spans="1:6" ht="23.25" customHeight="1">
      <c r="A16" s="154">
        <v>360</v>
      </c>
      <c r="B16" s="713" t="s">
        <v>459</v>
      </c>
      <c r="C16" s="746">
        <v>1</v>
      </c>
      <c r="D16" s="638" t="str">
        <f>INDEX($C$81:$C$84,C16,1)</f>
        <v>Méthode scientifique d'amortissement des frais*</v>
      </c>
      <c r="E16" s="637"/>
      <c r="F16" s="175"/>
    </row>
    <row r="17" spans="1:6" ht="28.5" customHeight="1">
      <c r="A17" s="154">
        <v>361</v>
      </c>
      <c r="B17" s="714" t="s">
        <v>460</v>
      </c>
      <c r="C17" s="746">
        <v>1</v>
      </c>
      <c r="D17" s="638" t="str">
        <f>INDEX($C$86:$C$89,C17,1)</f>
        <v>Valeur nominale*</v>
      </c>
      <c r="E17" s="637"/>
      <c r="F17" s="175"/>
    </row>
    <row r="18" spans="1:6" ht="23.25" customHeight="1">
      <c r="A18" s="154">
        <v>362</v>
      </c>
      <c r="B18" s="713" t="s">
        <v>620</v>
      </c>
      <c r="C18" s="746">
        <v>1</v>
      </c>
      <c r="D18" s="638" t="str">
        <f>INDEX($C$91:$C$94,C18,1)</f>
        <v>Valeur nominale*</v>
      </c>
      <c r="E18" s="637"/>
      <c r="F18" s="175"/>
    </row>
    <row r="19" spans="1:6" ht="23.25" customHeight="1">
      <c r="A19" s="154">
        <v>363</v>
      </c>
      <c r="B19" s="713" t="s">
        <v>621</v>
      </c>
      <c r="C19" s="746">
        <v>1</v>
      </c>
      <c r="D19" s="638" t="str">
        <f>INDEX($C$96:$C$97,C19,1)</f>
        <v>Valeur nominale</v>
      </c>
      <c r="E19" s="637"/>
      <c r="F19" s="175"/>
    </row>
    <row r="20" spans="1:6" ht="23.25" customHeight="1">
      <c r="A20" s="154">
        <v>364</v>
      </c>
      <c r="B20" s="713" t="s">
        <v>461</v>
      </c>
      <c r="C20" s="746">
        <v>1</v>
      </c>
      <c r="D20" s="638" t="str">
        <f>INDEX($C$99:$C$100,C20,1)</f>
        <v>Valeur nominale*</v>
      </c>
      <c r="E20" s="637"/>
      <c r="F20" s="175"/>
    </row>
    <row r="21" spans="1:6" ht="23.25" customHeight="1">
      <c r="A21" s="154">
        <v>365</v>
      </c>
      <c r="B21" s="713" t="s">
        <v>569</v>
      </c>
      <c r="C21" s="746">
        <v>1</v>
      </c>
      <c r="D21" s="638" t="str">
        <f>INDEX($C$102:$C$105,C21,1)</f>
        <v>Valeur d'acquisition</v>
      </c>
      <c r="E21" s="637"/>
      <c r="F21" s="175"/>
    </row>
    <row r="22" spans="1:6" ht="23.25" customHeight="1">
      <c r="A22" s="154">
        <v>366</v>
      </c>
      <c r="B22" s="713" t="s">
        <v>570</v>
      </c>
      <c r="C22" s="746">
        <v>1</v>
      </c>
      <c r="D22" s="638" t="str">
        <f>INDEX($C$107:$C$110,C22,1)</f>
        <v>Valeur d'acquisition</v>
      </c>
      <c r="E22" s="637"/>
      <c r="F22" s="175"/>
    </row>
    <row r="23" spans="1:6" ht="23.25" customHeight="1">
      <c r="A23" s="154">
        <v>367</v>
      </c>
      <c r="B23" s="713" t="s">
        <v>624</v>
      </c>
      <c r="C23" s="746">
        <v>1</v>
      </c>
      <c r="D23" s="638" t="str">
        <f>INDEX($C$112:$C$113,C23,1)</f>
        <v>Valeur nominale*</v>
      </c>
      <c r="E23" s="637"/>
      <c r="F23" s="175"/>
    </row>
    <row r="24" spans="1:6" ht="23.25" customHeight="1">
      <c r="A24" s="154">
        <v>368</v>
      </c>
      <c r="B24" s="713" t="s">
        <v>463</v>
      </c>
      <c r="C24" s="746">
        <v>1</v>
      </c>
      <c r="D24" s="638" t="str">
        <f>INDEX($C$115:$C$117,C24,1)</f>
        <v>Amort. selon autorité fiscale/droit commercial</v>
      </c>
      <c r="E24" s="637"/>
      <c r="F24" s="175"/>
    </row>
    <row r="25" spans="1:6" ht="12.75">
      <c r="A25" s="175"/>
      <c r="B25" s="175"/>
      <c r="C25" s="175"/>
      <c r="D25" s="175"/>
      <c r="E25" s="175"/>
      <c r="F25" s="175"/>
    </row>
    <row r="26" spans="1:6" ht="12.75">
      <c r="A26" s="175"/>
      <c r="B26" s="175" t="s">
        <v>465</v>
      </c>
      <c r="C26" s="175"/>
      <c r="D26" s="175"/>
      <c r="E26" s="175"/>
      <c r="F26" s="175"/>
    </row>
    <row r="27" spans="1:6" ht="12.75">
      <c r="A27" s="175"/>
      <c r="B27" s="175" t="s">
        <v>466</v>
      </c>
      <c r="C27" s="175"/>
      <c r="D27" s="175"/>
      <c r="E27" s="175"/>
      <c r="F27" s="175"/>
    </row>
    <row r="28" spans="1:6" ht="12.75">
      <c r="A28" s="175"/>
      <c r="B28" s="175" t="s">
        <v>470</v>
      </c>
      <c r="C28" s="175"/>
      <c r="D28" s="175"/>
      <c r="E28" s="175"/>
      <c r="F28" s="175"/>
    </row>
    <row r="29" spans="1:6" ht="12.75">
      <c r="A29" s="175"/>
      <c r="B29" s="175"/>
      <c r="C29" s="175"/>
      <c r="D29" s="175"/>
      <c r="E29" s="175"/>
      <c r="F29" s="175"/>
    </row>
    <row r="30" spans="1:6" ht="12.75">
      <c r="A30" s="175"/>
      <c r="B30" s="424" t="s">
        <v>471</v>
      </c>
      <c r="C30" s="175"/>
      <c r="D30" s="175"/>
      <c r="E30" s="175"/>
      <c r="F30" s="175"/>
    </row>
    <row r="31" spans="1:6" ht="3" customHeight="1">
      <c r="A31" s="175"/>
      <c r="B31" s="175"/>
      <c r="C31" s="175"/>
      <c r="D31" s="175"/>
      <c r="E31" s="175"/>
      <c r="F31" s="175"/>
    </row>
    <row r="32" spans="1:6" ht="9.75" customHeight="1">
      <c r="A32" s="175"/>
      <c r="B32" s="425" t="s">
        <v>603</v>
      </c>
      <c r="C32" s="425" t="s">
        <v>472</v>
      </c>
      <c r="D32" s="175"/>
      <c r="E32" s="175"/>
      <c r="F32" s="175"/>
    </row>
    <row r="33" spans="1:6" ht="9.75" customHeight="1">
      <c r="A33" s="175"/>
      <c r="B33" s="425"/>
      <c r="C33" s="425" t="s">
        <v>473</v>
      </c>
      <c r="D33" s="175"/>
      <c r="E33" s="175"/>
      <c r="F33" s="175"/>
    </row>
    <row r="34" spans="1:6" ht="9.75" customHeight="1">
      <c r="A34" s="175"/>
      <c r="B34" s="425"/>
      <c r="C34" s="425" t="s">
        <v>474</v>
      </c>
      <c r="D34" s="175"/>
      <c r="E34" s="175"/>
      <c r="F34" s="175"/>
    </row>
    <row r="35" spans="1:6" ht="9.75" customHeight="1">
      <c r="A35" s="175"/>
      <c r="B35" s="425"/>
      <c r="C35" s="425" t="s">
        <v>475</v>
      </c>
      <c r="D35" s="175"/>
      <c r="E35" s="175"/>
      <c r="F35" s="175"/>
    </row>
    <row r="36" spans="1:6" ht="9.75" customHeight="1">
      <c r="A36" s="175"/>
      <c r="B36" s="425"/>
      <c r="C36" s="425" t="s">
        <v>476</v>
      </c>
      <c r="D36" s="175"/>
      <c r="E36" s="175"/>
      <c r="F36" s="175"/>
    </row>
    <row r="37" spans="1:6" ht="3" customHeight="1">
      <c r="A37" s="175"/>
      <c r="B37" s="425"/>
      <c r="C37" s="425"/>
      <c r="D37" s="175"/>
      <c r="E37" s="175"/>
      <c r="F37" s="175"/>
    </row>
    <row r="38" spans="1:6" ht="9.75" customHeight="1">
      <c r="A38" s="175"/>
      <c r="B38" s="425" t="s">
        <v>454</v>
      </c>
      <c r="C38" s="425" t="s">
        <v>477</v>
      </c>
      <c r="D38" s="175"/>
      <c r="E38" s="175"/>
      <c r="F38" s="175"/>
    </row>
    <row r="39" spans="1:6" ht="9.75" customHeight="1">
      <c r="A39" s="175"/>
      <c r="B39" s="425"/>
      <c r="C39" s="425" t="s">
        <v>478</v>
      </c>
      <c r="D39" s="175"/>
      <c r="E39" s="175"/>
      <c r="F39" s="175"/>
    </row>
    <row r="40" spans="1:6" ht="9.75" customHeight="1">
      <c r="A40" s="175"/>
      <c r="B40" s="425"/>
      <c r="C40" s="425" t="s">
        <v>476</v>
      </c>
      <c r="D40" s="175"/>
      <c r="E40" s="175"/>
      <c r="F40" s="175"/>
    </row>
    <row r="41" spans="1:6" ht="3" customHeight="1">
      <c r="A41" s="175"/>
      <c r="B41" s="425"/>
      <c r="C41" s="425"/>
      <c r="D41" s="175"/>
      <c r="E41" s="175"/>
      <c r="F41" s="175"/>
    </row>
    <row r="42" spans="1:6" ht="9.75" customHeight="1">
      <c r="A42" s="175"/>
      <c r="B42" s="425" t="s">
        <v>605</v>
      </c>
      <c r="C42" s="425" t="s">
        <v>478</v>
      </c>
      <c r="D42" s="175"/>
      <c r="E42" s="175"/>
      <c r="F42" s="175"/>
    </row>
    <row r="43" spans="1:6" ht="9.75" customHeight="1">
      <c r="A43" s="175"/>
      <c r="B43" s="425"/>
      <c r="C43" s="425" t="s">
        <v>462</v>
      </c>
      <c r="D43" s="175"/>
      <c r="E43" s="175"/>
      <c r="F43" s="175"/>
    </row>
    <row r="44" spans="1:6" ht="9.75" customHeight="1">
      <c r="A44" s="175"/>
      <c r="B44" s="425"/>
      <c r="C44" s="425" t="s">
        <v>479</v>
      </c>
      <c r="D44" s="175"/>
      <c r="E44" s="175"/>
      <c r="F44" s="175"/>
    </row>
    <row r="45" spans="1:6" ht="9.75" customHeight="1">
      <c r="A45" s="175"/>
      <c r="B45" s="425"/>
      <c r="C45" s="425" t="s">
        <v>476</v>
      </c>
      <c r="D45" s="175"/>
      <c r="E45" s="175"/>
      <c r="F45" s="175"/>
    </row>
    <row r="46" spans="1:6" ht="3" customHeight="1">
      <c r="A46" s="175"/>
      <c r="B46" s="425"/>
      <c r="C46" s="425"/>
      <c r="D46" s="175"/>
      <c r="E46" s="175"/>
      <c r="F46" s="175"/>
    </row>
    <row r="47" spans="1:6" ht="9.75" customHeight="1">
      <c r="A47" s="175"/>
      <c r="B47" s="425" t="s">
        <v>606</v>
      </c>
      <c r="C47" s="425" t="s">
        <v>478</v>
      </c>
      <c r="D47" s="175"/>
      <c r="E47" s="175"/>
      <c r="F47" s="175"/>
    </row>
    <row r="48" spans="1:6" ht="9.75" customHeight="1">
      <c r="A48" s="175"/>
      <c r="B48" s="425"/>
      <c r="C48" s="426" t="s">
        <v>480</v>
      </c>
      <c r="D48" s="175"/>
      <c r="E48" s="175"/>
      <c r="F48" s="175"/>
    </row>
    <row r="49" spans="1:6" ht="9.75" customHeight="1">
      <c r="A49" s="175"/>
      <c r="B49" s="425"/>
      <c r="C49" s="426" t="s">
        <v>350</v>
      </c>
      <c r="D49" s="175"/>
      <c r="E49" s="175"/>
      <c r="F49" s="175"/>
    </row>
    <row r="50" spans="1:6" ht="9.75" customHeight="1">
      <c r="A50" s="175"/>
      <c r="B50" s="425"/>
      <c r="C50" s="425" t="s">
        <v>476</v>
      </c>
      <c r="D50" s="175"/>
      <c r="E50" s="175"/>
      <c r="F50" s="175"/>
    </row>
    <row r="51" spans="1:6" ht="3" customHeight="1">
      <c r="A51" s="175"/>
      <c r="B51" s="425"/>
      <c r="C51" s="425"/>
      <c r="D51" s="175"/>
      <c r="E51" s="175"/>
      <c r="F51" s="175"/>
    </row>
    <row r="52" spans="1:6" ht="9.75" customHeight="1">
      <c r="A52" s="175"/>
      <c r="B52" s="425" t="s">
        <v>607</v>
      </c>
      <c r="C52" s="425" t="s">
        <v>481</v>
      </c>
      <c r="D52" s="175"/>
      <c r="E52" s="175"/>
      <c r="F52" s="175"/>
    </row>
    <row r="53" spans="1:6" ht="9.75" customHeight="1">
      <c r="A53" s="175"/>
      <c r="B53" s="425"/>
      <c r="C53" s="425" t="s">
        <v>476</v>
      </c>
      <c r="D53" s="175"/>
      <c r="E53" s="175"/>
      <c r="F53" s="175"/>
    </row>
    <row r="54" spans="1:6" ht="3" customHeight="1">
      <c r="A54" s="175"/>
      <c r="B54" s="425"/>
      <c r="C54" s="425"/>
      <c r="D54" s="175"/>
      <c r="E54" s="175"/>
      <c r="F54" s="175"/>
    </row>
    <row r="55" spans="1:6" ht="9.75" customHeight="1">
      <c r="A55" s="175"/>
      <c r="B55" s="425" t="s">
        <v>608</v>
      </c>
      <c r="C55" s="426" t="s">
        <v>346</v>
      </c>
      <c r="D55" s="175"/>
      <c r="E55" s="175"/>
      <c r="F55" s="175"/>
    </row>
    <row r="56" spans="1:6" ht="9.75" customHeight="1">
      <c r="A56" s="175"/>
      <c r="B56" s="425"/>
      <c r="C56" s="426" t="s">
        <v>351</v>
      </c>
      <c r="D56" s="175"/>
      <c r="E56" s="175"/>
      <c r="F56" s="175"/>
    </row>
    <row r="57" spans="1:6" ht="9.75" customHeight="1">
      <c r="A57" s="175"/>
      <c r="B57" s="425"/>
      <c r="C57" s="425" t="s">
        <v>476</v>
      </c>
      <c r="D57" s="175"/>
      <c r="E57" s="175"/>
      <c r="F57" s="175"/>
    </row>
    <row r="58" spans="1:6" ht="3" customHeight="1">
      <c r="A58" s="175"/>
      <c r="B58" s="425"/>
      <c r="C58" s="425"/>
      <c r="D58" s="175"/>
      <c r="E58" s="175"/>
      <c r="F58" s="175"/>
    </row>
    <row r="59" spans="1:6" ht="9.75" customHeight="1">
      <c r="A59" s="175"/>
      <c r="B59" s="484" t="s">
        <v>482</v>
      </c>
      <c r="C59" s="425" t="s">
        <v>481</v>
      </c>
      <c r="D59" s="175"/>
      <c r="E59" s="175"/>
      <c r="F59" s="175"/>
    </row>
    <row r="60" spans="1:6" ht="9.75" customHeight="1">
      <c r="A60" s="175"/>
      <c r="B60" s="484" t="s">
        <v>483</v>
      </c>
      <c r="C60" s="425" t="s">
        <v>476</v>
      </c>
      <c r="D60" s="175"/>
      <c r="E60" s="175"/>
      <c r="F60" s="175"/>
    </row>
    <row r="61" spans="1:6" ht="3" customHeight="1">
      <c r="A61" s="175"/>
      <c r="B61" s="425"/>
      <c r="C61" s="425"/>
      <c r="D61" s="175"/>
      <c r="E61" s="175"/>
      <c r="F61" s="175"/>
    </row>
    <row r="62" spans="1:6" ht="9.75" customHeight="1">
      <c r="A62" s="175"/>
      <c r="B62" s="425" t="s">
        <v>610</v>
      </c>
      <c r="C62" s="425" t="s">
        <v>481</v>
      </c>
      <c r="D62" s="175"/>
      <c r="E62" s="175"/>
      <c r="F62" s="175"/>
    </row>
    <row r="63" spans="1:6" ht="9.75" customHeight="1">
      <c r="A63" s="175"/>
      <c r="B63" s="425"/>
      <c r="C63" s="425" t="s">
        <v>476</v>
      </c>
      <c r="D63" s="175"/>
      <c r="E63" s="175"/>
      <c r="F63" s="175"/>
    </row>
    <row r="64" spans="1:6" ht="3" customHeight="1">
      <c r="A64" s="175"/>
      <c r="B64" s="425"/>
      <c r="C64" s="425"/>
      <c r="D64" s="175"/>
      <c r="E64" s="175"/>
      <c r="F64" s="175"/>
    </row>
    <row r="65" spans="1:6" ht="9.75" customHeight="1">
      <c r="A65" s="175"/>
      <c r="B65" s="425" t="s">
        <v>458</v>
      </c>
      <c r="C65" s="426" t="s">
        <v>347</v>
      </c>
      <c r="D65" s="175"/>
      <c r="E65" s="175"/>
      <c r="F65" s="175"/>
    </row>
    <row r="66" spans="1:6" ht="9.75" customHeight="1">
      <c r="A66" s="175"/>
      <c r="B66" s="425"/>
      <c r="C66" s="426" t="s">
        <v>484</v>
      </c>
      <c r="D66" s="175"/>
      <c r="E66" s="175"/>
      <c r="F66" s="175"/>
    </row>
    <row r="67" spans="1:6" ht="9.75" customHeight="1">
      <c r="A67" s="175"/>
      <c r="B67" s="425"/>
      <c r="C67" s="426" t="s">
        <v>462</v>
      </c>
      <c r="D67" s="175"/>
      <c r="E67" s="175"/>
      <c r="F67" s="175"/>
    </row>
    <row r="68" spans="1:6" ht="9.75" customHeight="1">
      <c r="A68" s="175"/>
      <c r="B68" s="425"/>
      <c r="C68" s="425" t="s">
        <v>476</v>
      </c>
      <c r="D68" s="175"/>
      <c r="E68" s="175"/>
      <c r="F68" s="175"/>
    </row>
    <row r="69" spans="1:6" ht="3" customHeight="1">
      <c r="A69" s="175"/>
      <c r="B69" s="425"/>
      <c r="C69" s="425"/>
      <c r="D69" s="175"/>
      <c r="E69" s="175"/>
      <c r="F69" s="175"/>
    </row>
    <row r="70" spans="1:6" ht="9.75" customHeight="1">
      <c r="A70" s="175"/>
      <c r="B70" s="425" t="s">
        <v>614</v>
      </c>
      <c r="C70" s="426" t="s">
        <v>347</v>
      </c>
      <c r="D70" s="175"/>
      <c r="E70" s="175"/>
      <c r="F70" s="175"/>
    </row>
    <row r="71" spans="1:6" ht="9.75" customHeight="1">
      <c r="A71" s="175"/>
      <c r="B71" s="425"/>
      <c r="C71" s="426" t="s">
        <v>484</v>
      </c>
      <c r="D71" s="175"/>
      <c r="E71" s="175"/>
      <c r="F71" s="175"/>
    </row>
    <row r="72" spans="1:6" ht="9.75" customHeight="1">
      <c r="A72" s="175"/>
      <c r="B72" s="425"/>
      <c r="C72" s="425" t="s">
        <v>462</v>
      </c>
      <c r="D72" s="175"/>
      <c r="E72" s="175"/>
      <c r="F72" s="175"/>
    </row>
    <row r="73" spans="1:6" ht="9.75" customHeight="1">
      <c r="A73" s="175"/>
      <c r="B73" s="425"/>
      <c r="C73" s="425" t="s">
        <v>476</v>
      </c>
      <c r="D73" s="175"/>
      <c r="E73" s="175"/>
      <c r="F73" s="175"/>
    </row>
    <row r="74" spans="1:6" ht="3" customHeight="1">
      <c r="A74" s="175"/>
      <c r="B74" s="425"/>
      <c r="C74" s="425"/>
      <c r="D74" s="175"/>
      <c r="E74" s="175"/>
      <c r="F74" s="175"/>
    </row>
    <row r="75" spans="1:6" ht="9.75" customHeight="1">
      <c r="A75" s="175"/>
      <c r="B75" s="425" t="s">
        <v>615</v>
      </c>
      <c r="C75" s="425" t="s">
        <v>485</v>
      </c>
      <c r="D75" s="175"/>
      <c r="E75" s="175"/>
      <c r="F75" s="175"/>
    </row>
    <row r="76" spans="1:6" ht="9.75" customHeight="1">
      <c r="A76" s="175"/>
      <c r="B76" s="425"/>
      <c r="C76" s="425" t="s">
        <v>486</v>
      </c>
      <c r="D76" s="175"/>
      <c r="E76" s="175"/>
      <c r="F76" s="175"/>
    </row>
    <row r="77" spans="1:6" ht="9.75" customHeight="1">
      <c r="A77" s="175"/>
      <c r="B77" s="425"/>
      <c r="C77" s="425" t="s">
        <v>487</v>
      </c>
      <c r="D77" s="175"/>
      <c r="E77" s="175"/>
      <c r="F77" s="175"/>
    </row>
    <row r="78" spans="1:6" ht="9.75" customHeight="1">
      <c r="A78" s="175"/>
      <c r="B78" s="425"/>
      <c r="C78" s="425" t="s">
        <v>488</v>
      </c>
      <c r="D78" s="175"/>
      <c r="E78" s="175"/>
      <c r="F78" s="175"/>
    </row>
    <row r="79" spans="1:6" ht="9.75" customHeight="1">
      <c r="A79" s="175"/>
      <c r="B79" s="425"/>
      <c r="C79" s="425" t="s">
        <v>476</v>
      </c>
      <c r="D79" s="175"/>
      <c r="E79" s="175"/>
      <c r="F79" s="175"/>
    </row>
    <row r="80" spans="1:6" ht="3" customHeight="1">
      <c r="A80" s="175"/>
      <c r="B80" s="425"/>
      <c r="C80" s="425"/>
      <c r="D80" s="175"/>
      <c r="E80" s="175"/>
      <c r="F80" s="175"/>
    </row>
    <row r="81" spans="1:6" ht="9.75" customHeight="1">
      <c r="A81" s="175"/>
      <c r="B81" s="425" t="s">
        <v>459</v>
      </c>
      <c r="C81" s="425" t="s">
        <v>455</v>
      </c>
      <c r="D81" s="175"/>
      <c r="E81" s="175"/>
      <c r="F81" s="175"/>
    </row>
    <row r="82" spans="1:6" ht="9.75" customHeight="1">
      <c r="A82" s="175"/>
      <c r="B82" s="425"/>
      <c r="C82" s="425" t="s">
        <v>489</v>
      </c>
      <c r="D82" s="175"/>
      <c r="E82" s="175"/>
      <c r="F82" s="175"/>
    </row>
    <row r="83" spans="1:6" ht="9.75" customHeight="1">
      <c r="A83" s="175"/>
      <c r="B83" s="425"/>
      <c r="C83" s="425" t="s">
        <v>490</v>
      </c>
      <c r="D83" s="175"/>
      <c r="E83" s="175"/>
      <c r="F83" s="175"/>
    </row>
    <row r="84" spans="1:6" ht="9.75" customHeight="1">
      <c r="A84" s="175"/>
      <c r="B84" s="425"/>
      <c r="C84" s="425" t="s">
        <v>476</v>
      </c>
      <c r="D84" s="175"/>
      <c r="E84" s="175"/>
      <c r="F84" s="175"/>
    </row>
    <row r="85" spans="1:6" ht="3" customHeight="1">
      <c r="A85" s="175"/>
      <c r="B85" s="425"/>
      <c r="C85" s="425"/>
      <c r="D85" s="175"/>
      <c r="E85" s="175"/>
      <c r="F85" s="175"/>
    </row>
    <row r="86" spans="1:6" ht="9.75" customHeight="1">
      <c r="A86" s="175"/>
      <c r="B86" s="425" t="s">
        <v>491</v>
      </c>
      <c r="C86" s="425" t="s">
        <v>481</v>
      </c>
      <c r="D86" s="175"/>
      <c r="E86" s="175"/>
      <c r="F86" s="175"/>
    </row>
    <row r="87" spans="1:6" ht="9.75" customHeight="1">
      <c r="A87" s="175"/>
      <c r="B87" s="425" t="s">
        <v>492</v>
      </c>
      <c r="C87" s="425" t="s">
        <v>489</v>
      </c>
      <c r="D87" s="175"/>
      <c r="E87" s="175"/>
      <c r="F87" s="175"/>
    </row>
    <row r="88" spans="1:6" ht="9.75" customHeight="1">
      <c r="A88" s="175"/>
      <c r="B88" s="425"/>
      <c r="C88" s="425" t="s">
        <v>455</v>
      </c>
      <c r="D88" s="175"/>
      <c r="E88" s="175"/>
      <c r="F88" s="175"/>
    </row>
    <row r="89" spans="1:6" ht="9.75" customHeight="1">
      <c r="A89" s="175"/>
      <c r="B89" s="425"/>
      <c r="C89" s="425" t="s">
        <v>476</v>
      </c>
      <c r="D89" s="175"/>
      <c r="E89" s="175"/>
      <c r="F89" s="175"/>
    </row>
    <row r="90" spans="1:6" ht="3" customHeight="1">
      <c r="A90" s="175"/>
      <c r="B90" s="425"/>
      <c r="C90" s="425"/>
      <c r="D90" s="175"/>
      <c r="E90" s="175"/>
      <c r="F90" s="175"/>
    </row>
    <row r="91" spans="1:6" ht="9.75" customHeight="1">
      <c r="A91" s="175"/>
      <c r="B91" s="425" t="s">
        <v>620</v>
      </c>
      <c r="C91" s="425" t="s">
        <v>481</v>
      </c>
      <c r="D91" s="175"/>
      <c r="E91" s="175"/>
      <c r="F91" s="175"/>
    </row>
    <row r="92" spans="1:6" ht="9.75" customHeight="1">
      <c r="A92" s="175"/>
      <c r="B92" s="425"/>
      <c r="C92" s="425" t="s">
        <v>489</v>
      </c>
      <c r="D92" s="175"/>
      <c r="E92" s="175"/>
      <c r="F92" s="175"/>
    </row>
    <row r="93" spans="1:6" ht="9.75" customHeight="1">
      <c r="A93" s="175"/>
      <c r="B93" s="425"/>
      <c r="C93" s="425" t="s">
        <v>455</v>
      </c>
      <c r="D93" s="175"/>
      <c r="E93" s="175"/>
      <c r="F93" s="175"/>
    </row>
    <row r="94" spans="1:6" ht="9.75" customHeight="1">
      <c r="A94" s="175"/>
      <c r="B94" s="425"/>
      <c r="C94" s="425" t="s">
        <v>476</v>
      </c>
      <c r="D94" s="175"/>
      <c r="E94" s="175"/>
      <c r="F94" s="175"/>
    </row>
    <row r="95" spans="1:6" ht="3" customHeight="1">
      <c r="A95" s="175"/>
      <c r="B95" s="425"/>
      <c r="C95" s="425"/>
      <c r="D95" s="175"/>
      <c r="E95" s="175"/>
      <c r="F95" s="175"/>
    </row>
    <row r="96" spans="1:6" ht="9.75" customHeight="1">
      <c r="A96" s="175"/>
      <c r="B96" s="425" t="s">
        <v>621</v>
      </c>
      <c r="C96" s="425" t="s">
        <v>493</v>
      </c>
      <c r="D96" s="175"/>
      <c r="E96" s="175"/>
      <c r="F96" s="175"/>
    </row>
    <row r="97" spans="1:6" ht="9.75" customHeight="1">
      <c r="A97" s="175"/>
      <c r="B97" s="425"/>
      <c r="C97" s="425" t="s">
        <v>476</v>
      </c>
      <c r="D97" s="175"/>
      <c r="E97" s="175"/>
      <c r="F97" s="175"/>
    </row>
    <row r="98" spans="1:6" ht="3" customHeight="1">
      <c r="A98" s="175"/>
      <c r="B98" s="425"/>
      <c r="C98" s="425"/>
      <c r="D98" s="175"/>
      <c r="E98" s="175"/>
      <c r="F98" s="175"/>
    </row>
    <row r="99" spans="1:6" ht="9.75" customHeight="1">
      <c r="A99" s="175"/>
      <c r="B99" s="425" t="s">
        <v>461</v>
      </c>
      <c r="C99" s="425" t="s">
        <v>481</v>
      </c>
      <c r="D99" s="175"/>
      <c r="E99" s="175"/>
      <c r="F99" s="175"/>
    </row>
    <row r="100" spans="1:6" ht="9.75" customHeight="1">
      <c r="A100" s="175"/>
      <c r="B100" s="425"/>
      <c r="C100" s="425" t="s">
        <v>476</v>
      </c>
      <c r="D100" s="175"/>
      <c r="E100" s="175"/>
      <c r="F100" s="175"/>
    </row>
    <row r="101" spans="1:6" ht="3" customHeight="1">
      <c r="A101" s="175"/>
      <c r="B101" s="425"/>
      <c r="C101" s="425"/>
      <c r="D101" s="175"/>
      <c r="E101" s="175"/>
      <c r="F101" s="175"/>
    </row>
    <row r="102" spans="1:6" ht="9.75" customHeight="1">
      <c r="A102" s="175"/>
      <c r="B102" s="425" t="s">
        <v>569</v>
      </c>
      <c r="C102" s="425" t="s">
        <v>485</v>
      </c>
      <c r="D102" s="175"/>
      <c r="E102" s="175"/>
      <c r="F102" s="175"/>
    </row>
    <row r="103" spans="1:6" ht="9.75" customHeight="1">
      <c r="A103" s="175"/>
      <c r="B103" s="425"/>
      <c r="C103" s="425" t="s">
        <v>456</v>
      </c>
      <c r="D103" s="175"/>
      <c r="E103" s="175"/>
      <c r="F103" s="175"/>
    </row>
    <row r="104" spans="1:6" ht="9.75" customHeight="1">
      <c r="A104" s="175"/>
      <c r="B104" s="425"/>
      <c r="C104" s="425" t="s">
        <v>479</v>
      </c>
      <c r="D104" s="175"/>
      <c r="E104" s="175"/>
      <c r="F104" s="175"/>
    </row>
    <row r="105" spans="1:6" ht="9.75" customHeight="1">
      <c r="A105" s="175"/>
      <c r="B105" s="425"/>
      <c r="C105" s="425" t="s">
        <v>476</v>
      </c>
      <c r="D105" s="175"/>
      <c r="E105" s="175"/>
      <c r="F105" s="175"/>
    </row>
    <row r="106" spans="1:6" ht="3" customHeight="1">
      <c r="A106" s="175"/>
      <c r="B106" s="425"/>
      <c r="C106" s="425"/>
      <c r="D106" s="175"/>
      <c r="E106" s="175"/>
      <c r="F106" s="175"/>
    </row>
    <row r="107" spans="1:6" ht="9.75" customHeight="1">
      <c r="A107" s="175"/>
      <c r="B107" s="425" t="s">
        <v>570</v>
      </c>
      <c r="C107" s="425" t="s">
        <v>485</v>
      </c>
      <c r="D107" s="175"/>
      <c r="E107" s="175"/>
      <c r="F107" s="175"/>
    </row>
    <row r="108" spans="1:6" ht="9.75" customHeight="1">
      <c r="A108" s="175"/>
      <c r="B108" s="425"/>
      <c r="C108" s="425" t="s">
        <v>348</v>
      </c>
      <c r="D108" s="175"/>
      <c r="E108" s="175"/>
      <c r="F108" s="175"/>
    </row>
    <row r="109" spans="1:6" ht="9.75" customHeight="1">
      <c r="A109" s="175"/>
      <c r="B109" s="425"/>
      <c r="C109" s="425" t="s">
        <v>479</v>
      </c>
      <c r="D109" s="175"/>
      <c r="E109" s="175"/>
      <c r="F109" s="175"/>
    </row>
    <row r="110" spans="1:6" ht="9.75" customHeight="1">
      <c r="A110" s="175"/>
      <c r="B110" s="425"/>
      <c r="C110" s="425" t="s">
        <v>476</v>
      </c>
      <c r="D110" s="175"/>
      <c r="E110" s="175"/>
      <c r="F110" s="175"/>
    </row>
    <row r="111" spans="1:6" ht="3" customHeight="1">
      <c r="A111" s="175"/>
      <c r="B111" s="425"/>
      <c r="C111" s="425"/>
      <c r="D111" s="175"/>
      <c r="E111" s="175"/>
      <c r="F111" s="175"/>
    </row>
    <row r="112" spans="1:6" ht="9.75" customHeight="1">
      <c r="A112" s="175"/>
      <c r="B112" s="425" t="s">
        <v>624</v>
      </c>
      <c r="C112" s="425" t="s">
        <v>481</v>
      </c>
      <c r="D112" s="175"/>
      <c r="E112" s="175"/>
      <c r="F112" s="175"/>
    </row>
    <row r="113" spans="1:6" ht="9.75" customHeight="1">
      <c r="A113" s="175"/>
      <c r="B113" s="425"/>
      <c r="C113" s="425" t="s">
        <v>476</v>
      </c>
      <c r="D113" s="175"/>
      <c r="E113" s="175"/>
      <c r="F113" s="175"/>
    </row>
    <row r="114" spans="1:6" ht="3" customHeight="1">
      <c r="A114" s="175"/>
      <c r="B114" s="425"/>
      <c r="C114" s="425"/>
      <c r="D114" s="175"/>
      <c r="E114" s="175"/>
      <c r="F114" s="175"/>
    </row>
    <row r="115" spans="1:6" ht="9.75" customHeight="1">
      <c r="A115" s="175"/>
      <c r="B115" s="425" t="s">
        <v>463</v>
      </c>
      <c r="C115" s="425" t="s">
        <v>349</v>
      </c>
      <c r="D115" s="175"/>
      <c r="E115" s="175"/>
      <c r="F115" s="175"/>
    </row>
    <row r="116" spans="1:6" ht="9.75" customHeight="1">
      <c r="A116" s="175"/>
      <c r="B116" s="425"/>
      <c r="C116" s="425" t="s">
        <v>497</v>
      </c>
      <c r="D116" s="175"/>
      <c r="E116" s="175"/>
      <c r="F116" s="175"/>
    </row>
    <row r="117" spans="1:6" ht="9.75" customHeight="1">
      <c r="A117" s="175"/>
      <c r="B117" s="425"/>
      <c r="C117" s="425" t="s">
        <v>476</v>
      </c>
      <c r="D117" s="175"/>
      <c r="E117" s="175"/>
      <c r="F117" s="175"/>
    </row>
    <row r="118" spans="1:6" ht="12.75">
      <c r="A118" s="175"/>
      <c r="B118" s="175"/>
      <c r="C118" s="175"/>
      <c r="D118" s="175"/>
      <c r="E118" s="175"/>
      <c r="F118" s="175"/>
    </row>
    <row r="121" ht="12.75">
      <c r="B121" s="696"/>
    </row>
    <row r="146" ht="12.75">
      <c r="B146" s="696"/>
    </row>
    <row r="149" ht="12.75">
      <c r="B149" s="696"/>
    </row>
  </sheetData>
  <sheetProtection/>
  <conditionalFormatting sqref="E5:E24">
    <cfRule type="expression" priority="1" dxfId="1" stopIfTrue="1">
      <formula>IF(ISBLANK(E5),1,0)</formula>
    </cfRule>
  </conditionalFormatting>
  <printOptions headings="1"/>
  <pageMargins left="0.17" right="0.46" top="0.27" bottom="0.31" header="0.17" footer="0.16"/>
  <pageSetup horizontalDpi="300" verticalDpi="300" orientation="landscape" paperSize="9" scale="70" r:id="rId2"/>
  <headerFooter alignWithMargins="0">
    <oddFooter>&amp;L&amp;D   &amp;T&amp;C&amp;A&amp;R&amp;P / &amp;N</oddFooter>
  </headerFooter>
  <rowBreaks count="2" manualBreakCount="2">
    <brk id="29" max="255" man="1"/>
    <brk id="118" max="255" man="1"/>
  </rowBreaks>
  <colBreaks count="1" manualBreakCount="1">
    <brk id="6" max="65535" man="1"/>
  </colBreaks>
  <legacyDrawing r:id="rId1"/>
</worksheet>
</file>

<file path=xl/worksheets/sheet8.xml><?xml version="1.0" encoding="utf-8"?>
<worksheet xmlns="http://schemas.openxmlformats.org/spreadsheetml/2006/main" xmlns:r="http://schemas.openxmlformats.org/officeDocument/2006/relationships">
  <sheetPr codeName="Tabelle15">
    <tabColor indexed="56"/>
  </sheetPr>
  <dimension ref="A1:W149"/>
  <sheetViews>
    <sheetView zoomScale="75" zoomScaleNormal="75" workbookViewId="0" topLeftCell="B1">
      <selection activeCell="B1" sqref="B1"/>
    </sheetView>
  </sheetViews>
  <sheetFormatPr defaultColWidth="11.421875" defaultRowHeight="12.75" customHeight="1"/>
  <cols>
    <col min="1" max="1" width="5.00390625" style="176" customWidth="1"/>
    <col min="2" max="2" width="52.140625" style="176" customWidth="1"/>
    <col min="3" max="3" width="26.421875" style="176" customWidth="1"/>
    <col min="4" max="5" width="13.00390625" style="176" customWidth="1"/>
    <col min="6" max="6" width="12.57421875" style="176" customWidth="1"/>
    <col min="7" max="7" width="15.57421875" style="176" customWidth="1"/>
    <col min="8" max="9" width="13.00390625" style="176" customWidth="1"/>
    <col min="10" max="10" width="12.8515625" style="176" customWidth="1"/>
    <col min="11" max="11" width="15.57421875" style="176" customWidth="1"/>
    <col min="12" max="12" width="1.28515625" style="176" customWidth="1"/>
    <col min="13" max="23" width="11.421875" style="643" customWidth="1"/>
    <col min="24" max="16384" width="11.421875" style="176" customWidth="1"/>
  </cols>
  <sheetData>
    <row r="1" spans="1:12" ht="15.75" customHeight="1">
      <c r="A1" s="420">
        <v>16</v>
      </c>
      <c r="B1" s="420" t="s">
        <v>52</v>
      </c>
      <c r="C1" s="420"/>
      <c r="D1" s="175"/>
      <c r="E1" s="175"/>
      <c r="F1" s="175"/>
      <c r="G1" s="175"/>
      <c r="H1" s="175"/>
      <c r="I1" s="175"/>
      <c r="J1" s="175"/>
      <c r="K1" s="175"/>
      <c r="L1" s="175"/>
    </row>
    <row r="2" spans="2:12" ht="12.75" customHeight="1">
      <c r="B2" s="421" t="str">
        <f>Vr&amp;"  "</f>
        <v>Xxx Vie  </v>
      </c>
      <c r="C2" s="175"/>
      <c r="D2" s="175"/>
      <c r="E2" s="175"/>
      <c r="F2" s="175"/>
      <c r="G2" s="175"/>
      <c r="H2" s="175"/>
      <c r="I2" s="175"/>
      <c r="J2" s="428" t="s">
        <v>242</v>
      </c>
      <c r="K2" s="429">
        <f>jahr</f>
        <v>2007</v>
      </c>
      <c r="L2" s="175"/>
    </row>
    <row r="3" spans="1:12" ht="12.75" customHeight="1">
      <c r="A3" s="175"/>
      <c r="B3" s="175"/>
      <c r="C3" s="175"/>
      <c r="D3" s="409"/>
      <c r="E3" s="175"/>
      <c r="F3" s="409"/>
      <c r="G3" s="409"/>
      <c r="H3" s="175"/>
      <c r="I3" s="175"/>
      <c r="J3" s="175"/>
      <c r="K3" s="175"/>
      <c r="L3" s="175"/>
    </row>
    <row r="4" spans="1:12" ht="16.5" customHeight="1">
      <c r="A4" s="409" t="s">
        <v>53</v>
      </c>
      <c r="B4" s="175"/>
      <c r="C4" s="175"/>
      <c r="D4" s="430"/>
      <c r="E4" s="175"/>
      <c r="F4" s="409"/>
      <c r="G4" s="409"/>
      <c r="H4" s="175"/>
      <c r="I4" s="175"/>
      <c r="J4" s="175"/>
      <c r="K4" s="175"/>
      <c r="L4" s="175"/>
    </row>
    <row r="5" spans="1:12" ht="12.75" customHeight="1">
      <c r="A5" s="175" t="s">
        <v>54</v>
      </c>
      <c r="B5" s="175"/>
      <c r="C5" s="175"/>
      <c r="D5" s="430"/>
      <c r="E5" s="175"/>
      <c r="F5" s="409"/>
      <c r="G5" s="409"/>
      <c r="H5" s="175"/>
      <c r="I5" s="431"/>
      <c r="J5" s="175"/>
      <c r="K5" s="175"/>
      <c r="L5" s="175"/>
    </row>
    <row r="6" spans="1:12" ht="12.75" customHeight="1">
      <c r="A6" s="175"/>
      <c r="B6" s="175"/>
      <c r="C6" s="175"/>
      <c r="D6" s="803" t="s">
        <v>55</v>
      </c>
      <c r="E6" s="803"/>
      <c r="F6" s="803"/>
      <c r="G6" s="803"/>
      <c r="H6" s="804" t="s">
        <v>56</v>
      </c>
      <c r="I6" s="803"/>
      <c r="J6" s="803"/>
      <c r="K6" s="803"/>
      <c r="L6" s="175"/>
    </row>
    <row r="7" spans="1:12" ht="12.75" customHeight="1">
      <c r="A7" s="175"/>
      <c r="C7" s="175"/>
      <c r="D7" s="427"/>
      <c r="E7" s="427"/>
      <c r="F7" s="427"/>
      <c r="G7" s="432" t="s">
        <v>74</v>
      </c>
      <c r="H7" s="485"/>
      <c r="I7" s="486"/>
      <c r="J7" s="486"/>
      <c r="K7" s="487" t="s">
        <v>74</v>
      </c>
      <c r="L7" s="175"/>
    </row>
    <row r="8" spans="1:12" ht="12.75" customHeight="1">
      <c r="A8" s="175"/>
      <c r="B8" s="175"/>
      <c r="C8" s="433" t="s">
        <v>62</v>
      </c>
      <c r="D8" s="432" t="s">
        <v>75</v>
      </c>
      <c r="E8" s="432" t="s">
        <v>75</v>
      </c>
      <c r="F8" s="432" t="s">
        <v>74</v>
      </c>
      <c r="G8" s="432" t="s">
        <v>76</v>
      </c>
      <c r="H8" s="488" t="s">
        <v>75</v>
      </c>
      <c r="I8" s="487" t="s">
        <v>75</v>
      </c>
      <c r="J8" s="487" t="s">
        <v>74</v>
      </c>
      <c r="K8" s="487" t="s">
        <v>76</v>
      </c>
      <c r="L8" s="175"/>
    </row>
    <row r="9" spans="1:12" ht="12.75" customHeight="1">
      <c r="A9" s="175"/>
      <c r="B9" s="175"/>
      <c r="C9" s="433" t="s">
        <v>73</v>
      </c>
      <c r="D9" s="432" t="s">
        <v>77</v>
      </c>
      <c r="E9" s="432" t="s">
        <v>78</v>
      </c>
      <c r="F9" s="432" t="s">
        <v>79</v>
      </c>
      <c r="G9" s="432" t="s">
        <v>80</v>
      </c>
      <c r="H9" s="488" t="s">
        <v>77</v>
      </c>
      <c r="I9" s="487" t="s">
        <v>78</v>
      </c>
      <c r="J9" s="487" t="s">
        <v>79</v>
      </c>
      <c r="K9" s="487" t="s">
        <v>80</v>
      </c>
      <c r="L9" s="175"/>
    </row>
    <row r="10" spans="1:12" ht="12.75" customHeight="1">
      <c r="A10" s="175"/>
      <c r="B10" s="175" t="s">
        <v>580</v>
      </c>
      <c r="C10" s="176" t="s">
        <v>566</v>
      </c>
      <c r="D10" s="434" t="s">
        <v>567</v>
      </c>
      <c r="E10" s="434" t="s">
        <v>574</v>
      </c>
      <c r="F10" s="434" t="s">
        <v>575</v>
      </c>
      <c r="G10" s="434" t="s">
        <v>573</v>
      </c>
      <c r="H10" s="489" t="s">
        <v>591</v>
      </c>
      <c r="I10" s="490" t="s">
        <v>592</v>
      </c>
      <c r="J10" s="490" t="s">
        <v>593</v>
      </c>
      <c r="K10" s="490" t="s">
        <v>594</v>
      </c>
      <c r="L10" s="175"/>
    </row>
    <row r="11" spans="1:12" ht="15" customHeight="1">
      <c r="A11" s="435">
        <v>369</v>
      </c>
      <c r="B11" s="436" t="s">
        <v>454</v>
      </c>
      <c r="C11" s="437" t="s">
        <v>250</v>
      </c>
      <c r="D11" s="462">
        <f>BILAN!$F$8</f>
        <v>0</v>
      </c>
      <c r="E11" s="639"/>
      <c r="F11" s="464">
        <f aca="true" t="shared" si="0" ref="F11:F22">E11-D11</f>
        <v>0</v>
      </c>
      <c r="G11" s="464">
        <f aca="true" t="shared" si="1" ref="G11:G22">IF(D11&lt;&gt;0,F11/D11*100,0)</f>
        <v>0</v>
      </c>
      <c r="H11" s="491">
        <f>BILAN!$G$8</f>
        <v>0</v>
      </c>
      <c r="I11" s="639"/>
      <c r="J11" s="464">
        <f aca="true" t="shared" si="2" ref="J11:J22">I11-H11</f>
        <v>0</v>
      </c>
      <c r="K11" s="464">
        <f aca="true" t="shared" si="3" ref="K11:K22">IF(H11&lt;&gt;0,J11/H11*100,0)</f>
        <v>0</v>
      </c>
      <c r="L11" s="435"/>
    </row>
    <row r="12" spans="1:12" ht="15" customHeight="1">
      <c r="A12" s="435">
        <v>370</v>
      </c>
      <c r="B12" s="438" t="s">
        <v>605</v>
      </c>
      <c r="C12" s="439" t="s">
        <v>251</v>
      </c>
      <c r="D12" s="463">
        <f>BILAN!$F$9</f>
        <v>0</v>
      </c>
      <c r="E12" s="640"/>
      <c r="F12" s="465">
        <f t="shared" si="0"/>
        <v>0</v>
      </c>
      <c r="G12" s="465">
        <f t="shared" si="1"/>
        <v>0</v>
      </c>
      <c r="H12" s="492">
        <f>BILAN!$G$9</f>
        <v>0</v>
      </c>
      <c r="I12" s="640"/>
      <c r="J12" s="465">
        <f t="shared" si="2"/>
        <v>0</v>
      </c>
      <c r="K12" s="465">
        <f t="shared" si="3"/>
        <v>0</v>
      </c>
      <c r="L12" s="435"/>
    </row>
    <row r="13" spans="1:12" ht="15" customHeight="1">
      <c r="A13" s="435">
        <v>371</v>
      </c>
      <c r="B13" s="438" t="s">
        <v>840</v>
      </c>
      <c r="C13" s="439" t="s">
        <v>253</v>
      </c>
      <c r="D13" s="463">
        <f>BILAN!$F$10</f>
        <v>0</v>
      </c>
      <c r="E13" s="640"/>
      <c r="F13" s="465">
        <f t="shared" si="0"/>
        <v>0</v>
      </c>
      <c r="G13" s="465">
        <f t="shared" si="1"/>
        <v>0</v>
      </c>
      <c r="H13" s="492">
        <f>BILAN!$G$10</f>
        <v>0</v>
      </c>
      <c r="I13" s="640"/>
      <c r="J13" s="465">
        <f t="shared" si="2"/>
        <v>0</v>
      </c>
      <c r="K13" s="465">
        <f t="shared" si="3"/>
        <v>0</v>
      </c>
      <c r="L13" s="435"/>
    </row>
    <row r="14" spans="1:12" ht="15" customHeight="1">
      <c r="A14" s="435">
        <v>372</v>
      </c>
      <c r="B14" s="438" t="s">
        <v>608</v>
      </c>
      <c r="C14" s="439" t="s">
        <v>254</v>
      </c>
      <c r="D14" s="463">
        <f>BILAN!$F$12</f>
        <v>0</v>
      </c>
      <c r="E14" s="640"/>
      <c r="F14" s="465">
        <f t="shared" si="0"/>
        <v>0</v>
      </c>
      <c r="G14" s="465">
        <f t="shared" si="1"/>
        <v>0</v>
      </c>
      <c r="H14" s="492">
        <f>BILAN!$G$12</f>
        <v>0</v>
      </c>
      <c r="I14" s="640"/>
      <c r="J14" s="465">
        <f t="shared" si="2"/>
        <v>0</v>
      </c>
      <c r="K14" s="465">
        <f t="shared" si="3"/>
        <v>0</v>
      </c>
      <c r="L14" s="435"/>
    </row>
    <row r="15" spans="1:12" ht="15" customHeight="1">
      <c r="A15" s="435">
        <v>373</v>
      </c>
      <c r="B15" s="438" t="s">
        <v>458</v>
      </c>
      <c r="C15" s="439" t="s">
        <v>255</v>
      </c>
      <c r="D15" s="463">
        <f>BILAN!$F$15+BILAN!$F$16+BILAN!$F$17</f>
        <v>0</v>
      </c>
      <c r="E15" s="640"/>
      <c r="F15" s="465">
        <f t="shared" si="0"/>
        <v>0</v>
      </c>
      <c r="G15" s="465">
        <f t="shared" si="1"/>
        <v>0</v>
      </c>
      <c r="H15" s="492">
        <f>BILAN!$G$15+BILAN!$G$16+BILAN!$G$17</f>
        <v>0</v>
      </c>
      <c r="I15" s="640"/>
      <c r="J15" s="465">
        <f t="shared" si="2"/>
        <v>0</v>
      </c>
      <c r="K15" s="465">
        <f t="shared" si="3"/>
        <v>0</v>
      </c>
      <c r="L15" s="435"/>
    </row>
    <row r="16" spans="1:12" ht="15" customHeight="1">
      <c r="A16" s="435">
        <v>374</v>
      </c>
      <c r="B16" s="438" t="s">
        <v>614</v>
      </c>
      <c r="C16" s="439" t="s">
        <v>256</v>
      </c>
      <c r="D16" s="463">
        <f>BILAN!$F$18</f>
        <v>0</v>
      </c>
      <c r="E16" s="640"/>
      <c r="F16" s="465">
        <f t="shared" si="0"/>
        <v>0</v>
      </c>
      <c r="G16" s="465">
        <f t="shared" si="1"/>
        <v>0</v>
      </c>
      <c r="H16" s="492">
        <f>BILAN!$G$18</f>
        <v>0</v>
      </c>
      <c r="I16" s="640"/>
      <c r="J16" s="465">
        <f t="shared" si="2"/>
        <v>0</v>
      </c>
      <c r="K16" s="465">
        <f t="shared" si="3"/>
        <v>0</v>
      </c>
      <c r="L16" s="435"/>
    </row>
    <row r="17" spans="1:12" ht="15" customHeight="1">
      <c r="A17" s="435">
        <v>375</v>
      </c>
      <c r="B17" s="438" t="s">
        <v>615</v>
      </c>
      <c r="C17" s="439" t="s">
        <v>257</v>
      </c>
      <c r="D17" s="463">
        <f>BILAN!$F$19</f>
        <v>0</v>
      </c>
      <c r="E17" s="640"/>
      <c r="F17" s="465">
        <f t="shared" si="0"/>
        <v>0</v>
      </c>
      <c r="G17" s="465">
        <f t="shared" si="1"/>
        <v>0</v>
      </c>
      <c r="H17" s="492">
        <f>BILAN!$G$19</f>
        <v>0</v>
      </c>
      <c r="I17" s="640"/>
      <c r="J17" s="465">
        <f t="shared" si="2"/>
        <v>0</v>
      </c>
      <c r="K17" s="465">
        <f t="shared" si="3"/>
        <v>0</v>
      </c>
      <c r="L17" s="435"/>
    </row>
    <row r="18" spans="1:12" ht="15" customHeight="1">
      <c r="A18" s="435">
        <v>376</v>
      </c>
      <c r="B18" s="438" t="s">
        <v>459</v>
      </c>
      <c r="C18" s="439" t="s">
        <v>258</v>
      </c>
      <c r="D18" s="463">
        <f>BILAN!$F$20+BILAN!$F$21+BILAN!$F$22</f>
        <v>0</v>
      </c>
      <c r="E18" s="640"/>
      <c r="F18" s="465">
        <f t="shared" si="0"/>
        <v>0</v>
      </c>
      <c r="G18" s="465">
        <f t="shared" si="1"/>
        <v>0</v>
      </c>
      <c r="H18" s="492">
        <f>BILAN!$G$20+BILAN!$G$21+BILAN!$G$22</f>
        <v>0</v>
      </c>
      <c r="I18" s="640"/>
      <c r="J18" s="465">
        <f t="shared" si="2"/>
        <v>0</v>
      </c>
      <c r="K18" s="465">
        <f t="shared" si="3"/>
        <v>0</v>
      </c>
      <c r="L18" s="435"/>
    </row>
    <row r="19" spans="1:12" ht="15" customHeight="1">
      <c r="A19" s="435">
        <v>377</v>
      </c>
      <c r="B19" s="438" t="s">
        <v>569</v>
      </c>
      <c r="C19" s="439" t="s">
        <v>259</v>
      </c>
      <c r="D19" s="463">
        <f>BILAN!$F$27</f>
        <v>0</v>
      </c>
      <c r="E19" s="640"/>
      <c r="F19" s="465">
        <f t="shared" si="0"/>
        <v>0</v>
      </c>
      <c r="G19" s="465">
        <f t="shared" si="1"/>
        <v>0</v>
      </c>
      <c r="H19" s="492">
        <f>BILAN!$G$27</f>
        <v>0</v>
      </c>
      <c r="I19" s="640"/>
      <c r="J19" s="465">
        <f t="shared" si="2"/>
        <v>0</v>
      </c>
      <c r="K19" s="465">
        <f t="shared" si="3"/>
        <v>0</v>
      </c>
      <c r="L19" s="435"/>
    </row>
    <row r="20" spans="1:12" ht="15" customHeight="1">
      <c r="A20" s="435">
        <v>378</v>
      </c>
      <c r="B20" s="438" t="s">
        <v>570</v>
      </c>
      <c r="C20" s="439" t="s">
        <v>260</v>
      </c>
      <c r="D20" s="463">
        <f>BILAN!$F$28</f>
        <v>0</v>
      </c>
      <c r="E20" s="640"/>
      <c r="F20" s="465">
        <f t="shared" si="0"/>
        <v>0</v>
      </c>
      <c r="G20" s="465">
        <f t="shared" si="1"/>
        <v>0</v>
      </c>
      <c r="H20" s="492">
        <f>BILAN!$G$28</f>
        <v>0</v>
      </c>
      <c r="I20" s="640"/>
      <c r="J20" s="465">
        <f t="shared" si="2"/>
        <v>0</v>
      </c>
      <c r="K20" s="465">
        <f t="shared" si="3"/>
        <v>0</v>
      </c>
      <c r="L20" s="435"/>
    </row>
    <row r="21" spans="1:12" ht="15" customHeight="1">
      <c r="A21" s="435">
        <v>379</v>
      </c>
      <c r="B21" s="438" t="s">
        <v>356</v>
      </c>
      <c r="C21" s="439"/>
      <c r="D21" s="640"/>
      <c r="E21" s="640"/>
      <c r="F21" s="465">
        <f t="shared" si="0"/>
        <v>0</v>
      </c>
      <c r="G21" s="465">
        <f t="shared" si="1"/>
        <v>0</v>
      </c>
      <c r="H21" s="641"/>
      <c r="I21" s="640"/>
      <c r="J21" s="465">
        <f t="shared" si="2"/>
        <v>0</v>
      </c>
      <c r="K21" s="465">
        <f t="shared" si="3"/>
        <v>0</v>
      </c>
      <c r="L21" s="435"/>
    </row>
    <row r="22" spans="1:12" ht="15" customHeight="1">
      <c r="A22" s="440">
        <v>380</v>
      </c>
      <c r="B22" s="441" t="s">
        <v>357</v>
      </c>
      <c r="C22" s="442"/>
      <c r="D22" s="640"/>
      <c r="E22" s="640"/>
      <c r="F22" s="466">
        <f t="shared" si="0"/>
        <v>0</v>
      </c>
      <c r="G22" s="466">
        <f t="shared" si="1"/>
        <v>0</v>
      </c>
      <c r="H22" s="641"/>
      <c r="I22" s="640"/>
      <c r="J22" s="466">
        <f t="shared" si="2"/>
        <v>0</v>
      </c>
      <c r="K22" s="466">
        <f t="shared" si="3"/>
        <v>0</v>
      </c>
      <c r="L22" s="435"/>
    </row>
    <row r="23" spans="1:12" ht="15" customHeight="1">
      <c r="A23" s="608" t="s">
        <v>559</v>
      </c>
      <c r="B23" s="441" t="s">
        <v>81</v>
      </c>
      <c r="C23" s="439" t="s">
        <v>587</v>
      </c>
      <c r="D23" s="463">
        <f>BILAN!$F$35</f>
        <v>0</v>
      </c>
      <c r="E23" s="6"/>
      <c r="F23" s="465">
        <f>E23-D23</f>
        <v>0</v>
      </c>
      <c r="G23" s="465">
        <f>IF(D23&lt;&gt;0,F23/D23*100,0)</f>
        <v>0</v>
      </c>
      <c r="H23" s="492">
        <f>BILAN!$G$35</f>
        <v>0</v>
      </c>
      <c r="I23" s="6"/>
      <c r="J23" s="465">
        <f>I23-H23</f>
        <v>0</v>
      </c>
      <c r="K23" s="465">
        <f>IF(H23&lt;&gt;0,J23/H23*100,0)</f>
        <v>0</v>
      </c>
      <c r="L23" s="435"/>
    </row>
    <row r="24" spans="1:12" ht="15" customHeight="1">
      <c r="A24" s="440">
        <v>381</v>
      </c>
      <c r="B24" s="443" t="s">
        <v>579</v>
      </c>
      <c r="C24" s="444" t="s">
        <v>584</v>
      </c>
      <c r="D24" s="445">
        <f>D$11+D$12+D$13+D$14+D$15+D$16+D$17+D$18+D$19+D$20+D$21+D$22+D$23</f>
        <v>0</v>
      </c>
      <c r="E24" s="87">
        <f>E$11+E$12+E$13+E$14+E$15+E$16+E$17+E$18+E$19+E$20+E$21+E$22+E$23</f>
        <v>0</v>
      </c>
      <c r="F24" s="87">
        <f>E24-D24</f>
        <v>0</v>
      </c>
      <c r="G24" s="467">
        <f>IF(D24&lt;&gt;0,F24/D24*100,0)</f>
        <v>0</v>
      </c>
      <c r="H24" s="493">
        <f>H$11+H$12+H$13+H$14+H$15+H$16+H$17+H$18+H$19+H$20+H$21+H$22+H$23</f>
        <v>0</v>
      </c>
      <c r="I24" s="87">
        <f>I$11+I$12+I$13+I$14+I$15+I$16+I$17+I$18+I$19+I$20+I$21+I$22+I$23</f>
        <v>0</v>
      </c>
      <c r="J24" s="87">
        <f>I24-H24</f>
        <v>0</v>
      </c>
      <c r="K24" s="467">
        <f>IF(H24&lt;&gt;0,J24/H24*100,0)</f>
        <v>0</v>
      </c>
      <c r="L24" s="435"/>
    </row>
    <row r="25" spans="1:12" ht="15" customHeight="1">
      <c r="A25" s="175"/>
      <c r="B25" s="175"/>
      <c r="C25" s="175"/>
      <c r="D25" s="587">
        <f>IF(ABS(BILAN!$F$37-$D$24)&lt;2,"","&lt;&gt; BILAN, pos. 79e ("&amp;TEXT(BILAN!$F$37,"#'##0")&amp;") ?")</f>
      </c>
      <c r="E25" s="175"/>
      <c r="F25" s="175"/>
      <c r="G25" s="175"/>
      <c r="H25" s="587">
        <f>IF(ABS(BILAN!$G$37-$H$24)&lt;2,"","&lt;&gt; BILAN, pos. 79f ("&amp;TEXT(BILAN!$G$37,"#'##0")&amp;") ?")</f>
      </c>
      <c r="I25" s="175"/>
      <c r="J25" s="175"/>
      <c r="K25" s="175"/>
      <c r="L25" s="175"/>
    </row>
    <row r="26" spans="1:12" ht="12.75" customHeight="1">
      <c r="A26" s="175"/>
      <c r="B26" s="674" t="s">
        <v>354</v>
      </c>
      <c r="C26" s="175"/>
      <c r="D26" s="175"/>
      <c r="E26" s="175"/>
      <c r="F26" s="175"/>
      <c r="G26" s="175"/>
      <c r="H26" s="175"/>
      <c r="I26" s="175"/>
      <c r="J26" s="175"/>
      <c r="K26" s="175"/>
      <c r="L26" s="175"/>
    </row>
    <row r="27" spans="1:12" ht="12.75" customHeight="1">
      <c r="A27" s="175"/>
      <c r="B27" s="446" t="s">
        <v>355</v>
      </c>
      <c r="C27" s="175"/>
      <c r="D27" s="175"/>
      <c r="E27" s="175"/>
      <c r="F27" s="175"/>
      <c r="G27" s="175"/>
      <c r="H27" s="586"/>
      <c r="I27" s="175"/>
      <c r="J27" s="175"/>
      <c r="K27" s="175"/>
      <c r="L27" s="175"/>
    </row>
    <row r="28" spans="1:12" ht="12.75" customHeight="1">
      <c r="A28" s="175"/>
      <c r="B28" s="175"/>
      <c r="C28" s="175"/>
      <c r="D28" s="175"/>
      <c r="E28" s="175"/>
      <c r="F28" s="175"/>
      <c r="G28" s="175"/>
      <c r="H28" s="435"/>
      <c r="I28" s="175"/>
      <c r="J28" s="175"/>
      <c r="K28" s="175"/>
      <c r="L28" s="175"/>
    </row>
    <row r="29" spans="1:12" ht="18" customHeight="1">
      <c r="A29" s="420">
        <v>17</v>
      </c>
      <c r="B29" s="420" t="s">
        <v>82</v>
      </c>
      <c r="C29" s="420"/>
      <c r="D29" s="175"/>
      <c r="E29" s="175"/>
      <c r="F29" s="175"/>
      <c r="G29" s="175"/>
      <c r="H29" s="175"/>
      <c r="I29" s="175"/>
      <c r="J29" s="175"/>
      <c r="K29" s="175"/>
      <c r="L29" s="175"/>
    </row>
    <row r="30" spans="2:12" ht="12.75" customHeight="1">
      <c r="B30" s="421" t="str">
        <f>Vr&amp;"  "</f>
        <v>Xxx Vie  </v>
      </c>
      <c r="C30" s="175"/>
      <c r="D30" s="175"/>
      <c r="E30" s="175"/>
      <c r="F30" s="175"/>
      <c r="G30" s="175"/>
      <c r="H30" s="175"/>
      <c r="I30" s="175"/>
      <c r="J30" s="428" t="s">
        <v>242</v>
      </c>
      <c r="K30" s="429">
        <f>jahr</f>
        <v>2007</v>
      </c>
      <c r="L30" s="175"/>
    </row>
    <row r="31" spans="1:12" ht="12.75" customHeight="1">
      <c r="A31" s="175"/>
      <c r="B31" s="175"/>
      <c r="C31" s="175"/>
      <c r="D31" s="409"/>
      <c r="E31" s="175"/>
      <c r="F31" s="409"/>
      <c r="G31" s="409"/>
      <c r="H31" s="175"/>
      <c r="I31" s="175"/>
      <c r="J31" s="175"/>
      <c r="K31" s="175"/>
      <c r="L31" s="175"/>
    </row>
    <row r="32" spans="1:12" ht="16.5" customHeight="1">
      <c r="A32" s="409" t="s">
        <v>83</v>
      </c>
      <c r="B32" s="175"/>
      <c r="C32" s="175"/>
      <c r="D32" s="430"/>
      <c r="E32" s="175"/>
      <c r="F32" s="409"/>
      <c r="G32" s="409"/>
      <c r="H32" s="175"/>
      <c r="I32" s="175"/>
      <c r="J32" s="175"/>
      <c r="K32" s="175"/>
      <c r="L32" s="175"/>
    </row>
    <row r="33" spans="1:12" ht="12.75" customHeight="1">
      <c r="A33" s="175" t="s">
        <v>84</v>
      </c>
      <c r="B33" s="175"/>
      <c r="C33" s="175"/>
      <c r="D33" s="430"/>
      <c r="E33" s="175"/>
      <c r="F33" s="409"/>
      <c r="G33" s="409"/>
      <c r="H33" s="175"/>
      <c r="I33" s="431"/>
      <c r="J33" s="175"/>
      <c r="K33" s="175"/>
      <c r="L33" s="175"/>
    </row>
    <row r="34" spans="1:12" ht="12.75" customHeight="1">
      <c r="A34" s="175"/>
      <c r="B34" s="175"/>
      <c r="C34" s="175"/>
      <c r="D34" s="803" t="s">
        <v>55</v>
      </c>
      <c r="E34" s="803"/>
      <c r="F34" s="803"/>
      <c r="G34" s="803"/>
      <c r="H34" s="804" t="s">
        <v>56</v>
      </c>
      <c r="I34" s="803"/>
      <c r="J34" s="803"/>
      <c r="K34" s="803"/>
      <c r="L34" s="175"/>
    </row>
    <row r="35" spans="1:12" ht="12.75" customHeight="1">
      <c r="A35" s="175"/>
      <c r="B35" s="175"/>
      <c r="C35" s="175"/>
      <c r="D35" s="427"/>
      <c r="E35" s="427"/>
      <c r="F35" s="427"/>
      <c r="G35" s="432" t="s">
        <v>74</v>
      </c>
      <c r="H35" s="485"/>
      <c r="I35" s="486"/>
      <c r="J35" s="486"/>
      <c r="K35" s="487" t="s">
        <v>74</v>
      </c>
      <c r="L35" s="175"/>
    </row>
    <row r="36" spans="1:12" ht="12.75" customHeight="1">
      <c r="A36" s="175"/>
      <c r="B36" s="175"/>
      <c r="C36" s="433" t="s">
        <v>62</v>
      </c>
      <c r="D36" s="432" t="s">
        <v>75</v>
      </c>
      <c r="E36" s="432" t="s">
        <v>75</v>
      </c>
      <c r="F36" s="432" t="s">
        <v>74</v>
      </c>
      <c r="G36" s="432" t="s">
        <v>76</v>
      </c>
      <c r="H36" s="488" t="s">
        <v>75</v>
      </c>
      <c r="I36" s="487" t="s">
        <v>75</v>
      </c>
      <c r="J36" s="487" t="s">
        <v>74</v>
      </c>
      <c r="K36" s="487" t="s">
        <v>76</v>
      </c>
      <c r="L36" s="175"/>
    </row>
    <row r="37" spans="1:12" ht="12.75" customHeight="1">
      <c r="A37" s="175"/>
      <c r="B37" s="175"/>
      <c r="C37" s="433" t="s">
        <v>73</v>
      </c>
      <c r="D37" s="432" t="s">
        <v>77</v>
      </c>
      <c r="E37" s="432" t="s">
        <v>78</v>
      </c>
      <c r="F37" s="432" t="s">
        <v>79</v>
      </c>
      <c r="G37" s="432" t="s">
        <v>80</v>
      </c>
      <c r="H37" s="488" t="s">
        <v>77</v>
      </c>
      <c r="I37" s="487" t="s">
        <v>78</v>
      </c>
      <c r="J37" s="487" t="s">
        <v>79</v>
      </c>
      <c r="K37" s="487" t="s">
        <v>80</v>
      </c>
      <c r="L37" s="175"/>
    </row>
    <row r="38" spans="1:12" ht="12.75" customHeight="1">
      <c r="A38" s="175"/>
      <c r="B38" s="175" t="s">
        <v>580</v>
      </c>
      <c r="C38" s="176" t="s">
        <v>566</v>
      </c>
      <c r="D38" s="434" t="s">
        <v>567</v>
      </c>
      <c r="E38" s="434" t="s">
        <v>574</v>
      </c>
      <c r="F38" s="434" t="s">
        <v>575</v>
      </c>
      <c r="G38" s="434" t="s">
        <v>573</v>
      </c>
      <c r="H38" s="489" t="s">
        <v>591</v>
      </c>
      <c r="I38" s="490" t="s">
        <v>592</v>
      </c>
      <c r="J38" s="490" t="s">
        <v>593</v>
      </c>
      <c r="K38" s="490" t="s">
        <v>594</v>
      </c>
      <c r="L38" s="175"/>
    </row>
    <row r="39" spans="1:23" s="447" customFormat="1" ht="15" customHeight="1">
      <c r="A39" s="435">
        <v>382</v>
      </c>
      <c r="B39" s="436" t="s">
        <v>454</v>
      </c>
      <c r="C39" s="437" t="s">
        <v>250</v>
      </c>
      <c r="D39" s="462">
        <f>BILAN!$I$8</f>
        <v>0</v>
      </c>
      <c r="E39" s="639"/>
      <c r="F39" s="464">
        <f aca="true" t="shared" si="4" ref="F39:F51">E39-D39</f>
        <v>0</v>
      </c>
      <c r="G39" s="464">
        <f aca="true" t="shared" si="5" ref="G39:G51">IF(D39&lt;&gt;0,F39/D39*100,0)</f>
        <v>0</v>
      </c>
      <c r="H39" s="491">
        <f>BILAN!$J$8</f>
        <v>0</v>
      </c>
      <c r="I39" s="639"/>
      <c r="J39" s="464">
        <f aca="true" t="shared" si="6" ref="J39:J51">I39-H39</f>
        <v>0</v>
      </c>
      <c r="K39" s="464">
        <f aca="true" t="shared" si="7" ref="K39:K51">IF(H39&lt;&gt;0,J39/H39*100,0)</f>
        <v>0</v>
      </c>
      <c r="L39" s="435"/>
      <c r="M39" s="650"/>
      <c r="N39" s="650"/>
      <c r="O39" s="650"/>
      <c r="P39" s="650"/>
      <c r="Q39" s="650"/>
      <c r="R39" s="650"/>
      <c r="S39" s="650"/>
      <c r="T39" s="650"/>
      <c r="U39" s="650"/>
      <c r="V39" s="650"/>
      <c r="W39" s="650"/>
    </row>
    <row r="40" spans="1:23" s="447" customFormat="1" ht="15" customHeight="1">
      <c r="A40" s="435">
        <v>383</v>
      </c>
      <c r="B40" s="438" t="s">
        <v>605</v>
      </c>
      <c r="C40" s="439" t="s">
        <v>251</v>
      </c>
      <c r="D40" s="463">
        <f>BILAN!$I$9</f>
        <v>0</v>
      </c>
      <c r="E40" s="640"/>
      <c r="F40" s="465">
        <f t="shared" si="4"/>
        <v>0</v>
      </c>
      <c r="G40" s="465">
        <f t="shared" si="5"/>
        <v>0</v>
      </c>
      <c r="H40" s="492">
        <f>BILAN!$J$9</f>
        <v>0</v>
      </c>
      <c r="I40" s="640"/>
      <c r="J40" s="465">
        <f t="shared" si="6"/>
        <v>0</v>
      </c>
      <c r="K40" s="465">
        <f t="shared" si="7"/>
        <v>0</v>
      </c>
      <c r="L40" s="435"/>
      <c r="M40" s="650"/>
      <c r="N40" s="650"/>
      <c r="O40" s="650"/>
      <c r="P40" s="650"/>
      <c r="Q40" s="650"/>
      <c r="R40" s="650"/>
      <c r="S40" s="650"/>
      <c r="T40" s="650"/>
      <c r="U40" s="650"/>
      <c r="V40" s="650"/>
      <c r="W40" s="650"/>
    </row>
    <row r="41" spans="1:23" s="447" customFormat="1" ht="15" customHeight="1">
      <c r="A41" s="435">
        <v>384</v>
      </c>
      <c r="B41" s="438" t="s">
        <v>840</v>
      </c>
      <c r="C41" s="439" t="s">
        <v>253</v>
      </c>
      <c r="D41" s="463">
        <f>BILAN!$I$10</f>
        <v>0</v>
      </c>
      <c r="E41" s="640"/>
      <c r="F41" s="465">
        <f t="shared" si="4"/>
        <v>0</v>
      </c>
      <c r="G41" s="465">
        <f t="shared" si="5"/>
        <v>0</v>
      </c>
      <c r="H41" s="492">
        <f>BILAN!$J$10</f>
        <v>0</v>
      </c>
      <c r="I41" s="640"/>
      <c r="J41" s="465">
        <f t="shared" si="6"/>
        <v>0</v>
      </c>
      <c r="K41" s="465">
        <f t="shared" si="7"/>
        <v>0</v>
      </c>
      <c r="L41" s="435"/>
      <c r="M41" s="650"/>
      <c r="N41" s="650"/>
      <c r="O41" s="650"/>
      <c r="P41" s="650"/>
      <c r="Q41" s="650"/>
      <c r="R41" s="650"/>
      <c r="S41" s="650"/>
      <c r="T41" s="650"/>
      <c r="U41" s="650"/>
      <c r="V41" s="650"/>
      <c r="W41" s="650"/>
    </row>
    <row r="42" spans="1:23" s="447" customFormat="1" ht="15" customHeight="1">
      <c r="A42" s="435">
        <v>385</v>
      </c>
      <c r="B42" s="438" t="s">
        <v>608</v>
      </c>
      <c r="C42" s="439" t="s">
        <v>254</v>
      </c>
      <c r="D42" s="463">
        <f>BILAN!$I$12</f>
        <v>0</v>
      </c>
      <c r="E42" s="640"/>
      <c r="F42" s="465">
        <f t="shared" si="4"/>
        <v>0</v>
      </c>
      <c r="G42" s="465">
        <f t="shared" si="5"/>
        <v>0</v>
      </c>
      <c r="H42" s="492">
        <f>BILAN!$J$12</f>
        <v>0</v>
      </c>
      <c r="I42" s="640"/>
      <c r="J42" s="465">
        <f t="shared" si="6"/>
        <v>0</v>
      </c>
      <c r="K42" s="465">
        <f t="shared" si="7"/>
        <v>0</v>
      </c>
      <c r="L42" s="435"/>
      <c r="M42" s="650"/>
      <c r="N42" s="650"/>
      <c r="O42" s="650"/>
      <c r="P42" s="650"/>
      <c r="Q42" s="650"/>
      <c r="R42" s="650"/>
      <c r="S42" s="650"/>
      <c r="T42" s="650"/>
      <c r="U42" s="650"/>
      <c r="V42" s="650"/>
      <c r="W42" s="650"/>
    </row>
    <row r="43" spans="1:23" s="447" customFormat="1" ht="15" customHeight="1">
      <c r="A43" s="435">
        <v>386</v>
      </c>
      <c r="B43" s="438" t="s">
        <v>458</v>
      </c>
      <c r="C43" s="439" t="s">
        <v>255</v>
      </c>
      <c r="D43" s="463">
        <f>BILAN!$I$15+BILAN!$I$16+BILAN!$I$17</f>
        <v>0</v>
      </c>
      <c r="E43" s="640"/>
      <c r="F43" s="465">
        <f t="shared" si="4"/>
        <v>0</v>
      </c>
      <c r="G43" s="465">
        <f t="shared" si="5"/>
        <v>0</v>
      </c>
      <c r="H43" s="492">
        <f>BILAN!$J$15+BILAN!$J$16+BILAN!$J$17</f>
        <v>0</v>
      </c>
      <c r="I43" s="640"/>
      <c r="J43" s="465">
        <f t="shared" si="6"/>
        <v>0</v>
      </c>
      <c r="K43" s="465">
        <f t="shared" si="7"/>
        <v>0</v>
      </c>
      <c r="L43" s="435"/>
      <c r="M43" s="650"/>
      <c r="N43" s="650"/>
      <c r="O43" s="650"/>
      <c r="P43" s="650"/>
      <c r="Q43" s="650"/>
      <c r="R43" s="650"/>
      <c r="S43" s="650"/>
      <c r="T43" s="650"/>
      <c r="U43" s="650"/>
      <c r="V43" s="650"/>
      <c r="W43" s="650"/>
    </row>
    <row r="44" spans="1:23" s="447" customFormat="1" ht="15" customHeight="1">
      <c r="A44" s="435">
        <v>387</v>
      </c>
      <c r="B44" s="438" t="s">
        <v>614</v>
      </c>
      <c r="C44" s="439" t="s">
        <v>256</v>
      </c>
      <c r="D44" s="463">
        <f>BILAN!$I$18</f>
        <v>0</v>
      </c>
      <c r="E44" s="640"/>
      <c r="F44" s="465">
        <f t="shared" si="4"/>
        <v>0</v>
      </c>
      <c r="G44" s="465">
        <f t="shared" si="5"/>
        <v>0</v>
      </c>
      <c r="H44" s="492">
        <f>BILAN!$J$18</f>
        <v>0</v>
      </c>
      <c r="I44" s="640"/>
      <c r="J44" s="465">
        <f t="shared" si="6"/>
        <v>0</v>
      </c>
      <c r="K44" s="465">
        <f t="shared" si="7"/>
        <v>0</v>
      </c>
      <c r="L44" s="435"/>
      <c r="M44" s="650"/>
      <c r="N44" s="650"/>
      <c r="O44" s="650"/>
      <c r="P44" s="650"/>
      <c r="Q44" s="650"/>
      <c r="R44" s="650"/>
      <c r="S44" s="650"/>
      <c r="T44" s="650"/>
      <c r="U44" s="650"/>
      <c r="V44" s="650"/>
      <c r="W44" s="650"/>
    </row>
    <row r="45" spans="1:23" s="447" customFormat="1" ht="15" customHeight="1">
      <c r="A45" s="435">
        <v>388</v>
      </c>
      <c r="B45" s="438" t="s">
        <v>615</v>
      </c>
      <c r="C45" s="439" t="s">
        <v>257</v>
      </c>
      <c r="D45" s="463">
        <f>BILAN!$I$19</f>
        <v>0</v>
      </c>
      <c r="E45" s="640"/>
      <c r="F45" s="465">
        <f t="shared" si="4"/>
        <v>0</v>
      </c>
      <c r="G45" s="465">
        <f t="shared" si="5"/>
        <v>0</v>
      </c>
      <c r="H45" s="492">
        <f>BILAN!$J$19</f>
        <v>0</v>
      </c>
      <c r="I45" s="640"/>
      <c r="J45" s="465">
        <f t="shared" si="6"/>
        <v>0</v>
      </c>
      <c r="K45" s="465">
        <f t="shared" si="7"/>
        <v>0</v>
      </c>
      <c r="L45" s="435"/>
      <c r="M45" s="650"/>
      <c r="N45" s="650"/>
      <c r="O45" s="650"/>
      <c r="P45" s="650"/>
      <c r="Q45" s="650"/>
      <c r="R45" s="650"/>
      <c r="S45" s="650"/>
      <c r="T45" s="650"/>
      <c r="U45" s="650"/>
      <c r="V45" s="650"/>
      <c r="W45" s="650"/>
    </row>
    <row r="46" spans="1:23" s="447" customFormat="1" ht="15" customHeight="1">
      <c r="A46" s="435">
        <v>389</v>
      </c>
      <c r="B46" s="438" t="s">
        <v>459</v>
      </c>
      <c r="C46" s="439" t="s">
        <v>258</v>
      </c>
      <c r="D46" s="463">
        <f>BILAN!$I$20+BILAN!$I$21+BILAN!$I$22</f>
        <v>0</v>
      </c>
      <c r="E46" s="640"/>
      <c r="F46" s="465">
        <f t="shared" si="4"/>
        <v>0</v>
      </c>
      <c r="G46" s="465">
        <f t="shared" si="5"/>
        <v>0</v>
      </c>
      <c r="H46" s="492">
        <f>BILAN!$J$20+BILAN!$J$21+BILAN!$J$22</f>
        <v>0</v>
      </c>
      <c r="I46" s="640"/>
      <c r="J46" s="465">
        <f t="shared" si="6"/>
        <v>0</v>
      </c>
      <c r="K46" s="465">
        <f t="shared" si="7"/>
        <v>0</v>
      </c>
      <c r="L46" s="435"/>
      <c r="M46" s="650"/>
      <c r="N46" s="650"/>
      <c r="O46" s="650"/>
      <c r="P46" s="650"/>
      <c r="Q46" s="650"/>
      <c r="R46" s="650"/>
      <c r="S46" s="650"/>
      <c r="T46" s="650"/>
      <c r="U46" s="650"/>
      <c r="V46" s="650"/>
      <c r="W46" s="650"/>
    </row>
    <row r="47" spans="1:23" s="447" customFormat="1" ht="15" customHeight="1">
      <c r="A47" s="435">
        <v>390</v>
      </c>
      <c r="B47" s="438" t="s">
        <v>569</v>
      </c>
      <c r="C47" s="439" t="s">
        <v>259</v>
      </c>
      <c r="D47" s="463">
        <f>BILAN!$I$27</f>
        <v>0</v>
      </c>
      <c r="E47" s="640"/>
      <c r="F47" s="465">
        <f t="shared" si="4"/>
        <v>0</v>
      </c>
      <c r="G47" s="465">
        <f t="shared" si="5"/>
        <v>0</v>
      </c>
      <c r="H47" s="492">
        <f>BILAN!$J$27</f>
        <v>0</v>
      </c>
      <c r="I47" s="640"/>
      <c r="J47" s="465">
        <f t="shared" si="6"/>
        <v>0</v>
      </c>
      <c r="K47" s="465">
        <f t="shared" si="7"/>
        <v>0</v>
      </c>
      <c r="L47" s="435"/>
      <c r="M47" s="650"/>
      <c r="N47" s="650"/>
      <c r="O47" s="650"/>
      <c r="P47" s="650"/>
      <c r="Q47" s="650"/>
      <c r="R47" s="650"/>
      <c r="S47" s="650"/>
      <c r="T47" s="650"/>
      <c r="U47" s="650"/>
      <c r="V47" s="650"/>
      <c r="W47" s="650"/>
    </row>
    <row r="48" spans="1:23" s="447" customFormat="1" ht="15" customHeight="1">
      <c r="A48" s="435">
        <v>391</v>
      </c>
      <c r="B48" s="438" t="s">
        <v>570</v>
      </c>
      <c r="C48" s="439" t="s">
        <v>260</v>
      </c>
      <c r="D48" s="463">
        <f>BILAN!$I$28</f>
        <v>0</v>
      </c>
      <c r="E48" s="640"/>
      <c r="F48" s="465">
        <f t="shared" si="4"/>
        <v>0</v>
      </c>
      <c r="G48" s="465">
        <f t="shared" si="5"/>
        <v>0</v>
      </c>
      <c r="H48" s="492">
        <f>BILAN!$J$28</f>
        <v>0</v>
      </c>
      <c r="I48" s="640"/>
      <c r="J48" s="465">
        <f t="shared" si="6"/>
        <v>0</v>
      </c>
      <c r="K48" s="465">
        <f t="shared" si="7"/>
        <v>0</v>
      </c>
      <c r="L48" s="435"/>
      <c r="M48" s="650"/>
      <c r="N48" s="650"/>
      <c r="O48" s="650"/>
      <c r="P48" s="650"/>
      <c r="Q48" s="650"/>
      <c r="R48" s="650"/>
      <c r="S48" s="650"/>
      <c r="T48" s="650"/>
      <c r="U48" s="650"/>
      <c r="V48" s="650"/>
      <c r="W48" s="650"/>
    </row>
    <row r="49" spans="1:23" s="447" customFormat="1" ht="15" customHeight="1">
      <c r="A49" s="435">
        <v>392</v>
      </c>
      <c r="B49" s="438" t="s">
        <v>358</v>
      </c>
      <c r="C49" s="439"/>
      <c r="D49" s="640"/>
      <c r="E49" s="640"/>
      <c r="F49" s="465">
        <f t="shared" si="4"/>
        <v>0</v>
      </c>
      <c r="G49" s="465">
        <f t="shared" si="5"/>
        <v>0</v>
      </c>
      <c r="H49" s="641"/>
      <c r="I49" s="640"/>
      <c r="J49" s="465">
        <f t="shared" si="6"/>
        <v>0</v>
      </c>
      <c r="K49" s="465">
        <f t="shared" si="7"/>
        <v>0</v>
      </c>
      <c r="L49" s="435"/>
      <c r="M49" s="650"/>
      <c r="N49" s="650"/>
      <c r="O49" s="650"/>
      <c r="P49" s="650"/>
      <c r="Q49" s="650"/>
      <c r="R49" s="650"/>
      <c r="S49" s="650"/>
      <c r="T49" s="650"/>
      <c r="U49" s="650"/>
      <c r="V49" s="650"/>
      <c r="W49" s="650"/>
    </row>
    <row r="50" spans="1:23" s="447" customFormat="1" ht="15" customHeight="1">
      <c r="A50" s="440">
        <v>393</v>
      </c>
      <c r="B50" s="441" t="s">
        <v>359</v>
      </c>
      <c r="C50" s="442"/>
      <c r="D50" s="640"/>
      <c r="E50" s="640"/>
      <c r="F50" s="466">
        <f t="shared" si="4"/>
        <v>0</v>
      </c>
      <c r="G50" s="466">
        <f t="shared" si="5"/>
        <v>0</v>
      </c>
      <c r="H50" s="641"/>
      <c r="I50" s="640"/>
      <c r="J50" s="466">
        <f t="shared" si="6"/>
        <v>0</v>
      </c>
      <c r="K50" s="466">
        <f t="shared" si="7"/>
        <v>0</v>
      </c>
      <c r="L50" s="435"/>
      <c r="M50" s="650"/>
      <c r="N50" s="650"/>
      <c r="O50" s="650"/>
      <c r="P50" s="650"/>
      <c r="Q50" s="650"/>
      <c r="R50" s="650"/>
      <c r="S50" s="650"/>
      <c r="T50" s="650"/>
      <c r="U50" s="650"/>
      <c r="V50" s="650"/>
      <c r="W50" s="650"/>
    </row>
    <row r="51" spans="1:23" s="447" customFormat="1" ht="15" customHeight="1">
      <c r="A51" s="608" t="s">
        <v>560</v>
      </c>
      <c r="B51" s="441" t="s">
        <v>81</v>
      </c>
      <c r="C51" s="439" t="s">
        <v>587</v>
      </c>
      <c r="D51" s="463">
        <f>BILAN!$I$35</f>
        <v>0</v>
      </c>
      <c r="E51" s="640"/>
      <c r="F51" s="465">
        <f t="shared" si="4"/>
        <v>0</v>
      </c>
      <c r="G51" s="465">
        <f t="shared" si="5"/>
        <v>0</v>
      </c>
      <c r="H51" s="492">
        <f>BILAN!$J$35</f>
        <v>0</v>
      </c>
      <c r="I51" s="640"/>
      <c r="J51" s="465">
        <f t="shared" si="6"/>
        <v>0</v>
      </c>
      <c r="K51" s="465">
        <f t="shared" si="7"/>
        <v>0</v>
      </c>
      <c r="L51" s="435"/>
      <c r="M51" s="650"/>
      <c r="N51" s="650"/>
      <c r="O51" s="650"/>
      <c r="P51" s="650"/>
      <c r="Q51" s="650"/>
      <c r="R51" s="650"/>
      <c r="S51" s="650"/>
      <c r="T51" s="650"/>
      <c r="U51" s="650"/>
      <c r="V51" s="650"/>
      <c r="W51" s="650"/>
    </row>
    <row r="52" spans="1:23" s="447" customFormat="1" ht="15" customHeight="1">
      <c r="A52" s="440">
        <v>394</v>
      </c>
      <c r="B52" s="443" t="s">
        <v>579</v>
      </c>
      <c r="C52" s="444" t="s">
        <v>584</v>
      </c>
      <c r="D52" s="445">
        <f>D$39+D$40+D$41+D$42+D$43+D$44+D$45+D$46+D$47+D$48+D$49+D$50+D$51</f>
        <v>0</v>
      </c>
      <c r="E52" s="87">
        <f>E$39+E$40+E$41+E$42+E$43+E$44+E$45+E$46+E$47+E$48+E$49+E$50+E$51</f>
        <v>0</v>
      </c>
      <c r="F52" s="87">
        <f>E52-D52</f>
        <v>0</v>
      </c>
      <c r="G52" s="467">
        <f>IF(D52&lt;&gt;0,F52/D52*100,0)</f>
        <v>0</v>
      </c>
      <c r="H52" s="493">
        <f>H$39+H$40+H$41+H$42+H$43+H$44+H$45+H$46+H$47+H$48+H$49+H$50+H$51</f>
        <v>0</v>
      </c>
      <c r="I52" s="87">
        <f>I$39+I$40+I$41+I$42+I$43+I$44+I$45+I$46+I$47+I$48+I$49+I$50+I$51</f>
        <v>0</v>
      </c>
      <c r="J52" s="87">
        <f>I52-H52</f>
        <v>0</v>
      </c>
      <c r="K52" s="467">
        <f>IF(H52&lt;&gt;0,J52/H52*100,0)</f>
        <v>0</v>
      </c>
      <c r="L52" s="435"/>
      <c r="M52" s="650"/>
      <c r="N52" s="650"/>
      <c r="O52" s="650"/>
      <c r="P52" s="650"/>
      <c r="Q52" s="650"/>
      <c r="R52" s="650"/>
      <c r="S52" s="650"/>
      <c r="T52" s="650"/>
      <c r="U52" s="650"/>
      <c r="V52" s="650"/>
      <c r="W52" s="650"/>
    </row>
    <row r="53" spans="1:23" s="447" customFormat="1" ht="15" customHeight="1">
      <c r="A53" s="175"/>
      <c r="B53" s="175"/>
      <c r="C53" s="175"/>
      <c r="D53" s="587">
        <f>IF(ABS(BILAN!$I$37-$D$52)&lt;2,"","&lt;&gt; BILAN, pos. 79h ("&amp;TEXT(BILAN!$I$37,"#'##0")&amp;") ?")</f>
      </c>
      <c r="E53" s="175"/>
      <c r="F53" s="175"/>
      <c r="G53" s="175"/>
      <c r="H53" s="587">
        <f>IF(ABS(BILAN!$J$37-$H$52)&lt;2,"","&lt;&gt; BILAN, pos. 79i ("&amp;TEXT(BILAN!$J$37,"#'##0")&amp;") ?")</f>
      </c>
      <c r="I53" s="175"/>
      <c r="J53" s="175"/>
      <c r="K53" s="175"/>
      <c r="L53" s="175"/>
      <c r="M53" s="650"/>
      <c r="N53" s="650"/>
      <c r="O53" s="650"/>
      <c r="P53" s="650"/>
      <c r="Q53" s="650"/>
      <c r="R53" s="650"/>
      <c r="S53" s="650"/>
      <c r="T53" s="650"/>
      <c r="U53" s="650"/>
      <c r="V53" s="650"/>
      <c r="W53" s="650"/>
    </row>
    <row r="54" spans="1:12" ht="12.75" customHeight="1">
      <c r="A54" s="175"/>
      <c r="B54" s="674" t="s">
        <v>352</v>
      </c>
      <c r="C54" s="175"/>
      <c r="D54" s="175"/>
      <c r="E54" s="175"/>
      <c r="F54" s="175"/>
      <c r="G54" s="175"/>
      <c r="H54" s="175"/>
      <c r="I54" s="175"/>
      <c r="J54" s="175"/>
      <c r="K54" s="175"/>
      <c r="L54" s="175"/>
    </row>
    <row r="55" spans="1:12" ht="12.75" customHeight="1">
      <c r="A55" s="175"/>
      <c r="B55" s="675" t="s">
        <v>353</v>
      </c>
      <c r="C55" s="175"/>
      <c r="D55" s="175"/>
      <c r="E55" s="175"/>
      <c r="F55" s="175"/>
      <c r="G55" s="175"/>
      <c r="H55" s="175"/>
      <c r="I55" s="175"/>
      <c r="J55" s="175"/>
      <c r="K55" s="175"/>
      <c r="L55" s="175"/>
    </row>
    <row r="56" spans="1:12" ht="12.75" customHeight="1">
      <c r="A56" s="175"/>
      <c r="B56" s="175"/>
      <c r="C56" s="175"/>
      <c r="D56" s="175"/>
      <c r="E56" s="175"/>
      <c r="F56" s="175"/>
      <c r="G56" s="175"/>
      <c r="H56" s="175"/>
      <c r="I56" s="175"/>
      <c r="J56" s="175"/>
      <c r="K56" s="175"/>
      <c r="L56" s="175"/>
    </row>
    <row r="67" ht="12.75" customHeight="1">
      <c r="B67" s="700"/>
    </row>
    <row r="70" ht="12.75" customHeight="1">
      <c r="B70" s="696"/>
    </row>
    <row r="80" ht="12.75" customHeight="1">
      <c r="B80" s="696"/>
    </row>
    <row r="103" ht="12.75" customHeight="1">
      <c r="B103" s="696"/>
    </row>
    <row r="112" ht="12.75" customHeight="1">
      <c r="B112" s="696"/>
    </row>
    <row r="121" ht="12.75" customHeight="1">
      <c r="B121" s="696"/>
    </row>
    <row r="146" ht="12.75" customHeight="1">
      <c r="B146" s="696"/>
    </row>
    <row r="149" ht="12.75" customHeight="1">
      <c r="B149" s="696"/>
    </row>
  </sheetData>
  <sheetProtection/>
  <mergeCells count="4">
    <mergeCell ref="D34:G34"/>
    <mergeCell ref="H34:K34"/>
    <mergeCell ref="D6:G6"/>
    <mergeCell ref="H6:K6"/>
  </mergeCells>
  <conditionalFormatting sqref="E11:E21 E39:E48 D21 D49:E49 E51">
    <cfRule type="expression" priority="1" dxfId="1" stopIfTrue="1">
      <formula>IF(ISBLANK(D11),1,0)</formula>
    </cfRule>
  </conditionalFormatting>
  <conditionalFormatting sqref="H21 I39:I49 I11:I21 H49 I51">
    <cfRule type="expression" priority="2" dxfId="2" stopIfTrue="1">
      <formula>IF(ISBLANK(H11),1,0)</formula>
    </cfRule>
  </conditionalFormatting>
  <conditionalFormatting sqref="D22:E22 D50:E50">
    <cfRule type="cellIs" priority="3" dxfId="6" operator="greaterThan" stopIfTrue="1">
      <formula>0</formula>
    </cfRule>
    <cfRule type="expression" priority="4" dxfId="1" stopIfTrue="1">
      <formula>IF(ISBLANK(D22),1,0)</formula>
    </cfRule>
  </conditionalFormatting>
  <conditionalFormatting sqref="H22:I22 H50:I50">
    <cfRule type="cellIs" priority="5" dxfId="6" operator="greaterThan" stopIfTrue="1">
      <formula>0</formula>
    </cfRule>
    <cfRule type="expression" priority="6" dxfId="2" stopIfTrue="1">
      <formula>IF(ISBLANK(H22),1,0)</formula>
    </cfRule>
  </conditionalFormatting>
  <conditionalFormatting sqref="D24 H24">
    <cfRule type="expression" priority="7" dxfId="6" stopIfTrue="1">
      <formula>IF(D$25="",0,1)</formula>
    </cfRule>
  </conditionalFormatting>
  <conditionalFormatting sqref="D52 H52">
    <cfRule type="expression" priority="8" dxfId="6" stopIfTrue="1">
      <formula>IF(D$53="",0,1)</formula>
    </cfRule>
  </conditionalFormatting>
  <printOptions headings="1"/>
  <pageMargins left="0.22" right="0.19" top="0.27" bottom="0.32" header="0.17" footer="0.16"/>
  <pageSetup horizontalDpi="300" verticalDpi="300" orientation="landscape" paperSize="9" scale="73" r:id="rId3"/>
  <headerFooter alignWithMargins="0">
    <oddFooter>&amp;L&amp;D   &amp;T&amp;C&amp;A&amp;R&amp;P / &amp;N</oddFooter>
  </headerFooter>
  <rowBreaks count="1" manualBreakCount="1">
    <brk id="28" max="255" man="1"/>
  </rowBreaks>
  <colBreaks count="1" manualBreakCount="1">
    <brk id="12" max="65535" man="1"/>
  </colBreaks>
  <legacyDrawing r:id="rId2"/>
</worksheet>
</file>

<file path=xl/worksheets/sheet9.xml><?xml version="1.0" encoding="utf-8"?>
<worksheet xmlns="http://schemas.openxmlformats.org/spreadsheetml/2006/main" xmlns:r="http://schemas.openxmlformats.org/officeDocument/2006/relationships">
  <sheetPr codeName="Tabelle9">
    <tabColor indexed="63"/>
  </sheetPr>
  <dimension ref="A1:K1437"/>
  <sheetViews>
    <sheetView tabSelected="1" view="pageBreakPreview" zoomScale="60" zoomScaleNormal="75" workbookViewId="0" topLeftCell="A1">
      <selection activeCell="A1" sqref="A1"/>
    </sheetView>
  </sheetViews>
  <sheetFormatPr defaultColWidth="11.421875" defaultRowHeight="12.75"/>
  <cols>
    <col min="1" max="1" width="5.140625" style="4" customWidth="1"/>
    <col min="2" max="2" width="7.28125" style="0" customWidth="1"/>
    <col min="3" max="3" width="49.8515625" style="0" customWidth="1"/>
    <col min="4" max="4" width="14.140625" style="0" customWidth="1"/>
    <col min="5" max="5" width="16.421875" style="0" customWidth="1"/>
    <col min="6" max="6" width="15.8515625" style="0" customWidth="1"/>
    <col min="7" max="7" width="13.57421875" style="0" customWidth="1"/>
    <col min="8" max="8" width="2.28125" style="0" customWidth="1"/>
    <col min="9" max="9" width="31.00390625" style="2" customWidth="1"/>
    <col min="10" max="10" width="46.00390625" style="2" customWidth="1"/>
    <col min="11" max="11" width="2.57421875" style="0" customWidth="1"/>
  </cols>
  <sheetData>
    <row r="1" spans="1:11" ht="15.75">
      <c r="A1" s="420">
        <v>18</v>
      </c>
      <c r="B1" s="555" t="s">
        <v>503</v>
      </c>
      <c r="C1" s="4"/>
      <c r="D1" s="4"/>
      <c r="E1" s="4"/>
      <c r="F1" s="4"/>
      <c r="G1" s="570"/>
      <c r="H1" s="570"/>
      <c r="I1" s="764" t="s">
        <v>786</v>
      </c>
      <c r="J1" s="422" t="str">
        <f>"Année d'exercice:         "&amp;jahr</f>
        <v>Année d'exercice:         2007</v>
      </c>
      <c r="K1" s="4"/>
    </row>
    <row r="2" spans="1:11" ht="15.75">
      <c r="A2" s="420"/>
      <c r="B2" s="555" t="s">
        <v>625</v>
      </c>
      <c r="C2" s="4"/>
      <c r="D2" s="4"/>
      <c r="E2" s="4"/>
      <c r="F2" s="4"/>
      <c r="G2" s="570"/>
      <c r="H2" s="570"/>
      <c r="I2" s="764"/>
      <c r="J2" s="422"/>
      <c r="K2" s="4"/>
    </row>
    <row r="3" spans="2:11" ht="12.75">
      <c r="B3" s="5" t="s">
        <v>504</v>
      </c>
      <c r="C3" s="4"/>
      <c r="D3" s="4"/>
      <c r="E3" s="4"/>
      <c r="F3" s="4"/>
      <c r="G3" s="4"/>
      <c r="H3" s="4"/>
      <c r="I3" s="558"/>
      <c r="J3" s="558"/>
      <c r="K3" s="4"/>
    </row>
    <row r="4" spans="2:11" ht="12.75">
      <c r="B4" s="5"/>
      <c r="C4" s="4"/>
      <c r="D4" s="4"/>
      <c r="E4" s="4"/>
      <c r="F4" s="4"/>
      <c r="G4" s="4"/>
      <c r="H4" s="4"/>
      <c r="I4" s="558"/>
      <c r="J4" s="558"/>
      <c r="K4" s="4"/>
    </row>
    <row r="5" spans="2:11" ht="15.75">
      <c r="B5" s="4"/>
      <c r="C5" s="574" t="s">
        <v>829</v>
      </c>
      <c r="D5" s="574"/>
      <c r="E5" s="575" t="str">
        <f>Vr&amp;"  "</f>
        <v>Xxx Vie  </v>
      </c>
      <c r="F5" s="4"/>
      <c r="G5" s="4"/>
      <c r="H5" s="4"/>
      <c r="I5" s="559"/>
      <c r="J5" s="558"/>
      <c r="K5" s="4"/>
    </row>
    <row r="6" spans="2:11" ht="9" customHeight="1">
      <c r="B6" s="4"/>
      <c r="C6" s="4"/>
      <c r="D6" s="4"/>
      <c r="E6" s="4"/>
      <c r="F6" s="4"/>
      <c r="G6" s="4"/>
      <c r="H6" s="4"/>
      <c r="I6" s="558"/>
      <c r="J6" s="558"/>
      <c r="K6" s="4"/>
    </row>
    <row r="7" spans="1:11" ht="12.75">
      <c r="A7" s="671" t="s">
        <v>505</v>
      </c>
      <c r="B7" s="4"/>
      <c r="C7" s="4"/>
      <c r="D7" s="4"/>
      <c r="E7" s="4"/>
      <c r="F7" s="4"/>
      <c r="G7" s="4"/>
      <c r="H7" s="4"/>
      <c r="I7" s="558"/>
      <c r="J7" s="558"/>
      <c r="K7" s="4"/>
    </row>
    <row r="8" spans="2:11" ht="9" customHeight="1">
      <c r="B8" s="4"/>
      <c r="C8" s="4"/>
      <c r="D8" s="4"/>
      <c r="E8" s="4"/>
      <c r="F8" s="4"/>
      <c r="G8" s="4"/>
      <c r="H8" s="4"/>
      <c r="I8" s="558"/>
      <c r="J8" s="558"/>
      <c r="K8" s="4"/>
    </row>
    <row r="9" spans="2:11" ht="12.75">
      <c r="B9" s="4" t="s">
        <v>580</v>
      </c>
      <c r="C9" s="4" t="s">
        <v>566</v>
      </c>
      <c r="D9" s="561" t="s">
        <v>567</v>
      </c>
      <c r="E9" s="561" t="s">
        <v>574</v>
      </c>
      <c r="F9" s="561" t="s">
        <v>575</v>
      </c>
      <c r="G9" s="561" t="s">
        <v>573</v>
      </c>
      <c r="H9" s="561"/>
      <c r="I9" s="558"/>
      <c r="J9" s="558"/>
      <c r="K9" s="4"/>
    </row>
    <row r="10" spans="2:11" ht="12.75">
      <c r="B10" s="4"/>
      <c r="C10" s="4"/>
      <c r="D10" s="562" t="s">
        <v>506</v>
      </c>
      <c r="E10" s="562" t="s">
        <v>506</v>
      </c>
      <c r="F10" s="562" t="s">
        <v>507</v>
      </c>
      <c r="G10" s="562" t="s">
        <v>507</v>
      </c>
      <c r="H10" s="4"/>
      <c r="I10" s="563" t="s">
        <v>237</v>
      </c>
      <c r="J10" s="563" t="s">
        <v>238</v>
      </c>
      <c r="K10" s="4"/>
    </row>
    <row r="11" spans="2:11" ht="12.75">
      <c r="B11" s="5" t="s">
        <v>626</v>
      </c>
      <c r="C11" s="4"/>
      <c r="D11" s="4"/>
      <c r="E11" s="4"/>
      <c r="F11" s="4"/>
      <c r="G11" s="4"/>
      <c r="H11" s="4"/>
      <c r="I11" s="564"/>
      <c r="J11" s="564"/>
      <c r="K11" s="4"/>
    </row>
    <row r="12" spans="2:11" ht="12.75">
      <c r="B12" s="569" t="s">
        <v>281</v>
      </c>
      <c r="C12" s="569"/>
      <c r="D12" s="569"/>
      <c r="E12" s="569"/>
      <c r="F12" s="569"/>
      <c r="G12" s="569"/>
      <c r="H12" s="4"/>
      <c r="I12" s="564"/>
      <c r="J12" s="564"/>
      <c r="K12" s="4"/>
    </row>
    <row r="13" spans="1:11" ht="12.75">
      <c r="A13" s="435">
        <v>395</v>
      </c>
      <c r="B13" s="4"/>
      <c r="C13" s="567" t="s">
        <v>508</v>
      </c>
      <c r="D13" s="570"/>
      <c r="E13" s="74">
        <f>$F$15-E$14-E$15</f>
        <v>0</v>
      </c>
      <c r="F13" s="567"/>
      <c r="G13" s="567"/>
      <c r="H13" s="567"/>
      <c r="I13" s="580" t="s">
        <v>236</v>
      </c>
      <c r="J13" s="572"/>
      <c r="K13" s="4"/>
    </row>
    <row r="14" spans="1:11" ht="12.75">
      <c r="A14" s="435">
        <v>396</v>
      </c>
      <c r="B14" s="4"/>
      <c r="C14" s="569" t="s">
        <v>509</v>
      </c>
      <c r="D14" s="569"/>
      <c r="E14" s="74">
        <f>'ANALYSE TECHNIQUE'!$F$43</f>
        <v>0</v>
      </c>
      <c r="F14" s="567"/>
      <c r="G14" s="567"/>
      <c r="H14" s="567"/>
      <c r="I14" s="581" t="s">
        <v>194</v>
      </c>
      <c r="J14" s="581"/>
      <c r="K14" s="4"/>
    </row>
    <row r="15" spans="1:11" ht="12.75">
      <c r="A15" s="435">
        <v>397</v>
      </c>
      <c r="B15" s="4"/>
      <c r="C15" s="682" t="s">
        <v>442</v>
      </c>
      <c r="D15" s="569"/>
      <c r="E15" s="74">
        <f>'ANALYSE TECHNIQUE'!$F$68</f>
        <v>0</v>
      </c>
      <c r="F15" s="72">
        <f>'CR'!$F$8</f>
        <v>0</v>
      </c>
      <c r="G15" s="567"/>
      <c r="H15" s="567"/>
      <c r="I15" s="581" t="s">
        <v>195</v>
      </c>
      <c r="J15" s="581" t="s">
        <v>545</v>
      </c>
      <c r="K15" s="4"/>
    </row>
    <row r="16" spans="1:11" ht="12.75">
      <c r="A16" s="435"/>
      <c r="B16" s="569" t="s">
        <v>127</v>
      </c>
      <c r="C16" s="758"/>
      <c r="D16" s="569"/>
      <c r="E16" s="758"/>
      <c r="F16" s="567"/>
      <c r="G16" s="567"/>
      <c r="H16" s="4"/>
      <c r="I16" s="581"/>
      <c r="J16" s="581"/>
      <c r="K16" s="4"/>
    </row>
    <row r="17" spans="1:11" ht="12.75">
      <c r="A17" s="435">
        <v>398</v>
      </c>
      <c r="B17" s="4"/>
      <c r="C17" s="681" t="s">
        <v>448</v>
      </c>
      <c r="D17" s="592"/>
      <c r="E17" s="74">
        <f>'CR'!$F$66</f>
        <v>0</v>
      </c>
      <c r="F17" s="567"/>
      <c r="G17" s="567"/>
      <c r="H17" s="567"/>
      <c r="I17" s="581" t="s">
        <v>184</v>
      </c>
      <c r="J17" s="581"/>
      <c r="K17" s="4"/>
    </row>
    <row r="18" spans="1:11" ht="12.75">
      <c r="A18" s="435">
        <v>399</v>
      </c>
      <c r="B18" s="4"/>
      <c r="C18" s="681" t="s">
        <v>338</v>
      </c>
      <c r="D18" s="592"/>
      <c r="E18" s="74">
        <f>'CR'!$F$72</f>
        <v>0</v>
      </c>
      <c r="F18" s="567"/>
      <c r="G18" s="567"/>
      <c r="H18" s="567"/>
      <c r="I18" s="581" t="s">
        <v>185</v>
      </c>
      <c r="J18" s="581"/>
      <c r="K18" s="4"/>
    </row>
    <row r="19" spans="1:11" ht="13.5" thickBot="1">
      <c r="A19" s="435">
        <v>400</v>
      </c>
      <c r="B19" s="578"/>
      <c r="C19" s="682" t="s">
        <v>337</v>
      </c>
      <c r="D19" s="592"/>
      <c r="E19" s="761">
        <f>'CR'!$F$76</f>
        <v>0</v>
      </c>
      <c r="F19" s="72">
        <f>$E$17-$E$18-$E$19</f>
        <v>0</v>
      </c>
      <c r="G19" s="567"/>
      <c r="H19" s="567"/>
      <c r="I19" s="581" t="s">
        <v>186</v>
      </c>
      <c r="J19" s="581" t="s">
        <v>142</v>
      </c>
      <c r="K19" s="4"/>
    </row>
    <row r="20" spans="1:11" ht="12.75">
      <c r="A20" s="435">
        <v>401</v>
      </c>
      <c r="B20" s="4" t="s">
        <v>279</v>
      </c>
      <c r="C20" s="556"/>
      <c r="D20" s="569"/>
      <c r="E20" s="569"/>
      <c r="F20" s="72">
        <f>'CR'!$F$12+'CR'!$F$80</f>
        <v>0</v>
      </c>
      <c r="G20" s="567"/>
      <c r="H20" s="4"/>
      <c r="I20" s="581"/>
      <c r="J20" s="581" t="s">
        <v>187</v>
      </c>
      <c r="K20" s="4"/>
    </row>
    <row r="21" spans="1:11" ht="13.5" thickBot="1">
      <c r="A21" s="435">
        <v>402</v>
      </c>
      <c r="B21" s="758" t="s">
        <v>705</v>
      </c>
      <c r="C21" s="758"/>
      <c r="D21" s="569"/>
      <c r="E21" s="569"/>
      <c r="F21" s="769">
        <f>-'CR'!$F$9+'CR'!$F$19+'CR'!$F$26</f>
        <v>0</v>
      </c>
      <c r="G21" s="567"/>
      <c r="H21" s="567"/>
      <c r="I21" s="581"/>
      <c r="J21" s="581" t="s">
        <v>188</v>
      </c>
      <c r="K21" s="4"/>
    </row>
    <row r="22" spans="1:11" ht="13.5" thickBot="1">
      <c r="A22" s="435">
        <v>403</v>
      </c>
      <c r="B22" s="569" t="s">
        <v>282</v>
      </c>
      <c r="C22" s="758"/>
      <c r="D22" s="569"/>
      <c r="E22" s="758"/>
      <c r="F22" s="770">
        <f>$F$21+$F$20+$F$19+$F$15</f>
        <v>0</v>
      </c>
      <c r="G22" s="567"/>
      <c r="H22" s="4"/>
      <c r="I22" s="581"/>
      <c r="J22" s="581" t="s">
        <v>143</v>
      </c>
      <c r="K22" s="4"/>
    </row>
    <row r="23" spans="1:11" ht="9" customHeight="1">
      <c r="A23" s="435"/>
      <c r="B23" s="560"/>
      <c r="C23" s="766"/>
      <c r="D23" s="766"/>
      <c r="E23" s="565"/>
      <c r="F23" s="560"/>
      <c r="G23" s="4"/>
      <c r="H23" s="4"/>
      <c r="I23" s="589"/>
      <c r="J23" s="589"/>
      <c r="K23" s="4"/>
    </row>
    <row r="24" spans="2:11" ht="12.75">
      <c r="B24" s="567" t="s">
        <v>280</v>
      </c>
      <c r="C24" s="567"/>
      <c r="D24" s="567"/>
      <c r="E24" s="567"/>
      <c r="F24" s="567"/>
      <c r="G24" s="567"/>
      <c r="H24" s="4"/>
      <c r="I24" s="581"/>
      <c r="J24" s="581"/>
      <c r="K24" s="4"/>
    </row>
    <row r="25" spans="2:11" ht="12.75">
      <c r="B25" s="567" t="s">
        <v>510</v>
      </c>
      <c r="C25" s="567"/>
      <c r="D25" s="567"/>
      <c r="E25" s="567"/>
      <c r="F25" s="567"/>
      <c r="G25" s="567"/>
      <c r="H25" s="4"/>
      <c r="I25" s="581"/>
      <c r="J25" s="581"/>
      <c r="K25" s="4"/>
    </row>
    <row r="26" spans="1:11" ht="12.75">
      <c r="A26" s="435">
        <v>404</v>
      </c>
      <c r="B26" s="4"/>
      <c r="C26" s="758" t="s">
        <v>511</v>
      </c>
      <c r="D26" s="571"/>
      <c r="E26" s="73">
        <f>'CR'!$F$14</f>
        <v>0</v>
      </c>
      <c r="F26" s="567"/>
      <c r="G26" s="567"/>
      <c r="H26" s="567"/>
      <c r="I26" s="581" t="s">
        <v>546</v>
      </c>
      <c r="J26" s="581"/>
      <c r="K26" s="4"/>
    </row>
    <row r="27" spans="1:11" ht="12.75">
      <c r="A27" s="435">
        <v>405</v>
      </c>
      <c r="B27" s="4"/>
      <c r="C27" s="758" t="s">
        <v>39</v>
      </c>
      <c r="D27" s="571"/>
      <c r="E27" s="74">
        <f>'CR'!$F$15</f>
        <v>0</v>
      </c>
      <c r="F27" s="567"/>
      <c r="G27" s="567"/>
      <c r="H27" s="567"/>
      <c r="I27" s="581" t="s">
        <v>547</v>
      </c>
      <c r="J27" s="581"/>
      <c r="K27" s="4"/>
    </row>
    <row r="28" spans="1:11" ht="13.5" thickBot="1">
      <c r="A28" s="435">
        <v>406</v>
      </c>
      <c r="B28" s="4"/>
      <c r="C28" s="758" t="s">
        <v>443</v>
      </c>
      <c r="D28" s="571"/>
      <c r="E28" s="75">
        <f>'CR'!$F$16</f>
        <v>0</v>
      </c>
      <c r="F28" s="72">
        <f>$E$26+$E$27+$E$28</f>
        <v>0</v>
      </c>
      <c r="G28" s="567"/>
      <c r="H28" s="567"/>
      <c r="I28" s="581" t="s">
        <v>548</v>
      </c>
      <c r="J28" s="581" t="s">
        <v>144</v>
      </c>
      <c r="K28" s="4"/>
    </row>
    <row r="29" spans="1:11" ht="12.75">
      <c r="A29" s="435"/>
      <c r="B29" s="567" t="s">
        <v>360</v>
      </c>
      <c r="C29" s="567"/>
      <c r="D29" s="567"/>
      <c r="E29" s="571"/>
      <c r="F29" s="567"/>
      <c r="G29" s="567"/>
      <c r="H29" s="568"/>
      <c r="I29" s="581"/>
      <c r="J29" s="581" t="s">
        <v>549</v>
      </c>
      <c r="K29" s="4"/>
    </row>
    <row r="30" spans="1:11" ht="12.75">
      <c r="A30" s="435">
        <v>407</v>
      </c>
      <c r="B30" s="4"/>
      <c r="C30" s="569" t="s">
        <v>630</v>
      </c>
      <c r="D30" s="567"/>
      <c r="E30" s="74">
        <f>BILAN!$F$59-BILAN!$G$59</f>
        <v>0</v>
      </c>
      <c r="F30" s="567"/>
      <c r="G30" s="567"/>
      <c r="H30" s="570"/>
      <c r="I30" s="581" t="s">
        <v>221</v>
      </c>
      <c r="J30" s="581"/>
      <c r="K30" s="4"/>
    </row>
    <row r="31" spans="1:11" ht="12.75">
      <c r="A31" s="435">
        <v>408</v>
      </c>
      <c r="B31" s="4"/>
      <c r="C31" s="569" t="s">
        <v>631</v>
      </c>
      <c r="D31" s="567"/>
      <c r="E31" s="74">
        <f>SUM(BILAN!$F$60:$F$65)-SUM(BILAN!$G$60:$G$65)</f>
        <v>0</v>
      </c>
      <c r="F31" s="567"/>
      <c r="G31" s="567"/>
      <c r="H31" s="570"/>
      <c r="I31" s="581" t="s">
        <v>222</v>
      </c>
      <c r="J31" s="581"/>
      <c r="K31" s="4"/>
    </row>
    <row r="32" spans="1:11" ht="12.75">
      <c r="A32" s="435">
        <v>409</v>
      </c>
      <c r="B32" s="4"/>
      <c r="C32" s="569" t="s">
        <v>632</v>
      </c>
      <c r="D32" s="567"/>
      <c r="E32" s="74">
        <f>BILAN!$F$66-BILAN!$G$66</f>
        <v>0</v>
      </c>
      <c r="F32" s="567"/>
      <c r="G32" s="567"/>
      <c r="H32" s="570"/>
      <c r="I32" s="581" t="s">
        <v>223</v>
      </c>
      <c r="J32" s="581"/>
      <c r="K32" s="4"/>
    </row>
    <row r="33" spans="1:11" ht="13.5" thickBot="1">
      <c r="A33" s="435">
        <v>410</v>
      </c>
      <c r="B33" s="4"/>
      <c r="C33" s="758" t="s">
        <v>449</v>
      </c>
      <c r="D33" s="567"/>
      <c r="E33" s="75">
        <f>$F$33-$E$32-$E$31-$E$30</f>
        <v>0</v>
      </c>
      <c r="F33" s="72">
        <f>'CR'!$F$22+'CR'!$F$23+'CR'!$F$24+'CR'!$F$25</f>
        <v>0</v>
      </c>
      <c r="G33" s="567"/>
      <c r="H33" s="570"/>
      <c r="I33" s="581" t="s">
        <v>145</v>
      </c>
      <c r="J33" s="581" t="s">
        <v>549</v>
      </c>
      <c r="K33" s="4"/>
    </row>
    <row r="34" spans="1:11" ht="12.75" customHeight="1">
      <c r="A34" s="435">
        <v>411</v>
      </c>
      <c r="B34" s="567" t="s">
        <v>512</v>
      </c>
      <c r="C34" s="567"/>
      <c r="D34" s="567"/>
      <c r="E34" s="571"/>
      <c r="F34" s="72">
        <f>'CR'!$F$18+'CR'!$F$29+'CR'!$F$31</f>
        <v>0</v>
      </c>
      <c r="G34" s="567"/>
      <c r="H34" s="567"/>
      <c r="I34" s="581"/>
      <c r="J34" s="581" t="s">
        <v>469</v>
      </c>
      <c r="K34" s="4"/>
    </row>
    <row r="35" spans="1:11" ht="12.75">
      <c r="A35" s="435">
        <v>412</v>
      </c>
      <c r="B35" s="567" t="s">
        <v>283</v>
      </c>
      <c r="C35" s="567"/>
      <c r="D35" s="567"/>
      <c r="E35" s="571"/>
      <c r="F35" s="72">
        <f>'CR'!$F$35+'CR'!$F$81+'CR'!$F$83</f>
        <v>0</v>
      </c>
      <c r="G35" s="567"/>
      <c r="I35" s="581"/>
      <c r="J35" s="581" t="s">
        <v>189</v>
      </c>
      <c r="K35" s="4"/>
    </row>
    <row r="36" spans="1:11" ht="12.75">
      <c r="A36" s="435">
        <v>413</v>
      </c>
      <c r="B36" s="567" t="s">
        <v>513</v>
      </c>
      <c r="C36" s="567"/>
      <c r="D36" s="567"/>
      <c r="E36" s="571"/>
      <c r="F36" s="72">
        <f>'CR'!$F$37</f>
        <v>0</v>
      </c>
      <c r="G36" s="567"/>
      <c r="H36" s="567"/>
      <c r="I36" s="581"/>
      <c r="J36" s="581" t="s">
        <v>550</v>
      </c>
      <c r="K36" s="4"/>
    </row>
    <row r="37" spans="1:11" ht="12.75">
      <c r="A37" s="435">
        <v>414</v>
      </c>
      <c r="B37" s="569" t="s">
        <v>514</v>
      </c>
      <c r="C37" s="569"/>
      <c r="D37" s="571"/>
      <c r="E37" s="571"/>
      <c r="F37" s="72">
        <f>'CR'!$F$38</f>
        <v>0</v>
      </c>
      <c r="G37" s="567"/>
      <c r="H37" s="567"/>
      <c r="I37" s="581"/>
      <c r="J37" s="581" t="s">
        <v>551</v>
      </c>
      <c r="K37" s="4"/>
    </row>
    <row r="38" spans="1:11" ht="13.5" thickBot="1">
      <c r="A38" s="435">
        <v>415</v>
      </c>
      <c r="B38" s="569" t="s">
        <v>627</v>
      </c>
      <c r="C38" s="569"/>
      <c r="D38" s="571"/>
      <c r="E38" s="571"/>
      <c r="F38" s="72">
        <f>$F$39-SUM($F$28:$F$37)</f>
        <v>0</v>
      </c>
      <c r="G38" s="567"/>
      <c r="H38" s="570"/>
      <c r="I38" s="581"/>
      <c r="J38" s="581" t="s">
        <v>146</v>
      </c>
      <c r="K38" s="4"/>
    </row>
    <row r="39" spans="1:11" ht="13.5" thickBot="1">
      <c r="A39" s="435">
        <v>416</v>
      </c>
      <c r="B39" s="569" t="s">
        <v>284</v>
      </c>
      <c r="C39" s="569"/>
      <c r="D39" s="571"/>
      <c r="E39" s="571"/>
      <c r="F39" s="770">
        <f>F22</f>
        <v>0</v>
      </c>
      <c r="G39" s="567"/>
      <c r="H39" s="683"/>
      <c r="I39" s="581"/>
      <c r="J39" s="581" t="s">
        <v>147</v>
      </c>
      <c r="K39" s="4"/>
    </row>
    <row r="40" spans="1:11" ht="9" customHeight="1">
      <c r="A40" s="435"/>
      <c r="B40" s="4"/>
      <c r="C40" s="4"/>
      <c r="D40" s="4"/>
      <c r="E40" s="560"/>
      <c r="F40" s="560"/>
      <c r="G40" s="4"/>
      <c r="H40" s="4"/>
      <c r="I40" s="564"/>
      <c r="J40" s="564"/>
      <c r="K40" s="4"/>
    </row>
    <row r="41" spans="2:11" ht="12.75">
      <c r="B41" s="583" t="s">
        <v>434</v>
      </c>
      <c r="C41" s="570"/>
      <c r="D41" s="570"/>
      <c r="E41" s="565"/>
      <c r="F41" s="560"/>
      <c r="G41" s="4"/>
      <c r="H41" s="4"/>
      <c r="I41" s="588"/>
      <c r="J41" s="589"/>
      <c r="K41" s="4"/>
    </row>
    <row r="42" spans="2:11" ht="12.75">
      <c r="B42" s="763" t="s">
        <v>324</v>
      </c>
      <c r="C42" s="570"/>
      <c r="D42" s="570"/>
      <c r="E42" s="565"/>
      <c r="F42" s="565"/>
      <c r="G42" s="570"/>
      <c r="H42" s="4"/>
      <c r="I42" s="588"/>
      <c r="J42" s="589"/>
      <c r="K42" s="4"/>
    </row>
    <row r="43" spans="2:11" ht="12.75">
      <c r="B43" s="570" t="s">
        <v>628</v>
      </c>
      <c r="C43" s="570"/>
      <c r="D43" s="570"/>
      <c r="E43" s="570"/>
      <c r="F43" s="570"/>
      <c r="G43" s="570"/>
      <c r="H43" s="4"/>
      <c r="I43" s="581"/>
      <c r="J43" s="581"/>
      <c r="K43" s="4"/>
    </row>
    <row r="44" spans="1:11" ht="12.75">
      <c r="A44" s="4">
        <v>417</v>
      </c>
      <c r="B44" s="583"/>
      <c r="C44" s="567" t="s">
        <v>524</v>
      </c>
      <c r="D44" s="567"/>
      <c r="E44" s="759">
        <f>BILAN!$F$26+BILAN!$F$29</f>
        <v>0</v>
      </c>
      <c r="F44" s="767" t="s">
        <v>444</v>
      </c>
      <c r="G44" s="762">
        <f>IF(E$81&gt;0,(BILAN!$F$26+BILAN!$F$29)/E$81,0)</f>
        <v>0</v>
      </c>
      <c r="H44" s="4"/>
      <c r="I44" s="581" t="s">
        <v>224</v>
      </c>
      <c r="J44" s="581"/>
      <c r="K44" s="4"/>
    </row>
    <row r="45" spans="1:11" ht="12.75">
      <c r="A45" s="4">
        <v>418</v>
      </c>
      <c r="B45" s="583"/>
      <c r="C45" s="569" t="s">
        <v>525</v>
      </c>
      <c r="D45" s="569"/>
      <c r="E45" s="74">
        <f>BILAN!$F$20+BILAN!$F$21+BILAN!$F$22</f>
        <v>0</v>
      </c>
      <c r="F45" s="767" t="s">
        <v>444</v>
      </c>
      <c r="G45" s="762">
        <f>IF(E$81&gt;0,(BILAN!$F$20+BILAN!$F$21+BILAN!$F$22)/E$81,0)</f>
        <v>0</v>
      </c>
      <c r="H45" s="4"/>
      <c r="I45" s="581" t="s">
        <v>225</v>
      </c>
      <c r="J45" s="581"/>
      <c r="K45" s="4"/>
    </row>
    <row r="46" spans="1:11" ht="12.75">
      <c r="A46" s="4">
        <v>419</v>
      </c>
      <c r="B46" s="583"/>
      <c r="C46" s="569" t="s">
        <v>526</v>
      </c>
      <c r="D46" s="569"/>
      <c r="E46" s="74">
        <f>BILAN!$F$24+BILAN!$F$23+BILAN!$F$25</f>
        <v>0</v>
      </c>
      <c r="F46" s="767" t="s">
        <v>444</v>
      </c>
      <c r="G46" s="762">
        <f>IF(E$81&gt;0,(BILAN!$F$24+BILAN!$F$23+BILAN!$F$25)/E$81,0)</f>
        <v>0</v>
      </c>
      <c r="H46" s="4"/>
      <c r="I46" s="581" t="s">
        <v>226</v>
      </c>
      <c r="J46" s="581"/>
      <c r="K46" s="4"/>
    </row>
    <row r="47" spans="1:11" ht="12.75">
      <c r="A47" s="4">
        <v>420</v>
      </c>
      <c r="B47" s="583"/>
      <c r="C47" s="569" t="s">
        <v>458</v>
      </c>
      <c r="D47" s="569"/>
      <c r="E47" s="74">
        <f>BILAN!$F$15+BILAN!$F$16+BILAN!$F$17+BILAN!$F$19</f>
        <v>0</v>
      </c>
      <c r="F47" s="767" t="s">
        <v>444</v>
      </c>
      <c r="G47" s="762">
        <f>IF(E$81&gt;0,(BILAN!$F$15+BILAN!$F$16+BILAN!$F$17+BILAN!$F$19)/E$81,0)</f>
        <v>0</v>
      </c>
      <c r="H47" s="4"/>
      <c r="I47" s="581" t="s">
        <v>227</v>
      </c>
      <c r="J47" s="581"/>
      <c r="K47" s="4"/>
    </row>
    <row r="48" spans="1:11" ht="12.75">
      <c r="A48" s="4">
        <v>421</v>
      </c>
      <c r="B48" s="570"/>
      <c r="C48" s="569" t="s">
        <v>527</v>
      </c>
      <c r="D48" s="569"/>
      <c r="E48" s="74">
        <f>BILAN!$F$28+BILAN!$F$27</f>
        <v>0</v>
      </c>
      <c r="F48" s="767" t="s">
        <v>444</v>
      </c>
      <c r="G48" s="762">
        <f>IF(E$81&gt;0,(BILAN!$F$28+BILAN!$F$27)/E$81,0)</f>
        <v>0</v>
      </c>
      <c r="H48" s="4"/>
      <c r="I48" s="581" t="s">
        <v>228</v>
      </c>
      <c r="J48" s="581"/>
      <c r="K48" s="4"/>
    </row>
    <row r="49" spans="1:11" ht="12.75">
      <c r="A49" s="4">
        <v>422</v>
      </c>
      <c r="B49" s="570"/>
      <c r="C49" s="569" t="s">
        <v>528</v>
      </c>
      <c r="D49" s="569"/>
      <c r="E49" s="74">
        <f>BILAN!$F$10+BILAN!$F$11+BILAN!$F$12+BILAN!$F$13+BILAN!$F$14</f>
        <v>0</v>
      </c>
      <c r="F49" s="767" t="s">
        <v>444</v>
      </c>
      <c r="G49" s="762">
        <f>IF(E$81&gt;0,(BILAN!$F$10+BILAN!$F$11+BILAN!$F$12+BILAN!$F$13+BILAN!$F$14)/E$81,0)</f>
        <v>0</v>
      </c>
      <c r="H49" s="4"/>
      <c r="I49" s="581" t="s">
        <v>229</v>
      </c>
      <c r="J49" s="581"/>
      <c r="K49" s="4"/>
    </row>
    <row r="50" spans="1:11" ht="12.75">
      <c r="A50" s="4">
        <v>423</v>
      </c>
      <c r="B50" s="570"/>
      <c r="C50" s="569" t="s">
        <v>529</v>
      </c>
      <c r="D50" s="569"/>
      <c r="E50" s="74">
        <f>BILAN!$F$8+BILAN!$F$9</f>
        <v>0</v>
      </c>
      <c r="F50" s="767" t="s">
        <v>444</v>
      </c>
      <c r="G50" s="762">
        <f>IF(E$81&gt;0,(BILAN!$F$8+BILAN!$F$9)/E$81,0)</f>
        <v>0</v>
      </c>
      <c r="H50" s="4"/>
      <c r="I50" s="581" t="s">
        <v>230</v>
      </c>
      <c r="J50" s="581"/>
      <c r="K50" s="4"/>
    </row>
    <row r="51" spans="1:11" ht="13.5" thickBot="1">
      <c r="A51" s="4">
        <v>424</v>
      </c>
      <c r="B51" s="570"/>
      <c r="C51" s="569" t="s">
        <v>866</v>
      </c>
      <c r="D51" s="569"/>
      <c r="E51" s="76">
        <f>BILAN!$F$18+BILAN!$F$30</f>
        <v>0</v>
      </c>
      <c r="F51" s="72">
        <f>SUM($E$44:$E$51)</f>
        <v>0</v>
      </c>
      <c r="G51" s="762">
        <f>IF(E$81&gt;0,(BILAN!$F$18+BILAN!$F$30)/E$81,0)</f>
        <v>0</v>
      </c>
      <c r="H51" s="4"/>
      <c r="I51" s="581" t="s">
        <v>231</v>
      </c>
      <c r="J51" s="581" t="s">
        <v>148</v>
      </c>
      <c r="K51" s="4"/>
    </row>
    <row r="52" spans="1:11" ht="9" customHeight="1">
      <c r="A52" s="435"/>
      <c r="B52" s="560"/>
      <c r="C52" s="766"/>
      <c r="D52" s="766"/>
      <c r="E52" s="565"/>
      <c r="F52" s="560"/>
      <c r="G52" s="4"/>
      <c r="H52" s="4"/>
      <c r="I52" s="589"/>
      <c r="J52" s="589"/>
      <c r="K52" s="4"/>
    </row>
    <row r="53" spans="1:11" ht="12.75">
      <c r="A53" s="570"/>
      <c r="B53" s="570" t="s">
        <v>629</v>
      </c>
      <c r="C53" s="570"/>
      <c r="D53" s="570"/>
      <c r="E53" s="560"/>
      <c r="F53" s="560"/>
      <c r="G53" s="4"/>
      <c r="H53" s="4"/>
      <c r="I53" s="589"/>
      <c r="J53" s="589"/>
      <c r="K53" s="4"/>
    </row>
    <row r="54" spans="2:11" ht="12.75">
      <c r="B54" s="567" t="s">
        <v>578</v>
      </c>
      <c r="C54" s="567"/>
      <c r="D54" s="570"/>
      <c r="E54" s="560"/>
      <c r="F54" s="560"/>
      <c r="G54" s="4"/>
      <c r="H54" s="4"/>
      <c r="I54" s="581"/>
      <c r="J54" s="581"/>
      <c r="K54" s="4"/>
    </row>
    <row r="55" spans="1:11" ht="12.75">
      <c r="A55" s="4">
        <v>425</v>
      </c>
      <c r="B55" s="570"/>
      <c r="C55" s="569" t="s">
        <v>630</v>
      </c>
      <c r="D55" s="569"/>
      <c r="E55" s="74">
        <f>BILAN!$F$59</f>
        <v>0</v>
      </c>
      <c r="F55" s="569"/>
      <c r="G55" s="569"/>
      <c r="H55" s="4"/>
      <c r="I55" s="581" t="s">
        <v>232</v>
      </c>
      <c r="J55" s="581"/>
      <c r="K55" s="4"/>
    </row>
    <row r="56" spans="1:11" ht="12.75">
      <c r="A56" s="4">
        <v>426</v>
      </c>
      <c r="B56" s="570"/>
      <c r="C56" s="569" t="s">
        <v>631</v>
      </c>
      <c r="D56" s="569"/>
      <c r="E56" s="74">
        <f>BILAN!$F$60+BILAN!$F$61+BILAN!$F$62+BILAN!$F$63+BILAN!$F$64+BILAN!$F$65</f>
        <v>0</v>
      </c>
      <c r="F56" s="569"/>
      <c r="G56" s="569"/>
      <c r="H56" s="4"/>
      <c r="I56" s="581" t="s">
        <v>233</v>
      </c>
      <c r="J56" s="581"/>
      <c r="K56" s="4"/>
    </row>
    <row r="57" spans="1:11" ht="12.75">
      <c r="A57" s="4">
        <v>427</v>
      </c>
      <c r="B57" s="570"/>
      <c r="C57" s="569" t="s">
        <v>632</v>
      </c>
      <c r="D57" s="569"/>
      <c r="E57" s="74">
        <f>BILAN!$F$66</f>
        <v>0</v>
      </c>
      <c r="F57" s="569"/>
      <c r="G57" s="569"/>
      <c r="H57" s="4"/>
      <c r="I57" s="581" t="s">
        <v>234</v>
      </c>
      <c r="J57" s="581"/>
      <c r="K57" s="4"/>
    </row>
    <row r="58" spans="1:11" ht="13.5" thickBot="1">
      <c r="A58" s="4">
        <v>428</v>
      </c>
      <c r="B58" s="570"/>
      <c r="C58" s="758" t="s">
        <v>577</v>
      </c>
      <c r="D58" s="569"/>
      <c r="E58" s="75">
        <f>BILAN!$F$68+BILAN!$F$69+BILAN!$F$72+BILAN!$F$74+BILAN!$F$75+BILAN!$F$76+BILAN!$F$77</f>
        <v>0</v>
      </c>
      <c r="F58" s="72">
        <f>SUM($E$55:$E$58)</f>
        <v>0</v>
      </c>
      <c r="G58" s="569"/>
      <c r="H58" s="4"/>
      <c r="I58" s="581" t="s">
        <v>235</v>
      </c>
      <c r="K58" s="4"/>
    </row>
    <row r="59" spans="2:11" ht="9" customHeight="1">
      <c r="B59" s="560"/>
      <c r="C59" s="766"/>
      <c r="D59" s="766"/>
      <c r="E59" s="565"/>
      <c r="F59" s="560"/>
      <c r="G59" s="4"/>
      <c r="H59" s="4"/>
      <c r="I59" s="564"/>
      <c r="J59" s="564"/>
      <c r="K59" s="4"/>
    </row>
    <row r="60" spans="2:11" ht="12.75">
      <c r="B60" s="583" t="s">
        <v>633</v>
      </c>
      <c r="C60" s="570"/>
      <c r="D60" s="570"/>
      <c r="E60" s="565"/>
      <c r="F60" s="560"/>
      <c r="G60" s="4"/>
      <c r="H60" s="4"/>
      <c r="I60" s="564"/>
      <c r="J60" s="564"/>
      <c r="K60" s="4"/>
    </row>
    <row r="61" spans="1:11" ht="12.75">
      <c r="A61" s="4">
        <v>429</v>
      </c>
      <c r="B61" s="567" t="s">
        <v>268</v>
      </c>
      <c r="C61" s="567"/>
      <c r="D61" s="567"/>
      <c r="E61" s="567"/>
      <c r="F61" s="72">
        <f>BILAN!$G$99+BILAN!$G$100</f>
        <v>0</v>
      </c>
      <c r="G61" s="567"/>
      <c r="H61" s="567"/>
      <c r="I61" s="572"/>
      <c r="J61" s="581" t="s">
        <v>363</v>
      </c>
      <c r="K61" s="4"/>
    </row>
    <row r="62" spans="1:11" ht="12.75">
      <c r="A62" s="4">
        <v>430</v>
      </c>
      <c r="B62" s="569" t="s">
        <v>515</v>
      </c>
      <c r="C62" s="569"/>
      <c r="D62" s="569"/>
      <c r="E62" s="557"/>
      <c r="F62" s="72">
        <f>F$37</f>
        <v>0</v>
      </c>
      <c r="G62" s="567"/>
      <c r="H62" s="567"/>
      <c r="I62" s="572"/>
      <c r="J62" s="572" t="str">
        <f>J$37</f>
        <v>=CR!Z38S6</v>
      </c>
      <c r="K62" s="4"/>
    </row>
    <row r="63" spans="1:11" ht="12.75">
      <c r="A63" s="4">
        <v>431</v>
      </c>
      <c r="B63" s="569" t="s">
        <v>756</v>
      </c>
      <c r="C63" s="569"/>
      <c r="D63" s="569"/>
      <c r="E63" s="571"/>
      <c r="F63" s="72">
        <f>'ANALYSE TECHNIQUE'!$F$189</f>
        <v>0</v>
      </c>
      <c r="G63" s="567"/>
      <c r="H63" s="567"/>
      <c r="I63" s="572"/>
      <c r="J63" s="581" t="s">
        <v>196</v>
      </c>
      <c r="K63" s="4"/>
    </row>
    <row r="64" spans="1:11" ht="12.75">
      <c r="A64" s="4">
        <v>432</v>
      </c>
      <c r="B64" s="569" t="s">
        <v>516</v>
      </c>
      <c r="C64" s="569"/>
      <c r="D64" s="569"/>
      <c r="E64" s="748">
        <f>'CR'!$F$41</f>
        <v>0</v>
      </c>
      <c r="F64" s="571"/>
      <c r="G64" s="567"/>
      <c r="H64" s="567"/>
      <c r="I64" s="572">
        <f>'CR'!$F$41</f>
        <v>0</v>
      </c>
      <c r="J64" s="572"/>
      <c r="K64" s="4"/>
    </row>
    <row r="65" spans="1:11" ht="13.5" thickBot="1">
      <c r="A65" s="4">
        <v>433</v>
      </c>
      <c r="B65" s="758" t="s">
        <v>450</v>
      </c>
      <c r="C65" s="758"/>
      <c r="D65" s="570"/>
      <c r="E65" s="75">
        <f>'CR'!$F$40</f>
        <v>0</v>
      </c>
      <c r="F65" s="79">
        <f>$E$64+$E$65</f>
        <v>0</v>
      </c>
      <c r="G65" s="567"/>
      <c r="H65" s="567"/>
      <c r="I65" s="572">
        <f>'CR'!$F$40</f>
        <v>0</v>
      </c>
      <c r="J65" s="581" t="s">
        <v>149</v>
      </c>
      <c r="K65" s="4"/>
    </row>
    <row r="66" spans="1:11" ht="13.5" thickBot="1">
      <c r="A66" s="4">
        <v>434</v>
      </c>
      <c r="B66" s="569" t="s">
        <v>517</v>
      </c>
      <c r="C66" s="569"/>
      <c r="D66" s="569"/>
      <c r="E66" s="569"/>
      <c r="F66" s="77">
        <f>F$61+F$62+$F$63-F$65</f>
        <v>0</v>
      </c>
      <c r="G66" s="585">
        <f>IF(ABS($F66-'ANALYSE TECHNIQUE'!$F$192)&lt;2,""," &lt;&gt; ANALYSE TECHNIQUE, pos. 243c ("&amp;TEXT('ANALYSE TECHNIQUE'!$F$192,"#'##0")&amp;") ?")</f>
      </c>
      <c r="H66" s="585"/>
      <c r="I66" s="572"/>
      <c r="J66" s="581" t="s">
        <v>150</v>
      </c>
      <c r="K66" s="4"/>
    </row>
    <row r="67" spans="2:11" ht="9" customHeight="1">
      <c r="B67" s="4"/>
      <c r="C67" s="4"/>
      <c r="D67" s="4"/>
      <c r="E67" s="560"/>
      <c r="F67" s="560"/>
      <c r="G67" s="4"/>
      <c r="H67" s="4"/>
      <c r="I67" s="564"/>
      <c r="J67" s="564"/>
      <c r="K67" s="4"/>
    </row>
    <row r="68" spans="2:11" ht="12.75">
      <c r="B68" s="583" t="s">
        <v>634</v>
      </c>
      <c r="C68" s="570"/>
      <c r="D68" s="570"/>
      <c r="E68" s="565"/>
      <c r="F68" s="560"/>
      <c r="G68" s="4"/>
      <c r="H68" s="4"/>
      <c r="I68" s="564"/>
      <c r="J68" s="564"/>
      <c r="K68" s="4"/>
    </row>
    <row r="69" spans="1:11" ht="12.75">
      <c r="A69" s="4">
        <v>435</v>
      </c>
      <c r="B69" s="567" t="s">
        <v>268</v>
      </c>
      <c r="C69" s="567"/>
      <c r="D69" s="567"/>
      <c r="E69" s="579"/>
      <c r="F69" s="584">
        <f>'ANALYSE TECHNIQUE'!$F$207</f>
        <v>0</v>
      </c>
      <c r="G69" s="567"/>
      <c r="H69" s="567"/>
      <c r="I69" s="572"/>
      <c r="J69" s="580" t="s">
        <v>361</v>
      </c>
      <c r="K69" s="4"/>
    </row>
    <row r="70" spans="1:11" ht="12.75">
      <c r="A70" s="4">
        <v>436</v>
      </c>
      <c r="B70" s="569" t="s">
        <v>518</v>
      </c>
      <c r="C70" s="569"/>
      <c r="D70" s="569"/>
      <c r="E70" s="74">
        <f>'ANALYSE TECHNIQUE'!$F$210</f>
        <v>0</v>
      </c>
      <c r="F70" s="566"/>
      <c r="G70" s="567"/>
      <c r="H70" s="567"/>
      <c r="I70" s="581" t="s">
        <v>542</v>
      </c>
      <c r="J70" s="581"/>
      <c r="K70" s="4"/>
    </row>
    <row r="71" spans="1:11" ht="13.5" thickBot="1">
      <c r="A71" s="4">
        <v>437</v>
      </c>
      <c r="B71" s="758" t="s">
        <v>451</v>
      </c>
      <c r="C71" s="758"/>
      <c r="D71" s="569"/>
      <c r="E71" s="75">
        <f>'ANALYSE TECHNIQUE'!$F$211</f>
        <v>0</v>
      </c>
      <c r="F71" s="584">
        <f>E70+E71</f>
        <v>0</v>
      </c>
      <c r="G71" s="567"/>
      <c r="H71" s="567"/>
      <c r="I71" s="581" t="s">
        <v>364</v>
      </c>
      <c r="J71" s="581" t="s">
        <v>151</v>
      </c>
      <c r="K71" s="4"/>
    </row>
    <row r="72" spans="1:11" ht="12.75">
      <c r="A72" s="4">
        <v>438</v>
      </c>
      <c r="B72" s="672" t="s">
        <v>519</v>
      </c>
      <c r="C72" s="569"/>
      <c r="D72" s="569"/>
      <c r="E72" s="74">
        <f>'ANALYSE TECHNIQUE'!$F$213</f>
        <v>0</v>
      </c>
      <c r="F72" s="566"/>
      <c r="G72" s="567"/>
      <c r="H72" s="567"/>
      <c r="I72" s="581" t="s">
        <v>197</v>
      </c>
      <c r="J72" s="591"/>
      <c r="K72" s="4"/>
    </row>
    <row r="73" spans="1:11" ht="13.5" thickBot="1">
      <c r="A73" s="4">
        <v>439</v>
      </c>
      <c r="B73" s="758" t="s">
        <v>452</v>
      </c>
      <c r="C73" s="758"/>
      <c r="D73" s="570"/>
      <c r="E73" s="75">
        <f>'ANALYSE TECHNIQUE'!$F$214</f>
        <v>0</v>
      </c>
      <c r="F73" s="79">
        <f>E72+E73</f>
        <v>0</v>
      </c>
      <c r="G73" s="567"/>
      <c r="H73" s="567"/>
      <c r="I73" s="581" t="s">
        <v>365</v>
      </c>
      <c r="J73" s="581" t="s">
        <v>152</v>
      </c>
      <c r="K73" s="4"/>
    </row>
    <row r="74" spans="1:11" ht="13.5" thickBot="1">
      <c r="A74" s="4">
        <v>440</v>
      </c>
      <c r="B74" s="569" t="s">
        <v>520</v>
      </c>
      <c r="C74" s="569"/>
      <c r="D74" s="569"/>
      <c r="E74" s="569"/>
      <c r="F74" s="77">
        <f>F$69+F$71-F$73</f>
        <v>0</v>
      </c>
      <c r="G74" s="585">
        <f>IF(ABS($F74-'ANALYSE TECHNIQUE'!$F$216)&lt;2,""," &lt;&gt; ANALYSE TECHNIQUE, Pos. 256c ("&amp;TEXT('ANALYSE TECHNIQUE'!$F$216,"#'##0")&amp;") ?")</f>
      </c>
      <c r="H74" s="585"/>
      <c r="I74" s="572"/>
      <c r="J74" s="581" t="s">
        <v>153</v>
      </c>
      <c r="K74" s="4"/>
    </row>
    <row r="75" spans="2:11" ht="9" customHeight="1">
      <c r="B75" s="4"/>
      <c r="C75" s="4"/>
      <c r="D75" s="4"/>
      <c r="E75" s="560"/>
      <c r="F75" s="560"/>
      <c r="G75" s="4"/>
      <c r="H75" s="4"/>
      <c r="I75" s="564"/>
      <c r="J75" s="564"/>
      <c r="K75" s="4"/>
    </row>
    <row r="76" spans="2:11" ht="12.75">
      <c r="B76" s="5" t="s">
        <v>635</v>
      </c>
      <c r="C76" s="570"/>
      <c r="D76" s="570"/>
      <c r="E76" s="565"/>
      <c r="F76" s="560"/>
      <c r="G76" s="4"/>
      <c r="H76" s="4"/>
      <c r="I76" s="564"/>
      <c r="J76" s="564"/>
      <c r="K76" s="4"/>
    </row>
    <row r="77" spans="1:11" ht="13.5" thickBot="1">
      <c r="A77" s="4">
        <v>441</v>
      </c>
      <c r="B77" s="566" t="s">
        <v>261</v>
      </c>
      <c r="C77" s="567" t="s">
        <v>445</v>
      </c>
      <c r="D77" s="567"/>
      <c r="E77" s="79">
        <f>$E$17-$E$18</f>
        <v>0</v>
      </c>
      <c r="F77" s="79">
        <f>$F$19</f>
        <v>0</v>
      </c>
      <c r="G77" s="567"/>
      <c r="H77" s="567"/>
      <c r="I77" s="580" t="s">
        <v>154</v>
      </c>
      <c r="J77" s="581" t="s">
        <v>155</v>
      </c>
      <c r="K77" s="4"/>
    </row>
    <row r="78" spans="2:11" ht="9" customHeight="1">
      <c r="B78" s="560"/>
      <c r="C78" s="4"/>
      <c r="D78" s="4"/>
      <c r="E78" s="560"/>
      <c r="F78" s="560"/>
      <c r="G78" s="4"/>
      <c r="H78" s="4"/>
      <c r="I78" s="564"/>
      <c r="J78" s="564"/>
      <c r="K78" s="4"/>
    </row>
    <row r="79" spans="2:11" ht="12.75">
      <c r="B79" s="566" t="s">
        <v>262</v>
      </c>
      <c r="C79" s="570" t="s">
        <v>57</v>
      </c>
      <c r="D79" s="570"/>
      <c r="E79" s="562" t="s">
        <v>521</v>
      </c>
      <c r="F79" s="562" t="s">
        <v>462</v>
      </c>
      <c r="G79" s="4"/>
      <c r="H79" s="4"/>
      <c r="I79" s="564"/>
      <c r="J79" s="564"/>
      <c r="K79" s="4"/>
    </row>
    <row r="80" spans="1:11" ht="12.75">
      <c r="A80" s="4">
        <v>442</v>
      </c>
      <c r="B80" s="566"/>
      <c r="C80" s="567" t="s">
        <v>522</v>
      </c>
      <c r="D80" s="567"/>
      <c r="E80" s="584">
        <f>BILAN!$G$37</f>
        <v>0</v>
      </c>
      <c r="F80" s="584">
        <f>'RESERVES D''EVAL'!$I$24</f>
        <v>0</v>
      </c>
      <c r="G80" s="567"/>
      <c r="H80" s="567"/>
      <c r="I80" s="581" t="s">
        <v>552</v>
      </c>
      <c r="J80" s="581" t="s">
        <v>190</v>
      </c>
      <c r="K80" s="4"/>
    </row>
    <row r="81" spans="1:11" ht="12.75">
      <c r="A81" s="4">
        <v>443</v>
      </c>
      <c r="B81" s="566"/>
      <c r="C81" s="568" t="s">
        <v>523</v>
      </c>
      <c r="D81" s="568"/>
      <c r="E81" s="780">
        <f>BILAN!$F$37</f>
        <v>0</v>
      </c>
      <c r="F81" s="584">
        <f>'RESERVES D''EVAL'!$E$24</f>
        <v>0</v>
      </c>
      <c r="G81" s="567"/>
      <c r="H81" s="567"/>
      <c r="I81" s="581" t="s">
        <v>553</v>
      </c>
      <c r="J81" s="581" t="s">
        <v>191</v>
      </c>
      <c r="K81" s="4"/>
    </row>
    <row r="82" spans="2:11" ht="9" customHeight="1">
      <c r="B82" s="560"/>
      <c r="C82" s="766"/>
      <c r="D82" s="766"/>
      <c r="E82" s="565"/>
      <c r="F82" s="560"/>
      <c r="G82" s="4"/>
      <c r="H82" s="4"/>
      <c r="I82" s="589"/>
      <c r="J82" s="589"/>
      <c r="K82" s="4"/>
    </row>
    <row r="83" spans="2:11" ht="12.75">
      <c r="B83" s="566" t="s">
        <v>554</v>
      </c>
      <c r="C83" s="567" t="s">
        <v>58</v>
      </c>
      <c r="D83" s="567"/>
      <c r="E83" s="567"/>
      <c r="F83" s="567"/>
      <c r="G83" s="567"/>
      <c r="H83" s="570"/>
      <c r="I83" s="589"/>
      <c r="J83" s="589"/>
      <c r="K83" s="4"/>
    </row>
    <row r="84" spans="1:11" ht="12.75">
      <c r="A84" s="560">
        <v>444</v>
      </c>
      <c r="B84" s="566"/>
      <c r="C84" s="569" t="s">
        <v>59</v>
      </c>
      <c r="D84" s="569"/>
      <c r="E84" s="569"/>
      <c r="F84" s="584">
        <f>(F80-E80)</f>
        <v>0</v>
      </c>
      <c r="G84" s="567"/>
      <c r="H84" s="570"/>
      <c r="I84" s="569"/>
      <c r="J84" s="779" t="s">
        <v>156</v>
      </c>
      <c r="K84" s="4"/>
    </row>
    <row r="85" spans="1:11" ht="12.75">
      <c r="A85" s="560">
        <v>445</v>
      </c>
      <c r="B85" s="566"/>
      <c r="C85" s="569" t="s">
        <v>60</v>
      </c>
      <c r="D85" s="569"/>
      <c r="E85" s="569"/>
      <c r="F85" s="584">
        <f>(F81-E81)</f>
        <v>0</v>
      </c>
      <c r="G85" s="567"/>
      <c r="H85" s="570"/>
      <c r="I85" s="569"/>
      <c r="J85" s="779" t="s">
        <v>157</v>
      </c>
      <c r="K85" s="4"/>
    </row>
    <row r="86" spans="1:11" ht="13.5" thickBot="1">
      <c r="A86" s="560">
        <v>446</v>
      </c>
      <c r="B86" s="566"/>
      <c r="C86" s="758" t="s">
        <v>61</v>
      </c>
      <c r="D86" s="569"/>
      <c r="E86" s="569"/>
      <c r="F86" s="79">
        <f>F84-F85</f>
        <v>0</v>
      </c>
      <c r="G86" s="567"/>
      <c r="H86" s="570"/>
      <c r="I86" s="569"/>
      <c r="J86" s="779" t="s">
        <v>158</v>
      </c>
      <c r="K86" s="4"/>
    </row>
    <row r="87" spans="2:11" ht="9" customHeight="1">
      <c r="B87" s="560"/>
      <c r="C87" s="570"/>
      <c r="D87" s="570"/>
      <c r="E87" s="565"/>
      <c r="F87" s="560"/>
      <c r="G87" s="4"/>
      <c r="H87" s="4"/>
      <c r="I87" s="564"/>
      <c r="J87" s="564"/>
      <c r="K87" s="4"/>
    </row>
    <row r="88" spans="1:11" ht="12.75">
      <c r="A88" s="4">
        <v>447</v>
      </c>
      <c r="B88" s="566" t="s">
        <v>555</v>
      </c>
      <c r="C88" s="567" t="s">
        <v>446</v>
      </c>
      <c r="D88" s="567"/>
      <c r="E88" s="762">
        <f>IF($E$80+$E$81&gt;0,E$77/(($E$80+$E$81)/2),0)</f>
        <v>0</v>
      </c>
      <c r="F88" s="762">
        <f>IF($E$80+$E$81&gt;0,F$77/(($E$80+$E$81)/2),0)</f>
        <v>0</v>
      </c>
      <c r="G88" s="567"/>
      <c r="H88" s="567"/>
      <c r="I88" s="581" t="s">
        <v>159</v>
      </c>
      <c r="J88" s="581" t="s">
        <v>159</v>
      </c>
      <c r="K88" s="4"/>
    </row>
    <row r="89" spans="1:11" ht="12.75">
      <c r="A89" s="4">
        <v>448</v>
      </c>
      <c r="B89" s="566" t="s">
        <v>556</v>
      </c>
      <c r="C89" s="569" t="s">
        <v>447</v>
      </c>
      <c r="D89" s="569"/>
      <c r="E89" s="765">
        <f>IF($F$80+$F$81&gt;0,(E$77+($F$81-$E$81)-($F$80-$E$80))/(($F$80+$F$81)/2),0)</f>
        <v>0</v>
      </c>
      <c r="F89" s="765">
        <f>IF($F$80+$F$81&gt;0,(F$77+($F$81-$E$81)-($F$80-$E$80))/(($F$80+$F$81)/2),0)</f>
        <v>0</v>
      </c>
      <c r="G89" s="567"/>
      <c r="H89" s="567"/>
      <c r="I89" s="581" t="s">
        <v>160</v>
      </c>
      <c r="J89" s="581" t="s">
        <v>160</v>
      </c>
      <c r="K89" s="4"/>
    </row>
    <row r="90" spans="2:11" ht="9" customHeight="1">
      <c r="B90" s="560"/>
      <c r="C90" s="766"/>
      <c r="D90" s="766"/>
      <c r="E90" s="565"/>
      <c r="F90" s="560"/>
      <c r="G90" s="4"/>
      <c r="H90" s="4"/>
      <c r="I90" s="564"/>
      <c r="J90" s="564"/>
      <c r="K90" s="4"/>
    </row>
    <row r="91" spans="2:11" ht="12.75">
      <c r="B91" s="566" t="s">
        <v>557</v>
      </c>
      <c r="C91" s="567" t="s">
        <v>288</v>
      </c>
      <c r="D91" s="567"/>
      <c r="E91" s="567"/>
      <c r="F91" s="771"/>
      <c r="G91" s="567"/>
      <c r="H91" s="567"/>
      <c r="I91" s="572"/>
      <c r="J91" s="581"/>
      <c r="K91" s="4"/>
    </row>
    <row r="92" spans="1:11" ht="12.75">
      <c r="A92" s="4">
        <v>449</v>
      </c>
      <c r="B92" s="566"/>
      <c r="C92" s="569" t="s">
        <v>286</v>
      </c>
      <c r="D92" s="569"/>
      <c r="E92" s="569"/>
      <c r="F92" s="762">
        <f>'STRUCTURE DU PORTEFEUILLE'!$C$72</f>
        <v>0</v>
      </c>
      <c r="G92" s="567"/>
      <c r="H92" s="567"/>
      <c r="I92" s="572"/>
      <c r="J92" s="581" t="s">
        <v>161</v>
      </c>
      <c r="K92" s="4"/>
    </row>
    <row r="93" spans="1:11" ht="12.75">
      <c r="A93" s="4">
        <v>450</v>
      </c>
      <c r="B93" s="566"/>
      <c r="C93" s="569" t="s">
        <v>287</v>
      </c>
      <c r="D93" s="569"/>
      <c r="E93" s="569"/>
      <c r="F93" s="762">
        <f>'STRUCTURE DU PORTEFEUILLE'!$C$78</f>
        <v>0</v>
      </c>
      <c r="G93" s="567"/>
      <c r="H93" s="567"/>
      <c r="I93" s="572"/>
      <c r="J93" s="581" t="s">
        <v>162</v>
      </c>
      <c r="K93" s="4"/>
    </row>
    <row r="94" spans="2:11" ht="9" customHeight="1">
      <c r="B94" s="560"/>
      <c r="C94" s="766"/>
      <c r="D94" s="766"/>
      <c r="E94" s="565"/>
      <c r="F94" s="560"/>
      <c r="G94" s="4"/>
      <c r="H94" s="4"/>
      <c r="I94" s="564"/>
      <c r="J94" s="564"/>
      <c r="K94" s="4"/>
    </row>
    <row r="95" spans="2:11" ht="12.75">
      <c r="B95" s="566" t="s">
        <v>558</v>
      </c>
      <c r="C95" s="567" t="s">
        <v>530</v>
      </c>
      <c r="D95" s="567"/>
      <c r="E95" s="567"/>
      <c r="F95" s="760"/>
      <c r="G95" s="567"/>
      <c r="H95" s="567"/>
      <c r="I95" s="572"/>
      <c r="J95" s="581"/>
      <c r="K95" s="4"/>
    </row>
    <row r="96" spans="1:11" ht="12.75">
      <c r="A96" s="4">
        <v>451</v>
      </c>
      <c r="B96" s="566"/>
      <c r="C96" s="758" t="s">
        <v>441</v>
      </c>
      <c r="D96" s="569"/>
      <c r="E96" s="569"/>
      <c r="F96" s="80">
        <f>'STRUCTURE DU PORTEFEUILLE'!$C$48+'STRUCTURE DU PORTEFEUILLE'!$C$51</f>
        <v>0</v>
      </c>
      <c r="G96" s="567"/>
      <c r="H96" s="567"/>
      <c r="I96" s="572"/>
      <c r="J96" s="581" t="s">
        <v>163</v>
      </c>
      <c r="K96" s="4"/>
    </row>
    <row r="97" spans="1:11" ht="12.75">
      <c r="A97" s="4">
        <v>452</v>
      </c>
      <c r="B97" s="566"/>
      <c r="C97" s="758" t="s">
        <v>440</v>
      </c>
      <c r="D97" s="569"/>
      <c r="E97" s="569"/>
      <c r="F97" s="80">
        <f>'STRUCTURE DU PORTEFEUILLE'!$C$99+'STRUCTURE DU PORTEFEUILLE'!$C$101+'STRUCTURE DU PORTEFEUILLE'!$C$103+'STRUCTURE DU PORTEFEUILLE'!$C$105+'STRUCTURE DU PORTEFEUILLE'!$C$107+'STRUCTURE DU PORTEFEUILLE'!$C$109+'STRUCTURE DU PORTEFEUILLE'!$C$111+'STRUCTURE DU PORTEFEUILLE'!$C$113+'STRUCTURE DU PORTEFEUILLE'!$C$115</f>
        <v>0</v>
      </c>
      <c r="G97" s="567"/>
      <c r="H97" s="567"/>
      <c r="I97" s="572"/>
      <c r="J97" s="581" t="s">
        <v>164</v>
      </c>
      <c r="K97" s="4"/>
    </row>
    <row r="98" spans="1:11" ht="13.5" thickBot="1">
      <c r="A98" s="4">
        <v>453</v>
      </c>
      <c r="B98" s="566"/>
      <c r="C98" s="569" t="s">
        <v>632</v>
      </c>
      <c r="D98" s="569"/>
      <c r="E98" s="569"/>
      <c r="F98" s="768">
        <f>'STRUCTURE DU PORTEFEUILLE'!$D$17</f>
        <v>0</v>
      </c>
      <c r="G98" s="567"/>
      <c r="H98" s="567"/>
      <c r="I98" s="572"/>
      <c r="J98" s="581" t="s">
        <v>165</v>
      </c>
      <c r="K98" s="4"/>
    </row>
    <row r="99" spans="1:11" ht="13.5" thickBot="1">
      <c r="A99" s="4">
        <v>454</v>
      </c>
      <c r="B99" s="566"/>
      <c r="C99" s="569" t="s">
        <v>439</v>
      </c>
      <c r="D99" s="569"/>
      <c r="E99" s="569"/>
      <c r="F99" s="772">
        <f>SUM($F$96:$F$98)</f>
        <v>0</v>
      </c>
      <c r="G99" s="567"/>
      <c r="H99" s="567"/>
      <c r="I99" s="572"/>
      <c r="J99" s="581" t="s">
        <v>166</v>
      </c>
      <c r="K99" s="4"/>
    </row>
    <row r="100" spans="2:11" ht="9" customHeight="1">
      <c r="B100" s="560"/>
      <c r="C100" s="766"/>
      <c r="D100" s="766"/>
      <c r="E100" s="565"/>
      <c r="F100" s="560"/>
      <c r="G100" s="4"/>
      <c r="H100" s="4"/>
      <c r="I100" s="564"/>
      <c r="J100" s="564"/>
      <c r="K100" s="4"/>
    </row>
    <row r="101" spans="2:11" ht="12.75">
      <c r="B101" s="566" t="s">
        <v>289</v>
      </c>
      <c r="C101" s="570" t="s">
        <v>531</v>
      </c>
      <c r="D101" s="570"/>
      <c r="E101" s="570"/>
      <c r="F101" s="560"/>
      <c r="G101" s="4"/>
      <c r="H101" s="4"/>
      <c r="I101" s="589"/>
      <c r="J101" s="589"/>
      <c r="K101" s="4"/>
    </row>
    <row r="102" spans="1:11" ht="12.75">
      <c r="A102" s="4">
        <v>455</v>
      </c>
      <c r="B102" s="566"/>
      <c r="C102" s="567" t="s">
        <v>750</v>
      </c>
      <c r="D102" s="567"/>
      <c r="E102" s="567"/>
      <c r="F102" s="584">
        <f>$E$19</f>
        <v>0</v>
      </c>
      <c r="G102" s="567"/>
      <c r="H102" s="567"/>
      <c r="I102" s="581"/>
      <c r="J102" s="581" t="s">
        <v>167</v>
      </c>
      <c r="K102" s="4"/>
    </row>
    <row r="103" spans="1:11" ht="12.75">
      <c r="A103" s="4">
        <v>456</v>
      </c>
      <c r="B103" s="566"/>
      <c r="C103" s="682" t="s">
        <v>453</v>
      </c>
      <c r="D103" s="567"/>
      <c r="E103" s="569"/>
      <c r="F103" s="762">
        <f>IF(F102&gt;0,F102/((F80+F81)/2),0)</f>
        <v>0</v>
      </c>
      <c r="G103" s="567"/>
      <c r="H103" s="567"/>
      <c r="I103" s="581"/>
      <c r="J103" s="581" t="s">
        <v>168</v>
      </c>
      <c r="K103" s="4"/>
    </row>
    <row r="104" spans="1:11" ht="12.75">
      <c r="A104" s="4">
        <v>457</v>
      </c>
      <c r="B104" s="566"/>
      <c r="C104" s="567" t="s">
        <v>512</v>
      </c>
      <c r="D104" s="569"/>
      <c r="E104" s="74">
        <f>'CR'!$F$18+'CR'!$F$29+'CR'!$F$31</f>
        <v>0</v>
      </c>
      <c r="F104" s="567"/>
      <c r="G104" s="567"/>
      <c r="H104" s="567"/>
      <c r="I104" s="581" t="s">
        <v>192</v>
      </c>
      <c r="J104" s="581"/>
      <c r="K104" s="4"/>
    </row>
    <row r="105" spans="1:11" ht="13.5" thickBot="1">
      <c r="A105" s="4">
        <v>458</v>
      </c>
      <c r="B105" s="566"/>
      <c r="C105" s="758" t="s">
        <v>0</v>
      </c>
      <c r="D105" s="569"/>
      <c r="E105" s="773">
        <f>'CR'!$F$32</f>
        <v>0</v>
      </c>
      <c r="F105" s="749">
        <f>$E$104-$E$105</f>
        <v>0</v>
      </c>
      <c r="G105" s="567"/>
      <c r="H105" s="567"/>
      <c r="I105" s="581" t="s">
        <v>193</v>
      </c>
      <c r="J105" s="581" t="s">
        <v>169</v>
      </c>
      <c r="K105" s="4"/>
    </row>
    <row r="106" spans="1:11" ht="12.75">
      <c r="A106" s="4">
        <v>459</v>
      </c>
      <c r="B106" s="557"/>
      <c r="C106" s="569" t="s">
        <v>340</v>
      </c>
      <c r="D106" s="569"/>
      <c r="E106" s="567"/>
      <c r="F106" s="78">
        <f>IF(F$99&gt;0,(1000*F105)/F$99,0)</f>
        <v>0</v>
      </c>
      <c r="G106" s="567"/>
      <c r="H106" s="567"/>
      <c r="I106" s="581"/>
      <c r="J106" s="581" t="s">
        <v>170</v>
      </c>
      <c r="K106" s="4"/>
    </row>
    <row r="107" spans="1:11" ht="12.75">
      <c r="A107" s="4">
        <v>460</v>
      </c>
      <c r="B107" s="557"/>
      <c r="C107" s="758" t="s">
        <v>464</v>
      </c>
      <c r="D107" s="569"/>
      <c r="E107" s="569"/>
      <c r="F107" s="78">
        <f>IF(F99&gt;0,$E$15*1000/$F$99,0)</f>
        <v>0</v>
      </c>
      <c r="G107" s="567"/>
      <c r="H107" s="567"/>
      <c r="I107" s="581"/>
      <c r="J107" s="581" t="s">
        <v>171</v>
      </c>
      <c r="K107" s="4"/>
    </row>
    <row r="108" spans="2:11" ht="9" customHeight="1">
      <c r="B108" s="4"/>
      <c r="C108" s="4"/>
      <c r="D108" s="4"/>
      <c r="E108" s="4"/>
      <c r="F108" s="560"/>
      <c r="G108" s="4"/>
      <c r="H108" s="4"/>
      <c r="I108" s="564"/>
      <c r="J108" s="564"/>
      <c r="K108" s="4"/>
    </row>
    <row r="109" spans="2:11" ht="12.75">
      <c r="B109" s="5" t="s">
        <v>636</v>
      </c>
      <c r="C109" s="4"/>
      <c r="D109" s="558"/>
      <c r="E109" s="560"/>
      <c r="G109" s="4"/>
      <c r="H109" s="4"/>
      <c r="I109" s="564"/>
      <c r="J109" s="564"/>
      <c r="K109" s="4"/>
    </row>
    <row r="110" spans="2:11" ht="12.75">
      <c r="B110" s="570" t="s">
        <v>536</v>
      </c>
      <c r="C110" s="570"/>
      <c r="D110" s="558" t="s">
        <v>787</v>
      </c>
      <c r="E110" s="560"/>
      <c r="F110" s="558" t="s">
        <v>788</v>
      </c>
      <c r="G110" s="570"/>
      <c r="H110" s="570"/>
      <c r="I110" s="589"/>
      <c r="J110" s="589"/>
      <c r="K110" s="4"/>
    </row>
    <row r="111" spans="1:11" ht="12.75">
      <c r="A111" s="4">
        <v>461</v>
      </c>
      <c r="B111" s="570"/>
      <c r="C111" s="567" t="s">
        <v>706</v>
      </c>
      <c r="D111" s="74">
        <f>'ANALYSE TECHNIQUE'!$I$81</f>
        <v>0</v>
      </c>
      <c r="E111" s="569"/>
      <c r="F111" s="74">
        <f>'ANALYSE TECHNIQUE'!$L$81</f>
        <v>0</v>
      </c>
      <c r="G111" s="569"/>
      <c r="H111" s="581"/>
      <c r="I111" s="581" t="s">
        <v>543</v>
      </c>
      <c r="J111" s="581"/>
      <c r="K111" s="4"/>
    </row>
    <row r="112" spans="1:11" ht="12.75">
      <c r="A112" s="4">
        <v>462</v>
      </c>
      <c r="B112" s="570"/>
      <c r="C112" s="569" t="s">
        <v>707</v>
      </c>
      <c r="D112" s="74">
        <f>'ANALYSE TECHNIQUE'!$I$86</f>
        <v>0</v>
      </c>
      <c r="E112" s="569"/>
      <c r="F112" s="74">
        <f>'ANALYSE TECHNIQUE'!$L$86</f>
        <v>0</v>
      </c>
      <c r="G112" s="569"/>
      <c r="H112" s="581"/>
      <c r="I112" s="581" t="s">
        <v>544</v>
      </c>
      <c r="J112" s="581"/>
      <c r="K112" s="4"/>
    </row>
    <row r="113" spans="1:11" ht="12.75">
      <c r="A113" s="4">
        <v>463</v>
      </c>
      <c r="B113" s="570"/>
      <c r="C113" s="569" t="s">
        <v>708</v>
      </c>
      <c r="D113" s="74">
        <f>'ANALYSE TECHNIQUE'!$I$91</f>
        <v>0</v>
      </c>
      <c r="E113" s="590">
        <f>D111+D112+D113</f>
        <v>0</v>
      </c>
      <c r="F113" s="74">
        <f>'ANALYSE TECHNIQUE'!$L$91</f>
        <v>0</v>
      </c>
      <c r="G113" s="590">
        <f>F111+F112+F113</f>
        <v>0</v>
      </c>
      <c r="H113" s="581"/>
      <c r="I113" s="581" t="s">
        <v>198</v>
      </c>
      <c r="J113" s="580" t="s">
        <v>172</v>
      </c>
      <c r="K113" s="4"/>
    </row>
    <row r="114" spans="2:11" ht="12.75">
      <c r="B114" s="570" t="s">
        <v>535</v>
      </c>
      <c r="C114" s="568"/>
      <c r="D114" s="568"/>
      <c r="E114" s="588"/>
      <c r="G114" s="570"/>
      <c r="H114" s="582"/>
      <c r="I114" s="582"/>
      <c r="J114" s="591"/>
      <c r="K114" s="4"/>
    </row>
    <row r="115" spans="1:11" ht="12.75">
      <c r="A115" s="4">
        <v>464</v>
      </c>
      <c r="B115" s="570"/>
      <c r="C115" s="567" t="s">
        <v>532</v>
      </c>
      <c r="D115" s="74">
        <f>'ANALYSE TECHNIQUE'!$I$83</f>
        <v>0</v>
      </c>
      <c r="E115" s="569"/>
      <c r="F115" s="74">
        <f>'ANALYSE TECHNIQUE'!$L$83</f>
        <v>0</v>
      </c>
      <c r="G115" s="569"/>
      <c r="H115" s="581"/>
      <c r="I115" s="581" t="s">
        <v>199</v>
      </c>
      <c r="J115" s="581"/>
      <c r="K115" s="4"/>
    </row>
    <row r="116" spans="1:11" ht="12.75">
      <c r="A116" s="4">
        <v>465</v>
      </c>
      <c r="B116" s="570"/>
      <c r="C116" s="569" t="s">
        <v>533</v>
      </c>
      <c r="D116" s="74">
        <f>'ANALYSE TECHNIQUE'!$I$88</f>
        <v>0</v>
      </c>
      <c r="E116" s="569"/>
      <c r="F116" s="74">
        <f>'ANALYSE TECHNIQUE'!$L$88</f>
        <v>0</v>
      </c>
      <c r="G116" s="569"/>
      <c r="H116" s="581"/>
      <c r="I116" s="581" t="s">
        <v>200</v>
      </c>
      <c r="J116" s="581"/>
      <c r="K116" s="4"/>
    </row>
    <row r="117" spans="1:11" ht="13.5" thickBot="1">
      <c r="A117" s="4">
        <v>466</v>
      </c>
      <c r="B117" s="570"/>
      <c r="C117" s="569" t="s">
        <v>534</v>
      </c>
      <c r="D117" s="74">
        <f>'ANALYSE TECHNIQUE'!$I$100</f>
        <v>0</v>
      </c>
      <c r="E117" s="749">
        <f>D115+D116+D117</f>
        <v>0</v>
      </c>
      <c r="F117" s="74">
        <f>'ANALYSE TECHNIQUE'!$L$100</f>
        <v>0</v>
      </c>
      <c r="G117" s="749">
        <f>F115+F116+F117</f>
        <v>0</v>
      </c>
      <c r="H117" s="581"/>
      <c r="I117" s="581" t="s">
        <v>201</v>
      </c>
      <c r="J117" s="581" t="s">
        <v>173</v>
      </c>
      <c r="K117" s="4"/>
    </row>
    <row r="118" spans="1:11" ht="14.25">
      <c r="A118" s="4">
        <v>467</v>
      </c>
      <c r="B118" s="569" t="s">
        <v>71</v>
      </c>
      <c r="C118" s="569"/>
      <c r="D118" s="569"/>
      <c r="E118" s="747">
        <f>E$113-E$117</f>
        <v>0</v>
      </c>
      <c r="F118" s="569"/>
      <c r="G118" s="747">
        <f>G$113-G$117</f>
        <v>0</v>
      </c>
      <c r="H118" s="581"/>
      <c r="I118" s="581" t="s">
        <v>174</v>
      </c>
      <c r="J118" s="581" t="s">
        <v>174</v>
      </c>
      <c r="K118" s="4"/>
    </row>
    <row r="119" spans="2:11" ht="12.75">
      <c r="B119" s="682" t="s">
        <v>10</v>
      </c>
      <c r="C119" s="758"/>
      <c r="D119" s="569"/>
      <c r="F119" s="569"/>
      <c r="H119" s="581"/>
      <c r="I119" s="581"/>
      <c r="J119" s="581"/>
      <c r="K119" s="4"/>
    </row>
    <row r="120" spans="1:11" ht="12.75">
      <c r="A120" s="4">
        <v>468</v>
      </c>
      <c r="B120" s="570"/>
      <c r="C120" s="758" t="s">
        <v>2</v>
      </c>
      <c r="D120" s="74">
        <f>'ANALYSE TECHNIQUE'!$I106</f>
        <v>0</v>
      </c>
      <c r="F120" s="74">
        <f>'ANALYSE TECHNIQUE'!$L106</f>
        <v>0</v>
      </c>
      <c r="H120" s="581"/>
      <c r="I120" s="581" t="s">
        <v>202</v>
      </c>
      <c r="J120" s="581" t="s">
        <v>203</v>
      </c>
      <c r="K120" s="4"/>
    </row>
    <row r="121" spans="1:11" ht="12.75">
      <c r="A121" s="4">
        <v>469</v>
      </c>
      <c r="B121" s="570"/>
      <c r="C121" s="758" t="s">
        <v>3</v>
      </c>
      <c r="D121" s="74">
        <f>'ANALYSE TECHNIQUE'!$I107</f>
        <v>0</v>
      </c>
      <c r="F121" s="74">
        <f>'ANALYSE TECHNIQUE'!$L107</f>
        <v>0</v>
      </c>
      <c r="H121" s="581"/>
      <c r="I121" s="581" t="s">
        <v>204</v>
      </c>
      <c r="J121" s="581" t="s">
        <v>205</v>
      </c>
      <c r="K121" s="4"/>
    </row>
    <row r="122" spans="1:11" ht="12.75">
      <c r="A122" s="4">
        <v>470</v>
      </c>
      <c r="B122" s="570"/>
      <c r="C122" s="758" t="s">
        <v>4</v>
      </c>
      <c r="D122" s="74">
        <f>'ANALYSE TECHNIQUE'!$I108</f>
        <v>0</v>
      </c>
      <c r="F122" s="74">
        <f>'ANALYSE TECHNIQUE'!$L108</f>
        <v>0</v>
      </c>
      <c r="H122" s="581"/>
      <c r="I122" s="581" t="s">
        <v>206</v>
      </c>
      <c r="J122" s="581" t="s">
        <v>207</v>
      </c>
      <c r="K122" s="4"/>
    </row>
    <row r="123" spans="1:11" ht="12.75">
      <c r="A123" s="4">
        <v>471</v>
      </c>
      <c r="B123" s="570"/>
      <c r="C123" s="758" t="s">
        <v>5</v>
      </c>
      <c r="D123" s="74">
        <f>'ANALYSE TECHNIQUE'!$I109</f>
        <v>0</v>
      </c>
      <c r="F123" s="74">
        <f>'ANALYSE TECHNIQUE'!$L109</f>
        <v>0</v>
      </c>
      <c r="H123" s="581"/>
      <c r="I123" s="581" t="s">
        <v>208</v>
      </c>
      <c r="J123" s="581" t="s">
        <v>209</v>
      </c>
      <c r="K123" s="4"/>
    </row>
    <row r="124" spans="1:11" ht="12.75">
      <c r="A124" s="4">
        <v>472</v>
      </c>
      <c r="B124" s="570"/>
      <c r="C124" s="758" t="s">
        <v>6</v>
      </c>
      <c r="D124" s="74">
        <f>'ANALYSE TECHNIQUE'!$I110</f>
        <v>0</v>
      </c>
      <c r="F124" s="74">
        <f>'ANALYSE TECHNIQUE'!$L110</f>
        <v>0</v>
      </c>
      <c r="H124" s="581"/>
      <c r="I124" s="581" t="s">
        <v>210</v>
      </c>
      <c r="J124" s="581" t="s">
        <v>211</v>
      </c>
      <c r="K124" s="4"/>
    </row>
    <row r="125" spans="1:11" ht="12.75">
      <c r="A125" s="4">
        <v>473</v>
      </c>
      <c r="B125" s="570"/>
      <c r="C125" s="758" t="s">
        <v>7</v>
      </c>
      <c r="D125" s="74">
        <f>'ANALYSE TECHNIQUE'!$I111</f>
        <v>0</v>
      </c>
      <c r="F125" s="74">
        <f>'ANALYSE TECHNIQUE'!$L111</f>
        <v>0</v>
      </c>
      <c r="H125" s="581"/>
      <c r="I125" s="581" t="s">
        <v>212</v>
      </c>
      <c r="J125" s="581" t="s">
        <v>213</v>
      </c>
      <c r="K125" s="4"/>
    </row>
    <row r="126" spans="1:11" ht="12.75">
      <c r="A126" s="4">
        <v>474</v>
      </c>
      <c r="B126" s="570"/>
      <c r="C126" s="758" t="s">
        <v>8</v>
      </c>
      <c r="D126" s="74">
        <f>'ANALYSE TECHNIQUE'!$I112</f>
        <v>0</v>
      </c>
      <c r="F126" s="74">
        <f>'ANALYSE TECHNIQUE'!$L112</f>
        <v>0</v>
      </c>
      <c r="H126" s="581"/>
      <c r="I126" s="581" t="s">
        <v>214</v>
      </c>
      <c r="J126" s="581" t="s">
        <v>215</v>
      </c>
      <c r="K126" s="4"/>
    </row>
    <row r="127" spans="1:11" ht="13.5" thickBot="1">
      <c r="A127" s="4">
        <v>475</v>
      </c>
      <c r="B127" s="570"/>
      <c r="C127" s="758" t="s">
        <v>9</v>
      </c>
      <c r="D127" s="773">
        <f>'ANALYSE TECHNIQUE'!$I113</f>
        <v>0</v>
      </c>
      <c r="E127" s="590">
        <f>SUM($D$120:$D$127)</f>
        <v>0</v>
      </c>
      <c r="F127" s="773">
        <f>'ANALYSE TECHNIQUE'!$L113</f>
        <v>0</v>
      </c>
      <c r="G127" s="590">
        <f>SUM($F$120:$F$127)</f>
        <v>0</v>
      </c>
      <c r="H127" s="581"/>
      <c r="I127" s="581" t="s">
        <v>216</v>
      </c>
      <c r="J127" s="581" t="s">
        <v>217</v>
      </c>
      <c r="K127" s="4"/>
    </row>
    <row r="128" spans="1:11" ht="12.75">
      <c r="A128" s="4">
        <v>476</v>
      </c>
      <c r="B128" s="567" t="s">
        <v>537</v>
      </c>
      <c r="C128" s="569"/>
      <c r="D128" s="567"/>
      <c r="E128" s="590">
        <f>'ANALYSE TECHNIQUE'!$I$146</f>
        <v>0</v>
      </c>
      <c r="F128" s="567"/>
      <c r="G128" s="588"/>
      <c r="H128" s="581"/>
      <c r="I128" s="581" t="s">
        <v>218</v>
      </c>
      <c r="J128" s="581"/>
      <c r="K128" s="4"/>
    </row>
    <row r="129" spans="1:11" ht="13.5" thickBot="1">
      <c r="A129" s="4">
        <v>477</v>
      </c>
      <c r="B129" s="569" t="s">
        <v>538</v>
      </c>
      <c r="C129" s="569"/>
      <c r="D129" s="569"/>
      <c r="E129" s="590">
        <f>'ANALYSE TECHNIQUE'!$I$151</f>
        <v>0</v>
      </c>
      <c r="F129" s="569"/>
      <c r="G129" s="590">
        <f>'ANALYSE TECHNIQUE'!$L$151</f>
        <v>0</v>
      </c>
      <c r="H129" s="581"/>
      <c r="I129" s="581" t="s">
        <v>219</v>
      </c>
      <c r="J129" s="581" t="s">
        <v>220</v>
      </c>
      <c r="K129" s="4"/>
    </row>
    <row r="130" spans="1:11" ht="13.5" thickBot="1">
      <c r="A130" s="4">
        <v>478</v>
      </c>
      <c r="B130" s="569" t="s">
        <v>72</v>
      </c>
      <c r="C130" s="569"/>
      <c r="D130" s="569"/>
      <c r="E130" s="77">
        <f>E$118-E$127-E$128-E$129</f>
        <v>0</v>
      </c>
      <c r="F130" s="569"/>
      <c r="G130" s="77">
        <f>G$118-G$127-G$129</f>
        <v>0</v>
      </c>
      <c r="H130" s="581"/>
      <c r="I130" s="581" t="s">
        <v>175</v>
      </c>
      <c r="J130" s="581" t="s">
        <v>176</v>
      </c>
      <c r="K130" s="4"/>
    </row>
    <row r="131" spans="2:11" ht="18" customHeight="1">
      <c r="B131" s="753" t="s">
        <v>362</v>
      </c>
      <c r="C131" s="588"/>
      <c r="D131" s="588"/>
      <c r="E131" s="750"/>
      <c r="F131" s="588"/>
      <c r="G131" s="570"/>
      <c r="H131" s="588"/>
      <c r="I131" s="588"/>
      <c r="J131" s="588"/>
      <c r="K131" s="4"/>
    </row>
    <row r="132" spans="1:11" ht="12.75">
      <c r="A132" s="4">
        <v>479</v>
      </c>
      <c r="B132" s="567" t="s">
        <v>709</v>
      </c>
      <c r="C132" s="567"/>
      <c r="D132" s="567"/>
      <c r="E132" s="751">
        <f>IF(E$113&gt;0,MIN(MAX((E$117+E$127+E$128+E$129)/E$113,0.9),1),0)</f>
        <v>0</v>
      </c>
      <c r="F132" s="567"/>
      <c r="G132" s="752">
        <f>IF(G$113&gt;0,MIN((G$117+G$127+G$128+G$129)/G$113,1),0)</f>
        <v>0</v>
      </c>
      <c r="H132" s="581"/>
      <c r="I132" s="581" t="s">
        <v>177</v>
      </c>
      <c r="J132" s="581" t="s">
        <v>178</v>
      </c>
      <c r="K132" s="581"/>
    </row>
    <row r="133" spans="2:11" ht="12.75" customHeight="1">
      <c r="B133" s="754">
        <f>IF(AND($E$132&gt;0,ROUND($E$132,3)&lt;&gt;ROUND('ANALYSE TECHNIQUE'!$I$154/100,3)),"Ajuster l'ANALYSE TECHNIQUE svp. Merci.",0)</f>
        <v>0</v>
      </c>
      <c r="C133" s="588"/>
      <c r="D133" s="570"/>
      <c r="E133" s="4"/>
      <c r="F133" s="4"/>
      <c r="G133" s="564"/>
      <c r="H133" s="588"/>
      <c r="I133" s="589"/>
      <c r="J133" s="589"/>
      <c r="K133" s="4"/>
    </row>
    <row r="134" spans="2:11" ht="12.75">
      <c r="B134" s="570" t="s">
        <v>70</v>
      </c>
      <c r="C134" s="570"/>
      <c r="D134" s="570"/>
      <c r="E134" s="566"/>
      <c r="F134" s="684" t="s">
        <v>541</v>
      </c>
      <c r="G134" s="483"/>
      <c r="H134" s="564"/>
      <c r="I134" s="564"/>
      <c r="J134" s="564"/>
      <c r="K134" s="4"/>
    </row>
    <row r="135" spans="1:11" ht="12.75">
      <c r="A135" s="4">
        <v>480</v>
      </c>
      <c r="B135" s="4"/>
      <c r="C135" s="567" t="s">
        <v>539</v>
      </c>
      <c r="D135" s="567"/>
      <c r="E135" s="590">
        <f>$E$130</f>
        <v>0</v>
      </c>
      <c r="F135" s="752">
        <f>IF($E$113&gt;0,E135/$E$113,0)</f>
        <v>0</v>
      </c>
      <c r="G135" s="567"/>
      <c r="H135" s="581"/>
      <c r="I135" s="581" t="s">
        <v>179</v>
      </c>
      <c r="J135" s="581" t="s">
        <v>180</v>
      </c>
      <c r="K135" s="4"/>
    </row>
    <row r="136" spans="1:11" ht="13.5" thickBot="1">
      <c r="A136" s="4">
        <v>481</v>
      </c>
      <c r="B136" s="4"/>
      <c r="C136" s="569" t="s">
        <v>540</v>
      </c>
      <c r="D136" s="569"/>
      <c r="E136" s="590">
        <f>$G$130</f>
        <v>0</v>
      </c>
      <c r="F136" s="752">
        <f>IF($G$113&gt;0,E136/$G$113,0)</f>
        <v>0</v>
      </c>
      <c r="G136" s="567"/>
      <c r="H136" s="581"/>
      <c r="I136" s="581" t="s">
        <v>181</v>
      </c>
      <c r="J136" s="581" t="s">
        <v>182</v>
      </c>
      <c r="K136" s="4"/>
    </row>
    <row r="137" spans="1:11" ht="13.5" thickBot="1">
      <c r="A137" s="4">
        <v>482</v>
      </c>
      <c r="B137" s="4"/>
      <c r="C137" s="569" t="s">
        <v>627</v>
      </c>
      <c r="D137" s="569"/>
      <c r="E137" s="81">
        <f>E$135+E$136</f>
        <v>0</v>
      </c>
      <c r="F137" s="567"/>
      <c r="G137" s="567"/>
      <c r="H137" s="581"/>
      <c r="I137" s="581" t="s">
        <v>183</v>
      </c>
      <c r="J137" s="581"/>
      <c r="K137" s="4"/>
    </row>
    <row r="138" spans="2:11" ht="12.75">
      <c r="B138" s="4"/>
      <c r="C138" s="560"/>
      <c r="D138" s="560"/>
      <c r="E138" s="593">
        <f>IF(ABS($F$38-$E$137)&lt;2,"","&lt;&gt; pos. 411e ("&amp;TEXT($F$38,"#'##0")&amp;") ?")</f>
      </c>
      <c r="F138" s="560"/>
      <c r="G138" s="4"/>
      <c r="H138" s="570"/>
      <c r="I138" s="573"/>
      <c r="J138" s="573"/>
      <c r="K138" s="4"/>
    </row>
    <row r="139" spans="2:11" ht="9" customHeight="1">
      <c r="B139" s="4"/>
      <c r="C139" s="560"/>
      <c r="D139" s="560"/>
      <c r="E139" s="598"/>
      <c r="F139" s="560"/>
      <c r="G139" s="4"/>
      <c r="H139" s="4"/>
      <c r="I139" s="564"/>
      <c r="J139" s="564"/>
      <c r="K139" s="4"/>
    </row>
    <row r="140" spans="6:10" ht="12.75">
      <c r="F140" s="3"/>
      <c r="I140" s="71"/>
      <c r="J140" s="71"/>
    </row>
    <row r="141" spans="6:10" ht="12.75">
      <c r="F141" s="3"/>
      <c r="I141" s="71"/>
      <c r="J141" s="71"/>
    </row>
    <row r="142" spans="6:10" ht="12.75">
      <c r="F142" s="3"/>
      <c r="I142" s="71"/>
      <c r="J142" s="71"/>
    </row>
    <row r="143" spans="2:10" ht="12.75">
      <c r="B143" s="697"/>
      <c r="F143" s="3"/>
      <c r="I143" s="71"/>
      <c r="J143" s="71"/>
    </row>
    <row r="144" spans="6:10" ht="12.75">
      <c r="F144" s="3"/>
      <c r="I144" s="71"/>
      <c r="J144" s="71"/>
    </row>
    <row r="145" ht="12.75">
      <c r="F145" s="3"/>
    </row>
    <row r="146" ht="12.75">
      <c r="F146" s="3"/>
    </row>
    <row r="147" ht="12.75">
      <c r="F147" s="3"/>
    </row>
    <row r="148" ht="12.75">
      <c r="F148" s="3"/>
    </row>
    <row r="149" ht="12.75">
      <c r="F149" s="3"/>
    </row>
    <row r="150" ht="12.75">
      <c r="F150" s="3"/>
    </row>
    <row r="151" ht="12.75">
      <c r="F151" s="3"/>
    </row>
    <row r="152" spans="2:6" ht="12.75">
      <c r="B152" s="697"/>
      <c r="F152" s="3"/>
    </row>
    <row r="153" ht="12.75">
      <c r="F153" s="3"/>
    </row>
    <row r="154" ht="12.75">
      <c r="F154" s="3"/>
    </row>
    <row r="155" ht="12.75">
      <c r="F155" s="3"/>
    </row>
    <row r="156" ht="12.75">
      <c r="F156" s="3"/>
    </row>
    <row r="157" ht="12.75">
      <c r="F157" s="3"/>
    </row>
    <row r="158" ht="12.75">
      <c r="F158" s="3"/>
    </row>
    <row r="159" ht="12.75">
      <c r="F159" s="3"/>
    </row>
    <row r="160" ht="12.75">
      <c r="F160" s="3"/>
    </row>
    <row r="161" spans="2:6" ht="12.75">
      <c r="B161" s="697"/>
      <c r="F161" s="3"/>
    </row>
    <row r="162" ht="12.75">
      <c r="F162" s="3"/>
    </row>
    <row r="163" ht="12.75">
      <c r="F163" s="3"/>
    </row>
    <row r="164" ht="12.75">
      <c r="F164" s="3"/>
    </row>
    <row r="165" ht="12.75">
      <c r="F165" s="3"/>
    </row>
    <row r="166" ht="12.75">
      <c r="F166" s="3"/>
    </row>
    <row r="167" ht="12.75">
      <c r="F167" s="3"/>
    </row>
    <row r="168" ht="12.75">
      <c r="F168" s="3"/>
    </row>
    <row r="169" ht="12.75">
      <c r="F169" s="3"/>
    </row>
    <row r="170" ht="12.75">
      <c r="F170" s="3"/>
    </row>
    <row r="171" ht="12.75">
      <c r="F171" s="3"/>
    </row>
    <row r="172" ht="12.75">
      <c r="F172" s="3"/>
    </row>
    <row r="173" ht="12.75">
      <c r="F173" s="3"/>
    </row>
    <row r="174" ht="12.75">
      <c r="F174" s="3"/>
    </row>
    <row r="175" ht="12.75">
      <c r="F175" s="3"/>
    </row>
    <row r="176" ht="12.75">
      <c r="F176" s="3"/>
    </row>
    <row r="177" ht="12.75">
      <c r="F177" s="3"/>
    </row>
    <row r="178" ht="12.75">
      <c r="F178" s="3"/>
    </row>
    <row r="179" ht="12.75">
      <c r="F179" s="3"/>
    </row>
    <row r="180" ht="12.75">
      <c r="F180" s="3"/>
    </row>
    <row r="181" ht="12.75">
      <c r="F181" s="3"/>
    </row>
    <row r="182" ht="12.75">
      <c r="F182" s="3"/>
    </row>
    <row r="183" ht="12.75">
      <c r="F183" s="3"/>
    </row>
    <row r="184" ht="12.75">
      <c r="F184" s="3"/>
    </row>
    <row r="185" ht="12.75">
      <c r="F185" s="3"/>
    </row>
    <row r="186" spans="2:6" ht="12.75">
      <c r="B186" s="697"/>
      <c r="F186" s="3"/>
    </row>
    <row r="187" ht="12.75">
      <c r="F187" s="3"/>
    </row>
    <row r="188" ht="12.75">
      <c r="F188" s="3"/>
    </row>
    <row r="189" spans="2:6" ht="12.75">
      <c r="B189" s="697"/>
      <c r="F189" s="3"/>
    </row>
    <row r="190" ht="12.75">
      <c r="F190" s="3"/>
    </row>
    <row r="191" ht="12.75">
      <c r="F191" s="3"/>
    </row>
    <row r="192" ht="12.75">
      <c r="F192" s="3"/>
    </row>
    <row r="193" ht="12.75">
      <c r="F193" s="3"/>
    </row>
    <row r="194" ht="12.75">
      <c r="F194" s="3"/>
    </row>
    <row r="195" ht="12.75">
      <c r="F195" s="3"/>
    </row>
    <row r="196" ht="12.75">
      <c r="F196" s="3"/>
    </row>
    <row r="197" ht="12.75">
      <c r="F197" s="3"/>
    </row>
    <row r="198" ht="12.75">
      <c r="F198" s="3"/>
    </row>
    <row r="199" ht="12.75">
      <c r="F199" s="3"/>
    </row>
    <row r="200" ht="12.75">
      <c r="F200" s="3"/>
    </row>
    <row r="201" ht="12.75">
      <c r="F201" s="3"/>
    </row>
    <row r="202" ht="12.75">
      <c r="F202" s="3"/>
    </row>
    <row r="203" ht="12.75">
      <c r="F203" s="3"/>
    </row>
    <row r="204" ht="12.75">
      <c r="F204" s="3"/>
    </row>
    <row r="205" ht="12.75">
      <c r="F205" s="3"/>
    </row>
    <row r="206" ht="12.75">
      <c r="F206" s="3"/>
    </row>
    <row r="207" ht="12.75">
      <c r="F207" s="3"/>
    </row>
    <row r="208" ht="12.75">
      <c r="F208" s="3"/>
    </row>
    <row r="209" ht="12.75">
      <c r="F209" s="3"/>
    </row>
    <row r="210" ht="12.75">
      <c r="F210" s="3"/>
    </row>
    <row r="211" ht="12.75">
      <c r="F211" s="3"/>
    </row>
    <row r="212" ht="12.75">
      <c r="F212" s="3"/>
    </row>
    <row r="213" ht="12.75">
      <c r="F213" s="3"/>
    </row>
    <row r="214" ht="12.75">
      <c r="F214" s="3"/>
    </row>
    <row r="215" ht="12.75">
      <c r="F215" s="3"/>
    </row>
    <row r="216" ht="12.75">
      <c r="F216" s="3"/>
    </row>
    <row r="217" ht="12.75">
      <c r="F217" s="3"/>
    </row>
    <row r="218" ht="12.75">
      <c r="F218" s="3"/>
    </row>
    <row r="219" ht="12.75">
      <c r="F219" s="3"/>
    </row>
    <row r="220" ht="12.75">
      <c r="F220" s="3"/>
    </row>
    <row r="221" ht="12.75">
      <c r="F221" s="3"/>
    </row>
    <row r="222" ht="12.75">
      <c r="F222" s="3"/>
    </row>
    <row r="223" ht="12.75">
      <c r="F223" s="3"/>
    </row>
    <row r="224" ht="12.75">
      <c r="F224" s="3"/>
    </row>
    <row r="225" ht="12.75">
      <c r="F225" s="3"/>
    </row>
    <row r="226" ht="12.75">
      <c r="F226" s="3"/>
    </row>
    <row r="227" ht="12.75">
      <c r="F227" s="3"/>
    </row>
    <row r="228" ht="12.75">
      <c r="F228" s="3"/>
    </row>
    <row r="229" ht="12.75">
      <c r="F229" s="3"/>
    </row>
    <row r="230" ht="12.75">
      <c r="F230" s="3"/>
    </row>
    <row r="231" ht="12.75">
      <c r="F231" s="3"/>
    </row>
    <row r="232" ht="12.75">
      <c r="F232" s="3"/>
    </row>
    <row r="233" ht="12.75">
      <c r="F233" s="3"/>
    </row>
    <row r="234" ht="12.75">
      <c r="F234" s="3"/>
    </row>
    <row r="235" ht="12.75">
      <c r="F235" s="3"/>
    </row>
    <row r="236" ht="12.75">
      <c r="F236" s="3"/>
    </row>
    <row r="237" ht="12.75">
      <c r="F237" s="3"/>
    </row>
    <row r="238" ht="12.75">
      <c r="F238" s="3"/>
    </row>
    <row r="239" ht="12.75">
      <c r="F239" s="3"/>
    </row>
    <row r="240" ht="12.75">
      <c r="F240" s="3"/>
    </row>
    <row r="241" ht="12.75">
      <c r="F241" s="3"/>
    </row>
    <row r="242" ht="12.75">
      <c r="F242" s="3"/>
    </row>
    <row r="243" ht="12.75">
      <c r="F243" s="3"/>
    </row>
    <row r="244" ht="12.75">
      <c r="F244" s="3"/>
    </row>
    <row r="245" ht="12.75">
      <c r="F245" s="3"/>
    </row>
    <row r="246" ht="12.75">
      <c r="F246" s="3"/>
    </row>
    <row r="247" ht="12.75">
      <c r="F247" s="3"/>
    </row>
    <row r="248" ht="12.75">
      <c r="F248" s="3"/>
    </row>
    <row r="249" ht="12.75">
      <c r="F249" s="3"/>
    </row>
    <row r="250" ht="12.75">
      <c r="F250" s="3"/>
    </row>
    <row r="251" ht="12.75">
      <c r="F251" s="3"/>
    </row>
    <row r="252" ht="12.75">
      <c r="F252" s="3"/>
    </row>
    <row r="253" ht="12.75">
      <c r="F253" s="3"/>
    </row>
    <row r="254" ht="12.75">
      <c r="F254" s="3"/>
    </row>
    <row r="255" ht="12.75">
      <c r="F255" s="3"/>
    </row>
    <row r="256" ht="12.75">
      <c r="F256" s="3"/>
    </row>
    <row r="257" ht="12.75">
      <c r="F257" s="3"/>
    </row>
    <row r="258" ht="12.75">
      <c r="F258" s="3"/>
    </row>
    <row r="259" ht="12.75">
      <c r="F259" s="3"/>
    </row>
    <row r="260" ht="12.75">
      <c r="F260" s="3"/>
    </row>
    <row r="261" ht="12.75">
      <c r="F261" s="3"/>
    </row>
    <row r="262" ht="12.75">
      <c r="F262" s="3"/>
    </row>
    <row r="263" ht="12.75">
      <c r="F263" s="3"/>
    </row>
    <row r="264" ht="12.75">
      <c r="F264" s="3"/>
    </row>
    <row r="265" ht="12.75">
      <c r="F265" s="3"/>
    </row>
    <row r="266" ht="12.75">
      <c r="F266" s="3"/>
    </row>
    <row r="267" ht="12.75">
      <c r="F267" s="3"/>
    </row>
    <row r="268" ht="12.75">
      <c r="F268" s="3"/>
    </row>
    <row r="269" ht="12.75">
      <c r="F269" s="3"/>
    </row>
    <row r="270" ht="12.75">
      <c r="F270" s="3"/>
    </row>
    <row r="271" ht="12.75">
      <c r="F271" s="3"/>
    </row>
    <row r="272" ht="12.75">
      <c r="F272" s="3"/>
    </row>
    <row r="273" ht="12.75">
      <c r="F273" s="3"/>
    </row>
    <row r="274" ht="12.75">
      <c r="F274" s="3"/>
    </row>
    <row r="275" ht="12.75">
      <c r="F275" s="3"/>
    </row>
    <row r="276" ht="12.75">
      <c r="F276" s="3"/>
    </row>
    <row r="277" ht="12.75">
      <c r="F277" s="3"/>
    </row>
    <row r="278" ht="12.75">
      <c r="F278" s="3"/>
    </row>
    <row r="279" ht="12.75">
      <c r="F279" s="3"/>
    </row>
    <row r="280" ht="12.75">
      <c r="F280" s="3"/>
    </row>
    <row r="281" ht="12.75">
      <c r="F281" s="3"/>
    </row>
    <row r="282" ht="12.75">
      <c r="F282" s="3"/>
    </row>
    <row r="283" ht="12.75">
      <c r="F283" s="3"/>
    </row>
    <row r="284" ht="12.75">
      <c r="F284" s="3"/>
    </row>
    <row r="285" ht="12.75">
      <c r="F285" s="3"/>
    </row>
    <row r="286" ht="12.75">
      <c r="F286" s="3"/>
    </row>
    <row r="287" ht="12.75">
      <c r="F287" s="3"/>
    </row>
    <row r="288" ht="12.75">
      <c r="F288" s="3"/>
    </row>
    <row r="289" ht="12.75">
      <c r="F289" s="3"/>
    </row>
    <row r="290" ht="12.75">
      <c r="F290" s="3"/>
    </row>
    <row r="291" ht="12.75">
      <c r="F291" s="3"/>
    </row>
    <row r="292" ht="12.75">
      <c r="F292" s="3"/>
    </row>
    <row r="293" ht="12.75">
      <c r="F293" s="3"/>
    </row>
    <row r="294" ht="12.75">
      <c r="F294" s="3"/>
    </row>
    <row r="295" ht="12.75">
      <c r="F295" s="3"/>
    </row>
    <row r="296" ht="12.75">
      <c r="F296" s="3"/>
    </row>
    <row r="297" ht="12.75">
      <c r="F297" s="3"/>
    </row>
    <row r="298" ht="12.75">
      <c r="F298" s="3"/>
    </row>
    <row r="299" ht="12.75">
      <c r="F299" s="3"/>
    </row>
    <row r="300" ht="12.75">
      <c r="F300" s="3"/>
    </row>
    <row r="301" ht="12.75">
      <c r="F301" s="3"/>
    </row>
    <row r="302" ht="12.75">
      <c r="F302" s="3"/>
    </row>
    <row r="303" ht="12.75">
      <c r="F303" s="3"/>
    </row>
    <row r="304" ht="12.75">
      <c r="F304" s="3"/>
    </row>
    <row r="305" ht="12.75">
      <c r="F305" s="3"/>
    </row>
    <row r="306" ht="12.75">
      <c r="F306" s="3"/>
    </row>
    <row r="307" ht="12.75">
      <c r="F307" s="3"/>
    </row>
    <row r="308" ht="12.75">
      <c r="F308" s="3"/>
    </row>
    <row r="309" ht="12.75">
      <c r="F309" s="3"/>
    </row>
    <row r="310" ht="12.75">
      <c r="F310" s="3"/>
    </row>
    <row r="311" ht="12.75">
      <c r="F311" s="3"/>
    </row>
    <row r="312" ht="12.75">
      <c r="F312" s="3"/>
    </row>
    <row r="313" ht="12.75">
      <c r="F313" s="3"/>
    </row>
    <row r="314" ht="12.75">
      <c r="F314" s="3"/>
    </row>
    <row r="315" ht="12.75">
      <c r="F315" s="3"/>
    </row>
    <row r="316" ht="12.75">
      <c r="F316" s="3"/>
    </row>
    <row r="317" ht="12.75">
      <c r="F317" s="3"/>
    </row>
    <row r="318" ht="12.75">
      <c r="F318" s="3"/>
    </row>
    <row r="319" ht="12.75">
      <c r="F319" s="3"/>
    </row>
    <row r="320" ht="12.75">
      <c r="F320" s="3"/>
    </row>
    <row r="321" ht="12.75">
      <c r="F321" s="3"/>
    </row>
    <row r="322" ht="12.75">
      <c r="F322" s="3"/>
    </row>
    <row r="323" ht="12.75">
      <c r="F323" s="3"/>
    </row>
    <row r="324" ht="12.75">
      <c r="F324" s="3"/>
    </row>
    <row r="325" ht="12.75">
      <c r="F325" s="3"/>
    </row>
    <row r="326" ht="12.75">
      <c r="F326" s="3"/>
    </row>
    <row r="327" ht="12.75">
      <c r="F327" s="3"/>
    </row>
    <row r="328" ht="12.75">
      <c r="F328" s="3"/>
    </row>
    <row r="329" ht="12.75">
      <c r="F329" s="3"/>
    </row>
    <row r="330" ht="12.75">
      <c r="F330" s="3"/>
    </row>
    <row r="331" ht="12.75">
      <c r="F331" s="3"/>
    </row>
    <row r="332" ht="12.75">
      <c r="F332" s="3"/>
    </row>
    <row r="333" ht="12.75">
      <c r="F333" s="3"/>
    </row>
    <row r="334" ht="12.75">
      <c r="F334" s="3"/>
    </row>
    <row r="335" ht="12.75">
      <c r="F335" s="3"/>
    </row>
    <row r="336" ht="12.75">
      <c r="F336" s="3"/>
    </row>
    <row r="337" ht="12.75">
      <c r="F337" s="3"/>
    </row>
    <row r="338" ht="12.75">
      <c r="F338" s="3"/>
    </row>
    <row r="339" ht="12.75">
      <c r="F339" s="3"/>
    </row>
    <row r="340" ht="12.75">
      <c r="F340" s="3"/>
    </row>
    <row r="341" ht="12.75">
      <c r="F341" s="3"/>
    </row>
    <row r="342" ht="12.75">
      <c r="F342" s="3"/>
    </row>
    <row r="343" ht="12.75">
      <c r="F343" s="3"/>
    </row>
    <row r="344" ht="12.75">
      <c r="F344" s="3"/>
    </row>
    <row r="345" ht="12.75">
      <c r="F345" s="3"/>
    </row>
    <row r="346" ht="12.75">
      <c r="F346" s="3"/>
    </row>
    <row r="347" ht="12.75">
      <c r="F347" s="3"/>
    </row>
    <row r="348" ht="12.75">
      <c r="F348" s="3"/>
    </row>
    <row r="349" ht="12.75">
      <c r="F349" s="3"/>
    </row>
    <row r="350" ht="12.75">
      <c r="F350" s="3"/>
    </row>
    <row r="351" ht="12.75">
      <c r="F351" s="3"/>
    </row>
    <row r="352" ht="12.75">
      <c r="F352" s="3"/>
    </row>
    <row r="353" ht="12.75">
      <c r="F353" s="3"/>
    </row>
    <row r="354" ht="12.75">
      <c r="F354" s="3"/>
    </row>
    <row r="355" ht="12.75">
      <c r="F355" s="3"/>
    </row>
    <row r="356" ht="12.75">
      <c r="F356" s="3"/>
    </row>
    <row r="357" ht="12.75">
      <c r="F357" s="3"/>
    </row>
    <row r="358" ht="12.75">
      <c r="F358" s="3"/>
    </row>
    <row r="359" ht="12.75">
      <c r="F359" s="3"/>
    </row>
    <row r="360" ht="12.75">
      <c r="F360" s="3"/>
    </row>
    <row r="361" ht="12.75">
      <c r="F361" s="3"/>
    </row>
    <row r="362" ht="12.75">
      <c r="F362" s="3"/>
    </row>
    <row r="363" ht="12.75">
      <c r="F363" s="3"/>
    </row>
    <row r="364" ht="12.75">
      <c r="F364" s="3"/>
    </row>
    <row r="365" ht="12.75">
      <c r="F365" s="3"/>
    </row>
    <row r="366" ht="12.75">
      <c r="F366" s="3"/>
    </row>
    <row r="367" ht="12.75">
      <c r="F367" s="3"/>
    </row>
    <row r="368" ht="12.75">
      <c r="F368" s="3"/>
    </row>
    <row r="369" ht="12.75">
      <c r="F369" s="3"/>
    </row>
    <row r="370" ht="12.75">
      <c r="F370" s="3"/>
    </row>
    <row r="371" ht="12.75">
      <c r="F371" s="3"/>
    </row>
    <row r="372" ht="12.75">
      <c r="F372" s="3"/>
    </row>
    <row r="373" ht="12.75">
      <c r="F373" s="3"/>
    </row>
    <row r="374" ht="12.75">
      <c r="F374" s="3"/>
    </row>
    <row r="375" ht="12.75">
      <c r="F375" s="3"/>
    </row>
    <row r="376" ht="12.75">
      <c r="F376" s="3"/>
    </row>
    <row r="377" ht="12.75">
      <c r="F377" s="3"/>
    </row>
    <row r="378" ht="12.75">
      <c r="F378" s="3"/>
    </row>
    <row r="379" ht="12.75">
      <c r="F379" s="3"/>
    </row>
    <row r="380" ht="12.75">
      <c r="F380" s="3"/>
    </row>
    <row r="381" ht="12.75">
      <c r="F381" s="3"/>
    </row>
    <row r="382" ht="12.75">
      <c r="F382" s="3"/>
    </row>
    <row r="383" ht="12.75">
      <c r="F383" s="3"/>
    </row>
    <row r="384" ht="12.75">
      <c r="F384" s="3"/>
    </row>
    <row r="385" ht="12.75">
      <c r="F385" s="3"/>
    </row>
    <row r="386" ht="12.75">
      <c r="F386" s="3"/>
    </row>
    <row r="387" ht="12.75">
      <c r="F387" s="3"/>
    </row>
    <row r="388" ht="12.75">
      <c r="F388" s="3"/>
    </row>
    <row r="389" ht="12.75">
      <c r="F389" s="3"/>
    </row>
    <row r="390" ht="12.75">
      <c r="F390" s="3"/>
    </row>
    <row r="391" ht="12.75">
      <c r="F391" s="3"/>
    </row>
    <row r="392" ht="12.75">
      <c r="F392" s="3"/>
    </row>
    <row r="393" ht="12.75">
      <c r="F393" s="3"/>
    </row>
    <row r="394" ht="12.75">
      <c r="F394" s="3"/>
    </row>
    <row r="395" ht="12.75">
      <c r="F395" s="3"/>
    </row>
    <row r="396" ht="12.75">
      <c r="F396" s="3"/>
    </row>
    <row r="397" ht="12.75">
      <c r="F397" s="3"/>
    </row>
    <row r="398" ht="12.75">
      <c r="F398" s="3"/>
    </row>
    <row r="399" ht="12.75">
      <c r="F399" s="3"/>
    </row>
    <row r="400" ht="12.75">
      <c r="F400" s="3"/>
    </row>
    <row r="401" ht="12.75">
      <c r="F401" s="3"/>
    </row>
    <row r="402" ht="12.75">
      <c r="F402" s="3"/>
    </row>
    <row r="403" ht="12.75">
      <c r="F403" s="3"/>
    </row>
    <row r="404" ht="12.75">
      <c r="F404" s="3"/>
    </row>
    <row r="405" ht="12.75">
      <c r="F405" s="3"/>
    </row>
    <row r="406" ht="12.75">
      <c r="F406" s="3"/>
    </row>
    <row r="407" ht="12.75">
      <c r="F407" s="3"/>
    </row>
    <row r="408" ht="12.75">
      <c r="F408" s="3"/>
    </row>
    <row r="409" ht="12.75">
      <c r="F409" s="3"/>
    </row>
    <row r="410" ht="12.75">
      <c r="F410" s="3"/>
    </row>
    <row r="411" ht="12.75">
      <c r="F411" s="3"/>
    </row>
    <row r="412" ht="12.75">
      <c r="F412" s="3"/>
    </row>
    <row r="413" ht="12.75">
      <c r="F413" s="3"/>
    </row>
    <row r="414" ht="12.75">
      <c r="F414" s="3"/>
    </row>
    <row r="415" ht="12.75">
      <c r="F415" s="3"/>
    </row>
    <row r="416" ht="12.75">
      <c r="F416" s="3"/>
    </row>
    <row r="417" ht="12.75">
      <c r="F417" s="3"/>
    </row>
    <row r="418" ht="12.75">
      <c r="F418" s="3"/>
    </row>
    <row r="419" ht="12.75">
      <c r="F419" s="3"/>
    </row>
    <row r="420" ht="12.75">
      <c r="F420" s="3"/>
    </row>
    <row r="421" ht="12.75">
      <c r="F421" s="3"/>
    </row>
    <row r="422" ht="12.75">
      <c r="F422" s="3"/>
    </row>
    <row r="423" ht="12.75">
      <c r="F423" s="3"/>
    </row>
    <row r="424" ht="12.75">
      <c r="F424" s="3"/>
    </row>
    <row r="425" ht="12.75">
      <c r="F425" s="3"/>
    </row>
    <row r="426" ht="12.75">
      <c r="F426" s="3"/>
    </row>
    <row r="427" ht="12.75">
      <c r="F427" s="3"/>
    </row>
    <row r="428" ht="12.75">
      <c r="F428" s="3"/>
    </row>
    <row r="429" ht="12.75">
      <c r="F429" s="3"/>
    </row>
    <row r="430" ht="12.75">
      <c r="F430" s="3"/>
    </row>
    <row r="431" ht="12.75">
      <c r="F431" s="3"/>
    </row>
    <row r="432" ht="12.75">
      <c r="F432" s="3"/>
    </row>
    <row r="433" ht="12.75">
      <c r="F433" s="3"/>
    </row>
    <row r="434" ht="12.75">
      <c r="F434" s="3"/>
    </row>
    <row r="435" ht="12.75">
      <c r="F435" s="3"/>
    </row>
    <row r="436" ht="12.75">
      <c r="F436" s="3"/>
    </row>
    <row r="437" ht="12.75">
      <c r="F437" s="3"/>
    </row>
    <row r="438" ht="12.75">
      <c r="F438" s="3"/>
    </row>
    <row r="439" ht="12.75">
      <c r="F439" s="3"/>
    </row>
    <row r="440" ht="12.75">
      <c r="F440" s="3"/>
    </row>
    <row r="441" ht="12.75">
      <c r="F441" s="3"/>
    </row>
    <row r="442" ht="12.75">
      <c r="F442" s="3"/>
    </row>
    <row r="443" ht="12.75">
      <c r="F443" s="3"/>
    </row>
    <row r="444" ht="12.75">
      <c r="F444" s="3"/>
    </row>
    <row r="445" ht="12.75">
      <c r="F445" s="3"/>
    </row>
    <row r="446" ht="12.75">
      <c r="F446" s="3"/>
    </row>
    <row r="447" ht="12.75">
      <c r="F447" s="3"/>
    </row>
    <row r="448" ht="12.75">
      <c r="F448" s="3"/>
    </row>
    <row r="449" ht="12.75">
      <c r="F449" s="3"/>
    </row>
    <row r="450" ht="12.75">
      <c r="F450" s="3"/>
    </row>
    <row r="451" ht="12.75">
      <c r="F451" s="3"/>
    </row>
    <row r="452" ht="12.75">
      <c r="F452" s="3"/>
    </row>
    <row r="453" ht="12.75">
      <c r="F453" s="3"/>
    </row>
    <row r="454" ht="12.75">
      <c r="F454" s="3"/>
    </row>
    <row r="455" ht="12.75">
      <c r="F455" s="3"/>
    </row>
    <row r="456" ht="12.75">
      <c r="F456" s="3"/>
    </row>
    <row r="457" ht="12.75">
      <c r="F457" s="3"/>
    </row>
    <row r="458" ht="12.75">
      <c r="F458" s="3"/>
    </row>
    <row r="459" ht="12.75">
      <c r="F459" s="3"/>
    </row>
    <row r="460" ht="12.75">
      <c r="F460" s="3"/>
    </row>
    <row r="461" ht="12.75">
      <c r="F461" s="3"/>
    </row>
    <row r="462" ht="12.75">
      <c r="F462" s="3"/>
    </row>
    <row r="463" ht="12.75">
      <c r="F463" s="3"/>
    </row>
    <row r="464" ht="12.75">
      <c r="F464" s="3"/>
    </row>
    <row r="465" ht="12.75">
      <c r="F465" s="3"/>
    </row>
    <row r="466" ht="12.75">
      <c r="F466" s="3"/>
    </row>
    <row r="467" ht="12.75">
      <c r="F467" s="3"/>
    </row>
    <row r="468" ht="12.75">
      <c r="F468" s="3"/>
    </row>
    <row r="469" ht="12.75">
      <c r="F469" s="3"/>
    </row>
    <row r="470" ht="12.75">
      <c r="F470" s="3"/>
    </row>
    <row r="471" ht="12.75">
      <c r="F471" s="3"/>
    </row>
    <row r="472" ht="12.75">
      <c r="F472" s="3"/>
    </row>
    <row r="473" ht="12.75">
      <c r="F473" s="3"/>
    </row>
    <row r="474" ht="12.75">
      <c r="F474" s="3"/>
    </row>
    <row r="475" ht="12.75">
      <c r="F475" s="3"/>
    </row>
    <row r="476" ht="12.75">
      <c r="F476" s="3"/>
    </row>
    <row r="477" ht="12.75">
      <c r="F477" s="3"/>
    </row>
    <row r="478" ht="12.75">
      <c r="F478" s="3"/>
    </row>
    <row r="479" ht="12.75">
      <c r="F479" s="3"/>
    </row>
    <row r="480" ht="12.75">
      <c r="F480" s="3"/>
    </row>
    <row r="481" ht="12.75">
      <c r="F481" s="3"/>
    </row>
    <row r="482" ht="12.75">
      <c r="F482" s="3"/>
    </row>
    <row r="483" ht="12.75">
      <c r="F483" s="3"/>
    </row>
    <row r="484" ht="12.75">
      <c r="F484" s="3"/>
    </row>
    <row r="485" ht="12.75">
      <c r="F485" s="3"/>
    </row>
    <row r="486" ht="12.75">
      <c r="F486" s="3"/>
    </row>
    <row r="487" ht="12.75">
      <c r="F487" s="3"/>
    </row>
    <row r="488" ht="12.75">
      <c r="F488" s="3"/>
    </row>
    <row r="489" ht="12.75">
      <c r="F489" s="3"/>
    </row>
    <row r="490" ht="12.75">
      <c r="F490" s="3"/>
    </row>
    <row r="491" ht="12.75">
      <c r="F491" s="3"/>
    </row>
    <row r="492" ht="12.75">
      <c r="F492" s="3"/>
    </row>
    <row r="493" ht="12.75">
      <c r="F493" s="3"/>
    </row>
    <row r="494" ht="12.75">
      <c r="F494" s="3"/>
    </row>
    <row r="495" ht="12.75">
      <c r="F495" s="3"/>
    </row>
    <row r="496" ht="12.75">
      <c r="F496" s="3"/>
    </row>
    <row r="497" ht="12.75">
      <c r="F497" s="3"/>
    </row>
    <row r="498" ht="12.75">
      <c r="F498" s="3"/>
    </row>
    <row r="499" ht="12.75">
      <c r="F499" s="3"/>
    </row>
    <row r="500" ht="12.75">
      <c r="F500" s="3"/>
    </row>
    <row r="501" ht="12.75">
      <c r="F501" s="3"/>
    </row>
    <row r="502" ht="12.75">
      <c r="F502" s="3"/>
    </row>
    <row r="503" ht="12.75">
      <c r="F503" s="3"/>
    </row>
    <row r="504" ht="12.75">
      <c r="F504" s="3"/>
    </row>
    <row r="505" ht="12.75">
      <c r="F505" s="3"/>
    </row>
    <row r="506" ht="12.75">
      <c r="F506" s="3"/>
    </row>
    <row r="507" ht="12.75">
      <c r="F507" s="3"/>
    </row>
    <row r="508" ht="12.75">
      <c r="F508" s="3"/>
    </row>
    <row r="509" ht="12.75">
      <c r="F509" s="3"/>
    </row>
    <row r="510" ht="12.75">
      <c r="F510" s="3"/>
    </row>
    <row r="511" ht="12.75">
      <c r="F511" s="3"/>
    </row>
    <row r="512" ht="12.75">
      <c r="F512" s="3"/>
    </row>
    <row r="513" ht="12.75">
      <c r="F513" s="3"/>
    </row>
    <row r="514" ht="12.75">
      <c r="F514" s="3"/>
    </row>
    <row r="515" ht="12.75">
      <c r="F515" s="3"/>
    </row>
    <row r="516" ht="12.75">
      <c r="F516" s="3"/>
    </row>
    <row r="517" ht="12.75">
      <c r="F517" s="3"/>
    </row>
    <row r="518" ht="12.75">
      <c r="F518" s="3"/>
    </row>
    <row r="519" ht="12.75">
      <c r="F519" s="3"/>
    </row>
    <row r="520" ht="12.75">
      <c r="F520" s="3"/>
    </row>
    <row r="521" ht="12.75">
      <c r="F521" s="3"/>
    </row>
    <row r="522" ht="12.75">
      <c r="F522" s="3"/>
    </row>
    <row r="523" ht="12.75">
      <c r="F523" s="3"/>
    </row>
    <row r="524" ht="12.75">
      <c r="F524" s="3"/>
    </row>
    <row r="525" ht="12.75">
      <c r="F525" s="3"/>
    </row>
    <row r="526" ht="12.75">
      <c r="F526" s="3"/>
    </row>
    <row r="527" ht="12.75">
      <c r="F527" s="3"/>
    </row>
    <row r="528" ht="12.75">
      <c r="F528" s="3"/>
    </row>
    <row r="529" ht="12.75">
      <c r="F529" s="3"/>
    </row>
    <row r="530" ht="12.75">
      <c r="F530" s="3"/>
    </row>
    <row r="531" ht="12.75">
      <c r="F531" s="3"/>
    </row>
    <row r="532" ht="12.75">
      <c r="F532" s="3"/>
    </row>
    <row r="533" ht="12.75">
      <c r="F533" s="3"/>
    </row>
    <row r="534" ht="12.75">
      <c r="F534" s="3"/>
    </row>
    <row r="535" ht="12.75">
      <c r="F535" s="3"/>
    </row>
    <row r="536" ht="12.75">
      <c r="F536" s="3"/>
    </row>
    <row r="537" ht="12.75">
      <c r="F537" s="3"/>
    </row>
    <row r="538" ht="12.75">
      <c r="F538" s="3"/>
    </row>
    <row r="539" ht="12.75">
      <c r="F539" s="3"/>
    </row>
    <row r="540" ht="12.75">
      <c r="F540" s="3"/>
    </row>
    <row r="541" ht="12.75">
      <c r="F541" s="3"/>
    </row>
    <row r="542" ht="12.75">
      <c r="F542" s="3"/>
    </row>
    <row r="543" ht="12.75">
      <c r="F543" s="3"/>
    </row>
    <row r="544" ht="12.75">
      <c r="F544" s="3"/>
    </row>
    <row r="545" ht="12.75">
      <c r="F545" s="3"/>
    </row>
    <row r="546" ht="12.75">
      <c r="F546" s="3"/>
    </row>
    <row r="547" ht="12.75">
      <c r="F547" s="3"/>
    </row>
    <row r="548" ht="12.75">
      <c r="F548" s="3"/>
    </row>
    <row r="549" ht="12.75">
      <c r="F549" s="3"/>
    </row>
    <row r="550" ht="12.75">
      <c r="F550" s="3"/>
    </row>
    <row r="551" ht="12.75">
      <c r="F551" s="3"/>
    </row>
    <row r="552" ht="12.75">
      <c r="F552" s="3"/>
    </row>
    <row r="553" ht="12.75">
      <c r="F553" s="3"/>
    </row>
    <row r="554" ht="12.75">
      <c r="F554" s="3"/>
    </row>
    <row r="555" ht="12.75">
      <c r="F555" s="3"/>
    </row>
    <row r="556" ht="12.75">
      <c r="F556" s="3"/>
    </row>
    <row r="557" ht="12.75">
      <c r="F557" s="3"/>
    </row>
    <row r="558" ht="12.75">
      <c r="F558" s="3"/>
    </row>
    <row r="559" ht="12.75">
      <c r="F559" s="3"/>
    </row>
    <row r="560" ht="12.75">
      <c r="F560" s="3"/>
    </row>
    <row r="561" ht="12.75">
      <c r="F561" s="3"/>
    </row>
    <row r="562" ht="12.75">
      <c r="F562" s="3"/>
    </row>
    <row r="563" ht="12.75">
      <c r="F563" s="3"/>
    </row>
    <row r="564" ht="12.75">
      <c r="F564" s="3"/>
    </row>
    <row r="565" ht="12.75">
      <c r="F565" s="3"/>
    </row>
    <row r="566" ht="12.75">
      <c r="F566" s="3"/>
    </row>
    <row r="567" ht="12.75">
      <c r="F567" s="3"/>
    </row>
    <row r="568" ht="12.75">
      <c r="F568" s="3"/>
    </row>
    <row r="569" ht="12.75">
      <c r="F569" s="3"/>
    </row>
    <row r="570" ht="12.75">
      <c r="F570" s="3"/>
    </row>
    <row r="571" ht="12.75">
      <c r="F571" s="3"/>
    </row>
    <row r="572" ht="12.75">
      <c r="F572" s="3"/>
    </row>
    <row r="573" ht="12.75">
      <c r="F573" s="3"/>
    </row>
    <row r="574" ht="12.75">
      <c r="F574" s="3"/>
    </row>
    <row r="575" ht="12.75">
      <c r="F575" s="3"/>
    </row>
    <row r="576" ht="12.75">
      <c r="F576" s="3"/>
    </row>
    <row r="577" ht="12.75">
      <c r="F577" s="3"/>
    </row>
    <row r="578" ht="12.75">
      <c r="F578" s="3"/>
    </row>
    <row r="579" ht="12.75">
      <c r="F579" s="3"/>
    </row>
    <row r="580" ht="12.75">
      <c r="F580" s="3"/>
    </row>
    <row r="581" ht="12.75">
      <c r="F581" s="3"/>
    </row>
    <row r="582" ht="12.75">
      <c r="F582" s="3"/>
    </row>
    <row r="583" ht="12.75">
      <c r="F583" s="3"/>
    </row>
    <row r="584" ht="12.75">
      <c r="F584" s="3"/>
    </row>
    <row r="585" ht="12.75">
      <c r="F585" s="3"/>
    </row>
    <row r="586" ht="12.75">
      <c r="F586" s="3"/>
    </row>
    <row r="587" ht="12.75">
      <c r="F587" s="3"/>
    </row>
    <row r="588" ht="12.75">
      <c r="F588" s="3"/>
    </row>
    <row r="589" ht="12.75">
      <c r="F589" s="3"/>
    </row>
    <row r="590" ht="12.75">
      <c r="F590" s="3"/>
    </row>
    <row r="591" ht="12.75">
      <c r="F591" s="3"/>
    </row>
    <row r="592" ht="12.75">
      <c r="F592" s="3"/>
    </row>
    <row r="593" ht="12.75">
      <c r="F593" s="3"/>
    </row>
    <row r="594" ht="12.75">
      <c r="F594" s="3"/>
    </row>
    <row r="595" ht="12.75">
      <c r="F595" s="3"/>
    </row>
    <row r="596" ht="12.75">
      <c r="F596" s="3"/>
    </row>
    <row r="597" ht="12.75">
      <c r="F597" s="3"/>
    </row>
    <row r="598" ht="12.75">
      <c r="F598" s="3"/>
    </row>
    <row r="599" ht="12.75">
      <c r="F599" s="3"/>
    </row>
    <row r="600" ht="12.75">
      <c r="F600" s="3"/>
    </row>
    <row r="601" ht="12.75">
      <c r="F601" s="3"/>
    </row>
    <row r="602" ht="12.75">
      <c r="F602" s="3"/>
    </row>
    <row r="603" ht="12.75">
      <c r="F603" s="3"/>
    </row>
    <row r="604" ht="12.75">
      <c r="F604" s="3"/>
    </row>
    <row r="605" ht="12.75">
      <c r="F605" s="3"/>
    </row>
    <row r="606" ht="12.75">
      <c r="F606" s="3"/>
    </row>
    <row r="607" ht="12.75">
      <c r="F607" s="3"/>
    </row>
    <row r="608" ht="12.75">
      <c r="F608" s="3"/>
    </row>
    <row r="609" ht="12.75">
      <c r="F609" s="3"/>
    </row>
    <row r="610" ht="12.75">
      <c r="F610" s="3"/>
    </row>
    <row r="611" ht="12.75">
      <c r="F611" s="3"/>
    </row>
    <row r="612" ht="12.75">
      <c r="F612" s="3"/>
    </row>
    <row r="613" ht="12.75">
      <c r="F613" s="3"/>
    </row>
    <row r="614" ht="12.75">
      <c r="F614" s="3"/>
    </row>
    <row r="615" ht="12.75">
      <c r="F615" s="3"/>
    </row>
    <row r="616" ht="12.75">
      <c r="F616" s="3"/>
    </row>
    <row r="617" ht="12.75">
      <c r="F617" s="3"/>
    </row>
    <row r="618" ht="12.75">
      <c r="F618" s="3"/>
    </row>
    <row r="619" ht="12.75">
      <c r="F619" s="3"/>
    </row>
    <row r="620" ht="12.75">
      <c r="F620" s="3"/>
    </row>
    <row r="621" ht="12.75">
      <c r="F621" s="3"/>
    </row>
    <row r="622" ht="12.75">
      <c r="F622" s="3"/>
    </row>
    <row r="623" ht="12.75">
      <c r="F623" s="3"/>
    </row>
    <row r="624" ht="12.75">
      <c r="F624" s="3"/>
    </row>
    <row r="625" ht="12.75">
      <c r="F625" s="3"/>
    </row>
    <row r="626" ht="12.75">
      <c r="F626" s="3"/>
    </row>
    <row r="627" ht="12.75">
      <c r="F627" s="3"/>
    </row>
    <row r="628" ht="12.75">
      <c r="F628" s="3"/>
    </row>
    <row r="629" ht="12.75">
      <c r="F629" s="3"/>
    </row>
    <row r="630" ht="12.75">
      <c r="F630" s="3"/>
    </row>
    <row r="631" ht="12.75">
      <c r="F631" s="3"/>
    </row>
    <row r="632" ht="12.75">
      <c r="F632" s="3"/>
    </row>
    <row r="633" ht="12.75">
      <c r="F633" s="3"/>
    </row>
    <row r="634" ht="12.75">
      <c r="F634" s="3"/>
    </row>
    <row r="635" ht="12.75">
      <c r="F635" s="3"/>
    </row>
    <row r="636" ht="12.75">
      <c r="F636" s="3"/>
    </row>
    <row r="637" ht="12.75">
      <c r="F637" s="3"/>
    </row>
    <row r="638" ht="12.75">
      <c r="F638" s="3"/>
    </row>
    <row r="639" ht="12.75">
      <c r="F639" s="3"/>
    </row>
    <row r="640" ht="12.75">
      <c r="F640" s="3"/>
    </row>
    <row r="641" ht="12.75">
      <c r="F641" s="3"/>
    </row>
    <row r="642" ht="12.75">
      <c r="F642" s="3"/>
    </row>
    <row r="643" ht="12.75">
      <c r="F643" s="3"/>
    </row>
    <row r="644" ht="12.75">
      <c r="F644" s="3"/>
    </row>
    <row r="645" ht="12.75">
      <c r="F645" s="3"/>
    </row>
    <row r="646" ht="12.75">
      <c r="F646" s="3"/>
    </row>
    <row r="647" ht="12.75">
      <c r="F647" s="3"/>
    </row>
    <row r="648" ht="12.75">
      <c r="F648" s="3"/>
    </row>
    <row r="649" ht="12.75">
      <c r="F649" s="3"/>
    </row>
    <row r="650" ht="12.75">
      <c r="F650" s="3"/>
    </row>
    <row r="651" ht="12.75">
      <c r="F651" s="3"/>
    </row>
    <row r="652" ht="12.75">
      <c r="F652" s="3"/>
    </row>
    <row r="653" ht="12.75">
      <c r="F653" s="3"/>
    </row>
    <row r="654" ht="12.75">
      <c r="F654" s="3"/>
    </row>
    <row r="655" ht="12.75">
      <c r="F655" s="3"/>
    </row>
    <row r="656" ht="12.75">
      <c r="F656" s="3"/>
    </row>
    <row r="657" ht="12.75">
      <c r="F657" s="3"/>
    </row>
    <row r="658" ht="12.75">
      <c r="F658" s="3"/>
    </row>
    <row r="659" ht="12.75">
      <c r="F659" s="3"/>
    </row>
    <row r="660" ht="12.75">
      <c r="F660" s="3"/>
    </row>
    <row r="661" ht="12.75">
      <c r="F661" s="3"/>
    </row>
    <row r="662" ht="12.75">
      <c r="F662" s="3"/>
    </row>
    <row r="663" ht="12.75">
      <c r="F663" s="3"/>
    </row>
    <row r="664" ht="12.75">
      <c r="F664" s="3"/>
    </row>
    <row r="665" ht="12.75">
      <c r="F665" s="3"/>
    </row>
    <row r="666" ht="12.75">
      <c r="F666" s="3"/>
    </row>
    <row r="667" ht="12.75">
      <c r="F667" s="3"/>
    </row>
    <row r="668" ht="12.75">
      <c r="F668" s="3"/>
    </row>
    <row r="669" ht="12.75">
      <c r="F669" s="3"/>
    </row>
    <row r="670" ht="12.75">
      <c r="F670" s="3"/>
    </row>
    <row r="671" ht="12.75">
      <c r="F671" s="3"/>
    </row>
    <row r="672" ht="12.75">
      <c r="F672" s="3"/>
    </row>
    <row r="673" ht="12.75">
      <c r="F673" s="3"/>
    </row>
    <row r="674" ht="12.75">
      <c r="F674" s="3"/>
    </row>
    <row r="675" ht="12.75">
      <c r="F675" s="3"/>
    </row>
    <row r="676" ht="12.75">
      <c r="F676" s="3"/>
    </row>
    <row r="677" ht="12.75">
      <c r="F677" s="3"/>
    </row>
    <row r="678" ht="12.75">
      <c r="F678" s="3"/>
    </row>
    <row r="679" ht="12.75">
      <c r="F679" s="3"/>
    </row>
    <row r="680" ht="12.75">
      <c r="F680" s="3"/>
    </row>
    <row r="681" ht="12.75">
      <c r="F681" s="3"/>
    </row>
    <row r="682" ht="12.75">
      <c r="F682" s="3"/>
    </row>
    <row r="683" ht="12.75">
      <c r="F683" s="3"/>
    </row>
    <row r="684" ht="12.75">
      <c r="F684" s="3"/>
    </row>
    <row r="685" ht="12.75">
      <c r="F685" s="3"/>
    </row>
    <row r="686" ht="12.75">
      <c r="F686" s="3"/>
    </row>
    <row r="687" ht="12.75">
      <c r="F687" s="3"/>
    </row>
    <row r="688" ht="12.75">
      <c r="F688" s="3"/>
    </row>
    <row r="689" ht="12.75">
      <c r="F689" s="3"/>
    </row>
    <row r="690" ht="12.75">
      <c r="F690" s="3"/>
    </row>
    <row r="691" ht="12.75">
      <c r="F691" s="3"/>
    </row>
    <row r="692" ht="12.75">
      <c r="F692" s="3"/>
    </row>
    <row r="693" ht="12.75">
      <c r="F693" s="3"/>
    </row>
    <row r="694" ht="12.75">
      <c r="F694" s="3"/>
    </row>
    <row r="695" ht="12.75">
      <c r="F695" s="3"/>
    </row>
    <row r="696" ht="12.75">
      <c r="F696" s="3"/>
    </row>
    <row r="697" ht="12.75">
      <c r="F697" s="3"/>
    </row>
    <row r="698" ht="12.75">
      <c r="F698" s="3"/>
    </row>
    <row r="699" ht="12.75">
      <c r="F699" s="3"/>
    </row>
    <row r="700" ht="12.75">
      <c r="F700" s="3"/>
    </row>
    <row r="701" ht="12.75">
      <c r="F701" s="3"/>
    </row>
    <row r="702" ht="12.75">
      <c r="F702" s="3"/>
    </row>
    <row r="703" ht="12.75">
      <c r="F703" s="3"/>
    </row>
    <row r="704" ht="12.75">
      <c r="F704" s="3"/>
    </row>
    <row r="705" ht="12.75">
      <c r="F705" s="3"/>
    </row>
    <row r="706" ht="12.75">
      <c r="F706" s="3"/>
    </row>
    <row r="707" ht="12.75">
      <c r="F707" s="3"/>
    </row>
    <row r="708" ht="12.75">
      <c r="F708" s="3"/>
    </row>
    <row r="709" ht="12.75">
      <c r="F709" s="3"/>
    </row>
    <row r="710" ht="12.75">
      <c r="F710" s="3"/>
    </row>
    <row r="711" ht="12.75">
      <c r="F711" s="3"/>
    </row>
    <row r="712" ht="12.75">
      <c r="F712" s="3"/>
    </row>
    <row r="713" ht="12.75">
      <c r="F713" s="3"/>
    </row>
    <row r="714" ht="12.75">
      <c r="F714" s="3"/>
    </row>
    <row r="715" ht="12.75">
      <c r="F715" s="3"/>
    </row>
    <row r="716" ht="12.75">
      <c r="F716" s="3"/>
    </row>
    <row r="717" ht="12.75">
      <c r="F717" s="3"/>
    </row>
    <row r="718" ht="12.75">
      <c r="F718" s="3"/>
    </row>
    <row r="719" ht="12.75">
      <c r="F719" s="3"/>
    </row>
    <row r="720" ht="12.75">
      <c r="F720" s="3"/>
    </row>
    <row r="721" ht="12.75">
      <c r="F721" s="3"/>
    </row>
    <row r="722" ht="12.75">
      <c r="F722" s="3"/>
    </row>
    <row r="723" ht="12.75">
      <c r="F723" s="3"/>
    </row>
    <row r="724" ht="12.75">
      <c r="F724" s="3"/>
    </row>
    <row r="725" ht="12.75">
      <c r="F725" s="3"/>
    </row>
    <row r="726" ht="12.75">
      <c r="F726" s="3"/>
    </row>
    <row r="727" ht="12.75">
      <c r="F727" s="3"/>
    </row>
    <row r="728" ht="12.75">
      <c r="F728" s="3"/>
    </row>
    <row r="729" ht="12.75">
      <c r="F729" s="3"/>
    </row>
    <row r="730" ht="12.75">
      <c r="F730" s="3"/>
    </row>
    <row r="731" ht="12.75">
      <c r="F731" s="3"/>
    </row>
    <row r="732" ht="12.75">
      <c r="F732" s="3"/>
    </row>
    <row r="733" ht="12.75">
      <c r="F733" s="3"/>
    </row>
    <row r="734" ht="12.75">
      <c r="F734" s="3"/>
    </row>
    <row r="735" ht="12.75">
      <c r="F735" s="3"/>
    </row>
    <row r="736" ht="12.75">
      <c r="F736" s="3"/>
    </row>
    <row r="737" ht="12.75">
      <c r="F737" s="3"/>
    </row>
    <row r="738" ht="12.75">
      <c r="F738" s="3"/>
    </row>
    <row r="739" ht="12.75">
      <c r="F739" s="3"/>
    </row>
    <row r="740" ht="12.75">
      <c r="F740" s="3"/>
    </row>
    <row r="741" ht="12.75">
      <c r="F741" s="3"/>
    </row>
    <row r="742" ht="12.75">
      <c r="F742" s="3"/>
    </row>
    <row r="743" ht="12.75">
      <c r="F743" s="3"/>
    </row>
    <row r="744" ht="12.75">
      <c r="F744" s="3"/>
    </row>
    <row r="745" ht="12.75">
      <c r="F745" s="3"/>
    </row>
    <row r="746" ht="12.75">
      <c r="F746" s="3"/>
    </row>
    <row r="747" ht="12.75">
      <c r="F747" s="3"/>
    </row>
    <row r="748" ht="12.75">
      <c r="F748" s="3"/>
    </row>
    <row r="749" ht="12.75">
      <c r="F749" s="3"/>
    </row>
    <row r="750" ht="12.75">
      <c r="F750" s="3"/>
    </row>
    <row r="751" ht="12.75">
      <c r="F751" s="3"/>
    </row>
    <row r="752" ht="12.75">
      <c r="F752" s="3"/>
    </row>
    <row r="753" ht="12.75">
      <c r="F753" s="3"/>
    </row>
    <row r="754" ht="12.75">
      <c r="F754" s="3"/>
    </row>
    <row r="755" ht="12.75">
      <c r="F755" s="3"/>
    </row>
    <row r="756" ht="12.75">
      <c r="F756" s="3"/>
    </row>
    <row r="757" ht="12.75">
      <c r="F757" s="3"/>
    </row>
    <row r="758" ht="12.75">
      <c r="F758" s="3"/>
    </row>
    <row r="759" ht="12.75">
      <c r="F759" s="3"/>
    </row>
    <row r="760" ht="12.75">
      <c r="F760" s="3"/>
    </row>
    <row r="761" ht="12.75">
      <c r="F761" s="3"/>
    </row>
    <row r="762" ht="12.75">
      <c r="F762" s="3"/>
    </row>
    <row r="763" ht="12.75">
      <c r="F763" s="3"/>
    </row>
    <row r="764" ht="12.75">
      <c r="F764" s="3"/>
    </row>
    <row r="765" ht="12.75">
      <c r="F765" s="3"/>
    </row>
    <row r="766" ht="12.75">
      <c r="F766" s="3"/>
    </row>
    <row r="767" ht="12.75">
      <c r="F767" s="3"/>
    </row>
    <row r="768" ht="12.75">
      <c r="F768" s="3"/>
    </row>
    <row r="769" ht="12.75">
      <c r="F769" s="3"/>
    </row>
    <row r="770" ht="12.75">
      <c r="F770" s="3"/>
    </row>
    <row r="771" ht="12.75">
      <c r="F771" s="3"/>
    </row>
    <row r="772" ht="12.75">
      <c r="F772" s="3"/>
    </row>
    <row r="773" ht="12.75">
      <c r="F773" s="3"/>
    </row>
    <row r="774" ht="12.75">
      <c r="F774" s="3"/>
    </row>
    <row r="775" ht="12.75">
      <c r="F775" s="3"/>
    </row>
    <row r="776" ht="12.75">
      <c r="F776" s="3"/>
    </row>
    <row r="777" ht="12.75">
      <c r="F777" s="3"/>
    </row>
    <row r="778" ht="12.75">
      <c r="F778" s="3"/>
    </row>
    <row r="779" ht="12.75">
      <c r="F779" s="3"/>
    </row>
    <row r="780" ht="12.75">
      <c r="F780" s="3"/>
    </row>
    <row r="781" ht="12.75">
      <c r="F781" s="3"/>
    </row>
    <row r="782" ht="12.75">
      <c r="F782" s="3"/>
    </row>
    <row r="783" ht="12.75">
      <c r="F783" s="3"/>
    </row>
    <row r="784" ht="12.75">
      <c r="F784" s="3"/>
    </row>
    <row r="785" ht="12.75">
      <c r="F785" s="3"/>
    </row>
    <row r="786" ht="12.75">
      <c r="F786" s="3"/>
    </row>
    <row r="787" ht="12.75">
      <c r="F787" s="3"/>
    </row>
    <row r="788" ht="12.75">
      <c r="F788" s="3"/>
    </row>
    <row r="789" ht="12.75">
      <c r="F789" s="3"/>
    </row>
    <row r="790" ht="12.75">
      <c r="F790" s="3"/>
    </row>
    <row r="791" ht="12.75">
      <c r="F791" s="3"/>
    </row>
    <row r="792" ht="12.75">
      <c r="F792" s="3"/>
    </row>
    <row r="793" ht="12.75">
      <c r="F793" s="3"/>
    </row>
    <row r="794" ht="12.75">
      <c r="F794" s="3"/>
    </row>
    <row r="795" ht="12.75">
      <c r="F795" s="3"/>
    </row>
    <row r="796" ht="12.75">
      <c r="F796" s="3"/>
    </row>
    <row r="797" ht="12.75">
      <c r="F797" s="3"/>
    </row>
    <row r="798" ht="12.75">
      <c r="F798" s="3"/>
    </row>
    <row r="799" ht="12.75">
      <c r="F799" s="3"/>
    </row>
    <row r="800" ht="12.75">
      <c r="F800" s="3"/>
    </row>
    <row r="801" ht="12.75">
      <c r="F801" s="3"/>
    </row>
    <row r="802" ht="12.75">
      <c r="F802" s="3"/>
    </row>
    <row r="803" ht="12.75">
      <c r="F803" s="3"/>
    </row>
    <row r="804" ht="12.75">
      <c r="F804" s="3"/>
    </row>
    <row r="805" ht="12.75">
      <c r="F805" s="3"/>
    </row>
    <row r="806" ht="12.75">
      <c r="F806" s="3"/>
    </row>
    <row r="807" ht="12.75">
      <c r="F807" s="3"/>
    </row>
    <row r="808" ht="12.75">
      <c r="F808" s="3"/>
    </row>
    <row r="809" ht="12.75">
      <c r="F809" s="3"/>
    </row>
    <row r="810" ht="12.75">
      <c r="F810" s="3"/>
    </row>
    <row r="811" ht="12.75">
      <c r="F811" s="3"/>
    </row>
    <row r="812" ht="12.75">
      <c r="F812" s="3"/>
    </row>
    <row r="813" ht="12.75">
      <c r="F813" s="3"/>
    </row>
    <row r="814" ht="12.75">
      <c r="F814" s="3"/>
    </row>
    <row r="815" ht="12.75">
      <c r="F815" s="3"/>
    </row>
    <row r="816" ht="12.75">
      <c r="F816" s="3"/>
    </row>
    <row r="817" ht="12.75">
      <c r="F817" s="3"/>
    </row>
    <row r="818" ht="12.75">
      <c r="F818" s="3"/>
    </row>
    <row r="819" ht="12.75">
      <c r="F819" s="3"/>
    </row>
    <row r="820" ht="12.75">
      <c r="F820" s="3"/>
    </row>
    <row r="821" ht="12.75">
      <c r="F821" s="3"/>
    </row>
    <row r="822" ht="12.75">
      <c r="F822" s="3"/>
    </row>
    <row r="823" ht="12.75">
      <c r="F823" s="3"/>
    </row>
    <row r="824" ht="12.75">
      <c r="F824" s="3"/>
    </row>
    <row r="825" ht="12.75">
      <c r="F825" s="3"/>
    </row>
    <row r="826" ht="12.75">
      <c r="F826" s="3"/>
    </row>
    <row r="827" ht="12.75">
      <c r="F827" s="3"/>
    </row>
    <row r="828" ht="12.75">
      <c r="F828" s="3"/>
    </row>
    <row r="829" ht="12.75">
      <c r="F829" s="3"/>
    </row>
    <row r="830" ht="12.75">
      <c r="F830" s="3"/>
    </row>
    <row r="831" ht="12.75">
      <c r="F831" s="3"/>
    </row>
    <row r="832" ht="12.75">
      <c r="F832" s="3"/>
    </row>
    <row r="833" ht="12.75">
      <c r="F833" s="3"/>
    </row>
    <row r="834" ht="12.75">
      <c r="F834" s="3"/>
    </row>
    <row r="835" ht="12.75">
      <c r="F835" s="3"/>
    </row>
    <row r="836" ht="12.75">
      <c r="F836" s="3"/>
    </row>
    <row r="837" ht="12.75">
      <c r="F837" s="3"/>
    </row>
    <row r="838" ht="12.75">
      <c r="F838" s="3"/>
    </row>
    <row r="839" ht="12.75">
      <c r="F839" s="3"/>
    </row>
    <row r="840" ht="12.75">
      <c r="F840" s="3"/>
    </row>
    <row r="841" ht="12.75">
      <c r="F841" s="3"/>
    </row>
    <row r="842" ht="12.75">
      <c r="F842" s="3"/>
    </row>
    <row r="843" ht="12.75">
      <c r="F843" s="3"/>
    </row>
    <row r="844" ht="12.75">
      <c r="F844" s="3"/>
    </row>
    <row r="845" ht="12.75">
      <c r="F845" s="3"/>
    </row>
    <row r="846" ht="12.75">
      <c r="F846" s="3"/>
    </row>
    <row r="847" ht="12.75">
      <c r="F847" s="3"/>
    </row>
    <row r="848" ht="12.75">
      <c r="F848" s="3"/>
    </row>
    <row r="849" ht="12.75">
      <c r="F849" s="3"/>
    </row>
    <row r="850" ht="12.75">
      <c r="F850" s="3"/>
    </row>
    <row r="851" ht="12.75">
      <c r="F851" s="3"/>
    </row>
    <row r="852" ht="12.75">
      <c r="F852" s="3"/>
    </row>
    <row r="853" ht="12.75">
      <c r="F853" s="3"/>
    </row>
    <row r="854" ht="12.75">
      <c r="F854" s="3"/>
    </row>
    <row r="855" ht="12.75">
      <c r="F855" s="3"/>
    </row>
    <row r="856" ht="12.75">
      <c r="F856" s="3"/>
    </row>
    <row r="857" ht="12.75">
      <c r="F857" s="3"/>
    </row>
    <row r="858" ht="12.75">
      <c r="F858" s="3"/>
    </row>
    <row r="859" ht="12.75">
      <c r="F859" s="3"/>
    </row>
    <row r="860" ht="12.75">
      <c r="F860" s="3"/>
    </row>
    <row r="861" ht="12.75">
      <c r="F861" s="3"/>
    </row>
    <row r="862" ht="12.75">
      <c r="F862" s="3"/>
    </row>
    <row r="863" ht="12.75">
      <c r="F863" s="3"/>
    </row>
    <row r="864" ht="12.75">
      <c r="F864" s="3"/>
    </row>
    <row r="865" ht="12.75">
      <c r="F865" s="3"/>
    </row>
    <row r="866" ht="12.75">
      <c r="F866" s="3"/>
    </row>
    <row r="867" ht="12.75">
      <c r="F867" s="3"/>
    </row>
    <row r="868" ht="12.75">
      <c r="F868" s="3"/>
    </row>
    <row r="869" ht="12.75">
      <c r="F869" s="3"/>
    </row>
    <row r="870" ht="12.75">
      <c r="F870" s="3"/>
    </row>
    <row r="871" ht="12.75">
      <c r="F871" s="3"/>
    </row>
    <row r="872" ht="12.75">
      <c r="F872" s="3"/>
    </row>
    <row r="873" ht="12.75">
      <c r="F873" s="3"/>
    </row>
    <row r="874" ht="12.75">
      <c r="F874" s="3"/>
    </row>
    <row r="875" ht="12.75">
      <c r="F875" s="3"/>
    </row>
    <row r="876" ht="12.75">
      <c r="F876" s="3"/>
    </row>
    <row r="877" ht="12.75">
      <c r="F877" s="3"/>
    </row>
    <row r="878" ht="12.75">
      <c r="F878" s="3"/>
    </row>
    <row r="879" ht="12.75">
      <c r="F879" s="3"/>
    </row>
    <row r="880" ht="12.75">
      <c r="F880" s="3"/>
    </row>
    <row r="881" ht="12.75">
      <c r="F881" s="3"/>
    </row>
    <row r="882" ht="12.75">
      <c r="F882" s="3"/>
    </row>
    <row r="883" ht="12.75">
      <c r="F883" s="3"/>
    </row>
    <row r="884" ht="12.75">
      <c r="F884" s="3"/>
    </row>
    <row r="885" ht="12.75">
      <c r="F885" s="3"/>
    </row>
    <row r="886" ht="12.75">
      <c r="F886" s="3"/>
    </row>
    <row r="887" ht="12.75">
      <c r="F887" s="3"/>
    </row>
    <row r="888" ht="12.75">
      <c r="F888" s="3"/>
    </row>
    <row r="889" ht="12.75">
      <c r="F889" s="3"/>
    </row>
    <row r="890" ht="12.75">
      <c r="F890" s="3"/>
    </row>
    <row r="891" ht="12.75">
      <c r="F891" s="3"/>
    </row>
    <row r="892" ht="12.75">
      <c r="F892" s="3"/>
    </row>
    <row r="893" ht="12.75">
      <c r="F893" s="3"/>
    </row>
    <row r="894" ht="12.75">
      <c r="F894" s="3"/>
    </row>
    <row r="895" ht="12.75">
      <c r="F895" s="3"/>
    </row>
    <row r="896" ht="12.75">
      <c r="F896" s="3"/>
    </row>
    <row r="897" ht="12.75">
      <c r="F897" s="3"/>
    </row>
    <row r="898" ht="12.75">
      <c r="F898" s="3"/>
    </row>
    <row r="899" ht="12.75">
      <c r="F899" s="3"/>
    </row>
    <row r="900" ht="12.75">
      <c r="F900" s="3"/>
    </row>
    <row r="901" ht="12.75">
      <c r="F901" s="3"/>
    </row>
    <row r="902" ht="12.75">
      <c r="F902" s="3"/>
    </row>
    <row r="903" ht="12.75">
      <c r="F903" s="3"/>
    </row>
    <row r="904" ht="12.75">
      <c r="F904" s="3"/>
    </row>
    <row r="905" ht="12.75">
      <c r="F905" s="3"/>
    </row>
    <row r="906" ht="12.75">
      <c r="F906" s="3"/>
    </row>
    <row r="907" ht="12.75">
      <c r="F907" s="3"/>
    </row>
    <row r="908" ht="12.75">
      <c r="F908" s="3"/>
    </row>
    <row r="909" ht="12.75">
      <c r="F909" s="3"/>
    </row>
    <row r="910" ht="12.75">
      <c r="F910" s="3"/>
    </row>
    <row r="911" ht="12.75">
      <c r="F911" s="3"/>
    </row>
    <row r="912" ht="12.75">
      <c r="F912" s="3"/>
    </row>
    <row r="913" ht="12.75">
      <c r="F913" s="3"/>
    </row>
    <row r="914" ht="12.75">
      <c r="F914" s="3"/>
    </row>
    <row r="915" ht="12.75">
      <c r="F915" s="3"/>
    </row>
    <row r="916" ht="12.75">
      <c r="F916" s="3"/>
    </row>
    <row r="917" ht="12.75">
      <c r="F917" s="3"/>
    </row>
    <row r="918" ht="12.75">
      <c r="F918" s="3"/>
    </row>
    <row r="919" ht="12.75">
      <c r="F919" s="3"/>
    </row>
    <row r="920" ht="12.75">
      <c r="F920" s="3"/>
    </row>
    <row r="921" ht="12.75">
      <c r="F921" s="3"/>
    </row>
    <row r="922" ht="12.75">
      <c r="F922" s="3"/>
    </row>
    <row r="923" ht="12.75">
      <c r="F923" s="3"/>
    </row>
    <row r="924" ht="12.75">
      <c r="F924" s="3"/>
    </row>
    <row r="925" ht="12.75">
      <c r="F925" s="3"/>
    </row>
    <row r="926" ht="12.75">
      <c r="F926" s="3"/>
    </row>
    <row r="927" ht="12.75">
      <c r="F927" s="3"/>
    </row>
    <row r="928" ht="12.75">
      <c r="F928" s="3"/>
    </row>
    <row r="929" ht="12.75">
      <c r="F929" s="3"/>
    </row>
    <row r="930" ht="12.75">
      <c r="F930" s="3"/>
    </row>
    <row r="931" ht="12.75">
      <c r="F931" s="3"/>
    </row>
    <row r="932" ht="12.75">
      <c r="F932" s="3"/>
    </row>
    <row r="933" ht="12.75">
      <c r="F933" s="3"/>
    </row>
    <row r="934" ht="12.75">
      <c r="F934" s="3"/>
    </row>
    <row r="935" ht="12.75">
      <c r="F935" s="3"/>
    </row>
    <row r="936" ht="12.75">
      <c r="F936" s="3"/>
    </row>
    <row r="937" ht="12.75">
      <c r="F937" s="3"/>
    </row>
    <row r="938" ht="12.75">
      <c r="F938" s="3"/>
    </row>
    <row r="939" ht="12.75">
      <c r="F939" s="3"/>
    </row>
    <row r="940" ht="12.75">
      <c r="F940" s="3"/>
    </row>
    <row r="941" ht="12.75">
      <c r="F941" s="3"/>
    </row>
    <row r="942" ht="12.75">
      <c r="F942" s="3"/>
    </row>
    <row r="943" ht="12.75">
      <c r="F943" s="3"/>
    </row>
    <row r="944" ht="12.75">
      <c r="F944" s="3"/>
    </row>
    <row r="945" ht="12.75">
      <c r="F945" s="3"/>
    </row>
    <row r="946" ht="12.75">
      <c r="F946" s="3"/>
    </row>
    <row r="947" ht="12.75">
      <c r="F947" s="3"/>
    </row>
    <row r="948" ht="12.75">
      <c r="F948" s="3"/>
    </row>
    <row r="949" ht="12.75">
      <c r="F949" s="3"/>
    </row>
    <row r="950" ht="12.75">
      <c r="F950" s="3"/>
    </row>
    <row r="951" ht="12.75">
      <c r="F951" s="3"/>
    </row>
    <row r="952" ht="12.75">
      <c r="F952" s="3"/>
    </row>
    <row r="953" ht="12.75">
      <c r="F953" s="3"/>
    </row>
    <row r="954" ht="12.75">
      <c r="F954" s="3"/>
    </row>
    <row r="955" ht="12.75">
      <c r="F955" s="3"/>
    </row>
    <row r="956" ht="12.75">
      <c r="F956" s="3"/>
    </row>
    <row r="957" ht="12.75">
      <c r="F957" s="3"/>
    </row>
    <row r="958" ht="12.75">
      <c r="F958" s="3"/>
    </row>
    <row r="959" ht="12.75">
      <c r="F959" s="3"/>
    </row>
    <row r="960" ht="12.75">
      <c r="F960" s="3"/>
    </row>
    <row r="961" ht="12.75">
      <c r="F961" s="3"/>
    </row>
    <row r="962" ht="12.75">
      <c r="F962" s="3"/>
    </row>
    <row r="963" ht="12.75">
      <c r="F963" s="3"/>
    </row>
    <row r="964" ht="12.75">
      <c r="F964" s="3"/>
    </row>
    <row r="965" ht="12.75">
      <c r="F965" s="3"/>
    </row>
    <row r="966" ht="12.75">
      <c r="F966" s="3"/>
    </row>
    <row r="967" ht="12.75">
      <c r="F967" s="3"/>
    </row>
    <row r="968" ht="12.75">
      <c r="F968" s="3"/>
    </row>
    <row r="969" ht="12.75">
      <c r="F969" s="3"/>
    </row>
    <row r="970" ht="12.75">
      <c r="F970" s="3"/>
    </row>
    <row r="971" ht="12.75">
      <c r="F971" s="3"/>
    </row>
    <row r="972" ht="12.75">
      <c r="F972" s="3"/>
    </row>
    <row r="973" ht="12.75">
      <c r="F973" s="3"/>
    </row>
    <row r="974" ht="12.75">
      <c r="F974" s="3"/>
    </row>
    <row r="975" ht="12.75">
      <c r="F975" s="3"/>
    </row>
    <row r="976" ht="12.75">
      <c r="F976" s="3"/>
    </row>
    <row r="977" ht="12.75">
      <c r="F977" s="3"/>
    </row>
    <row r="978" ht="12.75">
      <c r="F978" s="3"/>
    </row>
    <row r="979" ht="12.75">
      <c r="F979" s="3"/>
    </row>
    <row r="980" ht="12.75">
      <c r="F980" s="3"/>
    </row>
    <row r="981" ht="12.75">
      <c r="F981" s="3"/>
    </row>
    <row r="982" ht="12.75">
      <c r="F982" s="3"/>
    </row>
    <row r="983" ht="12.75">
      <c r="F983" s="3"/>
    </row>
    <row r="984" ht="12.75">
      <c r="F984" s="3"/>
    </row>
    <row r="985" ht="12.75">
      <c r="F985" s="3"/>
    </row>
    <row r="986" ht="12.75">
      <c r="F986" s="3"/>
    </row>
    <row r="987" ht="12.75">
      <c r="F987" s="3"/>
    </row>
    <row r="988" ht="12.75">
      <c r="F988" s="3"/>
    </row>
    <row r="989" ht="12.75">
      <c r="F989" s="3"/>
    </row>
    <row r="990" ht="12.75">
      <c r="F990" s="3"/>
    </row>
    <row r="991" ht="12.75">
      <c r="F991" s="3"/>
    </row>
    <row r="992" ht="12.75">
      <c r="F992" s="3"/>
    </row>
    <row r="993" ht="12.75">
      <c r="F993" s="3"/>
    </row>
    <row r="994" ht="12.75">
      <c r="F994" s="3"/>
    </row>
    <row r="995" ht="12.75">
      <c r="F995" s="3"/>
    </row>
    <row r="996" ht="12.75">
      <c r="F996" s="3"/>
    </row>
    <row r="997" ht="12.75">
      <c r="F997" s="3"/>
    </row>
    <row r="998" ht="12.75">
      <c r="F998" s="3"/>
    </row>
    <row r="999" ht="12.75">
      <c r="F999" s="3"/>
    </row>
    <row r="1000" ht="12.75">
      <c r="F1000" s="3"/>
    </row>
    <row r="1001" ht="12.75">
      <c r="F1001" s="3"/>
    </row>
    <row r="1002" ht="12.75">
      <c r="F1002" s="3"/>
    </row>
    <row r="1003" ht="12.75">
      <c r="F1003" s="3"/>
    </row>
    <row r="1004" ht="12.75">
      <c r="F1004" s="3"/>
    </row>
    <row r="1005" ht="12.75">
      <c r="F1005" s="3"/>
    </row>
    <row r="1006" ht="12.75">
      <c r="F1006" s="3"/>
    </row>
    <row r="1007" ht="12.75">
      <c r="F1007" s="3"/>
    </row>
    <row r="1008" ht="12.75">
      <c r="F1008" s="3"/>
    </row>
    <row r="1009" ht="12.75">
      <c r="F1009" s="3"/>
    </row>
    <row r="1010" ht="12.75">
      <c r="F1010" s="3"/>
    </row>
    <row r="1011" ht="12.75">
      <c r="F1011" s="3"/>
    </row>
    <row r="1012" ht="12.75">
      <c r="F1012" s="3"/>
    </row>
    <row r="1013" ht="12.75">
      <c r="F1013" s="3"/>
    </row>
    <row r="1014" ht="12.75">
      <c r="F1014" s="3"/>
    </row>
    <row r="1015" ht="12.75">
      <c r="F1015" s="3"/>
    </row>
    <row r="1016" ht="12.75">
      <c r="F1016" s="3"/>
    </row>
    <row r="1017" ht="12.75">
      <c r="F1017" s="3"/>
    </row>
    <row r="1018" ht="12.75">
      <c r="F1018" s="3"/>
    </row>
    <row r="1019" ht="12.75">
      <c r="F1019" s="3"/>
    </row>
    <row r="1020" ht="12.75">
      <c r="F1020" s="3"/>
    </row>
    <row r="1021" ht="12.75">
      <c r="F1021" s="3"/>
    </row>
    <row r="1022" ht="12.75">
      <c r="F1022" s="3"/>
    </row>
    <row r="1023" ht="12.75">
      <c r="F1023" s="3"/>
    </row>
    <row r="1024" ht="12.75">
      <c r="F1024" s="3"/>
    </row>
    <row r="1025" ht="12.75">
      <c r="F1025" s="3"/>
    </row>
    <row r="1026" ht="12.75">
      <c r="F1026" s="3"/>
    </row>
    <row r="1027" ht="12.75">
      <c r="F1027" s="3"/>
    </row>
    <row r="1028" ht="12.75">
      <c r="F1028" s="3"/>
    </row>
    <row r="1029" ht="12.75">
      <c r="F1029" s="3"/>
    </row>
    <row r="1030" ht="12.75">
      <c r="F1030" s="3"/>
    </row>
    <row r="1031" ht="12.75">
      <c r="F1031" s="3"/>
    </row>
    <row r="1032" ht="12.75">
      <c r="F1032" s="3"/>
    </row>
    <row r="1033" ht="12.75">
      <c r="F1033" s="3"/>
    </row>
    <row r="1034" ht="12.75">
      <c r="F1034" s="3"/>
    </row>
    <row r="1035" ht="12.75">
      <c r="F1035" s="3"/>
    </row>
    <row r="1036" ht="12.75">
      <c r="F1036" s="3"/>
    </row>
    <row r="1037" ht="12.75">
      <c r="F1037" s="3"/>
    </row>
    <row r="1038" ht="12.75">
      <c r="F1038" s="3"/>
    </row>
    <row r="1039" ht="12.75">
      <c r="F1039" s="3"/>
    </row>
    <row r="1040" ht="12.75">
      <c r="F1040" s="3"/>
    </row>
    <row r="1041" ht="12.75">
      <c r="F1041" s="3"/>
    </row>
    <row r="1042" ht="12.75">
      <c r="F1042" s="3"/>
    </row>
    <row r="1043" ht="12.75">
      <c r="F1043" s="3"/>
    </row>
    <row r="1044" ht="12.75">
      <c r="F1044" s="3"/>
    </row>
    <row r="1045" ht="12.75">
      <c r="F1045" s="3"/>
    </row>
    <row r="1046" ht="12.75">
      <c r="F1046" s="3"/>
    </row>
    <row r="1047" ht="12.75">
      <c r="F1047" s="3"/>
    </row>
    <row r="1048" ht="12.75">
      <c r="F1048" s="3"/>
    </row>
    <row r="1049" ht="12.75">
      <c r="F1049" s="3"/>
    </row>
    <row r="1050" ht="12.75">
      <c r="F1050" s="3"/>
    </row>
    <row r="1051" ht="12.75">
      <c r="F1051" s="3"/>
    </row>
    <row r="1052" ht="12.75">
      <c r="F1052" s="3"/>
    </row>
    <row r="1053" ht="12.75">
      <c r="F1053" s="3"/>
    </row>
    <row r="1054" ht="12.75">
      <c r="F1054" s="3"/>
    </row>
    <row r="1055" ht="12.75">
      <c r="F1055" s="3"/>
    </row>
    <row r="1056" ht="12.75">
      <c r="F1056" s="3"/>
    </row>
    <row r="1057" ht="12.75">
      <c r="F1057" s="3"/>
    </row>
    <row r="1058" ht="12.75">
      <c r="F1058" s="3"/>
    </row>
    <row r="1059" ht="12.75">
      <c r="F1059" s="3"/>
    </row>
    <row r="1060" ht="12.75">
      <c r="F1060" s="3"/>
    </row>
    <row r="1061" ht="12.75">
      <c r="F1061" s="3"/>
    </row>
    <row r="1062" ht="12.75">
      <c r="F1062" s="3"/>
    </row>
    <row r="1063" ht="12.75">
      <c r="F1063" s="3"/>
    </row>
    <row r="1064" ht="12.75">
      <c r="F1064" s="3"/>
    </row>
    <row r="1065" ht="12.75">
      <c r="F1065" s="3"/>
    </row>
    <row r="1066" ht="12.75">
      <c r="F1066" s="3"/>
    </row>
    <row r="1067" ht="12.75">
      <c r="F1067" s="3"/>
    </row>
    <row r="1068" ht="12.75">
      <c r="F1068" s="3"/>
    </row>
    <row r="1069" ht="12.75">
      <c r="F1069" s="3"/>
    </row>
    <row r="1070" ht="12.75">
      <c r="F1070" s="3"/>
    </row>
    <row r="1071" ht="12.75">
      <c r="F1071" s="3"/>
    </row>
    <row r="1072" ht="12.75">
      <c r="F1072" s="3"/>
    </row>
    <row r="1073" ht="12.75">
      <c r="F1073" s="3"/>
    </row>
    <row r="1074" ht="12.75">
      <c r="F1074" s="3"/>
    </row>
    <row r="1075" ht="12.75">
      <c r="F1075" s="3"/>
    </row>
    <row r="1076" ht="12.75">
      <c r="F1076" s="3"/>
    </row>
    <row r="1077" ht="12.75">
      <c r="F1077" s="3"/>
    </row>
    <row r="1078" ht="12.75">
      <c r="F1078" s="3"/>
    </row>
    <row r="1079" ht="12.75">
      <c r="F1079" s="3"/>
    </row>
    <row r="1080" ht="12.75">
      <c r="F1080" s="3"/>
    </row>
    <row r="1081" ht="12.75">
      <c r="F1081" s="3"/>
    </row>
    <row r="1082" ht="12.75">
      <c r="F1082" s="3"/>
    </row>
    <row r="1083" ht="12.75">
      <c r="F1083" s="3"/>
    </row>
    <row r="1084" ht="12.75">
      <c r="F1084" s="3"/>
    </row>
    <row r="1085" ht="12.75">
      <c r="F1085" s="3"/>
    </row>
    <row r="1086" ht="12.75">
      <c r="F1086" s="3"/>
    </row>
    <row r="1087" ht="12.75">
      <c r="F1087" s="3"/>
    </row>
    <row r="1088" ht="12.75">
      <c r="F1088" s="3"/>
    </row>
    <row r="1089" ht="12.75">
      <c r="F1089" s="3"/>
    </row>
    <row r="1090" ht="12.75">
      <c r="F1090" s="3"/>
    </row>
    <row r="1091" ht="12.75">
      <c r="F1091" s="3"/>
    </row>
    <row r="1092" ht="12.75">
      <c r="F1092" s="3"/>
    </row>
    <row r="1093" ht="12.75">
      <c r="F1093" s="3"/>
    </row>
    <row r="1094" ht="12.75">
      <c r="F1094" s="3"/>
    </row>
    <row r="1095" ht="12.75">
      <c r="F1095" s="3"/>
    </row>
    <row r="1096" ht="12.75">
      <c r="F1096" s="3"/>
    </row>
    <row r="1097" ht="12.75">
      <c r="F1097" s="3"/>
    </row>
    <row r="1098" ht="12.75">
      <c r="F1098" s="3"/>
    </row>
    <row r="1099" ht="12.75">
      <c r="F1099" s="3"/>
    </row>
    <row r="1100" ht="12.75">
      <c r="F1100" s="3"/>
    </row>
    <row r="1101" ht="12.75">
      <c r="F1101" s="3"/>
    </row>
    <row r="1102" ht="12.75">
      <c r="F1102" s="3"/>
    </row>
    <row r="1103" ht="12.75">
      <c r="F1103" s="3"/>
    </row>
    <row r="1104" ht="12.75">
      <c r="F1104" s="3"/>
    </row>
    <row r="1105" ht="12.75">
      <c r="F1105" s="3"/>
    </row>
    <row r="1106" ht="12.75">
      <c r="F1106" s="3"/>
    </row>
    <row r="1107" ht="12.75">
      <c r="F1107" s="3"/>
    </row>
    <row r="1108" ht="12.75">
      <c r="F1108" s="3"/>
    </row>
    <row r="1109" ht="12.75">
      <c r="F1109" s="3"/>
    </row>
    <row r="1110" ht="12.75">
      <c r="F1110" s="3"/>
    </row>
    <row r="1111" ht="12.75">
      <c r="F1111" s="3"/>
    </row>
    <row r="1112" ht="12.75">
      <c r="F1112" s="3"/>
    </row>
    <row r="1113" ht="12.75">
      <c r="F1113" s="3"/>
    </row>
    <row r="1114" ht="12.75">
      <c r="F1114" s="3"/>
    </row>
    <row r="1115" ht="12.75">
      <c r="F1115" s="3"/>
    </row>
    <row r="1116" ht="12.75">
      <c r="F1116" s="3"/>
    </row>
    <row r="1117" ht="12.75">
      <c r="F1117" s="3"/>
    </row>
    <row r="1118" ht="12.75">
      <c r="F1118" s="3"/>
    </row>
    <row r="1119" ht="12.75">
      <c r="F1119" s="3"/>
    </row>
    <row r="1120" ht="12.75">
      <c r="F1120" s="3"/>
    </row>
    <row r="1121" ht="12.75">
      <c r="F1121" s="3"/>
    </row>
    <row r="1122" ht="12.75">
      <c r="F1122" s="3"/>
    </row>
    <row r="1123" ht="12.75">
      <c r="F1123" s="3"/>
    </row>
    <row r="1124" ht="12.75">
      <c r="F1124" s="3"/>
    </row>
    <row r="1125" ht="12.75">
      <c r="F1125" s="3"/>
    </row>
    <row r="1126" ht="12.75">
      <c r="F1126" s="3"/>
    </row>
    <row r="1127" ht="12.75">
      <c r="F1127" s="3"/>
    </row>
    <row r="1128" ht="12.75">
      <c r="F1128" s="3"/>
    </row>
    <row r="1129" ht="12.75">
      <c r="F1129" s="3"/>
    </row>
    <row r="1130" ht="12.75">
      <c r="F1130" s="3"/>
    </row>
    <row r="1131" ht="12.75">
      <c r="F1131" s="3"/>
    </row>
    <row r="1132" ht="12.75">
      <c r="F1132" s="3"/>
    </row>
    <row r="1133" ht="12.75">
      <c r="F1133" s="3"/>
    </row>
    <row r="1134" ht="12.75">
      <c r="F1134" s="3"/>
    </row>
    <row r="1135" ht="12.75">
      <c r="F1135" s="3"/>
    </row>
    <row r="1136" ht="12.75">
      <c r="F1136" s="3"/>
    </row>
    <row r="1137" ht="12.75">
      <c r="F1137" s="3"/>
    </row>
    <row r="1138" ht="12.75">
      <c r="F1138" s="3"/>
    </row>
    <row r="1139" ht="12.75">
      <c r="F1139" s="3"/>
    </row>
    <row r="1140" ht="12.75">
      <c r="F1140" s="3"/>
    </row>
    <row r="1141" ht="12.75">
      <c r="F1141" s="3"/>
    </row>
    <row r="1142" ht="12.75">
      <c r="F1142" s="3"/>
    </row>
    <row r="1143" ht="12.75">
      <c r="F1143" s="3"/>
    </row>
    <row r="1144" ht="12.75">
      <c r="F1144" s="3"/>
    </row>
    <row r="1145" ht="12.75">
      <c r="F1145" s="3"/>
    </row>
    <row r="1146" ht="12.75">
      <c r="F1146" s="3"/>
    </row>
    <row r="1147" ht="12.75">
      <c r="F1147" s="3"/>
    </row>
    <row r="1148" ht="12.75">
      <c r="F1148" s="3"/>
    </row>
    <row r="1149" ht="12.75">
      <c r="F1149" s="3"/>
    </row>
    <row r="1150" ht="12.75">
      <c r="F1150" s="3"/>
    </row>
    <row r="1151" ht="12.75">
      <c r="F1151" s="3"/>
    </row>
    <row r="1152" ht="12.75">
      <c r="F1152" s="3"/>
    </row>
    <row r="1153" ht="12.75">
      <c r="F1153" s="3"/>
    </row>
    <row r="1154" ht="12.75">
      <c r="F1154" s="3"/>
    </row>
    <row r="1155" ht="12.75">
      <c r="F1155" s="3"/>
    </row>
    <row r="1156" ht="12.75">
      <c r="F1156" s="3"/>
    </row>
    <row r="1157" ht="12.75">
      <c r="F1157" s="3"/>
    </row>
    <row r="1158" ht="12.75">
      <c r="F1158" s="3"/>
    </row>
    <row r="1159" ht="12.75">
      <c r="F1159" s="3"/>
    </row>
    <row r="1160" ht="12.75">
      <c r="F1160" s="3"/>
    </row>
    <row r="1161" ht="12.75">
      <c r="F1161" s="3"/>
    </row>
    <row r="1162" ht="12.75">
      <c r="F1162" s="3"/>
    </row>
    <row r="1163" ht="12.75">
      <c r="F1163" s="3"/>
    </row>
    <row r="1164" ht="12.75">
      <c r="F1164" s="3"/>
    </row>
    <row r="1165" ht="12.75">
      <c r="F1165" s="3"/>
    </row>
    <row r="1166" ht="12.75">
      <c r="F1166" s="3"/>
    </row>
    <row r="1167" ht="12.75">
      <c r="F1167" s="3"/>
    </row>
    <row r="1168" ht="12.75">
      <c r="F1168" s="3"/>
    </row>
    <row r="1169" ht="12.75">
      <c r="F1169" s="3"/>
    </row>
    <row r="1170" ht="12.75">
      <c r="F1170" s="3"/>
    </row>
    <row r="1171" ht="12.75">
      <c r="F1171" s="3"/>
    </row>
    <row r="1172" ht="12.75">
      <c r="F1172" s="3"/>
    </row>
    <row r="1173" ht="12.75">
      <c r="F1173" s="3"/>
    </row>
    <row r="1174" ht="12.75">
      <c r="F1174" s="3"/>
    </row>
    <row r="1175" ht="12.75">
      <c r="F1175" s="3"/>
    </row>
    <row r="1176" ht="12.75">
      <c r="F1176" s="3"/>
    </row>
    <row r="1177" ht="12.75">
      <c r="F1177" s="3"/>
    </row>
    <row r="1178" ht="12.75">
      <c r="F1178" s="3"/>
    </row>
    <row r="1179" ht="12.75">
      <c r="F1179" s="3"/>
    </row>
    <row r="1180" ht="12.75">
      <c r="F1180" s="3"/>
    </row>
    <row r="1181" ht="12.75">
      <c r="F1181" s="3"/>
    </row>
    <row r="1182" ht="12.75">
      <c r="F1182" s="3"/>
    </row>
    <row r="1183" ht="12.75">
      <c r="F1183" s="3"/>
    </row>
    <row r="1184" ht="12.75">
      <c r="F1184" s="3"/>
    </row>
    <row r="1185" ht="12.75">
      <c r="F1185" s="3"/>
    </row>
    <row r="1186" ht="12.75">
      <c r="F1186" s="3"/>
    </row>
    <row r="1187" ht="12.75">
      <c r="F1187" s="3"/>
    </row>
    <row r="1188" ht="12.75">
      <c r="F1188" s="3"/>
    </row>
    <row r="1189" ht="12.75">
      <c r="F1189" s="3"/>
    </row>
    <row r="1190" ht="12.75">
      <c r="F1190" s="3"/>
    </row>
    <row r="1191" ht="12.75">
      <c r="F1191" s="3"/>
    </row>
    <row r="1192" ht="12.75">
      <c r="F1192" s="3"/>
    </row>
    <row r="1193" ht="12.75">
      <c r="F1193" s="3"/>
    </row>
    <row r="1194" ht="12.75">
      <c r="F1194" s="3"/>
    </row>
    <row r="1195" ht="12.75">
      <c r="F1195" s="3"/>
    </row>
    <row r="1196" ht="12.75">
      <c r="F1196" s="3"/>
    </row>
    <row r="1197" ht="12.75">
      <c r="F1197" s="3"/>
    </row>
    <row r="1198" ht="12.75">
      <c r="F1198" s="3"/>
    </row>
    <row r="1199" ht="12.75">
      <c r="F1199" s="3"/>
    </row>
    <row r="1200" ht="12.75">
      <c r="F1200" s="3"/>
    </row>
    <row r="1201" ht="12.75">
      <c r="F1201" s="3"/>
    </row>
    <row r="1202" ht="12.75">
      <c r="F1202" s="3"/>
    </row>
    <row r="1203" ht="12.75">
      <c r="F1203" s="3"/>
    </row>
    <row r="1204" ht="12.75">
      <c r="F1204" s="3"/>
    </row>
    <row r="1205" ht="12.75">
      <c r="F1205" s="3"/>
    </row>
    <row r="1206" ht="12.75">
      <c r="F1206" s="3"/>
    </row>
    <row r="1207" ht="12.75">
      <c r="F1207" s="3"/>
    </row>
    <row r="1208" ht="12.75">
      <c r="F1208" s="3"/>
    </row>
    <row r="1209" ht="12.75">
      <c r="F1209" s="3"/>
    </row>
    <row r="1210" ht="12.75">
      <c r="F1210" s="3"/>
    </row>
    <row r="1211" ht="12.75">
      <c r="F1211" s="3"/>
    </row>
    <row r="1212" ht="12.75">
      <c r="F1212" s="3"/>
    </row>
    <row r="1213" ht="12.75">
      <c r="F1213" s="3"/>
    </row>
    <row r="1214" ht="12.75">
      <c r="F1214" s="3"/>
    </row>
    <row r="1215" ht="12.75">
      <c r="F1215" s="3"/>
    </row>
    <row r="1216" ht="12.75">
      <c r="F1216" s="3"/>
    </row>
    <row r="1217" ht="12.75">
      <c r="F1217" s="3"/>
    </row>
    <row r="1218" ht="12.75">
      <c r="F1218" s="3"/>
    </row>
    <row r="1219" ht="12.75">
      <c r="F1219" s="3"/>
    </row>
    <row r="1220" ht="12.75">
      <c r="F1220" s="3"/>
    </row>
    <row r="1221" ht="12.75">
      <c r="F1221" s="3"/>
    </row>
    <row r="1222" ht="12.75">
      <c r="F1222" s="3"/>
    </row>
    <row r="1223" ht="12.75">
      <c r="F1223" s="3"/>
    </row>
    <row r="1224" ht="12.75">
      <c r="F1224" s="3"/>
    </row>
    <row r="1225" ht="12.75">
      <c r="F1225" s="3"/>
    </row>
    <row r="1226" ht="12.75">
      <c r="F1226" s="3"/>
    </row>
    <row r="1227" ht="12.75">
      <c r="F1227" s="3"/>
    </row>
    <row r="1228" ht="12.75">
      <c r="F1228" s="3"/>
    </row>
    <row r="1229" ht="12.75">
      <c r="F1229" s="3"/>
    </row>
    <row r="1230" ht="12.75">
      <c r="F1230" s="3"/>
    </row>
    <row r="1231" ht="12.75">
      <c r="F1231" s="3"/>
    </row>
    <row r="1232" ht="12.75">
      <c r="F1232" s="3"/>
    </row>
    <row r="1233" ht="12.75">
      <c r="F1233" s="3"/>
    </row>
    <row r="1234" ht="12.75">
      <c r="F1234" s="3"/>
    </row>
    <row r="1235" ht="12.75">
      <c r="F1235" s="3"/>
    </row>
    <row r="1236" ht="12.75">
      <c r="F1236" s="3"/>
    </row>
    <row r="1237" ht="12.75">
      <c r="F1237" s="3"/>
    </row>
    <row r="1238" ht="12.75">
      <c r="F1238" s="3"/>
    </row>
    <row r="1239" ht="12.75">
      <c r="F1239" s="3"/>
    </row>
    <row r="1240" ht="12.75">
      <c r="F1240" s="3"/>
    </row>
    <row r="1241" ht="12.75">
      <c r="F1241" s="3"/>
    </row>
    <row r="1242" ht="12.75">
      <c r="F1242" s="3"/>
    </row>
    <row r="1243" ht="12.75">
      <c r="F1243" s="3"/>
    </row>
    <row r="1244" ht="12.75">
      <c r="F1244" s="3"/>
    </row>
    <row r="1245" ht="12.75">
      <c r="F1245" s="3"/>
    </row>
    <row r="1246" ht="12.75">
      <c r="F1246" s="3"/>
    </row>
    <row r="1247" ht="12.75">
      <c r="F1247" s="3"/>
    </row>
    <row r="1248" ht="12.75">
      <c r="F1248" s="3"/>
    </row>
    <row r="1249" ht="12.75">
      <c r="F1249" s="3"/>
    </row>
    <row r="1250" ht="12.75">
      <c r="F1250" s="3"/>
    </row>
    <row r="1251" ht="12.75">
      <c r="F1251" s="3"/>
    </row>
    <row r="1252" ht="12.75">
      <c r="F1252" s="3"/>
    </row>
    <row r="1253" ht="12.75">
      <c r="F1253" s="3"/>
    </row>
    <row r="1254" ht="12.75">
      <c r="F1254" s="3"/>
    </row>
    <row r="1255" ht="12.75">
      <c r="F1255" s="3"/>
    </row>
    <row r="1256" ht="12.75">
      <c r="F1256" s="3"/>
    </row>
    <row r="1257" ht="12.75">
      <c r="F1257" s="3"/>
    </row>
    <row r="1258" ht="12.75">
      <c r="F1258" s="3"/>
    </row>
    <row r="1259" ht="12.75">
      <c r="F1259" s="3"/>
    </row>
    <row r="1260" ht="12.75">
      <c r="F1260" s="3"/>
    </row>
    <row r="1261" ht="12.75">
      <c r="F1261" s="3"/>
    </row>
    <row r="1262" ht="12.75">
      <c r="F1262" s="3"/>
    </row>
    <row r="1263" ht="12.75">
      <c r="F1263" s="3"/>
    </row>
    <row r="1264" ht="12.75">
      <c r="F1264" s="3"/>
    </row>
    <row r="1265" ht="12.75">
      <c r="F1265" s="3"/>
    </row>
    <row r="1266" ht="12.75">
      <c r="F1266" s="3"/>
    </row>
    <row r="1267" ht="12.75">
      <c r="F1267" s="3"/>
    </row>
    <row r="1268" ht="12.75">
      <c r="F1268" s="3"/>
    </row>
    <row r="1269" ht="12.75">
      <c r="F1269" s="3"/>
    </row>
    <row r="1270" ht="12.75">
      <c r="F1270" s="3"/>
    </row>
    <row r="1271" ht="12.75">
      <c r="F1271" s="3"/>
    </row>
    <row r="1272" ht="12.75">
      <c r="F1272" s="3"/>
    </row>
    <row r="1273" ht="12.75">
      <c r="F1273" s="3"/>
    </row>
    <row r="1274" ht="12.75">
      <c r="F1274" s="3"/>
    </row>
    <row r="1275" ht="12.75">
      <c r="F1275" s="3"/>
    </row>
    <row r="1276" ht="12.75">
      <c r="F1276" s="3"/>
    </row>
    <row r="1277" ht="12.75">
      <c r="F1277" s="3"/>
    </row>
    <row r="1278" ht="12.75">
      <c r="F1278" s="3"/>
    </row>
    <row r="1279" ht="12.75">
      <c r="F1279" s="3"/>
    </row>
    <row r="1280" ht="12.75">
      <c r="F1280" s="3"/>
    </row>
    <row r="1281" ht="12.75">
      <c r="F1281" s="3"/>
    </row>
    <row r="1282" ht="12.75">
      <c r="F1282" s="3"/>
    </row>
    <row r="1283" ht="12.75">
      <c r="F1283" s="3"/>
    </row>
    <row r="1284" ht="12.75">
      <c r="F1284" s="3"/>
    </row>
    <row r="1285" ht="12.75">
      <c r="F1285" s="3"/>
    </row>
    <row r="1286" ht="12.75">
      <c r="F1286" s="3"/>
    </row>
    <row r="1287" ht="12.75">
      <c r="F1287" s="3"/>
    </row>
    <row r="1288" ht="12.75">
      <c r="F1288" s="3"/>
    </row>
    <row r="1289" ht="12.75">
      <c r="F1289" s="3"/>
    </row>
    <row r="1290" ht="12.75">
      <c r="F1290" s="3"/>
    </row>
    <row r="1291" ht="12.75">
      <c r="F1291" s="3"/>
    </row>
    <row r="1292" ht="12.75">
      <c r="F1292" s="3"/>
    </row>
    <row r="1293" ht="12.75">
      <c r="F1293" s="3"/>
    </row>
    <row r="1294" ht="12.75">
      <c r="F1294" s="3"/>
    </row>
    <row r="1295" ht="12.75">
      <c r="F1295" s="3"/>
    </row>
    <row r="1296" ht="12.75">
      <c r="F1296" s="3"/>
    </row>
    <row r="1297" ht="12.75">
      <c r="F1297" s="3"/>
    </row>
    <row r="1298" ht="12.75">
      <c r="F1298" s="3"/>
    </row>
    <row r="1299" ht="12.75">
      <c r="F1299" s="3"/>
    </row>
    <row r="1300" ht="12.75">
      <c r="F1300" s="3"/>
    </row>
    <row r="1301" ht="12.75">
      <c r="F1301" s="3"/>
    </row>
    <row r="1302" ht="12.75">
      <c r="F1302" s="3"/>
    </row>
    <row r="1303" ht="12.75">
      <c r="F1303" s="3"/>
    </row>
    <row r="1304" ht="12.75">
      <c r="F1304" s="3"/>
    </row>
    <row r="1305" ht="12.75">
      <c r="F1305" s="3"/>
    </row>
    <row r="1306" ht="12.75">
      <c r="F1306" s="3"/>
    </row>
    <row r="1307" ht="12.75">
      <c r="F1307" s="3"/>
    </row>
    <row r="1308" ht="12.75">
      <c r="F1308" s="3"/>
    </row>
    <row r="1309" ht="12.75">
      <c r="F1309" s="3"/>
    </row>
    <row r="1310" ht="12.75">
      <c r="F1310" s="3"/>
    </row>
    <row r="1311" ht="12.75">
      <c r="F1311" s="3"/>
    </row>
    <row r="1312" ht="12.75">
      <c r="F1312" s="3"/>
    </row>
    <row r="1313" ht="12.75">
      <c r="F1313" s="3"/>
    </row>
    <row r="1314" ht="12.75">
      <c r="F1314" s="3"/>
    </row>
    <row r="1315" ht="12.75">
      <c r="F1315" s="3"/>
    </row>
    <row r="1316" ht="12.75">
      <c r="F1316" s="3"/>
    </row>
    <row r="1317" ht="12.75">
      <c r="F1317" s="3"/>
    </row>
    <row r="1318" ht="12.75">
      <c r="F1318" s="3"/>
    </row>
    <row r="1319" ht="12.75">
      <c r="F1319" s="3"/>
    </row>
    <row r="1320" ht="12.75">
      <c r="F1320" s="3"/>
    </row>
    <row r="1321" ht="12.75">
      <c r="F1321" s="3"/>
    </row>
    <row r="1322" ht="12.75">
      <c r="F1322" s="3"/>
    </row>
    <row r="1323" ht="12.75">
      <c r="F1323" s="3"/>
    </row>
    <row r="1324" ht="12.75">
      <c r="F1324" s="3"/>
    </row>
    <row r="1325" ht="12.75">
      <c r="F1325" s="3"/>
    </row>
    <row r="1326" ht="12.75">
      <c r="F1326" s="3"/>
    </row>
    <row r="1327" ht="12.75">
      <c r="F1327" s="3"/>
    </row>
    <row r="1328" ht="12.75">
      <c r="F1328" s="3"/>
    </row>
    <row r="1329" ht="12.75">
      <c r="F1329" s="3"/>
    </row>
    <row r="1330" ht="12.75">
      <c r="F1330" s="3"/>
    </row>
    <row r="1331" ht="12.75">
      <c r="F1331" s="3"/>
    </row>
    <row r="1332" ht="12.75">
      <c r="F1332" s="3"/>
    </row>
    <row r="1333" ht="12.75">
      <c r="F1333" s="3"/>
    </row>
    <row r="1334" ht="12.75">
      <c r="F1334" s="3"/>
    </row>
    <row r="1335" ht="12.75">
      <c r="F1335" s="3"/>
    </row>
    <row r="1336" ht="12.75">
      <c r="F1336" s="3"/>
    </row>
    <row r="1337" ht="12.75">
      <c r="F1337" s="3"/>
    </row>
    <row r="1338" ht="12.75">
      <c r="F1338" s="3"/>
    </row>
    <row r="1339" ht="12.75">
      <c r="F1339" s="3"/>
    </row>
    <row r="1340" ht="12.75">
      <c r="F1340" s="3"/>
    </row>
    <row r="1341" ht="12.75">
      <c r="F1341" s="3"/>
    </row>
    <row r="1342" ht="12.75">
      <c r="F1342" s="3"/>
    </row>
    <row r="1343" ht="12.75">
      <c r="F1343" s="3"/>
    </row>
    <row r="1344" ht="12.75">
      <c r="F1344" s="3"/>
    </row>
    <row r="1345" ht="12.75">
      <c r="F1345" s="3"/>
    </row>
    <row r="1346" ht="12.75">
      <c r="F1346" s="3"/>
    </row>
    <row r="1347" ht="12.75">
      <c r="F1347" s="3"/>
    </row>
    <row r="1348" ht="12.75">
      <c r="F1348" s="3"/>
    </row>
    <row r="1349" ht="12.75">
      <c r="F1349" s="3"/>
    </row>
    <row r="1350" ht="12.75">
      <c r="F1350" s="3"/>
    </row>
    <row r="1351" ht="12.75">
      <c r="F1351" s="3"/>
    </row>
    <row r="1352" ht="12.75">
      <c r="F1352" s="3"/>
    </row>
    <row r="1353" ht="12.75">
      <c r="F1353" s="3"/>
    </row>
    <row r="1354" ht="12.75">
      <c r="F1354" s="3"/>
    </row>
    <row r="1355" ht="12.75">
      <c r="F1355" s="3"/>
    </row>
    <row r="1356" ht="12.75">
      <c r="F1356" s="3"/>
    </row>
    <row r="1357" ht="12.75">
      <c r="F1357" s="3"/>
    </row>
    <row r="1358" ht="12.75">
      <c r="F1358" s="3"/>
    </row>
    <row r="1359" ht="12.75">
      <c r="F1359" s="3"/>
    </row>
    <row r="1360" ht="12.75">
      <c r="F1360" s="3"/>
    </row>
    <row r="1361" ht="12.75">
      <c r="F1361" s="3"/>
    </row>
    <row r="1362" ht="12.75">
      <c r="F1362" s="3"/>
    </row>
    <row r="1363" ht="12.75">
      <c r="F1363" s="3"/>
    </row>
    <row r="1364" ht="12.75">
      <c r="F1364" s="3"/>
    </row>
    <row r="1365" ht="12.75">
      <c r="F1365" s="3"/>
    </row>
    <row r="1366" ht="12.75">
      <c r="F1366" s="3"/>
    </row>
    <row r="1367" ht="12.75">
      <c r="F1367" s="3"/>
    </row>
    <row r="1368" ht="12.75">
      <c r="F1368" s="3"/>
    </row>
    <row r="1369" ht="12.75">
      <c r="F1369" s="3"/>
    </row>
    <row r="1370" ht="12.75">
      <c r="F1370" s="3"/>
    </row>
    <row r="1371" ht="12.75">
      <c r="F1371" s="3"/>
    </row>
    <row r="1372" ht="12.75">
      <c r="F1372" s="3"/>
    </row>
    <row r="1373" ht="12.75">
      <c r="F1373" s="3"/>
    </row>
    <row r="1374" ht="12.75">
      <c r="F1374" s="3"/>
    </row>
    <row r="1375" ht="12.75">
      <c r="F1375" s="3"/>
    </row>
    <row r="1376" ht="12.75">
      <c r="F1376" s="3"/>
    </row>
    <row r="1377" ht="12.75">
      <c r="F1377" s="3"/>
    </row>
    <row r="1378" ht="12.75">
      <c r="F1378" s="3"/>
    </row>
    <row r="1379" ht="12.75">
      <c r="F1379" s="3"/>
    </row>
    <row r="1380" ht="12.75">
      <c r="F1380" s="3"/>
    </row>
    <row r="1381" ht="12.75">
      <c r="F1381" s="3"/>
    </row>
    <row r="1382" ht="12.75">
      <c r="F1382" s="3"/>
    </row>
    <row r="1383" ht="12.75">
      <c r="F1383" s="3"/>
    </row>
    <row r="1384" ht="12.75">
      <c r="F1384" s="3"/>
    </row>
    <row r="1385" ht="12.75">
      <c r="F1385" s="3"/>
    </row>
    <row r="1386" ht="12.75">
      <c r="F1386" s="3"/>
    </row>
    <row r="1387" ht="12.75">
      <c r="F1387" s="3"/>
    </row>
    <row r="1388" ht="12.75">
      <c r="F1388" s="3"/>
    </row>
    <row r="1389" ht="12.75">
      <c r="F1389" s="3"/>
    </row>
    <row r="1390" ht="12.75">
      <c r="F1390" s="3"/>
    </row>
    <row r="1391" ht="12.75">
      <c r="F1391" s="3"/>
    </row>
    <row r="1392" ht="12.75">
      <c r="F1392" s="3"/>
    </row>
    <row r="1393" ht="12.75">
      <c r="F1393" s="3"/>
    </row>
    <row r="1394" ht="12.75">
      <c r="F1394" s="3"/>
    </row>
    <row r="1395" ht="12.75">
      <c r="F1395" s="3"/>
    </row>
    <row r="1396" ht="12.75">
      <c r="F1396" s="3"/>
    </row>
    <row r="1397" ht="12.75">
      <c r="F1397" s="3"/>
    </row>
    <row r="1398" ht="12.75">
      <c r="F1398" s="3"/>
    </row>
    <row r="1399" ht="12.75">
      <c r="F1399" s="3"/>
    </row>
    <row r="1400" ht="12.75">
      <c r="F1400" s="3"/>
    </row>
    <row r="1401" ht="12.75">
      <c r="F1401" s="3"/>
    </row>
    <row r="1402" ht="12.75">
      <c r="F1402" s="3"/>
    </row>
    <row r="1403" ht="12.75">
      <c r="F1403" s="3"/>
    </row>
    <row r="1404" ht="12.75">
      <c r="F1404" s="3"/>
    </row>
    <row r="1405" ht="12.75">
      <c r="F1405" s="3"/>
    </row>
    <row r="1406" ht="12.75">
      <c r="F1406" s="3"/>
    </row>
    <row r="1407" ht="12.75">
      <c r="F1407" s="3"/>
    </row>
    <row r="1408" ht="12.75">
      <c r="F1408" s="3"/>
    </row>
    <row r="1409" ht="12.75">
      <c r="F1409" s="3"/>
    </row>
    <row r="1410" ht="12.75">
      <c r="F1410" s="3"/>
    </row>
    <row r="1411" ht="12.75">
      <c r="F1411" s="3"/>
    </row>
    <row r="1412" ht="12.75">
      <c r="F1412" s="3"/>
    </row>
    <row r="1413" ht="12.75">
      <c r="F1413" s="3"/>
    </row>
    <row r="1414" ht="12.75">
      <c r="F1414" s="3"/>
    </row>
    <row r="1415" ht="12.75">
      <c r="F1415" s="3"/>
    </row>
    <row r="1416" ht="12.75">
      <c r="F1416" s="3"/>
    </row>
    <row r="1417" ht="12.75">
      <c r="F1417" s="3"/>
    </row>
    <row r="1418" ht="12.75">
      <c r="F1418" s="3"/>
    </row>
    <row r="1419" ht="12.75">
      <c r="F1419" s="3"/>
    </row>
    <row r="1420" ht="12.75">
      <c r="F1420" s="3"/>
    </row>
    <row r="1421" ht="12.75">
      <c r="F1421" s="3"/>
    </row>
    <row r="1422" ht="12.75">
      <c r="F1422" s="3"/>
    </row>
    <row r="1423" ht="12.75">
      <c r="F1423" s="3"/>
    </row>
    <row r="1424" ht="12.75">
      <c r="F1424" s="3"/>
    </row>
    <row r="1425" ht="12.75">
      <c r="F1425" s="3"/>
    </row>
    <row r="1426" ht="12.75">
      <c r="F1426" s="3"/>
    </row>
    <row r="1427" ht="12.75">
      <c r="F1427" s="3"/>
    </row>
    <row r="1428" ht="12.75">
      <c r="F1428" s="3"/>
    </row>
    <row r="1429" ht="12.75">
      <c r="F1429" s="3"/>
    </row>
    <row r="1430" ht="12.75">
      <c r="F1430" s="3"/>
    </row>
    <row r="1431" ht="12.75">
      <c r="F1431" s="3"/>
    </row>
    <row r="1432" ht="12.75">
      <c r="F1432" s="3"/>
    </row>
    <row r="1433" ht="12.75">
      <c r="F1433" s="3"/>
    </row>
    <row r="1434" ht="12.75">
      <c r="F1434" s="3"/>
    </row>
    <row r="1435" ht="12.75">
      <c r="F1435" s="3"/>
    </row>
    <row r="1436" ht="12.75">
      <c r="F1436" s="3"/>
    </row>
    <row r="1437" ht="12.75">
      <c r="F1437" s="3"/>
    </row>
  </sheetData>
  <sheetProtection password="CC4D" sheet="1" objects="1" scenarios="1"/>
  <conditionalFormatting sqref="E137">
    <cfRule type="expression" priority="1" dxfId="6" stopIfTrue="1">
      <formula>IF(E$138="",0,1)</formula>
    </cfRule>
  </conditionalFormatting>
  <conditionalFormatting sqref="E132">
    <cfRule type="expression" priority="2" dxfId="7" stopIfTrue="1">
      <formula>IF($B$133=0,0,1)</formula>
    </cfRule>
  </conditionalFormatting>
  <printOptions headings="1"/>
  <pageMargins left="0.44" right="0.4724409448818898" top="0.31496062992125984" bottom="0.35433070866141736" header="0.15748031496062992" footer="0.15748031496062992"/>
  <pageSetup fitToHeight="2" horizontalDpi="300" verticalDpi="300" orientation="landscape" paperSize="9" scale="65" r:id="rId1"/>
  <headerFooter alignWithMargins="0">
    <oddFooter>&amp;L&amp;D   &amp;T&amp;C&amp;A&amp;R&amp;P / &amp;N</oddFooter>
  </headerFooter>
  <rowBreaks count="2" manualBreakCount="2">
    <brk id="58" max="9" man="1"/>
    <brk id="108"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BPV</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Bader Peter Heinz</dc:creator>
  <cp:keywords/>
  <dc:description/>
  <cp:lastModifiedBy>Eggenberger Stefan BPV</cp:lastModifiedBy>
  <cp:lastPrinted>2007-12-10T07:30:53Z</cp:lastPrinted>
  <dcterms:created xsi:type="dcterms:W3CDTF">2002-03-08T15:37:24Z</dcterms:created>
  <dcterms:modified xsi:type="dcterms:W3CDTF">2007-12-10T11:16:16Z</dcterms:modified>
  <cp:category/>
  <cp:version/>
  <cp:contentType/>
  <cp:contentStatus/>
</cp:coreProperties>
</file>